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00000-21700999\21700234\L\L\"/>
    </mc:Choice>
  </mc:AlternateContent>
  <xr:revisionPtr revIDLastSave="0" documentId="13_ncr:1_{3375B608-7623-4008-B632-8F696BBE6159}" xr6:coauthVersionLast="47" xr6:coauthVersionMax="47" xr10:uidLastSave="{00000000-0000-0000-0000-000000000000}"/>
  <bookViews>
    <workbookView xWindow="51480" yWindow="-120" windowWidth="51840" windowHeight="211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Application!$A$712:$AT$753</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0" i="3" l="1"/>
  <c r="G99" i="4"/>
  <c r="AO640" i="3"/>
  <c r="O729" i="3"/>
  <c r="O728" i="3"/>
  <c r="O727" i="3"/>
  <c r="AM555" i="3" l="1"/>
  <c r="AM554" i="3"/>
  <c r="C59" i="7"/>
  <c r="F30" i="4" l="1"/>
  <c r="E30" i="4" s="1"/>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AA948" i="3"/>
  <c r="AA919" i="3"/>
  <c r="AC886" i="3"/>
  <c r="O725" i="3"/>
  <c r="O726" i="3"/>
  <c r="O724" i="3"/>
  <c r="O723" i="3"/>
  <c r="O722" i="3"/>
  <c r="O721" i="3"/>
  <c r="O719" i="3"/>
  <c r="O718" i="3"/>
  <c r="Q629" i="3"/>
  <c r="Q627" i="3"/>
  <c r="AA918" i="3" l="1"/>
  <c r="AD200" i="20" l="1"/>
  <c r="AD199" i="20"/>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U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G36" i="13" s="1"/>
  <c r="B36" i="4"/>
  <c r="B66" i="4"/>
  <c r="B67" i="4"/>
  <c r="B68" i="4"/>
  <c r="B69" i="4"/>
  <c r="R66" i="4"/>
  <c r="S66" i="4" s="1"/>
  <c r="R67" i="4"/>
  <c r="S67" i="4"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3" i="13"/>
  <c r="B100" i="13"/>
  <c r="B101" i="13"/>
  <c r="B102" i="13"/>
  <c r="B103" i="13"/>
  <c r="A69" i="13"/>
  <c r="H66" i="13"/>
  <c r="H67" i="13"/>
  <c r="H68" i="13"/>
  <c r="H69" i="13"/>
  <c r="E66" i="13"/>
  <c r="G66" i="13" s="1"/>
  <c r="E67" i="13"/>
  <c r="G67" i="13" s="1"/>
  <c r="E68" i="13"/>
  <c r="G68" i="13" s="1"/>
  <c r="B66" i="13"/>
  <c r="D66" i="13" s="1"/>
  <c r="B67" i="13"/>
  <c r="D67" i="13" s="1"/>
  <c r="B68" i="13"/>
  <c r="D68" i="13" s="1"/>
  <c r="B69" i="13"/>
  <c r="D69" i="13" s="1"/>
  <c r="A53" i="13"/>
  <c r="H36" i="13"/>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G91" i="13" s="1"/>
  <c r="R84" i="4"/>
  <c r="S84" i="4" s="1"/>
  <c r="E84" i="13" s="1"/>
  <c r="G84" i="13" s="1"/>
  <c r="B59" i="4"/>
  <c r="C80" i="11"/>
  <c r="C81" i="11"/>
  <c r="B80" i="11"/>
  <c r="B81" i="11"/>
  <c r="I96" i="13"/>
  <c r="J96" i="13"/>
  <c r="J81" i="13"/>
  <c r="I81" i="13"/>
  <c r="F81" i="13"/>
  <c r="C81" i="13"/>
  <c r="H80" i="13"/>
  <c r="B80" i="13"/>
  <c r="D80" i="13" s="1"/>
  <c r="R80" i="4"/>
  <c r="S80" i="4" s="1"/>
  <c r="E80" i="13" s="1"/>
  <c r="G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9" i="13"/>
  <c r="G29" i="13" s="1"/>
  <c r="E27"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B6" i="13"/>
  <c r="B7" i="13"/>
  <c r="C8" i="4"/>
  <c r="B8" i="13" s="1"/>
  <c r="B9" i="13"/>
  <c r="B10" i="13"/>
  <c r="B13" i="13"/>
  <c r="B14" i="13"/>
  <c r="B15" i="13"/>
  <c r="B4" i="13"/>
  <c r="D4" i="13" s="1"/>
  <c r="D8"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S102" i="4" s="1"/>
  <c r="E102" i="13" s="1"/>
  <c r="R101" i="4"/>
  <c r="S101" i="4" s="1"/>
  <c r="E101" i="13" s="1"/>
  <c r="R99" i="4"/>
  <c r="S99" i="4" s="1"/>
  <c r="E99" i="13" s="1"/>
  <c r="G99" i="13" s="1"/>
  <c r="G104" i="13" s="1"/>
  <c r="R95" i="4"/>
  <c r="S95" i="4" s="1"/>
  <c r="E95" i="13" s="1"/>
  <c r="G95" i="13" s="1"/>
  <c r="R94" i="4"/>
  <c r="S94" i="4" s="1"/>
  <c r="E94" i="13" s="1"/>
  <c r="G94" i="13" s="1"/>
  <c r="R93" i="4"/>
  <c r="S93" i="4" s="1"/>
  <c r="E93" i="13" s="1"/>
  <c r="G93" i="13" s="1"/>
  <c r="R92" i="4"/>
  <c r="S92" i="4" s="1"/>
  <c r="E92" i="13" s="1"/>
  <c r="G92" i="13" s="1"/>
  <c r="R90" i="4"/>
  <c r="S90" i="4" s="1"/>
  <c r="E90" i="13" s="1"/>
  <c r="G90" i="13" s="1"/>
  <c r="R89" i="4"/>
  <c r="S89" i="4" s="1"/>
  <c r="E89" i="13" s="1"/>
  <c r="G89" i="13" s="1"/>
  <c r="R88" i="4"/>
  <c r="R87" i="4"/>
  <c r="E87" i="13" s="1"/>
  <c r="G87" i="13" s="1"/>
  <c r="R86" i="4"/>
  <c r="S86" i="4" s="1"/>
  <c r="R85" i="4"/>
  <c r="S85" i="4" s="1"/>
  <c r="E85" i="13" s="1"/>
  <c r="G85" i="13" s="1"/>
  <c r="R83" i="4"/>
  <c r="R76" i="4"/>
  <c r="R75" i="4"/>
  <c r="R72" i="4"/>
  <c r="R73" i="4"/>
  <c r="R74" i="4"/>
  <c r="R69" i="4"/>
  <c r="S69" i="4" s="1"/>
  <c r="E69" i="13" s="1"/>
  <c r="G69" i="13" s="1"/>
  <c r="R65" i="4"/>
  <c r="S65" i="4" s="1"/>
  <c r="E65" i="13" s="1"/>
  <c r="G65" i="13" s="1"/>
  <c r="R61" i="4"/>
  <c r="R60" i="4"/>
  <c r="R59" i="4"/>
  <c r="R58" i="4"/>
  <c r="R57" i="4"/>
  <c r="R56" i="4"/>
  <c r="R53" i="4"/>
  <c r="S53" i="4" s="1"/>
  <c r="E53" i="13" s="1"/>
  <c r="G53" i="13" s="1"/>
  <c r="R52" i="4"/>
  <c r="S52" i="4" s="1"/>
  <c r="E52" i="13" s="1"/>
  <c r="G52" i="13" s="1"/>
  <c r="R51" i="4"/>
  <c r="S51" i="4" s="1"/>
  <c r="E51" i="13" s="1"/>
  <c r="G51" i="13" s="1"/>
  <c r="R50" i="4"/>
  <c r="S50" i="4" s="1"/>
  <c r="E50" i="13" s="1"/>
  <c r="G50" i="13" s="1"/>
  <c r="R49" i="4"/>
  <c r="E49" i="13" s="1"/>
  <c r="G49" i="13" s="1"/>
  <c r="R48" i="4"/>
  <c r="S48" i="4" s="1"/>
  <c r="E48" i="13" s="1"/>
  <c r="G48" i="13" s="1"/>
  <c r="R47" i="4"/>
  <c r="S47" i="4" s="1"/>
  <c r="E47" i="13" s="1"/>
  <c r="G47" i="13" s="1"/>
  <c r="R46" i="4"/>
  <c r="S46" i="4" s="1"/>
  <c r="R45" i="4"/>
  <c r="S45" i="4" s="1"/>
  <c r="E45" i="13" s="1"/>
  <c r="G45" i="13" s="1"/>
  <c r="R43" i="4"/>
  <c r="S43" i="4" s="1"/>
  <c r="E43" i="13" s="1"/>
  <c r="G43" i="13" s="1"/>
  <c r="R41" i="4"/>
  <c r="S41" i="4" s="1"/>
  <c r="E41" i="13" s="1"/>
  <c r="G41" i="13" s="1"/>
  <c r="R40" i="4"/>
  <c r="S40" i="4" s="1"/>
  <c r="R37" i="4"/>
  <c r="S37" i="4" s="1"/>
  <c r="E37" i="13" s="1"/>
  <c r="G37" i="13" s="1"/>
  <c r="R35" i="4"/>
  <c r="S35" i="4" s="1"/>
  <c r="E35" i="13" s="1"/>
  <c r="G35" i="13" s="1"/>
  <c r="R34" i="4"/>
  <c r="S34" i="4" s="1"/>
  <c r="E34" i="13" s="1"/>
  <c r="G34" i="13" s="1"/>
  <c r="R33" i="4"/>
  <c r="S33" i="4" s="1"/>
  <c r="E33" i="13" s="1"/>
  <c r="G33" i="13" s="1"/>
  <c r="R32" i="4"/>
  <c r="S32" i="4" s="1"/>
  <c r="E32" i="13" s="1"/>
  <c r="G32" i="13" s="1"/>
  <c r="R31" i="4"/>
  <c r="S31" i="4" s="1"/>
  <c r="E31" i="13" s="1"/>
  <c r="G31" i="13" s="1"/>
  <c r="R30" i="4"/>
  <c r="S30" i="4" s="1"/>
  <c r="E30" i="13" s="1"/>
  <c r="G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G70" i="13" l="1"/>
  <c r="D70" i="13"/>
  <c r="D42" i="13"/>
  <c r="S42" i="4"/>
  <c r="E42" i="13" s="1"/>
  <c r="D38" i="13"/>
  <c r="D54" i="13"/>
  <c r="D77" i="13"/>
  <c r="G38" i="13"/>
  <c r="D96" i="13"/>
  <c r="D81" i="13"/>
  <c r="D62" i="13"/>
  <c r="S38" i="4"/>
  <c r="E38" i="13" s="1"/>
  <c r="S104" i="4"/>
  <c r="BA1058" i="3" s="1"/>
  <c r="S96" i="4"/>
  <c r="E96" i="13" s="1"/>
  <c r="E86" i="13"/>
  <c r="G86" i="13" s="1"/>
  <c r="G96" i="13" s="1"/>
  <c r="S81" i="4"/>
  <c r="E81" i="13" s="1"/>
  <c r="E79" i="13"/>
  <c r="G79" i="13" s="1"/>
  <c r="G81" i="13" s="1"/>
  <c r="S70" i="4"/>
  <c r="E70" i="13" s="1"/>
  <c r="S54" i="4"/>
  <c r="E54" i="13" s="1"/>
  <c r="E46" i="13"/>
  <c r="G46" i="13" s="1"/>
  <c r="G54" i="13" s="1"/>
  <c r="E40" i="13"/>
  <c r="G40" i="13" s="1"/>
  <c r="G42" i="13"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97" i="13" l="1"/>
  <c r="D105" i="13" s="1"/>
  <c r="E104" i="13"/>
  <c r="G63" i="13"/>
  <c r="G97" i="13" s="1"/>
  <c r="G105" i="13" s="1"/>
  <c r="G107" i="13" s="1"/>
  <c r="S63" i="4"/>
  <c r="S97" i="4"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O29" i="21"/>
  <c r="O28" i="21"/>
  <c r="P28" i="21" s="1" a="1"/>
  <c r="P28" i="21" s="1"/>
  <c r="S28" i="21" s="1"/>
  <c r="O27" i="21"/>
  <c r="O26" i="21"/>
  <c r="O25" i="21"/>
  <c r="P25" i="21" s="1" a="1"/>
  <c r="P25" i="21" s="1"/>
  <c r="S25" i="21" s="1"/>
  <c r="O24" i="21"/>
  <c r="P24" i="21" s="1" a="1"/>
  <c r="P24" i="21" s="1"/>
  <c r="S24" i="21" s="1"/>
  <c r="O23" i="21"/>
  <c r="P23" i="21" s="1" a="1"/>
  <c r="P23" i="21" s="1"/>
  <c r="S23" i="21" s="1"/>
  <c r="O22" i="21"/>
  <c r="P22" i="21" s="1" a="1"/>
  <c r="P22" i="21" s="1"/>
  <c r="S22" i="21" s="1"/>
  <c r="O21" i="2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7" i="21" a="1"/>
  <c r="P27" i="21" s="1"/>
  <c r="S27" i="21" s="1"/>
  <c r="P26" i="21" a="1"/>
  <c r="P26" i="21" s="1"/>
  <c r="S26" i="21" s="1"/>
  <c r="P20" i="21" a="1"/>
  <c r="P20" i="21" s="1"/>
  <c r="S20"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AC456" i="3"/>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G62" i="7" s="1"/>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AD2750E4-F662-478A-9BDD-AED07214BD1D}">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<sst xmlns="http://schemas.openxmlformats.org/spreadsheetml/2006/main" count="4973" uniqueCount="2724">
  <si>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</si>
  <si>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</si>
  <si>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</si>
  <si>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</si>
  <si>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</si>
  <si>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</si>
  <si>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</si>
  <si>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</si>
  <si>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</si>
  <si>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</si>
  <si>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</si>
  <si>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</si>
  <si>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</si>
  <si>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</si>
  <si>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</si>
  <si>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</si>
  <si>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</si>
  <si>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</si>
  <si>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</si>
  <si>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</si>
  <si>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</si>
  <si>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</si>
  <si>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</si>
  <si>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</si>
  <si>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</si>
  <si>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</si>
  <si>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</si>
  <si>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</si>
  <si>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</si>
  <si>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</si>
  <si>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</si>
  <si>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</si>
  <si>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</si>
  <si>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</si>
  <si>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</si>
  <si>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</si>
  <si>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</si>
  <si>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</si>
  <si>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</si>
  <si>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</si>
  <si>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</si>
  <si>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</si>
  <si>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</si>
  <si>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</si>
  <si>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</si>
  <si>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</si>
  <si>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</si>
  <si>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</si>
  <si>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</si>
  <si>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</si>
  <si>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</si>
  <si>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</si>
  <si>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</si>
  <si>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</si>
  <si>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</si>
  <si>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</si>
  <si>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</si>
  <si>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</si>
  <si>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</si>
  <si>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</si>
  <si>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</si>
  <si>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</si>
  <si>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</si>
  <si>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</si>
  <si>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</si>
  <si>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</si>
  <si>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</si>
  <si>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</si>
  <si>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</si>
  <si>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</si>
  <si>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</si>
  <si>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</si>
  <si>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</si>
  <si>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</si>
  <si>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</si>
  <si>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</si>
  <si>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</si>
  <si>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</si>
  <si>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</si>
  <si>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</si>
  <si>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</si>
  <si>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</si>
  <si>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</si>
  <si>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</si>
  <si>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</si>
  <si>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</si>
  <si>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</si>
  <si>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</si>
  <si>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</si>
  <si>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</si>
  <si>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</si>
  <si>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</si>
  <si>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</si>
  <si>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</si>
  <si>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</si>
  <si>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</si>
  <si>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</si>
  <si>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</si>
  <si>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</si>
  <si>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</si>
  <si>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</si>
  <si>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</si>
  <si>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</si>
  <si>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</si>
  <si>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</si>
  <si>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</si>
  <si>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</si>
  <si>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</si>
  <si>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</si>
  <si>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</si>
  <si>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</si>
  <si>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</si>
  <si>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</si>
  <si>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</si>
  <si>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</si>
  <si>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</si>
  <si>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</si>
  <si>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</si>
  <si>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</si>
  <si>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</si>
  <si>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</si>
  <si>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</si>
  <si>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</si>
  <si>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</si>
  <si>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</si>
  <si>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</si>
  <si>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</si>
  <si>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</si>
  <si>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</si>
  <si>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</si>
  <si>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</si>
  <si>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</si>
  <si>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</si>
  <si>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</si>
  <si>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</si>
  <si>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</si>
  <si>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</si>
  <si>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</si>
  <si>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</si>
  <si>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</si>
  <si>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</si>
  <si>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</si>
  <si>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</si>
  <si>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</si>
  <si>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</si>
  <si>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</si>
  <si>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</si>
  <si>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</si>
  <si>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</si>
  <si>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</si>
  <si>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</si>
  <si>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</si>
  <si>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</si>
  <si>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</si>
  <si>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</si>
  <si>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</si>
  <si>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</si>
  <si>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</si>
  <si>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</si>
  <si>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</si>
  <si>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</si>
  <si>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</si>
  <si>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</si>
  <si>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</si>
  <si>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</si>
  <si>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</si>
  <si>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</si>
  <si>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</si>
  <si>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</si>
  <si>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</si>
  <si>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</si>
  <si>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</si>
  <si>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</si>
  <si>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</si>
  <si>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</si>
  <si>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</si>
  <si>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</si>
  <si>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</si>
  <si>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</si>
  <si>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</si>
  <si>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</si>
  <si>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</si>
  <si>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</si>
  <si>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</si>
  <si>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</si>
  <si>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</si>
  <si>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</si>
  <si>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</si>
  <si>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</si>
  <si>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</si>
  <si>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</si>
  <si>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</si>
  <si>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</si>
  <si>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</si>
  <si>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</si>
  <si>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</si>
  <si>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</si>
  <si>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</si>
  <si>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</si>
  <si>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</si>
  <si>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</si>
  <si>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</si>
  <si>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</si>
  <si>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</si>
  <si>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</si>
  <si>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</si>
  <si>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</si>
  <si>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</si>
  <si>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</si>
  <si>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</si>
  <si>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</si>
  <si>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</si>
  <si>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</si>
  <si>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</si>
  <si>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</si>
  <si>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</si>
  <si>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</si>
  <si>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</si>
  <si>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</si>
  <si>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</si>
  <si>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</si>
  <si>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</si>
  <si>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</si>
  <si>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</si>
  <si>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</si>
  <si>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</si>
  <si>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</si>
  <si>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</si>
  <si>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</si>
  <si>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</si>
  <si>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</si>
  <si>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</si>
  <si>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</si>
  <si>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</si>
  <si>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</si>
  <si>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</si>
  <si>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</si>
  <si>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</si>
  <si>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</si>
  <si>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</si>
  <si>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</si>
  <si>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</si>
  <si>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</si>
  <si>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</si>
  <si>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</si>
  <si>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</si>
  <si>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</si>
  <si>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</si>
  <si>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</si>
  <si>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</si>
  <si>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</si>
  <si>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</si>
  <si>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</si>
  <si>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</si>
  <si>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</si>
  <si>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</si>
  <si>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</si>
  <si>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</si>
  <si>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</si>
  <si>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</si>
  <si>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</si>
  <si>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</si>
  <si>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</si>
  <si>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</si>
  <si>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</si>
  <si>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</si>
  <si>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</si>
  <si>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</si>
  <si>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</si>
  <si>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</si>
  <si>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</si>
  <si>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</si>
  <si>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</si>
  <si>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</si>
  <si>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</si>
  <si>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</si>
  <si>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</si>
  <si>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</si>
  <si>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</si>
  <si>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</si>
  <si>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</si>
  <si>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</si>
  <si>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</si>
  <si>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</si>
  <si>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</si>
  <si>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</si>
  <si>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</si>
  <si>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</si>
  <si>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</si>
  <si>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</si>
  <si>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</si>
  <si>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</si>
  <si>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</si>
  <si>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</si>
  <si>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</si>
  <si>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</si>
  <si>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</si>
  <si>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</si>
  <si>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</si>
  <si>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</si>
  <si>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</si>
  <si>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</si>
  <si>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</si>
  <si>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</si>
  <si>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</si>
  <si>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</si>
  <si>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</si>
  <si>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</si>
  <si>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</si>
  <si>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</si>
  <si>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</si>
  <si>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</si>
  <si>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</si>
  <si>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</si>
  <si>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</si>
  <si>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</si>
  <si>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</si>
  <si>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</si>
  <si>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</si>
  <si>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</si>
  <si>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</si>
  <si>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</si>
  <si>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</si>
  <si>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</si>
  <si>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</si>
  <si>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</si>
  <si>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</si>
  <si>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</si>
  <si>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</si>
  <si>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</si>
  <si>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</si>
  <si>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</si>
  <si>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</si>
  <si>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</si>
  <si>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</si>
  <si>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</si>
  <si>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</si>
  <si>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</si>
  <si>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</si>
  <si>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</si>
  <si>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</si>
  <si>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</si>
  <si>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</si>
  <si>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</si>
  <si>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</si>
  <si>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</si>
  <si>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</si>
  <si>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</si>
  <si>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</si>
  <si>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</si>
  <si>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</si>
  <si>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</si>
  <si>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</si>
  <si>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</si>
  <si>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</si>
  <si>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</si>
  <si>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</si>
  <si>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</si>
  <si>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</si>
  <si>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</si>
  <si>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</si>
  <si>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</si>
  <si>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</si>
  <si>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</si>
  <si>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</si>
  <si>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</si>
  <si>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</si>
  <si>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</si>
  <si>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</si>
  <si>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</si>
  <si>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</si>
  <si>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</si>
  <si>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</si>
  <si>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</si>
  <si>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</si>
  <si>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</si>
  <si>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</si>
  <si>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</si>
  <si>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</si>
  <si>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</si>
  <si>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</si>
  <si>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</si>
  <si>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</si>
  <si>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</si>
  <si>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</si>
  <si>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</si>
  <si>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</si>
  <si>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</si>
  <si>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</si>
  <si>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</si>
  <si>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</si>
  <si>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</si>
  <si>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</si>
  <si>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</si>
  <si>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</si>
  <si>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</si>
  <si>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</si>
  <si>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</si>
  <si>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</si>
  <si>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</si>
  <si>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</si>
  <si>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</si>
  <si>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</si>
  <si>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</si>
  <si>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</si>
  <si>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</si>
  <si>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</si>
  <si>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</si>
  <si>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</si>
  <si>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</si>
  <si>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</si>
  <si>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</si>
  <si>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</si>
  <si>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</si>
  <si>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</si>
  <si>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</si>
  <si>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</si>
  <si>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</si>
  <si>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</si>
  <si>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</si>
  <si>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</si>
  <si>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</si>
  <si>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</si>
  <si>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</si>
  <si>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</si>
  <si>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</si>
  <si>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</si>
  <si>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</si>
  <si>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</si>
  <si>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</si>
  <si>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</si>
  <si>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</si>
  <si>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</si>
  <si>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</si>
  <si>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</si>
  <si>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</si>
  <si>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</si>
  <si>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</si>
  <si>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</si>
  <si>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</si>
  <si>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</si>
  <si>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</si>
  <si>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</si>
  <si>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</si>
  <si>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</si>
  <si>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</si>
  <si>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</si>
  <si>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</si>
  <si>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</si>
  <si>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</si>
  <si>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</si>
  <si>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</si>
  <si>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</si>
  <si>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</si>
  <si>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</si>
  <si>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</si>
  <si>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</si>
  <si>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</si>
  <si>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</si>
  <si>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</si>
  <si>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</si>
  <si>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</si>
  <si>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</si>
  <si>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</si>
  <si>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</si>
  <si>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</si>
  <si>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</si>
  <si>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</si>
  <si>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</si>
  <si>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</si>
  <si>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</si>
  <si>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</si>
  <si>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</si>
  <si>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</si>
  <si>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</si>
  <si>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</si>
  <si>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</si>
  <si>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</si>
  <si>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</si>
  <si>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</si>
  <si>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</si>
  <si>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</si>
  <si>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</si>
  <si>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</si>
  <si>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</si>
  <si>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</si>
  <si>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</si>
  <si>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</si>
  <si>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</si>
  <si>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</si>
  <si>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</si>
  <si>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</si>
  <si>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</si>
  <si>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</si>
  <si>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</si>
  <si>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</si>
  <si>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</si>
  <si>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</si>
  <si>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</si>
  <si>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</si>
  <si>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</si>
  <si>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</si>
  <si>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</si>
  <si>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</si>
  <si>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</si>
  <si>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</si>
  <si>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</si>
  <si>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</si>
  <si>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</si>
  <si>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</si>
  <si>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</si>
  <si>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</si>
  <si>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</si>
  <si>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</si>
  <si>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</si>
  <si>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</si>
  <si>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</si>
  <si>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</si>
  <si>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</si>
  <si>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</si>
  <si>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</si>
  <si>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</si>
  <si>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</si>
  <si>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</si>
  <si>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</si>
  <si>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</si>
  <si>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</si>
  <si>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</si>
  <si>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</si>
  <si>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</si>
  <si>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</si>
  <si>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</si>
  <si>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</si>
  <si>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</si>
  <si>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</si>
  <si>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</si>
  <si>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</si>
  <si>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</si>
  <si>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</si>
  <si>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</si>
  <si>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</si>
  <si>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</si>
  <si>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</si>
  <si>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</si>
  <si>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</si>
  <si>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</si>
  <si>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</si>
  <si>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</si>
  <si>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</si>
  <si>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</si>
  <si>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</si>
  <si>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</si>
  <si>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</si>
  <si>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</si>
  <si>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</si>
  <si>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</si>
  <si>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</si>
  <si>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</si>
  <si>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</si>
  <si>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</si>
  <si>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</si>
  <si>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</si>
  <si>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</si>
  <si>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</si>
  <si>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</si>
  <si>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</si>
  <si>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</si>
  <si>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</si>
  <si>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</si>
  <si>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</si>
  <si>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</si>
  <si>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</si>
  <si>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</si>
  <si>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</si>
  <si>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</si>
  <si>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</si>
  <si>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</si>
  <si>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</si>
  <si>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</si>
  <si>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</si>
  <si>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</si>
  <si>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</si>
  <si>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</si>
  <si>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</si>
  <si>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</si>
  <si>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</si>
  <si>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</si>
  <si>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</si>
  <si>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</si>
  <si>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</si>
  <si>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</si>
  <si>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</si>
  <si>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</si>
  <si>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</si>
  <si>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</si>
  <si>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</si>
  <si>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</si>
  <si>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</si>
  <si>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</si>
  <si>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</si>
  <si>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</si>
  <si>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</si>
  <si>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</si>
  <si>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</si>
  <si>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</si>
  <si>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</si>
  <si>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</si>
  <si>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</si>
  <si>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</si>
  <si>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</si>
  <si>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</si>
  <si>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</si>
  <si>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</si>
  <si>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</si>
  <si>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</si>
  <si>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</si>
  <si>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</si>
  <si>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</si>
  <si>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</si>
  <si>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</si>
  <si>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</si>
  <si>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</si>
  <si>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</si>
  <si>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</si>
  <si>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</si>
  <si>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</si>
  <si>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</si>
  <si>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</si>
  <si>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</si>
  <si>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</si>
  <si>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</si>
  <si>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</si>
  <si>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</si>
  <si>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</si>
  <si>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</si>
  <si>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</si>
  <si>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</si>
  <si>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</si>
  <si>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</si>
  <si>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</si>
  <si>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</si>
  <si>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</si>
  <si>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</si>
  <si>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</si>
  <si>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</si>
  <si>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</si>
  <si>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</si>
  <si>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</si>
  <si>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</si>
  <si>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</si>
  <si>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</si>
  <si>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</si>
  <si>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</si>
  <si>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</si>
  <si>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</si>
  <si>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</si>
  <si>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</si>
  <si>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</si>
  <si>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</si>
  <si>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</si>
  <si>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</si>
  <si>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</si>
  <si>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</si>
  <si>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</si>
  <si>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</si>
  <si>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</si>
  <si>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</si>
  <si>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</si>
  <si>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</si>
  <si>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</si>
  <si>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</si>
  <si>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</si>
  <si>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</si>
  <si>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</si>
  <si>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</si>
  <si>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</si>
  <si>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</si>
  <si>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</si>
  <si>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</si>
  <si>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</si>
  <si>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</si>
  <si>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</si>
  <si>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</si>
  <si>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</si>
  <si>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</si>
  <si>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</si>
  <si>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</si>
  <si>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</si>
  <si>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</si>
  <si>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</si>
  <si>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</si>
  <si>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</si>
  <si>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</si>
  <si>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</si>
  <si>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</si>
  <si>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</si>
  <si>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</si>
  <si>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</si>
  <si>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</si>
  <si>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</si>
  <si>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</si>
  <si>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</si>
  <si>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</si>
  <si>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</si>
  <si>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</si>
  <si>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</si>
  <si>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</si>
  <si>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</si>
  <si>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</si>
  <si>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</si>
  <si>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</si>
  <si>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</si>
  <si>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</si>
  <si>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</si>
  <si>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</si>
  <si>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</si>
  <si>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</si>
  <si>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</si>
  <si>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</si>
  <si>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</si>
  <si>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</si>
  <si>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</si>
  <si>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</si>
  <si>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</si>
  <si>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</si>
  <si>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</si>
  <si>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</si>
  <si>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</si>
  <si>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</si>
  <si>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</si>
  <si>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</si>
  <si>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</si>
  <si>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</si>
  <si>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</si>
  <si>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</si>
  <si>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</si>
  <si>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</si>
  <si>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</si>
  <si>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</si>
  <si>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</si>
  <si>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</si>
  <si>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</si>
  <si>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</si>
  <si>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</si>
  <si>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</si>
  <si>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</si>
  <si>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</si>
  <si>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</si>
  <si>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</si>
  <si>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</si>
  <si>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</si>
  <si>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</si>
  <si>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</si>
  <si>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</si>
  <si>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</si>
  <si>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</si>
  <si>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</si>
  <si>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</si>
  <si>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</si>
  <si>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</si>
  <si>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</si>
  <si>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</si>
  <si>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</si>
  <si>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</si>
  <si>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</si>
  <si>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</si>
  <si>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</si>
  <si>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</si>
  <si>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</si>
  <si>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</si>
  <si>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</si>
  <si>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</si>
  <si>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</si>
  <si>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</si>
  <si>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</si>
  <si>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</si>
  <si>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</si>
  <si>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</si>
  <si>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</si>
  <si>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</si>
  <si>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</si>
  <si>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</si>
  <si>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</si>
  <si>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</si>
  <si>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</si>
  <si>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</si>
  <si>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</si>
  <si>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</si>
  <si>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</si>
  <si>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</si>
  <si>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</si>
  <si>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</si>
  <si>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</si>
  <si>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</si>
  <si>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</si>
  <si>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</si>
  <si>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</si>
  <si>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</si>
  <si>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</si>
  <si>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</si>
  <si>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</si>
  <si>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</si>
  <si>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</si>
  <si>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</si>
  <si>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</si>
  <si>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</si>
  <si>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</si>
  <si>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</si>
  <si>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</si>
  <si>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</si>
  <si>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</si>
  <si>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</si>
  <si>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</si>
  <si>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</si>
  <si>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</si>
  <si>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</si>
  <si>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</si>
  <si>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</si>
  <si>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</si>
  <si>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</si>
  <si>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</si>
  <si>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</si>
  <si>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</si>
  <si>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</si>
  <si>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</si>
  <si>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</si>
  <si>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</si>
  <si>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</si>
  <si>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</si>
  <si>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</si>
  <si>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</si>
  <si>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</si>
  <si>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</si>
  <si>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</si>
  <si>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</si>
  <si>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</si>
  <si>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</si>
  <si>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</si>
  <si>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</si>
  <si>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</si>
  <si>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</si>
  <si>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</si>
  <si>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</si>
  <si>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</si>
  <si>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</si>
  <si>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</si>
  <si>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</si>
  <si>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</si>
  <si>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</si>
  <si>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</si>
  <si>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</si>
  <si>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</si>
  <si>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</si>
  <si>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</si>
  <si>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</si>
  <si>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</si>
  <si>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</si>
  <si>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</si>
  <si>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</si>
  <si>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</si>
  <si>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</si>
  <si>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</si>
  <si>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</si>
  <si>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</si>
  <si>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</si>
  <si>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</si>
  <si>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</si>
  <si>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</si>
  <si>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</si>
  <si>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</si>
  <si>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</si>
  <si>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</si>
  <si>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</si>
  <si>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</si>
  <si>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</si>
  <si>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</si>
  <si>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</si>
  <si>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</si>
  <si>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</si>
  <si>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</si>
  <si>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</si>
  <si>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</si>
  <si>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</si>
  <si>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</si>
  <si>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</si>
  <si>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</si>
  <si>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</si>
  <si>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</si>
  <si>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</si>
  <si>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</si>
  <si>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</si>
  <si>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</si>
  <si>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</si>
  <si>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</si>
  <si>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</si>
  <si>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</si>
  <si>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</si>
  <si>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</si>
  <si>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</si>
  <si>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</si>
  <si>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</si>
  <si>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</si>
  <si>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</si>
  <si>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</si>
  <si>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</si>
  <si>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</si>
  <si>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</si>
  <si>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</si>
  <si>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</si>
  <si>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</si>
  <si>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</si>
  <si>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</si>
  <si>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</si>
  <si>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</si>
  <si>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</si>
  <si>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</si>
  <si>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</si>
  <si>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</si>
  <si>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</si>
  <si>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</si>
  <si>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</si>
  <si>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</si>
  <si>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</si>
  <si>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</si>
  <si>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</si>
  <si>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</si>
  <si>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</si>
  <si>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</si>
  <si>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</si>
  <si>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</si>
  <si>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</si>
  <si>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</si>
  <si>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</si>
  <si>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</si>
  <si>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</si>
  <si>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</si>
  <si>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</si>
  <si>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</si>
  <si>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</si>
  <si>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</si>
  <si>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</si>
  <si>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</si>
  <si>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</si>
  <si>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</si>
  <si>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</si>
  <si>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</si>
  <si>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</si>
  <si>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</si>
  <si>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</si>
  <si>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</si>
  <si>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</si>
  <si>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</si>
  <si>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</si>
  <si>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</si>
  <si>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</si>
  <si>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</si>
  <si>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</si>
  <si>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</si>
  <si>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</si>
  <si>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</si>
  <si>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</si>
  <si>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</si>
  <si>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</si>
  <si>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</si>
  <si>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</si>
  <si>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</si>
  <si>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</si>
  <si>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</si>
  <si>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</si>
  <si>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</si>
  <si>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</si>
  <si>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</si>
  <si>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</si>
  <si>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</si>
  <si>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</si>
  <si>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</si>
  <si>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</si>
  <si>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</si>
  <si>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</si>
  <si>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</si>
  <si>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</si>
  <si>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</si>
  <si>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</si>
  <si>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</si>
  <si>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</si>
  <si>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</si>
  <si>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</si>
  <si>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</si>
  <si>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</si>
  <si>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</si>
  <si>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</si>
  <si>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</si>
  <si>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</si>
  <si>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</si>
  <si>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</si>
  <si>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</si>
  <si>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</si>
  <si>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</si>
  <si>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</si>
  <si>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</si>
  <si>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</si>
  <si>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</si>
  <si>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</si>
  <si>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</si>
  <si>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</si>
  <si>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</si>
  <si>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</si>
  <si>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</si>
  <si>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</si>
  <si>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</si>
  <si>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</si>
  <si>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</si>
  <si>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</si>
  <si>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</si>
  <si>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</si>
  <si>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</si>
  <si>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</si>
  <si>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</si>
  <si>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</si>
  <si>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</si>
  <si>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</si>
  <si>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</si>
  <si>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</si>
  <si>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</si>
  <si>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</si>
  <si>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</si>
  <si>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</si>
  <si>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</si>
  <si>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</si>
  <si>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</si>
  <si>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</si>
  <si>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</si>
  <si>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</si>
  <si>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</si>
  <si>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</si>
  <si>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</si>
  <si>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</si>
  <si>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</si>
  <si>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</si>
  <si>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</si>
  <si>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</si>
  <si>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</si>
  <si>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</si>
  <si>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</si>
  <si>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</si>
  <si>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</si>
  <si>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</si>
  <si>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</si>
  <si>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</si>
  <si>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</si>
  <si>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</si>
  <si>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</si>
  <si>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</si>
  <si>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</si>
  <si>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</si>
  <si>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</si>
  <si>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</si>
  <si>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</si>
  <si>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</si>
  <si>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</si>
  <si>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</si>
  <si>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</si>
  <si>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</si>
  <si>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</si>
  <si>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</si>
  <si>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</si>
  <si>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</si>
  <si>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</si>
  <si>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</si>
  <si>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</si>
  <si>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</si>
  <si>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</si>
  <si>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</si>
  <si>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</si>
  <si>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</si>
  <si>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</si>
  <si>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</si>
  <si>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</si>
  <si>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</si>
  <si>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</si>
  <si>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</si>
  <si>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</si>
  <si>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</si>
  <si>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</si>
  <si>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</si>
  <si>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</si>
  <si>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</si>
  <si>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</si>
  <si>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</si>
  <si>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</si>
  <si>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</si>
  <si>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</si>
  <si>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</si>
  <si>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</si>
  <si>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</si>
  <si>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</si>
  <si>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</si>
  <si>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</si>
  <si>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</si>
  <si>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</si>
  <si>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</si>
  <si>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</si>
  <si>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</si>
  <si>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</si>
  <si>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</si>
  <si>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</si>
  <si>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</si>
  <si>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</si>
  <si>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</si>
  <si>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</si>
  <si>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</si>
  <si>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</si>
  <si>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</si>
  <si>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</si>
  <si>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</si>
  <si>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</si>
  <si>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</si>
  <si>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</si>
  <si>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</si>
  <si>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</si>
  <si>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</si>
  <si>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</si>
  <si>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</si>
  <si>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</si>
  <si>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</si>
  <si>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</si>
  <si>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</si>
  <si>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</si>
  <si>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</si>
  <si>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</si>
  <si>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</si>
  <si>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</si>
  <si>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</si>
  <si>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</si>
  <si>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</si>
  <si>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</si>
  <si>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</si>
  <si>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</si>
  <si>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</si>
  <si>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</si>
  <si>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</si>
  <si>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</si>
  <si>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</si>
  <si>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</si>
  <si>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</si>
  <si>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</si>
  <si>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</si>
  <si>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</si>
  <si>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</si>
  <si>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</si>
  <si>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</si>
  <si>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</si>
  <si>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</si>
  <si>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</si>
  <si>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</si>
  <si>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</si>
  <si>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</si>
  <si>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</si>
  <si>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</si>
  <si>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</si>
  <si>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</si>
  <si>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</si>
  <si>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</si>
  <si>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</si>
  <si>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</si>
  <si>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</si>
  <si>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</si>
  <si>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</si>
  <si>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</si>
  <si>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</si>
  <si>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</si>
  <si>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</si>
  <si>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</si>
  <si>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</si>
  <si>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</si>
  <si>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</si>
  <si>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</si>
  <si>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</si>
  <si>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</si>
  <si>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</si>
  <si>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</si>
  <si>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</si>
  <si>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</si>
  <si>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</si>
  <si>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</si>
  <si>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</si>
  <si>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</si>
  <si>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</si>
  <si>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</si>
  <si>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</si>
  <si>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</si>
  <si>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</si>
  <si>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</si>
  <si>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</si>
  <si>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</si>
  <si>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</si>
  <si>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</si>
  <si>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</si>
  <si>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</si>
  <si>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</si>
  <si>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</si>
  <si>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</si>
  <si>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</si>
  <si>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</si>
  <si>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</si>
  <si>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</si>
  <si>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</si>
  <si>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</si>
  <si>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</si>
  <si>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</si>
  <si>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</si>
  <si>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</si>
  <si>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</si>
  <si>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</si>
  <si>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</si>
  <si>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</si>
  <si>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</si>
  <si>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</si>
  <si>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</si>
  <si>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</si>
  <si>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</si>
  <si>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</si>
  <si>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</si>
  <si>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</si>
  <si>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</si>
  <si>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</si>
  <si>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</si>
  <si>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</si>
  <si>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</si>
  <si>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</si>
  <si>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</si>
  <si>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</si>
  <si>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</si>
  <si>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</si>
  <si>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</si>
  <si>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</si>
  <si>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</si>
  <si>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</si>
  <si>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</si>
  <si>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</si>
  <si>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</si>
  <si>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</si>
  <si>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</si>
  <si>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</si>
  <si>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</si>
  <si>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</si>
  <si>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</si>
  <si>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</si>
  <si>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</si>
  <si>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</si>
  <si>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</si>
  <si>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</si>
  <si>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</si>
  <si>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</si>
  <si>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</si>
  <si>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</si>
  <si>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</si>
  <si>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</si>
  <si>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</si>
  <si>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</si>
  <si>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</si>
  <si>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</si>
  <si>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</si>
  <si>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</si>
  <si>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</si>
  <si>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</si>
  <si>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</si>
  <si>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</si>
  <si>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</si>
  <si>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</si>
  <si>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</si>
  <si>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</si>
  <si>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</si>
  <si>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</si>
  <si>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</si>
  <si>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</si>
  <si>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</si>
  <si>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</si>
  <si>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</si>
  <si>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</si>
  <si>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</si>
  <si>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</si>
  <si>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</si>
  <si>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</si>
  <si>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</si>
  <si>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</si>
  <si>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</si>
  <si>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</si>
  <si>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</si>
  <si>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</si>
  <si>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</si>
  <si>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</si>
  <si>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</si>
  <si>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</si>
  <si>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</si>
  <si>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</si>
  <si>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</si>
  <si>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</si>
  <si>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</si>
  <si>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</si>
  <si>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</si>
  <si>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</si>
  <si>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</si>
  <si>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</si>
  <si>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</si>
  <si>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</si>
  <si>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</si>
  <si>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</si>
  <si>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</si>
  <si>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</si>
  <si>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</si>
  <si>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</si>
  <si>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</si>
  <si>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</si>
  <si>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</si>
  <si>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</si>
  <si>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</si>
  <si>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</si>
  <si>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</si>
  <si>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</si>
  <si>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</si>
  <si>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</si>
  <si>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</si>
  <si>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</si>
  <si>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</si>
  <si>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</si>
  <si>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</si>
  <si>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</si>
  <si>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</si>
  <si>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</si>
  <si>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</si>
  <si>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</si>
  <si>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</si>
  <si>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</si>
  <si>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</si>
  <si>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</si>
  <si>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</si>
  <si>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</si>
  <si>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</si>
  <si>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</si>
  <si>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</si>
  <si>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</si>
  <si>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</si>
  <si>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</si>
  <si>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</si>
  <si>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</si>
  <si>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</si>
  <si>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</si>
  <si>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</si>
  <si>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</si>
  <si>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</si>
  <si>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</si>
  <si>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</si>
  <si>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</si>
  <si>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</si>
  <si>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</si>
  <si>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</si>
  <si>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</si>
  <si>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</si>
  <si>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</si>
  <si>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</si>
  <si>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</si>
  <si>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</si>
  <si>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</si>
  <si>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</si>
  <si>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</si>
  <si>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</si>
  <si>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</si>
  <si>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</si>
  <si>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</si>
  <si>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</si>
  <si>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</si>
  <si>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</si>
  <si>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</si>
  <si>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</si>
  <si>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</si>
  <si>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</si>
  <si>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</si>
  <si>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</si>
  <si>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</si>
  <si>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</si>
  <si>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</si>
  <si>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</si>
  <si>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</si>
  <si>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</si>
  <si>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</si>
  <si>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</si>
  <si>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</si>
  <si>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</si>
  <si>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</si>
  <si>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</si>
  <si>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</si>
  <si>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</si>
  <si>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</si>
  <si>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</si>
  <si>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</si>
  <si>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</si>
  <si>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</si>
  <si>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</si>
  <si>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</si>
  <si>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</si>
  <si>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</si>
  <si>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</si>
  <si>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</si>
  <si>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</si>
  <si>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</si>
  <si>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</si>
  <si>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</si>
  <si>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</si>
  <si>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</si>
  <si>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</si>
  <si>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</si>
  <si>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</si>
  <si>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</si>
  <si>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</si>
  <si>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</si>
  <si>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</si>
  <si>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</si>
  <si>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</si>
  <si>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</si>
  <si>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</si>
  <si>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</si>
  <si>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</si>
  <si>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</si>
  <si>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</si>
  <si>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</si>
  <si>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</si>
  <si>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</si>
  <si>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</si>
  <si>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</si>
  <si>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</si>
  <si>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</si>
  <si>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</si>
  <si>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</si>
  <si>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</si>
  <si>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</si>
  <si>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</si>
  <si>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</si>
  <si>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</si>
  <si>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</si>
  <si>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</si>
  <si>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</si>
  <si>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</si>
  <si>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</si>
  <si>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</si>
  <si>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</si>
  <si>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</si>
  <si>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</si>
  <si>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</si>
  <si>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</si>
  <si>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</si>
  <si>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</si>
  <si>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</si>
  <si>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</si>
  <si>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</si>
  <si>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</si>
  <si>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</si>
  <si>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</si>
  <si>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</si>
  <si>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</si>
  <si>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</si>
  <si>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</si>
  <si>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</si>
  <si>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</si>
  <si>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</si>
  <si>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</si>
  <si>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</si>
  <si>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</si>
  <si>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</si>
  <si>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</si>
  <si>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</si>
  <si>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</si>
  <si>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</si>
  <si>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</si>
  <si>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</si>
  <si>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</si>
  <si>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</si>
  <si>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</si>
  <si>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</si>
  <si>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</si>
  <si>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</si>
  <si>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</si>
  <si>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</si>
  <si>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</si>
  <si>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</si>
  <si>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</si>
  <si>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</si>
  <si>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</si>
  <si>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</si>
  <si>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</si>
  <si>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</si>
  <si>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</si>
  <si>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</si>
  <si>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</si>
  <si>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</si>
  <si>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</si>
  <si>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</si>
  <si>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</si>
  <si>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</si>
  <si>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</si>
  <si>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</si>
  <si>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</si>
  <si>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</si>
  <si>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</si>
  <si>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</si>
  <si>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</si>
  <si>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</si>
  <si>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</si>
  <si>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</si>
  <si>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</si>
  <si>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</si>
  <si>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</si>
  <si>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</si>
  <si>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</si>
  <si>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</si>
  <si>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</si>
  <si>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</si>
  <si>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</si>
  <si>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</si>
  <si>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</si>
  <si>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</si>
  <si>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</si>
  <si>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</si>
  <si>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</si>
  <si>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</si>
  <si>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</si>
  <si>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</si>
  <si>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</si>
  <si>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</si>
  <si>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</si>
  <si>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</si>
  <si>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</si>
  <si>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</si>
  <si>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</si>
  <si>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</si>
  <si>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</si>
  <si>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</si>
  <si>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</si>
  <si>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</si>
  <si>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</si>
  <si>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</si>
  <si>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</si>
  <si>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</si>
  <si>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</si>
  <si>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</si>
  <si>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</si>
  <si>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</si>
  <si>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</si>
  <si>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</si>
  <si>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</si>
  <si>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</si>
  <si>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</si>
  <si>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</si>
  <si>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</si>
  <si>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</si>
  <si>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</si>
  <si>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</si>
  <si>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</si>
  <si>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</si>
  <si>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</si>
  <si>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</si>
  <si>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</si>
  <si>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</si>
  <si>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</si>
  <si>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</si>
  <si>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</si>
  <si>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</si>
  <si>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</si>
  <si>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</si>
  <si>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</si>
  <si>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</si>
  <si>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</si>
  <si>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</si>
  <si>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</si>
  <si>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</si>
  <si>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</si>
  <si>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</si>
  <si>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</si>
  <si>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</si>
  <si>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</si>
  <si>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</si>
  <si>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</si>
  <si>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</si>
  <si>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</si>
  <si>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</si>
  <si>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</si>
  <si>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</si>
  <si>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</si>
  <si>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</si>
  <si>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</si>
  <si>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</si>
  <si>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</si>
  <si>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</si>
  <si>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</si>
  <si>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</si>
  <si>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</si>
  <si>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</si>
  <si>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</si>
  <si>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</si>
  <si>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</si>
  <si>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</si>
  <si>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</si>
  <si>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</si>
  <si>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</si>
  <si>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</si>
  <si>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</si>
  <si>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</si>
  <si>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</si>
  <si>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</si>
  <si>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</si>
  <si>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</si>
  <si>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</si>
  <si>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</si>
  <si>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</si>
  <si>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</si>
  <si>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</si>
  <si>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</si>
  <si>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</si>
  <si>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</si>
  <si>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</si>
  <si>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</si>
  <si>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</si>
  <si>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</si>
  <si>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</si>
  <si>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</si>
  <si>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</si>
  <si>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</si>
  <si>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</si>
  <si>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</si>
  <si>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</si>
  <si>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</si>
  <si>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</si>
  <si>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</si>
  <si>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</si>
  <si>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</si>
  <si>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</si>
  <si>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</si>
  <si>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</si>
  <si>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</si>
  <si>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</si>
  <si>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</si>
  <si>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</si>
  <si>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</si>
  <si>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</si>
  <si>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</si>
  <si>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</si>
  <si>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</si>
  <si>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</si>
  <si>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</si>
  <si>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</si>
  <si>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</si>
  <si>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</si>
  <si>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</si>
  <si>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</si>
  <si>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</si>
  <si>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</si>
  <si>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</si>
  <si>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</si>
  <si>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</si>
  <si>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</si>
  <si>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</si>
  <si>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</si>
  <si>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</si>
  <si>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</si>
  <si>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</si>
  <si>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</si>
  <si>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</si>
  <si>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</si>
  <si>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</si>
  <si>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</si>
  <si>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</si>
  <si>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</si>
  <si>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</si>
  <si>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</si>
  <si>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</si>
  <si>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</si>
  <si>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</si>
  <si>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</si>
  <si>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</si>
  <si>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</si>
  <si>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</si>
  <si>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</si>
  <si>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</si>
  <si>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</si>
  <si>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</si>
  <si>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</si>
  <si>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</si>
  <si>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</si>
  <si>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</si>
  <si>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</si>
  <si>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</si>
  <si>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</si>
  <si>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</si>
  <si>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</si>
  <si>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</si>
  <si>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</si>
  <si>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</si>
  <si>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</si>
  <si>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</si>
  <si>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</si>
  <si>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</si>
  <si>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</si>
  <si>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</si>
  <si>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</si>
  <si>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</si>
  <si>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</si>
  <si>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</si>
  <si>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</si>
  <si>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</si>
  <si>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</si>
  <si>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</si>
  <si>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</si>
  <si>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</si>
  <si>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</si>
  <si>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</si>
  <si>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</si>
  <si>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</si>
  <si>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</si>
  <si>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</si>
  <si>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</si>
  <si>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</si>
  <si>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</si>
  <si>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</si>
  <si>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</si>
  <si>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</si>
  <si>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</si>
  <si>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</si>
  <si>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</si>
  <si>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</si>
  <si>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</si>
  <si>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</si>
  <si>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</si>
  <si>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</si>
  <si>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</si>
  <si>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</si>
  <si>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</si>
  <si>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</si>
  <si>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</si>
  <si>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</si>
  <si>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</si>
  <si>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</si>
  <si>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</si>
  <si>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</si>
  <si>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</si>
  <si>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</si>
  <si>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</si>
  <si>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</si>
  <si>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</si>
  <si>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</si>
  <si>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</si>
  <si>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</si>
  <si>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</si>
  <si>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</si>
  <si>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</si>
  <si>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</si>
  <si>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</si>
  <si>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</si>
  <si>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</si>
  <si>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</si>
  <si>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</si>
  <si>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</si>
  <si>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</si>
  <si>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</si>
  <si>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</si>
  <si>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</si>
  <si>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</si>
  <si>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</si>
  <si>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</si>
  <si>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</si>
  <si>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</si>
  <si>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</si>
  <si>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</si>
  <si>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</si>
  <si>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</si>
  <si>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</si>
  <si>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</si>
  <si>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</si>
  <si>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</si>
  <si>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</si>
  <si>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</si>
  <si>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</si>
  <si>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</si>
  <si>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</si>
  <si>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</si>
  <si>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</si>
  <si>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</si>
  <si>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</si>
  <si>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</si>
  <si>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</si>
  <si>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</si>
  <si>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</si>
  <si>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</si>
  <si>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</si>
  <si>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</si>
  <si>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</si>
  <si>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</si>
  <si>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</si>
  <si>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</si>
  <si>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</si>
  <si>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</si>
  <si>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</si>
  <si>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</si>
  <si>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</si>
  <si>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</si>
  <si>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</si>
  <si>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</si>
  <si>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</si>
  <si>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</si>
  <si>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</si>
  <si>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</si>
  <si>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</si>
  <si>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</si>
  <si>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</si>
  <si>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</si>
  <si>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</si>
  <si>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</si>
  <si>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</si>
  <si>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</si>
  <si>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</si>
  <si>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</si>
  <si>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</si>
  <si>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</si>
  <si>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</si>
  <si>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</si>
  <si>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</si>
  <si>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</si>
  <si>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</si>
  <si>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</si>
  <si>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</si>
  <si>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</si>
  <si>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</si>
  <si>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</si>
  <si>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</si>
  <si>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</si>
  <si>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</si>
  <si>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</si>
  <si>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</si>
  <si>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</si>
  <si>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</si>
  <si>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</si>
  <si>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</si>
  <si>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</si>
  <si>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</si>
  <si>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</si>
  <si>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</si>
  <si>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</si>
  <si>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</si>
  <si>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</si>
  <si>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</si>
  <si>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</si>
  <si>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</si>
  <si>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</si>
  <si>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</si>
  <si>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</si>
  <si>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</si>
  <si>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</si>
  <si>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</si>
  <si>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</si>
  <si>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</si>
  <si>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</si>
  <si>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</si>
  <si>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</si>
  <si>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</si>
  <si>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</si>
  <si>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</si>
  <si>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</si>
  <si>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</si>
  <si>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</si>
  <si>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</si>
  <si>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</si>
  <si>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</si>
  <si>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</si>
  <si>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</si>
  <si>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</si>
  <si>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</si>
  <si>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</si>
  <si>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</si>
  <si>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</si>
  <si>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</si>
  <si>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</si>
  <si>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</si>
  <si>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</si>
  <si>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</si>
  <si>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</si>
  <si>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</si>
  <si>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</si>
  <si>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</si>
  <si>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</si>
  <si>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</si>
  <si>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</si>
  <si>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</si>
  <si>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</si>
  <si>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</si>
  <si>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</si>
  <si>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</si>
  <si>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</si>
  <si>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</si>
  <si>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</si>
  <si>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</si>
  <si>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</si>
  <si>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</si>
  <si>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</si>
  <si>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</si>
  <si>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</si>
  <si>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</si>
  <si>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</si>
  <si>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</si>
  <si>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</si>
  <si>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</si>
  <si>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</si>
  <si>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</si>
  <si>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</si>
  <si>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</si>
  <si>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</si>
  <si>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</si>
  <si>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</si>
  <si>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</si>
  <si>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</si>
  <si>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</si>
  <si>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</si>
  <si>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</si>
  <si>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</si>
  <si>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</si>
  <si>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</si>
  <si>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</si>
  <si>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</si>
  <si>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</si>
  <si>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</si>
  <si>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</si>
  <si>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</si>
  <si>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</si>
  <si>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</si>
  <si>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</si>
  <si>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</si>
  <si>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</si>
  <si>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</si>
  <si>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</si>
  <si>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</si>
  <si>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</si>
  <si>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</si>
  <si>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</si>
  <si>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</si>
  <si>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</si>
  <si>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</si>
  <si>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</si>
  <si>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</si>
  <si>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</si>
  <si>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</si>
  <si>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</si>
  <si>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</si>
  <si>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</si>
  <si>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</si>
  <si>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</si>
  <si>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</si>
  <si>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</si>
  <si>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</si>
  <si>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</si>
  <si>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</si>
  <si>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</si>
  <si>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</si>
  <si>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</si>
  <si>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</si>
  <si>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</si>
  <si>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</si>
  <si>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</si>
  <si>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</si>
  <si>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</si>
  <si>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</si>
  <si>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</si>
  <si>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</si>
  <si>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</si>
  <si>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</si>
  <si>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</si>
  <si>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</si>
  <si>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</si>
  <si>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</si>
  <si>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</si>
  <si>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</si>
  <si>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</si>
  <si>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</si>
  <si>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</si>
  <si>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</si>
  <si>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</si>
  <si>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</si>
  <si>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</si>
  <si>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</si>
  <si>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</si>
  <si>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</si>
  <si>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</si>
  <si>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</si>
  <si>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</si>
  <si>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</si>
  <si>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</si>
  <si>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</si>
  <si>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</si>
  <si>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</si>
  <si>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</si>
  <si>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</si>
  <si>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</si>
  <si>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</si>
  <si>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</si>
  <si>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</si>
  <si>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</si>
  <si>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</si>
  <si>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</si>
  <si>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</si>
  <si>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</si>
  <si>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</si>
  <si>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</si>
  <si>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</si>
  <si>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</si>
  <si>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</si>
  <si>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</si>
  <si>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</si>
  <si>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</si>
  <si>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</si>
  <si>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</si>
  <si>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</si>
  <si>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</si>
  <si>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</si>
  <si>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</si>
  <si>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</si>
  <si>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</si>
  <si>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</si>
  <si>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</si>
  <si>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</si>
  <si>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</si>
  <si>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</si>
  <si>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</si>
  <si>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</si>
  <si>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</si>
  <si>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</si>
  <si>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</si>
  <si>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</si>
  <si>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</si>
  <si>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</si>
  <si>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</si>
  <si>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</si>
  <si>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</si>
  <si>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</si>
  <si>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</si>
  <si>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</si>
  <si>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</si>
  <si>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</si>
  <si>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</si>
  <si>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</si>
  <si>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</si>
  <si>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</si>
  <si>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</si>
  <si>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</si>
  <si>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</si>
  <si>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</si>
  <si>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</si>
  <si>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</si>
  <si>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</si>
  <si>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</si>
  <si>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</si>
  <si>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</si>
  <si>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</si>
  <si>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</si>
  <si>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</si>
  <si>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</si>
  <si>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</si>
  <si>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</si>
  <si>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</si>
  <si>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</si>
  <si>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</si>
  <si>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</si>
  <si>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</si>
  <si>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</si>
  <si>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</si>
  <si>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</si>
  <si>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</si>
  <si>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</si>
  <si>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</si>
  <si>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</si>
  <si>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</si>
  <si>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</si>
  <si>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</si>
  <si>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</si>
  <si>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</si>
  <si>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</si>
  <si>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</si>
  <si>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</si>
  <si>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</si>
  <si>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</si>
  <si>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</si>
  <si>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</si>
  <si>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</si>
  <si>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</si>
  <si>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</si>
  <si>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</si>
  <si>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</si>
  <si>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</si>
  <si>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</si>
  <si>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</si>
  <si>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</si>
  <si>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</si>
  <si>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</si>
  <si>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</si>
  <si>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</si>
  <si>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</si>
  <si>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</si>
  <si>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</si>
  <si>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</si>
  <si>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</si>
  <si>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</si>
  <si>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</si>
  <si>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</si>
  <si>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</si>
  <si>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</si>
  <si>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</si>
  <si>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</si>
  <si>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</si>
  <si>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</si>
  <si>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</si>
  <si>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</si>
  <si>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</si>
  <si>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</si>
  <si>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</si>
  <si>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</si>
  <si>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</si>
  <si>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</si>
  <si>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</si>
  <si>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</si>
  <si>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</si>
  <si>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</si>
  <si>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</si>
  <si>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</si>
  <si>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</si>
  <si>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</si>
  <si>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</si>
  <si>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</si>
  <si>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</si>
  <si>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</si>
  <si>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</si>
  <si>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</si>
  <si>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</si>
  <si>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</si>
  <si>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</si>
  <si>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</si>
  <si>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</si>
  <si>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</si>
  <si>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</si>
  <si>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</si>
  <si>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</si>
  <si>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</si>
  <si>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</si>
  <si>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</si>
  <si>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</si>
  <si>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</si>
  <si>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</si>
  <si>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</si>
  <si>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</si>
  <si>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</si>
  <si>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</si>
  <si>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</si>
  <si>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</si>
  <si>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</si>
  <si>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</si>
  <si>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</si>
  <si>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</si>
  <si>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</si>
  <si>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</si>
  <si>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</si>
  <si>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</si>
  <si>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</si>
  <si>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</si>
  <si>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</si>
  <si>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</si>
  <si>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</si>
  <si>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</si>
  <si>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</si>
  <si>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</si>
  <si>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</si>
  <si>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</si>
  <si>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</si>
  <si>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</si>
  <si>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</si>
  <si>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</si>
  <si>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</si>
  <si>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</si>
  <si>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</si>
  <si>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</si>
  <si>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</si>
  <si>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</si>
  <si>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</si>
  <si>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</si>
  <si>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</si>
  <si>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</si>
  <si>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</si>
  <si>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</si>
  <si>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</si>
  <si>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</si>
  <si>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</si>
  <si>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</si>
  <si>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</si>
  <si>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</si>
  <si>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</si>
  <si>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</si>
  <si>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</si>
  <si>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</si>
  <si>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</si>
  <si>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</si>
  <si>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</si>
  <si>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</si>
  <si>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</si>
  <si>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</si>
  <si>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</si>
  <si>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</si>
  <si>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</si>
  <si>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</si>
  <si>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</si>
  <si>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</si>
  <si>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</si>
  <si>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</si>
  <si>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</si>
  <si>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</si>
  <si>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</si>
  <si>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</si>
  <si>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</si>
  <si>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</si>
  <si>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</si>
  <si>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</si>
  <si>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</si>
  <si>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</si>
  <si>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</si>
  <si>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</si>
  <si>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</si>
  <si>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</si>
  <si>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</si>
  <si>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</si>
  <si>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</si>
  <si>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</si>
  <si>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</si>
  <si>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</si>
  <si>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</si>
  <si>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</si>
  <si>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</si>
  <si>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</si>
  <si>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</si>
  <si>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</si>
  <si>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</si>
  <si>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</si>
  <si>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</si>
  <si>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</si>
  <si>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</si>
  <si>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</si>
  <si>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</si>
  <si>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</si>
  <si>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</si>
  <si>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</si>
  <si>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</si>
  <si>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</si>
  <si>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</si>
  <si>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</si>
  <si>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</si>
  <si>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</si>
  <si>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</si>
  <si>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</si>
  <si>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</si>
  <si>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</si>
  <si>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</si>
  <si>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</si>
  <si>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</si>
  <si>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</si>
  <si>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</si>
  <si>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</si>
  <si>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</si>
  <si>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</si>
  <si>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</si>
  <si>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</si>
  <si>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</si>
  <si>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</si>
  <si>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</si>
  <si>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</si>
  <si>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</si>
  <si>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</si>
  <si>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</si>
  <si>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</si>
  <si>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</si>
  <si>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</si>
  <si>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</si>
  <si>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</si>
  <si>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</si>
  <si>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</si>
  <si>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</si>
  <si>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</si>
  <si>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</si>
  <si>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</si>
  <si>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</si>
  <si>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</si>
  <si>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</si>
  <si>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</si>
  <si>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</si>
  <si>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</si>
  <si>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</si>
  <si>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</si>
  <si>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</si>
  <si>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</si>
  <si>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</si>
  <si>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</si>
  <si>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</si>
  <si>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</si>
  <si>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</si>
  <si>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</si>
  <si>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</si>
  <si>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</si>
  <si>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</si>
  <si>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</si>
  <si>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</si>
  <si>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</si>
  <si>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</si>
  <si>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</si>
  <si>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</si>
  <si>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</si>
  <si>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</si>
  <si>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</si>
  <si>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</si>
  <si>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</si>
  <si>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</si>
  <si>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</si>
  <si>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</si>
  <si>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</si>
  <si>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</si>
  <si>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</si>
  <si>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</si>
  <si>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</si>
  <si>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</si>
  <si>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</si>
  <si>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</si>
  <si>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</si>
  <si>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</si>
  <si>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</si>
  <si>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</si>
  <si>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</si>
  <si>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</si>
  <si>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</si>
  <si>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</si>
  <si>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</si>
  <si>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</si>
  <si>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</si>
  <si>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</si>
  <si>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</si>
  <si>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</si>
  <si>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</si>
  <si>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</si>
  <si>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</si>
  <si>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</si>
  <si>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</si>
  <si>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</si>
  <si>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</si>
  <si>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</si>
  <si>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</si>
  <si>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</si>
  <si>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</si>
  <si>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</si>
  <si>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</si>
  <si>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</si>
  <si>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</si>
  <si>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</si>
  <si>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</si>
  <si>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</si>
  <si>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</si>
  <si>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</si>
  <si>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</si>
  <si>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</si>
  <si>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</si>
  <si>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</si>
  <si>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</si>
  <si>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</si>
  <si>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</si>
  <si>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</si>
  <si>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</si>
  <si>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</si>
  <si>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</si>
  <si>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</si>
  <si>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</si>
  <si>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</si>
  <si>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</si>
  <si>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</si>
  <si>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</si>
  <si>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</si>
  <si>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</si>
  <si>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</si>
  <si>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</si>
  <si>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</si>
  <si>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</si>
  <si>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</si>
  <si>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</si>
  <si>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</si>
  <si>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</si>
  <si>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</si>
  <si>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</si>
  <si>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</si>
  <si>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</si>
  <si>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</si>
  <si>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</si>
  <si>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</si>
  <si>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</si>
  <si>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</si>
  <si>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</si>
  <si>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</si>
  <si>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</si>
  <si>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</si>
  <si>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</si>
  <si>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</si>
  <si>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</si>
  <si>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</si>
  <si>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</si>
  <si>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</si>
  <si>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</si>
  <si>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</si>
  <si>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</si>
  <si>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</si>
  <si>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</si>
  <si>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</si>
  <si>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</si>
  <si>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</si>
  <si>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</si>
  <si>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</si>
  <si>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</si>
  <si>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</si>
  <si>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</si>
  <si>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</si>
  <si>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</si>
  <si>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</si>
  <si>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</si>
  <si>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</si>
  <si>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</si>
  <si>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</si>
  <si>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</si>
  <si>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</si>
  <si>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</si>
  <si>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</si>
  <si>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</si>
  <si>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</si>
  <si>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</si>
  <si>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</si>
  <si>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</si>
  <si>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</si>
  <si>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</si>
  <si>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</si>
  <si>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</si>
  <si>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</si>
  <si>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</si>
  <si>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</si>
  <si>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</si>
  <si>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</si>
  <si>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</si>
  <si>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</si>
  <si>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</si>
  <si>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</si>
  <si>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</si>
  <si>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</si>
  <si>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</si>
  <si>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</si>
  <si>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</si>
  <si>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</si>
  <si>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</si>
  <si>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</si>
  <si>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</si>
  <si>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</si>
  <si>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</si>
  <si>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</si>
  <si>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</si>
  <si>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</si>
  <si>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</si>
  <si>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</si>
  <si>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</si>
  <si>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</si>
  <si>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</si>
  <si>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</si>
  <si>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</si>
  <si>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</si>
  <si>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</si>
  <si>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</si>
  <si>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</si>
  <si>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</si>
  <si>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</si>
  <si>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</si>
  <si>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</si>
  <si>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</si>
  <si>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</si>
  <si>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</si>
  <si>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</si>
  <si>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</si>
  <si>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</si>
  <si>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</si>
  <si>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</si>
  <si>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</si>
  <si>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</si>
  <si>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</si>
  <si>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</si>
  <si>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</si>
  <si>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</si>
  <si>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</si>
  <si>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</si>
  <si>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</si>
  <si>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</si>
  <si>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</si>
  <si>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</si>
  <si>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</si>
  <si>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</si>
  <si>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</si>
  <si>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</si>
  <si>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</si>
  <si>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</si>
  <si>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</si>
  <si>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</si>
  <si>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</si>
  <si>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</si>
  <si>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</si>
  <si>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</si>
  <si>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</si>
  <si>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</si>
  <si>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</si>
  <si>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</si>
  <si>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</si>
  <si>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</si>
  <si>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</si>
  <si>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</si>
  <si>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</si>
  <si>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</si>
  <si>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</si>
  <si>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</si>
  <si>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</si>
  <si>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</si>
  <si>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</si>
  <si>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</si>
  <si>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</si>
  <si>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</si>
  <si>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</si>
  <si>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</si>
  <si>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</si>
  <si>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</si>
  <si>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</si>
  <si>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</si>
  <si>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</si>
  <si>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</si>
  <si>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</si>
  <si>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</si>
  <si>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</si>
  <si>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</si>
  <si>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</si>
  <si>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</si>
  <si>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</si>
  <si>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</si>
  <si>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</si>
  <si>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</si>
  <si>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</si>
  <si>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</si>
  <si>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</si>
  <si>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</si>
  <si>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</si>
  <si>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</si>
  <si>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</si>
  <si>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</si>
  <si>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</si>
  <si>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</si>
  <si>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</si>
  <si>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</si>
  <si>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</si>
  <si>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</si>
  <si>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</si>
  <si>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</si>
  <si>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</si>
  <si>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</si>
  <si>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</si>
  <si>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</si>
  <si>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</si>
  <si>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</si>
  <si>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</si>
  <si>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</si>
  <si>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</si>
  <si>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</si>
  <si>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</si>
  <si>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</si>
  <si>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</si>
  <si>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</si>
  <si>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</si>
  <si>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</si>
  <si>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</si>
  <si>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</si>
  <si>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</si>
  <si>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</si>
  <si>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</si>
  <si>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</si>
  <si>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</si>
  <si>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</si>
  <si>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</si>
  <si>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</si>
  <si>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</si>
  <si>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</si>
  <si>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</si>
  <si>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</si>
  <si>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</si>
  <si>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</si>
  <si>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</si>
  <si>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</si>
  <si>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</si>
  <si>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</si>
  <si>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</si>
  <si>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</si>
  <si>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</si>
  <si>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</si>
  <si>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</si>
  <si>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</si>
  <si>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</si>
  <si>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</si>
  <si>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</si>
  <si>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</si>
  <si>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</si>
  <si>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Community Revitalization and Development Corporation</t>
  </si>
  <si>
    <t>1990 Lake Washington Housing</t>
  </si>
  <si>
    <t xml:space="preserve">City of West Sacramento </t>
  </si>
  <si>
    <t xml:space="preserve">Aaron Laurel </t>
  </si>
  <si>
    <t>1110 W Capitol Ave</t>
  </si>
  <si>
    <t>West Sacramento</t>
  </si>
  <si>
    <t>916-617-4500</t>
  </si>
  <si>
    <t>aaronl@cityofwestsacramento.com</t>
  </si>
  <si>
    <t>1990 Lake Washington Blvd, West Sacramento, CA 95691</t>
  </si>
  <si>
    <t xml:space="preserve">Sacramento </t>
  </si>
  <si>
    <t>046-010-037-000</t>
  </si>
  <si>
    <t>40%/60% Average Income</t>
  </si>
  <si>
    <t>1918 West St</t>
  </si>
  <si>
    <t>Redding</t>
  </si>
  <si>
    <t>CA</t>
  </si>
  <si>
    <t>David Rutledge</t>
  </si>
  <si>
    <t>david@crdc-housing.org</t>
  </si>
  <si>
    <t>West Sacramento Lake Washington Boulevard LLC</t>
  </si>
  <si>
    <t xml:space="preserve">5251 Ericson Way </t>
  </si>
  <si>
    <t xml:space="preserve">Arcata </t>
  </si>
  <si>
    <t>Chris Dart</t>
  </si>
  <si>
    <t>cdart@danco-group.com</t>
  </si>
  <si>
    <t>Johnson &amp; Johnson Investments, LLC</t>
  </si>
  <si>
    <t xml:space="preserve">Danco Communities </t>
  </si>
  <si>
    <t>Hailey Wilson</t>
  </si>
  <si>
    <t>hwilson@danco-group.com</t>
  </si>
  <si>
    <t xml:space="preserve">Developer </t>
  </si>
  <si>
    <t>Danco Communities</t>
  </si>
  <si>
    <t>5251 Ericson Way</t>
  </si>
  <si>
    <t>Arcata, CA 95521</t>
  </si>
  <si>
    <t>707-825-1531</t>
  </si>
  <si>
    <t>707-822-9596</t>
  </si>
  <si>
    <t>Form 4 Architecture</t>
  </si>
  <si>
    <t>150 Sutter Street</t>
  </si>
  <si>
    <t>San Francisco, CA 94104</t>
  </si>
  <si>
    <t>Goetz Frank</t>
  </si>
  <si>
    <t>510-717-2866</t>
  </si>
  <si>
    <t>grank@form4inc.com</t>
  </si>
  <si>
    <t>Odu &amp; Associates</t>
  </si>
  <si>
    <t>31805 Temecula Parkway #720</t>
  </si>
  <si>
    <t>Temecula, CA 92592</t>
  </si>
  <si>
    <t>Nkechi Odu</t>
  </si>
  <si>
    <t>nkechi@odulaw.com</t>
  </si>
  <si>
    <t>Danco Builders Northwest</t>
  </si>
  <si>
    <t>Leavitt Christensen &amp; Co. PLLC</t>
  </si>
  <si>
    <t>6149 N Meeker Pl #250</t>
  </si>
  <si>
    <t>Boise, ID 83713</t>
  </si>
  <si>
    <t>Ryan Leavitt</t>
  </si>
  <si>
    <t>ryan@leavittchristensen.com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</si>
  <si>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</si>
  <si>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</si>
  <si>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</si>
  <si>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</si>
  <si>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</si>
  <si>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</si>
  <si>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</si>
  <si>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</si>
  <si>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</si>
  <si>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</si>
  <si>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</si>
  <si>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</si>
  <si>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</si>
  <si>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</si>
  <si>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CMFA</t>
  </si>
  <si>
    <t>2111 Palomar Airport Rd. Suite 320</t>
  </si>
  <si>
    <t>Carlsbad, CA 92011</t>
  </si>
  <si>
    <t>Anthony Stubbs</t>
  </si>
  <si>
    <t>760-930-1333</t>
  </si>
  <si>
    <t>760-683-3390</t>
  </si>
  <si>
    <t>astubbs@cmfa-ca.com</t>
  </si>
  <si>
    <t>Danco Property Management</t>
  </si>
  <si>
    <t>Loki Investments, LLC, Fair Plaza II, LTD and James Engstrom</t>
  </si>
  <si>
    <t>Kent Calfee &amp; James Engstrom</t>
  </si>
  <si>
    <t>Inner City Infill Site</t>
  </si>
  <si>
    <t>Developmentally Disabled</t>
  </si>
  <si>
    <t>MC-NC</t>
  </si>
  <si>
    <t>NO</t>
  </si>
  <si>
    <t>65'</t>
  </si>
  <si>
    <t>Citi Bank TE Loan</t>
  </si>
  <si>
    <t>Citi Bank Taxable Loan</t>
  </si>
  <si>
    <t>Boston Financial Tax Credit Equity</t>
  </si>
  <si>
    <t>Citi Bank Recycled Bonds</t>
  </si>
  <si>
    <t>Two Embarcadero Center, 17th Floor</t>
  </si>
  <si>
    <t>San Francisco, CA 94111</t>
  </si>
  <si>
    <t>Jacob St. Onge</t>
  </si>
  <si>
    <t>415-658-3118</t>
  </si>
  <si>
    <t>Construction Loan</t>
  </si>
  <si>
    <t>Roy Faerber</t>
  </si>
  <si>
    <t>(310) 860-4550</t>
  </si>
  <si>
    <t xml:space="preserve">Equity </t>
  </si>
  <si>
    <t>Citi Bank Perm Loan</t>
  </si>
  <si>
    <t>DSS Funding</t>
  </si>
  <si>
    <t>Perm Loan</t>
  </si>
  <si>
    <t>1215 O Street, 7th Floor MS 7-20</t>
  </si>
  <si>
    <t>Sacramento, CA</t>
  </si>
  <si>
    <t>Lori Banales</t>
  </si>
  <si>
    <t>Soft</t>
  </si>
  <si>
    <t>DDS</t>
  </si>
  <si>
    <t>Recycled Bonds</t>
  </si>
  <si>
    <t>Managing GP</t>
  </si>
  <si>
    <t>Administrative GP</t>
  </si>
  <si>
    <t>Daniel J. Johnson</t>
  </si>
  <si>
    <t>djohnson@danco-group.com</t>
  </si>
  <si>
    <t>September</t>
  </si>
  <si>
    <t>President</t>
  </si>
  <si>
    <t>DDS Funding</t>
  </si>
  <si>
    <t>Fixed</t>
  </si>
  <si>
    <t>CUAC</t>
  </si>
  <si>
    <t>California Utility Allowance Calculator</t>
  </si>
  <si>
    <t>Inspection Fees</t>
  </si>
  <si>
    <t>Borrower's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</si>
</sst>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44" fontId="17" fillId="0" borderId="0" xfId="8721" applyFont="1" applyAlignment="1">
      <alignment horizontal="center"/>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0" fontId="26" fillId="5" borderId="6" xfId="0" applyFont="1" applyFill="1" applyBorder="1" applyAlignment="1" applyProtection="1">
      <alignment horizontal="center"/>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11"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6" xfId="0" applyFill="1" applyBorder="1" applyAlignment="1" applyProtection="1">
      <alignment horizontal="center"/>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 xfId="0" applyFont="1" applyBorder="1" applyAlignment="1">
      <alignment horizontal="center"/>
    </xf>
    <xf numFmtId="0" fontId="24"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26"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26" fillId="5" borderId="4"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 fontId="26" fillId="5" borderId="11" xfId="0" quotePrefix="1" applyNumberFormat="1" applyFont="1" applyFill="1" applyBorder="1" applyAlignment="1" applyProtection="1">
      <alignment horizontal="center"/>
      <protection locked="0"/>
    </xf>
    <xf numFmtId="0" fontId="17"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3" fontId="26" fillId="0" borderId="11" xfId="0" applyNumberFormat="1" applyFont="1" applyBorder="1" applyAlignment="1">
      <alignment horizontal="center"/>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2"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0" fontId="26" fillId="0" borderId="11" xfId="0"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0" fillId="0" borderId="6" xfId="0" applyBorder="1" applyAlignment="1">
      <alignment horizontal="left"/>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0" fillId="0" borderId="6" xfId="0"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0" fontId="17" fillId="0" borderId="4" xfId="0" applyFont="1" applyBorder="1" applyAlignment="1">
      <alignment horizontal="left"/>
    </xf>
    <xf numFmtId="0" fontId="17" fillId="0" borderId="5" xfId="0" applyFont="1"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0" fontId="26" fillId="5" borderId="4" xfId="0" applyNumberFormat="1" applyFont="1" applyFill="1" applyBorder="1" applyAlignment="1" applyProtection="1">
      <alignment horizontal="right"/>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166" fontId="2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5" borderId="6" xfId="0" applyFill="1" applyBorder="1" applyProtection="1">
      <protection locked="0"/>
    </xf>
    <xf numFmtId="0" fontId="0" fillId="43" borderId="6" xfId="0" applyFill="1" applyBorder="1" applyAlignment="1" applyProtection="1">
      <alignment horizontal="center"/>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0" fontId="26" fillId="0" borderId="6" xfId="0" applyFont="1" applyBorder="1" applyAlignment="1">
      <alignment horizontal="left"/>
    </xf>
    <xf numFmtId="0" fontId="17" fillId="5" borderId="4" xfId="0" applyFon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24" fillId="0" borderId="9" xfId="0" applyFont="1" applyBorder="1" applyAlignment="1">
      <alignment horizontal="center"/>
    </xf>
    <xf numFmtId="0" fontId="36" fillId="5" borderId="6" xfId="0" applyFont="1" applyFill="1" applyBorder="1" applyAlignment="1" applyProtection="1">
      <alignment horizontal="left"/>
      <protection locked="0"/>
    </xf>
    <xf numFmtId="0" fontId="0" fillId="0" borderId="3" xfId="0" applyBorder="1" applyAlignment="1">
      <alignment horizontal="lef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4"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80" fontId="0" fillId="0" borderId="6" xfId="0" applyNumberFormat="1" applyBorder="1" applyAlignment="1">
      <alignment horizontal="center"/>
    </xf>
    <xf numFmtId="168" fontId="0" fillId="5" borderId="11" xfId="0" applyNumberFormat="1" applyFill="1" applyBorder="1" applyAlignment="1" applyProtection="1">
      <alignment horizontal="center"/>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2" fontId="17" fillId="0" borderId="0" xfId="543" applyNumberFormat="1" applyAlignment="1">
      <alignment horizontal="center"/>
    </xf>
    <xf numFmtId="0" fontId="17" fillId="0" borderId="0" xfId="543" applyAlignment="1">
      <alignment horizontal="center"/>
    </xf>
    <xf numFmtId="171" fontId="17" fillId="0" borderId="0" xfId="543" applyNumberFormat="1" applyAlignment="1">
      <alignment horizontal="center"/>
    </xf>
    <xf numFmtId="171" fontId="17" fillId="0" borderId="0" xfId="543" applyNumberFormat="1" applyAlignment="1">
      <alignment horizontal="right"/>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14" fontId="0" fillId="5" borderId="4"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172" fontId="24" fillId="0" borderId="11" xfId="0" applyNumberFormat="1" applyFont="1" applyBorder="1" applyAlignment="1">
      <alignment horizontal="center" vertical="center" wrapText="1"/>
    </xf>
    <xf numFmtId="0" fontId="26" fillId="5" borderId="4" xfId="0" applyFont="1" applyFill="1" applyBorder="1" applyAlignment="1" applyProtection="1">
      <alignment wrapText="1"/>
      <protection locked="0"/>
    </xf>
    <xf numFmtId="0" fontId="24" fillId="0" borderId="11" xfId="0" applyFont="1" applyBorder="1" applyAlignment="1">
      <alignment horizontal="center" vertic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0" fontId="24" fillId="0" borderId="11"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64" fontId="36"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17" fillId="43" borderId="11" xfId="0" applyFon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4" fillId="0" borderId="0" xfId="0" applyFont="1" applyAlignment="1">
      <alignment horizontal="center" vertical="center"/>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6" fillId="5" borderId="6" xfId="271" applyFill="1" applyBorder="1" applyProtection="1">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9" fontId="17" fillId="5" borderId="3" xfId="0" applyNumberFormat="1" applyFont="1" applyFill="1" applyBorder="1" applyAlignment="1" applyProtection="1">
      <alignment horizontal="right"/>
      <protection locked="0"/>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36" fillId="0" borderId="3" xfId="543" applyFont="1" applyBorder="1" applyAlignment="1">
      <alignment horizontal="center"/>
    </xf>
    <xf numFmtId="0" fontId="36" fillId="0" borderId="5" xfId="543" applyFont="1" applyBorder="1" applyAlignment="1">
      <alignment horizontal="center"/>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182" fontId="25" fillId="43" borderId="11" xfId="8721" applyNumberFormat="1" applyFont="1" applyFill="1" applyBorder="1" applyAlignment="1" applyProtection="1">
      <alignment horizontal="center" vertical="center" wrapText="1"/>
      <protection locked="0"/>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5" fillId="0" borderId="0" xfId="0" applyFont="1" applyAlignment="1">
      <alignment horizontal="center"/>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CD1EC658-C535-49D2-B125-00A73766C751}"/>
    <cellStyle name="20% - Accent1 11" xfId="8736" xr:uid="{8F4023DB-9393-4C86-9D8B-B9BF7092621E}"/>
    <cellStyle name="20% - Accent1 2" xfId="2" xr:uid="{00000000-0005-0000-0000-000002000000}"/>
    <cellStyle name="20% - Accent1 2 10" xfId="8737" xr:uid="{11BD6D84-3808-4D1A-BA59-4B7CE94EA0F5}"/>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0A5448A7-6E5C-472B-BA78-4E67C8839068}"/>
    <cellStyle name="20% - Accent1 2 2 2 2 2 3" xfId="11298" xr:uid="{7A0453FA-E68F-4A03-9F77-A0D7206CC1EF}"/>
    <cellStyle name="20% - Accent1 2 2 2 2 3" xfId="4921" xr:uid="{00000000-0005-0000-0000-000008000000}"/>
    <cellStyle name="20% - Accent1 2 2 2 2 3 2" xfId="13371" xr:uid="{CFC252B6-AC20-46BC-87E7-1325E997812A}"/>
    <cellStyle name="20% - Accent1 2 2 2 2 4" xfId="9153" xr:uid="{8F2DB8E9-F48A-4480-B9F3-F4A8CFB7E3E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1EFB0D57-BA5B-491A-BC24-D59509DFA2B3}"/>
    <cellStyle name="20% - Accent1 2 2 2 3 2 3" xfId="11711" xr:uid="{A5795096-E8BC-4DC0-91F8-97B885DCACED}"/>
    <cellStyle name="20% - Accent1 2 2 2 3 3" xfId="5334" xr:uid="{00000000-0005-0000-0000-00000C000000}"/>
    <cellStyle name="20% - Accent1 2 2 2 3 3 2" xfId="13784" xr:uid="{0EBBCF5F-A5F8-4E28-8C36-28861264927D}"/>
    <cellStyle name="20% - Accent1 2 2 2 3 4" xfId="9566" xr:uid="{CAC3A809-772E-421A-ADF3-A94E2AD5DB82}"/>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C72035C4-4425-4FEB-BE19-8528F2D21AAD}"/>
    <cellStyle name="20% - Accent1 2 2 2 4 2 3" xfId="12124" xr:uid="{A3464DE5-3970-4A62-AE63-C190150C6473}"/>
    <cellStyle name="20% - Accent1 2 2 2 4 3" xfId="5747" xr:uid="{00000000-0005-0000-0000-000010000000}"/>
    <cellStyle name="20% - Accent1 2 2 2 4 3 2" xfId="14197" xr:uid="{3BC4F7FB-52B7-43E3-9B6E-219D9C7029BB}"/>
    <cellStyle name="20% - Accent1 2 2 2 4 4" xfId="9979" xr:uid="{A94C62EC-0DCC-4E64-95D0-6D04037703B4}"/>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B08710A8-6A67-442D-9182-54E0A244241D}"/>
    <cellStyle name="20% - Accent1 2 2 2 5 2 3" xfId="12537" xr:uid="{65A2A908-43E1-4949-A5B9-A40C7F04B583}"/>
    <cellStyle name="20% - Accent1 2 2 2 5 3" xfId="6160" xr:uid="{00000000-0005-0000-0000-000014000000}"/>
    <cellStyle name="20% - Accent1 2 2 2 5 3 2" xfId="14610" xr:uid="{96A43637-DBC7-4A7B-919A-998308E9D9A5}"/>
    <cellStyle name="20% - Accent1 2 2 2 5 4" xfId="10392" xr:uid="{58E13D25-B264-496E-AB25-AE56BDC50E55}"/>
    <cellStyle name="20% - Accent1 2 2 2 6" xfId="2267" xr:uid="{00000000-0005-0000-0000-000015000000}"/>
    <cellStyle name="20% - Accent1 2 2 2 6 2" xfId="6573" xr:uid="{00000000-0005-0000-0000-000016000000}"/>
    <cellStyle name="20% - Accent1 2 2 2 6 2 2" xfId="15023" xr:uid="{02A49754-6982-42A0-B099-FB8DFF5D32C0}"/>
    <cellStyle name="20% - Accent1 2 2 2 6 3" xfId="10805" xr:uid="{3222D534-F4B0-4E6E-9AA3-69BC1D6DF160}"/>
    <cellStyle name="20% - Accent1 2 2 2 7" xfId="4507" xr:uid="{00000000-0005-0000-0000-000017000000}"/>
    <cellStyle name="20% - Accent1 2 2 2 7 2" xfId="12957" xr:uid="{302AFA4D-3C2C-49E5-8DB6-55B05939B39B}"/>
    <cellStyle name="20% - Accent1 2 2 2 8" xfId="8739" xr:uid="{1C7BC83B-2609-491E-AE1E-4210229BE873}"/>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F77160DB-3FFC-4EA3-A0DD-FD27B1D2EC5E}"/>
    <cellStyle name="20% - Accent1 2 2 3 2 3" xfId="11297" xr:uid="{0D3309A2-52C0-42FC-B151-C9C51EF1B99B}"/>
    <cellStyle name="20% - Accent1 2 2 3 3" xfId="4920" xr:uid="{00000000-0005-0000-0000-00001B000000}"/>
    <cellStyle name="20% - Accent1 2 2 3 3 2" xfId="13370" xr:uid="{AC6200FF-B539-4BF7-811D-5D1502D93D2F}"/>
    <cellStyle name="20% - Accent1 2 2 3 4" xfId="9152" xr:uid="{12439A3C-F9ED-4913-B4C2-44D8BE887D1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9EDC4B2F-1E1B-422E-BF16-68E0D6AE02E0}"/>
    <cellStyle name="20% - Accent1 2 2 4 2 3" xfId="11710" xr:uid="{80403ADD-C842-4E22-AFE9-B9477FB75974}"/>
    <cellStyle name="20% - Accent1 2 2 4 3" xfId="5333" xr:uid="{00000000-0005-0000-0000-00001F000000}"/>
    <cellStyle name="20% - Accent1 2 2 4 3 2" xfId="13783" xr:uid="{206F1C5B-8E2C-4D9F-BDD3-89DB441C55FC}"/>
    <cellStyle name="20% - Accent1 2 2 4 4" xfId="9565" xr:uid="{03B437EF-9F21-406E-A5C9-DA0CED200B4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A7D5D3E8-E0AF-407C-BD28-898900D1E596}"/>
    <cellStyle name="20% - Accent1 2 2 5 2 3" xfId="12123" xr:uid="{67D0AFB0-3D20-45BA-9F76-431727BC72C3}"/>
    <cellStyle name="20% - Accent1 2 2 5 3" xfId="5746" xr:uid="{00000000-0005-0000-0000-000023000000}"/>
    <cellStyle name="20% - Accent1 2 2 5 3 2" xfId="14196" xr:uid="{ABD6EC20-B6B0-4227-8EF0-270AEBA94E26}"/>
    <cellStyle name="20% - Accent1 2 2 5 4" xfId="9978" xr:uid="{E3BC88D3-A917-43C9-AC98-C2E973CB1875}"/>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A422C6C8-C51F-4167-B947-3310DD015C04}"/>
    <cellStyle name="20% - Accent1 2 2 6 2 3" xfId="12536" xr:uid="{05614E17-7F34-4A73-B087-F4E772631E6D}"/>
    <cellStyle name="20% - Accent1 2 2 6 3" xfId="6159" xr:uid="{00000000-0005-0000-0000-000027000000}"/>
    <cellStyle name="20% - Accent1 2 2 6 3 2" xfId="14609" xr:uid="{A549F516-60F0-4D13-8BA2-44CD31752304}"/>
    <cellStyle name="20% - Accent1 2 2 6 4" xfId="10391" xr:uid="{6B20309D-0206-4AD8-8220-575473637974}"/>
    <cellStyle name="20% - Accent1 2 2 7" xfId="2266" xr:uid="{00000000-0005-0000-0000-000028000000}"/>
    <cellStyle name="20% - Accent1 2 2 7 2" xfId="6572" xr:uid="{00000000-0005-0000-0000-000029000000}"/>
    <cellStyle name="20% - Accent1 2 2 7 2 2" xfId="15022" xr:uid="{688D1653-B59B-4700-9BE0-9A41C39335B9}"/>
    <cellStyle name="20% - Accent1 2 2 7 3" xfId="10804" xr:uid="{01B0CB56-5468-44D5-B435-CE700F027738}"/>
    <cellStyle name="20% - Accent1 2 2 8" xfId="4506" xr:uid="{00000000-0005-0000-0000-00002A000000}"/>
    <cellStyle name="20% - Accent1 2 2 8 2" xfId="12956" xr:uid="{15550357-431B-4507-BBFD-C5CF04F09777}"/>
    <cellStyle name="20% - Accent1 2 2 9" xfId="8738" xr:uid="{E94A0265-6E1F-44BC-8434-8B80624A804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7ED26330-9DA8-4305-A9CD-DACF60B0C14E}"/>
    <cellStyle name="20% - Accent1 2 3 2 2 3" xfId="11299" xr:uid="{31C3C82A-275A-4D0B-BD47-D5C9F7F33D65}"/>
    <cellStyle name="20% - Accent1 2 3 2 3" xfId="4922" xr:uid="{00000000-0005-0000-0000-00002F000000}"/>
    <cellStyle name="20% - Accent1 2 3 2 3 2" xfId="13372" xr:uid="{83C14415-A3C7-48A3-970F-85A49C2F7823}"/>
    <cellStyle name="20% - Accent1 2 3 2 4" xfId="9154" xr:uid="{2B3C3D8F-FB30-4189-A476-1255F589C7CD}"/>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C7B861CA-2C7A-4DC9-A449-D5C6FFFFD8B1}"/>
    <cellStyle name="20% - Accent1 2 3 3 2 3" xfId="11712" xr:uid="{EE19D0BA-DE89-473E-9C58-40061E0CB8AB}"/>
    <cellStyle name="20% - Accent1 2 3 3 3" xfId="5335" xr:uid="{00000000-0005-0000-0000-000033000000}"/>
    <cellStyle name="20% - Accent1 2 3 3 3 2" xfId="13785" xr:uid="{DD5BE770-3B73-462E-AB42-2BD472202192}"/>
    <cellStyle name="20% - Accent1 2 3 3 4" xfId="9567" xr:uid="{D093FCC9-3036-4697-8413-952A2DEFE7E1}"/>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CFCC3B98-7203-408A-A456-79A439B25D22}"/>
    <cellStyle name="20% - Accent1 2 3 4 2 3" xfId="12125" xr:uid="{ED217B7D-A8F2-4935-BF1E-9F4A052B073B}"/>
    <cellStyle name="20% - Accent1 2 3 4 3" xfId="5748" xr:uid="{00000000-0005-0000-0000-000037000000}"/>
    <cellStyle name="20% - Accent1 2 3 4 3 2" xfId="14198" xr:uid="{5AA05E39-068F-4379-8C5E-F24471CEAD58}"/>
    <cellStyle name="20% - Accent1 2 3 4 4" xfId="9980" xr:uid="{FDF4D043-1C90-47C1-AD0C-C87413FAF36A}"/>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444D2CB1-A1F7-4B43-B133-429D8CDC3209}"/>
    <cellStyle name="20% - Accent1 2 3 5 2 3" xfId="12538" xr:uid="{B1D62AB4-D8CE-4175-B4AD-26A02C42F174}"/>
    <cellStyle name="20% - Accent1 2 3 5 3" xfId="6161" xr:uid="{00000000-0005-0000-0000-00003B000000}"/>
    <cellStyle name="20% - Accent1 2 3 5 3 2" xfId="14611" xr:uid="{B4508195-DF12-4F7B-8763-0AB16E99998F}"/>
    <cellStyle name="20% - Accent1 2 3 5 4" xfId="10393" xr:uid="{9033A5BD-BD94-451D-B73E-E54DB676241C}"/>
    <cellStyle name="20% - Accent1 2 3 6" xfId="2268" xr:uid="{00000000-0005-0000-0000-00003C000000}"/>
    <cellStyle name="20% - Accent1 2 3 6 2" xfId="6574" xr:uid="{00000000-0005-0000-0000-00003D000000}"/>
    <cellStyle name="20% - Accent1 2 3 6 2 2" xfId="15024" xr:uid="{10E14857-C36F-4489-ADE2-F3D032FE21D6}"/>
    <cellStyle name="20% - Accent1 2 3 6 3" xfId="10806" xr:uid="{041FECB8-134C-4186-8FEC-B8ED1848605C}"/>
    <cellStyle name="20% - Accent1 2 3 7" xfId="4508" xr:uid="{00000000-0005-0000-0000-00003E000000}"/>
    <cellStyle name="20% - Accent1 2 3 7 2" xfId="12958" xr:uid="{A7250600-66FD-48AE-9D28-1A4A592FD56D}"/>
    <cellStyle name="20% - Accent1 2 3 8" xfId="8740" xr:uid="{30F392BB-70BB-4273-93D3-7EBE982078F1}"/>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EA0D6B2E-2543-41CA-AA28-D50F3E41EA47}"/>
    <cellStyle name="20% - Accent1 2 4 2 3" xfId="11296" xr:uid="{33CAAADB-0C9B-4A33-8A41-6574F3834AA3}"/>
    <cellStyle name="20% - Accent1 2 4 3" xfId="4919" xr:uid="{00000000-0005-0000-0000-000042000000}"/>
    <cellStyle name="20% - Accent1 2 4 3 2" xfId="13369" xr:uid="{1C667A55-B89D-4C3E-9B65-7041D19F17E0}"/>
    <cellStyle name="20% - Accent1 2 4 4" xfId="9151" xr:uid="{DE96339D-3D31-4002-8323-00CDBE9DD158}"/>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7D75DA6A-8E5C-4B00-8186-E90464DF671D}"/>
    <cellStyle name="20% - Accent1 2 5 2 3" xfId="11709" xr:uid="{FEB8A101-26AF-4CB5-8758-B6C735C443FA}"/>
    <cellStyle name="20% - Accent1 2 5 3" xfId="5332" xr:uid="{00000000-0005-0000-0000-000046000000}"/>
    <cellStyle name="20% - Accent1 2 5 3 2" xfId="13782" xr:uid="{9289DBB8-0C88-4401-834B-9FA40170A425}"/>
    <cellStyle name="20% - Accent1 2 5 4" xfId="9564" xr:uid="{ACEDE88B-9AF9-48E4-94AA-7E3E9FC8A97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C6FEF8C8-071E-4EC6-BF65-D0DEDE504E2C}"/>
    <cellStyle name="20% - Accent1 2 6 2 3" xfId="12122" xr:uid="{D522D4FD-601F-460D-AE10-6342DF49A1B1}"/>
    <cellStyle name="20% - Accent1 2 6 3" xfId="5745" xr:uid="{00000000-0005-0000-0000-00004A000000}"/>
    <cellStyle name="20% - Accent1 2 6 3 2" xfId="14195" xr:uid="{29760115-F2B8-4A5C-98FF-64B37DC3B9EB}"/>
    <cellStyle name="20% - Accent1 2 6 4" xfId="9977" xr:uid="{167A1EED-0D95-420E-B4DE-A46337339CA9}"/>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85CF10E9-8B9F-419D-A663-6BB8EA19A6D9}"/>
    <cellStyle name="20% - Accent1 2 7 2 3" xfId="12535" xr:uid="{69742D9A-C22E-4E87-8533-5C18BB3A2630}"/>
    <cellStyle name="20% - Accent1 2 7 3" xfId="6158" xr:uid="{00000000-0005-0000-0000-00004E000000}"/>
    <cellStyle name="20% - Accent1 2 7 3 2" xfId="14608" xr:uid="{B05A8E2A-F4CB-4C39-BDA9-6E5B279A3F7B}"/>
    <cellStyle name="20% - Accent1 2 7 4" xfId="10390" xr:uid="{9047C553-9630-4622-83F9-CB5AEBBA3F85}"/>
    <cellStyle name="20% - Accent1 2 8" xfId="2265" xr:uid="{00000000-0005-0000-0000-00004F000000}"/>
    <cellStyle name="20% - Accent1 2 8 2" xfId="6571" xr:uid="{00000000-0005-0000-0000-000050000000}"/>
    <cellStyle name="20% - Accent1 2 8 2 2" xfId="15021" xr:uid="{9674A5AD-B75D-4910-BE42-7838A71B6851}"/>
    <cellStyle name="20% - Accent1 2 8 3" xfId="10803" xr:uid="{DF394493-1BF6-418E-B028-6DA8F51AA31A}"/>
    <cellStyle name="20% - Accent1 2 9" xfId="4505" xr:uid="{00000000-0005-0000-0000-000051000000}"/>
    <cellStyle name="20% - Accent1 2 9 2" xfId="12955" xr:uid="{4D9FBE56-CAF8-4B65-855F-04A6E0AC072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5AFCD717-4D3A-424E-A9B3-47149874F3BC}"/>
    <cellStyle name="20% - Accent1 3 2 2 2 3" xfId="11301" xr:uid="{5F01D205-73DB-487B-9860-80D917B83CF6}"/>
    <cellStyle name="20% - Accent1 3 2 2 3" xfId="4924" xr:uid="{00000000-0005-0000-0000-000057000000}"/>
    <cellStyle name="20% - Accent1 3 2 2 3 2" xfId="13374" xr:uid="{F258C73E-6A2B-4C26-B066-A6CF6F7E4121}"/>
    <cellStyle name="20% - Accent1 3 2 2 4" xfId="9156" xr:uid="{2A145C35-1B78-479C-AFF1-12228B43552C}"/>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ACE3EAC6-47B4-4619-89BF-50E631250C57}"/>
    <cellStyle name="20% - Accent1 3 2 3 2 3" xfId="11714" xr:uid="{F320462D-35CB-4213-A70F-0EBE5AA76033}"/>
    <cellStyle name="20% - Accent1 3 2 3 3" xfId="5337" xr:uid="{00000000-0005-0000-0000-00005B000000}"/>
    <cellStyle name="20% - Accent1 3 2 3 3 2" xfId="13787" xr:uid="{28B1D828-E24B-4346-9497-664530248750}"/>
    <cellStyle name="20% - Accent1 3 2 3 4" xfId="9569" xr:uid="{351CC6FB-4BF4-4D3A-B5A4-8B97BDB6D0B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CA8B591B-99D0-496B-B3FD-45FC30CE248F}"/>
    <cellStyle name="20% - Accent1 3 2 4 2 3" xfId="12127" xr:uid="{43A73597-65F6-4EBD-9CBE-7ECA05AAC90D}"/>
    <cellStyle name="20% - Accent1 3 2 4 3" xfId="5750" xr:uid="{00000000-0005-0000-0000-00005F000000}"/>
    <cellStyle name="20% - Accent1 3 2 4 3 2" xfId="14200" xr:uid="{226DED7D-6923-4D70-8799-B12EC24B88AA}"/>
    <cellStyle name="20% - Accent1 3 2 4 4" xfId="9982" xr:uid="{CE6B4945-322A-4EEB-9A5E-B49A53BDE9E9}"/>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73FD3D50-4600-41C4-B597-D6E955B2D147}"/>
    <cellStyle name="20% - Accent1 3 2 5 2 3" xfId="12540" xr:uid="{E3D9307C-2440-47EB-834E-C39BF82C5675}"/>
    <cellStyle name="20% - Accent1 3 2 5 3" xfId="6163" xr:uid="{00000000-0005-0000-0000-000063000000}"/>
    <cellStyle name="20% - Accent1 3 2 5 3 2" xfId="14613" xr:uid="{21DC560D-E3E9-492D-A84A-C6616885C6D7}"/>
    <cellStyle name="20% - Accent1 3 2 5 4" xfId="10395" xr:uid="{92FEEA51-8E6D-48BD-A8D3-D96B294BC33D}"/>
    <cellStyle name="20% - Accent1 3 2 6" xfId="2270" xr:uid="{00000000-0005-0000-0000-000064000000}"/>
    <cellStyle name="20% - Accent1 3 2 6 2" xfId="6576" xr:uid="{00000000-0005-0000-0000-000065000000}"/>
    <cellStyle name="20% - Accent1 3 2 6 2 2" xfId="15026" xr:uid="{B342322E-5A1F-4969-BCE4-A59E297AE35C}"/>
    <cellStyle name="20% - Accent1 3 2 6 3" xfId="10808" xr:uid="{FB20992E-6756-46AC-BACA-CF436F47B57B}"/>
    <cellStyle name="20% - Accent1 3 2 7" xfId="4510" xr:uid="{00000000-0005-0000-0000-000066000000}"/>
    <cellStyle name="20% - Accent1 3 2 7 2" xfId="12960" xr:uid="{7B6A0E07-ED98-4CCD-BB49-3DFE17377B1C}"/>
    <cellStyle name="20% - Accent1 3 2 8" xfId="8742" xr:uid="{1F63046B-9A4A-422D-8213-62C41589612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450AF1AC-3D92-450F-BFB4-63BC2FD4EBCE}"/>
    <cellStyle name="20% - Accent1 3 3 2 3" xfId="11300" xr:uid="{E5FBA1C8-F6DA-45CF-A73E-C0E65541367F}"/>
    <cellStyle name="20% - Accent1 3 3 3" xfId="4923" xr:uid="{00000000-0005-0000-0000-00006A000000}"/>
    <cellStyle name="20% - Accent1 3 3 3 2" xfId="13373" xr:uid="{D3F01AFC-173F-428F-B320-06186E191104}"/>
    <cellStyle name="20% - Accent1 3 3 4" xfId="9155" xr:uid="{0E3BF264-15DD-49AF-B97C-D7A8D3F1F1C8}"/>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19448E72-1F5A-4BB1-836F-519A7E326D67}"/>
    <cellStyle name="20% - Accent1 3 4 2 3" xfId="11713" xr:uid="{DC4E2C39-EB69-40B2-8789-654EAADAC838}"/>
    <cellStyle name="20% - Accent1 3 4 3" xfId="5336" xr:uid="{00000000-0005-0000-0000-00006E000000}"/>
    <cellStyle name="20% - Accent1 3 4 3 2" xfId="13786" xr:uid="{7FE9BD27-8E3A-4C86-B5D5-14201AA0EFFF}"/>
    <cellStyle name="20% - Accent1 3 4 4" xfId="9568" xr:uid="{2BAB543E-1434-42C4-9F5F-72BA4A2DDED4}"/>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3D05F003-2371-4276-9082-DB4128B883C5}"/>
    <cellStyle name="20% - Accent1 3 5 2 3" xfId="12126" xr:uid="{83750667-2AA6-4E9C-B4A7-1ED173F19F3B}"/>
    <cellStyle name="20% - Accent1 3 5 3" xfId="5749" xr:uid="{00000000-0005-0000-0000-000072000000}"/>
    <cellStyle name="20% - Accent1 3 5 3 2" xfId="14199" xr:uid="{95AC4C66-6A3E-4233-9F13-F5C0C297B595}"/>
    <cellStyle name="20% - Accent1 3 5 4" xfId="9981" xr:uid="{6E1EC2BD-FBB6-4D6E-9433-835C96453D63}"/>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2D82C2E5-2561-4067-8CD6-C092F5282FEF}"/>
    <cellStyle name="20% - Accent1 3 6 2 3" xfId="12539" xr:uid="{FB02E153-4028-416A-B008-CAE8D75C2530}"/>
    <cellStyle name="20% - Accent1 3 6 3" xfId="6162" xr:uid="{00000000-0005-0000-0000-000076000000}"/>
    <cellStyle name="20% - Accent1 3 6 3 2" xfId="14612" xr:uid="{B4E4A512-A6DF-4965-9514-2F1F93AB25BB}"/>
    <cellStyle name="20% - Accent1 3 6 4" xfId="10394" xr:uid="{AE5C1E2C-1490-4A98-94FB-42EE5DF36B3E}"/>
    <cellStyle name="20% - Accent1 3 7" xfId="2269" xr:uid="{00000000-0005-0000-0000-000077000000}"/>
    <cellStyle name="20% - Accent1 3 7 2" xfId="6575" xr:uid="{00000000-0005-0000-0000-000078000000}"/>
    <cellStyle name="20% - Accent1 3 7 2 2" xfId="15025" xr:uid="{1F7DBD34-744E-476D-8DF1-BA7299635A35}"/>
    <cellStyle name="20% - Accent1 3 7 3" xfId="10807" xr:uid="{4D61B90B-9067-440C-A493-1204DB44C7FA}"/>
    <cellStyle name="20% - Accent1 3 8" xfId="4509" xr:uid="{00000000-0005-0000-0000-000079000000}"/>
    <cellStyle name="20% - Accent1 3 8 2" xfId="12959" xr:uid="{31E86CFD-F070-44F4-A6E3-61D121087A37}"/>
    <cellStyle name="20% - Accent1 3 9" xfId="8741" xr:uid="{F7534746-7976-4317-8039-6660C5C5D571}"/>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95DFF2B2-7D37-437B-9C14-A124F7BD41C7}"/>
    <cellStyle name="20% - Accent1 4 2 2 3" xfId="11302" xr:uid="{7FB0EFCE-7532-4C69-AE83-0A8047B04692}"/>
    <cellStyle name="20% - Accent1 4 2 3" xfId="4925" xr:uid="{00000000-0005-0000-0000-00007E000000}"/>
    <cellStyle name="20% - Accent1 4 2 3 2" xfId="13375" xr:uid="{117D68B3-5432-4982-AF66-126E11E01073}"/>
    <cellStyle name="20% - Accent1 4 2 4" xfId="9157" xr:uid="{E4C2ABEB-D87C-4F1F-BBDA-C81A63D39DC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F72595C5-1B6B-4E58-91BF-D2D3D3EA9EDC}"/>
    <cellStyle name="20% - Accent1 4 3 2 3" xfId="11715" xr:uid="{AE0B9B97-A7B0-486F-9C10-B74EBCAB6F0E}"/>
    <cellStyle name="20% - Accent1 4 3 3" xfId="5338" xr:uid="{00000000-0005-0000-0000-000082000000}"/>
    <cellStyle name="20% - Accent1 4 3 3 2" xfId="13788" xr:uid="{5D3D5B31-23B1-4C9A-84DF-63D74C8814E9}"/>
    <cellStyle name="20% - Accent1 4 3 4" xfId="9570" xr:uid="{9127F396-0EDE-4A32-98C2-9BF1440CE630}"/>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CB8023ED-5A6F-44EC-8F55-79D0E19DC3F9}"/>
    <cellStyle name="20% - Accent1 4 4 2 3" xfId="12128" xr:uid="{334D38A6-9BBE-4A7D-9A3E-EEAB4B26C965}"/>
    <cellStyle name="20% - Accent1 4 4 3" xfId="5751" xr:uid="{00000000-0005-0000-0000-000086000000}"/>
    <cellStyle name="20% - Accent1 4 4 3 2" xfId="14201" xr:uid="{908AB3C1-C581-4462-8064-7A64E07759F7}"/>
    <cellStyle name="20% - Accent1 4 4 4" xfId="9983" xr:uid="{357846B2-BEF3-4A04-8D05-5FA679FF0533}"/>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91056026-EDFF-4FA6-B1C5-92B0D05AF1CB}"/>
    <cellStyle name="20% - Accent1 4 5 2 3" xfId="12541" xr:uid="{CF23EAB7-306F-4E63-A0F1-C91B97E1EA70}"/>
    <cellStyle name="20% - Accent1 4 5 3" xfId="6164" xr:uid="{00000000-0005-0000-0000-00008A000000}"/>
    <cellStyle name="20% - Accent1 4 5 3 2" xfId="14614" xr:uid="{5C26CD71-AC90-4763-915F-91DCAC8AA665}"/>
    <cellStyle name="20% - Accent1 4 5 4" xfId="10396" xr:uid="{BC11B929-EE50-4F67-9970-5ED458841B2B}"/>
    <cellStyle name="20% - Accent1 4 6" xfId="2271" xr:uid="{00000000-0005-0000-0000-00008B000000}"/>
    <cellStyle name="20% - Accent1 4 6 2" xfId="6577" xr:uid="{00000000-0005-0000-0000-00008C000000}"/>
    <cellStyle name="20% - Accent1 4 6 2 2" xfId="15027" xr:uid="{BDDDB1DF-0EE6-4991-85C5-DA5340DE5D50}"/>
    <cellStyle name="20% - Accent1 4 6 3" xfId="10809" xr:uid="{F1DBE3DE-5331-48A3-ADF9-CFED6714A034}"/>
    <cellStyle name="20% - Accent1 4 7" xfId="4511" xr:uid="{00000000-0005-0000-0000-00008D000000}"/>
    <cellStyle name="20% - Accent1 4 7 2" xfId="12961" xr:uid="{BFABF4E7-AD1D-47F1-AC1D-EF127B96D446}"/>
    <cellStyle name="20% - Accent1 4 8" xfId="8743" xr:uid="{F0DF3D48-1982-4512-9761-D2DD5BF2E072}"/>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C4B97087-66F4-48B4-8D4C-A9257716CBA4}"/>
    <cellStyle name="20% - Accent1 5 2 3" xfId="11295" xr:uid="{5E6E3A1D-8FAB-49EB-B8B1-48203098A64F}"/>
    <cellStyle name="20% - Accent1 5 3" xfId="4918" xr:uid="{00000000-0005-0000-0000-000091000000}"/>
    <cellStyle name="20% - Accent1 5 3 2" xfId="13368" xr:uid="{4D3DE3EA-72CC-4438-8A73-305D1569BFFD}"/>
    <cellStyle name="20% - Accent1 5 4" xfId="9150" xr:uid="{752FA9FD-0D2F-4553-AA40-7E931036E15E}"/>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CC671460-A30D-4BD2-895E-E84C78017C62}"/>
    <cellStyle name="20% - Accent1 6 2 3" xfId="11708" xr:uid="{3C8D0DA5-F09E-44AB-B701-FFF63DA0B537}"/>
    <cellStyle name="20% - Accent1 6 3" xfId="5331" xr:uid="{00000000-0005-0000-0000-000095000000}"/>
    <cellStyle name="20% - Accent1 6 3 2" xfId="13781" xr:uid="{D3CD5CDF-E903-4C2C-8DDC-15A310A2A73E}"/>
    <cellStyle name="20% - Accent1 6 4" xfId="9563" xr:uid="{603AEE7F-39B2-48B5-934B-EBAE9897683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862C34C9-290B-4231-B869-8F31AF02FB8C}"/>
    <cellStyle name="20% - Accent1 7 2 3" xfId="12121" xr:uid="{5E576713-9E55-47C9-AADB-85AAEFEDB3FA}"/>
    <cellStyle name="20% - Accent1 7 3" xfId="5744" xr:uid="{00000000-0005-0000-0000-000099000000}"/>
    <cellStyle name="20% - Accent1 7 3 2" xfId="14194" xr:uid="{35F8A76F-ECB6-4C33-A205-D3A79F0E40B9}"/>
    <cellStyle name="20% - Accent1 7 4" xfId="9976" xr:uid="{8697BF76-56CB-4F0F-8133-770A07F6EC3B}"/>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DEA7722A-29AE-4FC5-A859-A1D7771151E9}"/>
    <cellStyle name="20% - Accent1 8 2 3" xfId="12534" xr:uid="{560C225B-E343-421B-87D3-79FF3316C9AA}"/>
    <cellStyle name="20% - Accent1 8 3" xfId="6157" xr:uid="{00000000-0005-0000-0000-00009D000000}"/>
    <cellStyle name="20% - Accent1 8 3 2" xfId="14607" xr:uid="{E99352A2-888D-4F79-82BE-04EE2AEC3C52}"/>
    <cellStyle name="20% - Accent1 8 4" xfId="10389" xr:uid="{0CEEDE48-8F74-4A06-9629-93F4104A6C35}"/>
    <cellStyle name="20% - Accent1 9" xfId="2264" xr:uid="{00000000-0005-0000-0000-00009E000000}"/>
    <cellStyle name="20% - Accent1 9 2" xfId="6570" xr:uid="{00000000-0005-0000-0000-00009F000000}"/>
    <cellStyle name="20% - Accent1 9 2 2" xfId="15020" xr:uid="{E47F52E2-8BFA-4E4F-A122-AB31A535F78C}"/>
    <cellStyle name="20% - Accent1 9 3" xfId="10802" xr:uid="{8140D6B4-C4C7-4F73-8CCA-C786BD840483}"/>
    <cellStyle name="20% - Accent2" xfId="9" builtinId="34" customBuiltin="1"/>
    <cellStyle name="20% - Accent2 10" xfId="4512" xr:uid="{00000000-0005-0000-0000-0000A1000000}"/>
    <cellStyle name="20% - Accent2 10 2" xfId="12962" xr:uid="{69570B79-6529-448A-912F-D17EE839A254}"/>
    <cellStyle name="20% - Accent2 11" xfId="8744" xr:uid="{C8251EE8-036F-418C-8FED-E7AD74217473}"/>
    <cellStyle name="20% - Accent2 2" xfId="10" xr:uid="{00000000-0005-0000-0000-0000A2000000}"/>
    <cellStyle name="20% - Accent2 2 10" xfId="8745" xr:uid="{CA6F3DF7-9C0D-4B5E-BD9C-9986325434B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334BB4FE-9ED6-4376-98D4-2CA53BE76AA3}"/>
    <cellStyle name="20% - Accent2 2 2 2 2 2 3" xfId="11306" xr:uid="{D96D0342-E823-4A02-9020-798916C7F4CD}"/>
    <cellStyle name="20% - Accent2 2 2 2 2 3" xfId="4929" xr:uid="{00000000-0005-0000-0000-0000A8000000}"/>
    <cellStyle name="20% - Accent2 2 2 2 2 3 2" xfId="13379" xr:uid="{CC2CEBDE-5CDC-4D29-963D-880F77B0B427}"/>
    <cellStyle name="20% - Accent2 2 2 2 2 4" xfId="9161" xr:uid="{337A9CC5-34EC-47E0-B6AE-5CBCEF734E8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627767F4-E551-4104-90CC-BA4048F816A6}"/>
    <cellStyle name="20% - Accent2 2 2 2 3 2 3" xfId="11719" xr:uid="{361DB38A-4261-4662-ADBC-0EC23785F7BF}"/>
    <cellStyle name="20% - Accent2 2 2 2 3 3" xfId="5342" xr:uid="{00000000-0005-0000-0000-0000AC000000}"/>
    <cellStyle name="20% - Accent2 2 2 2 3 3 2" xfId="13792" xr:uid="{7E469BED-BA68-4F48-8D68-3181CC7DBD6A}"/>
    <cellStyle name="20% - Accent2 2 2 2 3 4" xfId="9574" xr:uid="{D152DAD3-4B04-4DFB-9F54-99C9F09EB695}"/>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94DEAFCF-5F5D-4BBE-AB69-3124D8251757}"/>
    <cellStyle name="20% - Accent2 2 2 2 4 2 3" xfId="12132" xr:uid="{62E783AB-C1C9-4424-B73E-A665F38F0552}"/>
    <cellStyle name="20% - Accent2 2 2 2 4 3" xfId="5755" xr:uid="{00000000-0005-0000-0000-0000B0000000}"/>
    <cellStyle name="20% - Accent2 2 2 2 4 3 2" xfId="14205" xr:uid="{FB9C75E9-4EA6-4130-8366-421E59EE53C6}"/>
    <cellStyle name="20% - Accent2 2 2 2 4 4" xfId="9987" xr:uid="{4F86F824-CF5D-4B64-9058-EA917C975461}"/>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BA76EA49-667A-4F95-8C9E-A742244D957C}"/>
    <cellStyle name="20% - Accent2 2 2 2 5 2 3" xfId="12545" xr:uid="{77FF8E2B-EE21-410E-AC67-CACF893FCDA2}"/>
    <cellStyle name="20% - Accent2 2 2 2 5 3" xfId="6168" xr:uid="{00000000-0005-0000-0000-0000B4000000}"/>
    <cellStyle name="20% - Accent2 2 2 2 5 3 2" xfId="14618" xr:uid="{CD244357-D936-47E0-A78A-C22EBAB9B7F4}"/>
    <cellStyle name="20% - Accent2 2 2 2 5 4" xfId="10400" xr:uid="{C0A6F450-57F8-47AC-B48D-5DD835BB2ADF}"/>
    <cellStyle name="20% - Accent2 2 2 2 6" xfId="2275" xr:uid="{00000000-0005-0000-0000-0000B5000000}"/>
    <cellStyle name="20% - Accent2 2 2 2 6 2" xfId="6581" xr:uid="{00000000-0005-0000-0000-0000B6000000}"/>
    <cellStyle name="20% - Accent2 2 2 2 6 2 2" xfId="15031" xr:uid="{1380F04B-3912-4653-BE3E-8F24E20A8F18}"/>
    <cellStyle name="20% - Accent2 2 2 2 6 3" xfId="10813" xr:uid="{D7B22F64-0D1F-49A6-B175-A0253D4E71D4}"/>
    <cellStyle name="20% - Accent2 2 2 2 7" xfId="4515" xr:uid="{00000000-0005-0000-0000-0000B7000000}"/>
    <cellStyle name="20% - Accent2 2 2 2 7 2" xfId="12965" xr:uid="{0AEEF134-4169-4532-A370-17DF7ED77232}"/>
    <cellStyle name="20% - Accent2 2 2 2 8" xfId="8747" xr:uid="{386F7D74-EA55-47BF-8154-E5C46562EF41}"/>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388D9573-E50D-4746-B875-DADA6BD2CCD1}"/>
    <cellStyle name="20% - Accent2 2 2 3 2 3" xfId="11305" xr:uid="{6A816207-BF4C-4031-8B7A-265130660233}"/>
    <cellStyle name="20% - Accent2 2 2 3 3" xfId="4928" xr:uid="{00000000-0005-0000-0000-0000BB000000}"/>
    <cellStyle name="20% - Accent2 2 2 3 3 2" xfId="13378" xr:uid="{3A502860-EB5E-4C47-ADB7-4A4D1976AEE4}"/>
    <cellStyle name="20% - Accent2 2 2 3 4" xfId="9160" xr:uid="{317FADF2-09DA-4D1C-9B34-C699EF55E474}"/>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D3981FF8-F568-49D6-A4A6-2EB254F15CED}"/>
    <cellStyle name="20% - Accent2 2 2 4 2 3" xfId="11718" xr:uid="{BD961B1A-40AC-456C-8A41-3CC449A43F8D}"/>
    <cellStyle name="20% - Accent2 2 2 4 3" xfId="5341" xr:uid="{00000000-0005-0000-0000-0000BF000000}"/>
    <cellStyle name="20% - Accent2 2 2 4 3 2" xfId="13791" xr:uid="{59A9438F-E3A5-4FBF-A8D3-D0027FB0551F}"/>
    <cellStyle name="20% - Accent2 2 2 4 4" xfId="9573" xr:uid="{D8D3B93A-6A69-4045-883E-F73DCD57E76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6B68718B-2783-45C6-970E-00A693A7CBBE}"/>
    <cellStyle name="20% - Accent2 2 2 5 2 3" xfId="12131" xr:uid="{7257D86F-6257-4234-AD10-CFA648312BE5}"/>
    <cellStyle name="20% - Accent2 2 2 5 3" xfId="5754" xr:uid="{00000000-0005-0000-0000-0000C3000000}"/>
    <cellStyle name="20% - Accent2 2 2 5 3 2" xfId="14204" xr:uid="{69B3CE76-EB0D-4D47-BA17-034386B43DC4}"/>
    <cellStyle name="20% - Accent2 2 2 5 4" xfId="9986" xr:uid="{F9BC16AF-5781-42A8-B5BB-8DA56A3AE47E}"/>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1F916A1F-A18E-4B21-9D8A-DF0273BC8049}"/>
    <cellStyle name="20% - Accent2 2 2 6 2 3" xfId="12544" xr:uid="{6BF99F4A-8302-4E78-9A59-84508AFB1538}"/>
    <cellStyle name="20% - Accent2 2 2 6 3" xfId="6167" xr:uid="{00000000-0005-0000-0000-0000C7000000}"/>
    <cellStyle name="20% - Accent2 2 2 6 3 2" xfId="14617" xr:uid="{933B9725-FED5-4B8F-A28F-6777468AE2C5}"/>
    <cellStyle name="20% - Accent2 2 2 6 4" xfId="10399" xr:uid="{579CCD40-2218-425B-900D-BD50C6EE8B30}"/>
    <cellStyle name="20% - Accent2 2 2 7" xfId="2274" xr:uid="{00000000-0005-0000-0000-0000C8000000}"/>
    <cellStyle name="20% - Accent2 2 2 7 2" xfId="6580" xr:uid="{00000000-0005-0000-0000-0000C9000000}"/>
    <cellStyle name="20% - Accent2 2 2 7 2 2" xfId="15030" xr:uid="{8BE2CBF1-B51D-42A2-94B2-8773D13FB8BD}"/>
    <cellStyle name="20% - Accent2 2 2 7 3" xfId="10812" xr:uid="{557DC465-B38B-4C30-83B5-E56C649B5B3C}"/>
    <cellStyle name="20% - Accent2 2 2 8" xfId="4514" xr:uid="{00000000-0005-0000-0000-0000CA000000}"/>
    <cellStyle name="20% - Accent2 2 2 8 2" xfId="12964" xr:uid="{583F50C9-C1A7-4D71-B52D-FD770B2A171F}"/>
    <cellStyle name="20% - Accent2 2 2 9" xfId="8746" xr:uid="{EAC3A550-0EB8-438B-94AB-A62D5CC2B1DC}"/>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262A3ED6-6085-4C9E-8FC2-6FA462564842}"/>
    <cellStyle name="20% - Accent2 2 3 2 2 3" xfId="11307" xr:uid="{156C2A5F-0D77-4864-A73B-F2FAC2596F84}"/>
    <cellStyle name="20% - Accent2 2 3 2 3" xfId="4930" xr:uid="{00000000-0005-0000-0000-0000CF000000}"/>
    <cellStyle name="20% - Accent2 2 3 2 3 2" xfId="13380" xr:uid="{7DDCE8BF-E1DD-42AC-8666-F3ECE515F563}"/>
    <cellStyle name="20% - Accent2 2 3 2 4" xfId="9162" xr:uid="{0EC33F40-DA62-4066-8B7E-AD64650D0CF1}"/>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E1D74D21-7BB5-4F0D-99C1-282A70566C2C}"/>
    <cellStyle name="20% - Accent2 2 3 3 2 3" xfId="11720" xr:uid="{891EDE45-7721-4959-8E6E-54F0104A36CF}"/>
    <cellStyle name="20% - Accent2 2 3 3 3" xfId="5343" xr:uid="{00000000-0005-0000-0000-0000D3000000}"/>
    <cellStyle name="20% - Accent2 2 3 3 3 2" xfId="13793" xr:uid="{62BFE351-0C34-4C1F-9B97-4E2BBBBE5065}"/>
    <cellStyle name="20% - Accent2 2 3 3 4" xfId="9575" xr:uid="{0080E799-9326-4D46-9DFE-C07F96F0DAE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32032677-8E9B-468E-9412-DE7D4DFC78E3}"/>
    <cellStyle name="20% - Accent2 2 3 4 2 3" xfId="12133" xr:uid="{3DA293D3-A0EC-4D9D-916A-495E8B33F3E4}"/>
    <cellStyle name="20% - Accent2 2 3 4 3" xfId="5756" xr:uid="{00000000-0005-0000-0000-0000D7000000}"/>
    <cellStyle name="20% - Accent2 2 3 4 3 2" xfId="14206" xr:uid="{EECB368B-8003-4F60-AD90-95AD559F0A7E}"/>
    <cellStyle name="20% - Accent2 2 3 4 4" xfId="9988" xr:uid="{DAA907BB-52A8-42F8-B474-CD72624EDCC0}"/>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BCE210E9-C63D-4200-A06B-DABF42D589CB}"/>
    <cellStyle name="20% - Accent2 2 3 5 2 3" xfId="12546" xr:uid="{A1BF651B-E7A6-4907-B6B8-30505F6F7F93}"/>
    <cellStyle name="20% - Accent2 2 3 5 3" xfId="6169" xr:uid="{00000000-0005-0000-0000-0000DB000000}"/>
    <cellStyle name="20% - Accent2 2 3 5 3 2" xfId="14619" xr:uid="{A5DF245B-EDD9-42F4-B637-B48F977B58AF}"/>
    <cellStyle name="20% - Accent2 2 3 5 4" xfId="10401" xr:uid="{5B996B39-ABE2-4478-BE6A-85AE36319DEB}"/>
    <cellStyle name="20% - Accent2 2 3 6" xfId="2276" xr:uid="{00000000-0005-0000-0000-0000DC000000}"/>
    <cellStyle name="20% - Accent2 2 3 6 2" xfId="6582" xr:uid="{00000000-0005-0000-0000-0000DD000000}"/>
    <cellStyle name="20% - Accent2 2 3 6 2 2" xfId="15032" xr:uid="{311EE601-DAFE-45DF-BFBA-212C28499E05}"/>
    <cellStyle name="20% - Accent2 2 3 6 3" xfId="10814" xr:uid="{58D01CF8-54A7-437C-9FEF-EB6EFB1AC3DA}"/>
    <cellStyle name="20% - Accent2 2 3 7" xfId="4516" xr:uid="{00000000-0005-0000-0000-0000DE000000}"/>
    <cellStyle name="20% - Accent2 2 3 7 2" xfId="12966" xr:uid="{F09BE628-3262-49E1-B312-B6EECFA6CE13}"/>
    <cellStyle name="20% - Accent2 2 3 8" xfId="8748" xr:uid="{4282B7DF-D4CA-4E04-9B10-74FB454100C6}"/>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26381466-2977-43AE-B465-9637EECE5CDA}"/>
    <cellStyle name="20% - Accent2 2 4 2 3" xfId="11304" xr:uid="{C76D75A2-3E32-470B-AE37-A93746410D3E}"/>
    <cellStyle name="20% - Accent2 2 4 3" xfId="4927" xr:uid="{00000000-0005-0000-0000-0000E2000000}"/>
    <cellStyle name="20% - Accent2 2 4 3 2" xfId="13377" xr:uid="{15DAB281-5930-4CFE-8667-97BDC5E00E25}"/>
    <cellStyle name="20% - Accent2 2 4 4" xfId="9159" xr:uid="{F402ED7F-5E85-4D5D-8ECE-A2407995576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1299B154-C517-429A-95BB-3B2E5BD2B8EE}"/>
    <cellStyle name="20% - Accent2 2 5 2 3" xfId="11717" xr:uid="{3A9CF4FF-A987-447A-937C-5C8D3E230782}"/>
    <cellStyle name="20% - Accent2 2 5 3" xfId="5340" xr:uid="{00000000-0005-0000-0000-0000E6000000}"/>
    <cellStyle name="20% - Accent2 2 5 3 2" xfId="13790" xr:uid="{42E42738-5211-442D-89CF-7FFC5E8EC40F}"/>
    <cellStyle name="20% - Accent2 2 5 4" xfId="9572" xr:uid="{D4E40376-C6A8-4CCF-B80A-B49431210BF1}"/>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E97B6C90-7421-4585-B227-69B9717373E3}"/>
    <cellStyle name="20% - Accent2 2 6 2 3" xfId="12130" xr:uid="{473022E5-03FE-426B-A1B3-C2F4AABFE98C}"/>
    <cellStyle name="20% - Accent2 2 6 3" xfId="5753" xr:uid="{00000000-0005-0000-0000-0000EA000000}"/>
    <cellStyle name="20% - Accent2 2 6 3 2" xfId="14203" xr:uid="{3BDE0D67-EC1D-4530-9649-209D7966C59A}"/>
    <cellStyle name="20% - Accent2 2 6 4" xfId="9985" xr:uid="{010BE4CE-E6F5-4AC9-B887-5F548DF446D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1FD3F276-388A-4B8E-AEF3-175D9FDAF1B6}"/>
    <cellStyle name="20% - Accent2 2 7 2 3" xfId="12543" xr:uid="{6D74312A-27F0-4752-A708-4140F298E303}"/>
    <cellStyle name="20% - Accent2 2 7 3" xfId="6166" xr:uid="{00000000-0005-0000-0000-0000EE000000}"/>
    <cellStyle name="20% - Accent2 2 7 3 2" xfId="14616" xr:uid="{8407ACF3-3CBB-4B23-AD96-539C51005864}"/>
    <cellStyle name="20% - Accent2 2 7 4" xfId="10398" xr:uid="{D5543654-683A-4F54-9DA7-FF44867E874D}"/>
    <cellStyle name="20% - Accent2 2 8" xfId="2273" xr:uid="{00000000-0005-0000-0000-0000EF000000}"/>
    <cellStyle name="20% - Accent2 2 8 2" xfId="6579" xr:uid="{00000000-0005-0000-0000-0000F0000000}"/>
    <cellStyle name="20% - Accent2 2 8 2 2" xfId="15029" xr:uid="{F3AC3B03-0767-4710-93C8-FEA278AC5498}"/>
    <cellStyle name="20% - Accent2 2 8 3" xfId="10811" xr:uid="{ED902657-C565-405B-8E6D-D8DD2F73FAFC}"/>
    <cellStyle name="20% - Accent2 2 9" xfId="4513" xr:uid="{00000000-0005-0000-0000-0000F1000000}"/>
    <cellStyle name="20% - Accent2 2 9 2" xfId="12963" xr:uid="{2425F5B8-BC61-4E8F-A424-212BEDE571F4}"/>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8CA234D0-A65A-4C27-9936-054C85D8B4C3}"/>
    <cellStyle name="20% - Accent2 3 2 2 2 3" xfId="11309" xr:uid="{F6B8B14A-1B52-46C1-93E9-7AD028706715}"/>
    <cellStyle name="20% - Accent2 3 2 2 3" xfId="4932" xr:uid="{00000000-0005-0000-0000-0000F7000000}"/>
    <cellStyle name="20% - Accent2 3 2 2 3 2" xfId="13382" xr:uid="{232DD0D4-CB23-4FC9-A5B6-4E0AC67A308E}"/>
    <cellStyle name="20% - Accent2 3 2 2 4" xfId="9164" xr:uid="{A309FDEA-03F0-46F5-89D7-4AC73610B9F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C7D51D38-180F-4A56-9755-95A11B5EC804}"/>
    <cellStyle name="20% - Accent2 3 2 3 2 3" xfId="11722" xr:uid="{07E16708-18B5-4315-9400-A26D564F2D27}"/>
    <cellStyle name="20% - Accent2 3 2 3 3" xfId="5345" xr:uid="{00000000-0005-0000-0000-0000FB000000}"/>
    <cellStyle name="20% - Accent2 3 2 3 3 2" xfId="13795" xr:uid="{8E0D6BA5-5283-4E89-920F-CAD7320B695B}"/>
    <cellStyle name="20% - Accent2 3 2 3 4" xfId="9577" xr:uid="{38C872F7-BE51-4378-9971-5A479379B18B}"/>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99BCDFC7-8E81-4877-A8EB-41B858D85D35}"/>
    <cellStyle name="20% - Accent2 3 2 4 2 3" xfId="12135" xr:uid="{BFBD29C8-B7CC-4ECB-8423-7ED53ECEB5A4}"/>
    <cellStyle name="20% - Accent2 3 2 4 3" xfId="5758" xr:uid="{00000000-0005-0000-0000-0000FF000000}"/>
    <cellStyle name="20% - Accent2 3 2 4 3 2" xfId="14208" xr:uid="{78E12220-E75E-44D5-9A22-620A22B11E00}"/>
    <cellStyle name="20% - Accent2 3 2 4 4" xfId="9990" xr:uid="{2B469A68-16AD-489D-9BBC-0E4FA901A6C3}"/>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1E4C739E-008E-4BF1-9B84-7F15660036D8}"/>
    <cellStyle name="20% - Accent2 3 2 5 2 3" xfId="12548" xr:uid="{7AD95903-2266-44E1-B7A8-69FD5DC81D6C}"/>
    <cellStyle name="20% - Accent2 3 2 5 3" xfId="6171" xr:uid="{00000000-0005-0000-0000-000003010000}"/>
    <cellStyle name="20% - Accent2 3 2 5 3 2" xfId="14621" xr:uid="{E2C98C65-6C30-4BC9-99DB-CAC9B5F17CD1}"/>
    <cellStyle name="20% - Accent2 3 2 5 4" xfId="10403" xr:uid="{D566272D-2FEC-44E0-B10A-EC4C06ECE15C}"/>
    <cellStyle name="20% - Accent2 3 2 6" xfId="2278" xr:uid="{00000000-0005-0000-0000-000004010000}"/>
    <cellStyle name="20% - Accent2 3 2 6 2" xfId="6584" xr:uid="{00000000-0005-0000-0000-000005010000}"/>
    <cellStyle name="20% - Accent2 3 2 6 2 2" xfId="15034" xr:uid="{11975FD7-E8CD-41DF-B968-E5D98BD05661}"/>
    <cellStyle name="20% - Accent2 3 2 6 3" xfId="10816" xr:uid="{ADEDEF61-3B82-4833-8A15-141D664084EA}"/>
    <cellStyle name="20% - Accent2 3 2 7" xfId="4518" xr:uid="{00000000-0005-0000-0000-000006010000}"/>
    <cellStyle name="20% - Accent2 3 2 7 2" xfId="12968" xr:uid="{2B816485-3AA7-42BD-B1E7-74246244A96C}"/>
    <cellStyle name="20% - Accent2 3 2 8" xfId="8750" xr:uid="{EE247010-18AB-4315-A5E7-19B8D9A77A8E}"/>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3AB34729-2C51-4CE9-81E3-87AB356AB864}"/>
    <cellStyle name="20% - Accent2 3 3 2 3" xfId="11308" xr:uid="{7A76F23D-D5A9-4FFE-B6EB-15DD7DDAA406}"/>
    <cellStyle name="20% - Accent2 3 3 3" xfId="4931" xr:uid="{00000000-0005-0000-0000-00000A010000}"/>
    <cellStyle name="20% - Accent2 3 3 3 2" xfId="13381" xr:uid="{92282910-C082-4EF3-81AC-DF6208CD0FF9}"/>
    <cellStyle name="20% - Accent2 3 3 4" xfId="9163" xr:uid="{462D28E3-BEEE-4578-B6EB-A4F5D3013A02}"/>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6DFE0114-8347-406C-8D86-1D5CD5845180}"/>
    <cellStyle name="20% - Accent2 3 4 2 3" xfId="11721" xr:uid="{764A25E8-54EA-4A36-874A-5ACD7F5499B8}"/>
    <cellStyle name="20% - Accent2 3 4 3" xfId="5344" xr:uid="{00000000-0005-0000-0000-00000E010000}"/>
    <cellStyle name="20% - Accent2 3 4 3 2" xfId="13794" xr:uid="{75538592-277B-4C5D-A4B6-94D8281663E0}"/>
    <cellStyle name="20% - Accent2 3 4 4" xfId="9576" xr:uid="{479FC857-CA79-4216-8574-0342BE88097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58A53777-2A80-4B80-859E-F9C990EC1D2D}"/>
    <cellStyle name="20% - Accent2 3 5 2 3" xfId="12134" xr:uid="{1235C809-6404-497E-8621-36172277B094}"/>
    <cellStyle name="20% - Accent2 3 5 3" xfId="5757" xr:uid="{00000000-0005-0000-0000-000012010000}"/>
    <cellStyle name="20% - Accent2 3 5 3 2" xfId="14207" xr:uid="{669667EA-A72B-418F-B48B-A2E03F81B82A}"/>
    <cellStyle name="20% - Accent2 3 5 4" xfId="9989" xr:uid="{5ECB4BB0-8406-4D5A-813D-A356C6009AA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A0E36290-CE5A-4F52-9DCE-305AA74E1167}"/>
    <cellStyle name="20% - Accent2 3 6 2 3" xfId="12547" xr:uid="{5D3A16F1-46D4-4AC2-88B6-E414DA3D7136}"/>
    <cellStyle name="20% - Accent2 3 6 3" xfId="6170" xr:uid="{00000000-0005-0000-0000-000016010000}"/>
    <cellStyle name="20% - Accent2 3 6 3 2" xfId="14620" xr:uid="{FA1852E3-0B5A-4806-9D1D-B954ABF8B203}"/>
    <cellStyle name="20% - Accent2 3 6 4" xfId="10402" xr:uid="{8CF902C8-E8F7-4E50-8078-D786AC68425B}"/>
    <cellStyle name="20% - Accent2 3 7" xfId="2277" xr:uid="{00000000-0005-0000-0000-000017010000}"/>
    <cellStyle name="20% - Accent2 3 7 2" xfId="6583" xr:uid="{00000000-0005-0000-0000-000018010000}"/>
    <cellStyle name="20% - Accent2 3 7 2 2" xfId="15033" xr:uid="{07C91BB7-91CC-4A02-8166-BBE4010CBBD4}"/>
    <cellStyle name="20% - Accent2 3 7 3" xfId="10815" xr:uid="{C8A7E835-B44A-4087-A6ED-F827485EB650}"/>
    <cellStyle name="20% - Accent2 3 8" xfId="4517" xr:uid="{00000000-0005-0000-0000-000019010000}"/>
    <cellStyle name="20% - Accent2 3 8 2" xfId="12967" xr:uid="{3D55B454-FD5D-4AE7-A308-FB32A7998BB2}"/>
    <cellStyle name="20% - Accent2 3 9" xfId="8749" xr:uid="{A2E87EB0-E11D-4C82-8E17-B424C1A6DE6C}"/>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59A591F7-0430-4365-BC8A-17D0385BF13F}"/>
    <cellStyle name="20% - Accent2 4 2 2 3" xfId="11310" xr:uid="{E09A290B-634A-4132-B12A-E1B356F8109A}"/>
    <cellStyle name="20% - Accent2 4 2 3" xfId="4933" xr:uid="{00000000-0005-0000-0000-00001E010000}"/>
    <cellStyle name="20% - Accent2 4 2 3 2" xfId="13383" xr:uid="{D28B9EE4-E644-4EE0-A92B-523E74A4C6C3}"/>
    <cellStyle name="20% - Accent2 4 2 4" xfId="9165" xr:uid="{ED5758A2-73A0-49B9-B6B7-03F317AF20AF}"/>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D0B56B10-A084-422C-B8FC-BC936304B29B}"/>
    <cellStyle name="20% - Accent2 4 3 2 3" xfId="11723" xr:uid="{1822F3FE-9890-44DD-A771-E5574C6F144D}"/>
    <cellStyle name="20% - Accent2 4 3 3" xfId="5346" xr:uid="{00000000-0005-0000-0000-000022010000}"/>
    <cellStyle name="20% - Accent2 4 3 3 2" xfId="13796" xr:uid="{921523D5-2369-408C-8F04-E316092C3E37}"/>
    <cellStyle name="20% - Accent2 4 3 4" xfId="9578" xr:uid="{EB0F3510-0785-4243-B5AD-D6CF4DEBF248}"/>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34CB75F1-188B-4F21-A9C8-4F698A51FCB8}"/>
    <cellStyle name="20% - Accent2 4 4 2 3" xfId="12136" xr:uid="{C3562F3B-4A46-4D75-926E-B4A43FF3A0F2}"/>
    <cellStyle name="20% - Accent2 4 4 3" xfId="5759" xr:uid="{00000000-0005-0000-0000-000026010000}"/>
    <cellStyle name="20% - Accent2 4 4 3 2" xfId="14209" xr:uid="{47457F6B-CDEF-45DC-BC85-44D76A60A2DA}"/>
    <cellStyle name="20% - Accent2 4 4 4" xfId="9991" xr:uid="{E49C1EC0-DF5D-4AD8-95A0-A4F1F66DA9A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40E83E8E-CA41-44FC-8432-B7FA6AC4A901}"/>
    <cellStyle name="20% - Accent2 4 5 2 3" xfId="12549" xr:uid="{2AF52114-CD77-4D95-BCF2-8879D3219046}"/>
    <cellStyle name="20% - Accent2 4 5 3" xfId="6172" xr:uid="{00000000-0005-0000-0000-00002A010000}"/>
    <cellStyle name="20% - Accent2 4 5 3 2" xfId="14622" xr:uid="{E4D7DD79-5067-43AB-980D-32D6AFC134F2}"/>
    <cellStyle name="20% - Accent2 4 5 4" xfId="10404" xr:uid="{B699CEF3-C121-442A-ACDE-CFE7C5F0004F}"/>
    <cellStyle name="20% - Accent2 4 6" xfId="2279" xr:uid="{00000000-0005-0000-0000-00002B010000}"/>
    <cellStyle name="20% - Accent2 4 6 2" xfId="6585" xr:uid="{00000000-0005-0000-0000-00002C010000}"/>
    <cellStyle name="20% - Accent2 4 6 2 2" xfId="15035" xr:uid="{EC4D8932-791B-4A72-88C5-57CCD2AFA092}"/>
    <cellStyle name="20% - Accent2 4 6 3" xfId="10817" xr:uid="{ACEFB830-68D8-4C46-8408-11D80E396F93}"/>
    <cellStyle name="20% - Accent2 4 7" xfId="4519" xr:uid="{00000000-0005-0000-0000-00002D010000}"/>
    <cellStyle name="20% - Accent2 4 7 2" xfId="12969" xr:uid="{F718DD67-21E3-4BEF-A188-B7D54EB18773}"/>
    <cellStyle name="20% - Accent2 4 8" xfId="8751" xr:uid="{68F3EE89-1DB0-455E-95B1-25EACEA21968}"/>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852A0B1F-05B6-47AC-8A1D-CB716B1C3AC7}"/>
    <cellStyle name="20% - Accent2 5 2 3" xfId="11303" xr:uid="{2B186043-E9DE-4DDE-9540-7BB03A74F830}"/>
    <cellStyle name="20% - Accent2 5 3" xfId="4926" xr:uid="{00000000-0005-0000-0000-000031010000}"/>
    <cellStyle name="20% - Accent2 5 3 2" xfId="13376" xr:uid="{7C8234EC-44E6-405E-9FC1-1A8D339E3317}"/>
    <cellStyle name="20% - Accent2 5 4" xfId="9158" xr:uid="{29DA2216-E2BE-4D40-A147-E68CB11DC761}"/>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ACDDB4DA-A063-4BAC-863B-2FACAA507CE4}"/>
    <cellStyle name="20% - Accent2 6 2 3" xfId="11716" xr:uid="{E9404A50-0228-4795-80A4-4871E272D899}"/>
    <cellStyle name="20% - Accent2 6 3" xfId="5339" xr:uid="{00000000-0005-0000-0000-000035010000}"/>
    <cellStyle name="20% - Accent2 6 3 2" xfId="13789" xr:uid="{533918C1-07CB-4D79-9212-A346CAB9F1E6}"/>
    <cellStyle name="20% - Accent2 6 4" xfId="9571" xr:uid="{2EBA7D03-3424-4D3C-87F7-3E656271D58C}"/>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D5249889-EA45-4FE5-B7D6-A9C7CE7049B1}"/>
    <cellStyle name="20% - Accent2 7 2 3" xfId="12129" xr:uid="{D5F2C622-1E3B-448E-B3D6-BB466B3F77A3}"/>
    <cellStyle name="20% - Accent2 7 3" xfId="5752" xr:uid="{00000000-0005-0000-0000-000039010000}"/>
    <cellStyle name="20% - Accent2 7 3 2" xfId="14202" xr:uid="{253DAEEB-2775-4929-81F8-4903F03005B9}"/>
    <cellStyle name="20% - Accent2 7 4" xfId="9984" xr:uid="{1B9E30B0-03CA-48DB-B6A2-5C39ACECA428}"/>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C52CCC66-8FDA-48B1-903D-B8EBA328392A}"/>
    <cellStyle name="20% - Accent2 8 2 3" xfId="12542" xr:uid="{68C21DC2-96A2-4D26-9DEF-B05872BD5BA3}"/>
    <cellStyle name="20% - Accent2 8 3" xfId="6165" xr:uid="{00000000-0005-0000-0000-00003D010000}"/>
    <cellStyle name="20% - Accent2 8 3 2" xfId="14615" xr:uid="{D2BD8F23-B640-40A8-AD8E-EE8573417DD5}"/>
    <cellStyle name="20% - Accent2 8 4" xfId="10397" xr:uid="{C7BE9CF3-D8F9-4338-83B6-B0D55113DD88}"/>
    <cellStyle name="20% - Accent2 9" xfId="2272" xr:uid="{00000000-0005-0000-0000-00003E010000}"/>
    <cellStyle name="20% - Accent2 9 2" xfId="6578" xr:uid="{00000000-0005-0000-0000-00003F010000}"/>
    <cellStyle name="20% - Accent2 9 2 2" xfId="15028" xr:uid="{8EBBE166-CE86-491A-BB9A-28AC12E3EC34}"/>
    <cellStyle name="20% - Accent2 9 3" xfId="10810" xr:uid="{4D32691F-4DDB-4745-A674-F1C370B0AA84}"/>
    <cellStyle name="20% - Accent3" xfId="17" builtinId="38" customBuiltin="1"/>
    <cellStyle name="20% - Accent3 10" xfId="4520" xr:uid="{00000000-0005-0000-0000-000041010000}"/>
    <cellStyle name="20% - Accent3 10 2" xfId="12970" xr:uid="{775E1057-BB73-488A-B752-5D47144C280E}"/>
    <cellStyle name="20% - Accent3 11" xfId="8752" xr:uid="{EE3AEC85-A0FD-4634-B96E-3AA07E282575}"/>
    <cellStyle name="20% - Accent3 2" xfId="18" xr:uid="{00000000-0005-0000-0000-000042010000}"/>
    <cellStyle name="20% - Accent3 2 10" xfId="8753" xr:uid="{1522D4DC-E132-448D-BC55-60D929EE27B6}"/>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55EE45E4-5813-4227-BE9B-FD0EFF1B013D}"/>
    <cellStyle name="20% - Accent3 2 2 2 2 2 3" xfId="11314" xr:uid="{37C60D89-BE98-4056-B054-D384FB25C7EC}"/>
    <cellStyle name="20% - Accent3 2 2 2 2 3" xfId="4937" xr:uid="{00000000-0005-0000-0000-000048010000}"/>
    <cellStyle name="20% - Accent3 2 2 2 2 3 2" xfId="13387" xr:uid="{9A946684-4B33-4DA0-9884-D7E8D0FC7853}"/>
    <cellStyle name="20% - Accent3 2 2 2 2 4" xfId="9169" xr:uid="{8C1ACA15-ED28-47E4-9DF6-8BFE19BABEF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43C32F40-8CEF-45E8-9C5B-5EE7F2706662}"/>
    <cellStyle name="20% - Accent3 2 2 2 3 2 3" xfId="11727" xr:uid="{28C17553-BDE0-4F22-ACB4-A48006246E31}"/>
    <cellStyle name="20% - Accent3 2 2 2 3 3" xfId="5350" xr:uid="{00000000-0005-0000-0000-00004C010000}"/>
    <cellStyle name="20% - Accent3 2 2 2 3 3 2" xfId="13800" xr:uid="{81B5936E-B42C-4187-9B2C-810A5CD0FAB2}"/>
    <cellStyle name="20% - Accent3 2 2 2 3 4" xfId="9582" xr:uid="{425BA4E9-90F9-47B8-AADE-EB4C41F8191C}"/>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57A8E677-C592-426A-ADE3-42ABC8B41CED}"/>
    <cellStyle name="20% - Accent3 2 2 2 4 2 3" xfId="12140" xr:uid="{E0C2423C-9792-451C-9003-AE13ECD71984}"/>
    <cellStyle name="20% - Accent3 2 2 2 4 3" xfId="5763" xr:uid="{00000000-0005-0000-0000-000050010000}"/>
    <cellStyle name="20% - Accent3 2 2 2 4 3 2" xfId="14213" xr:uid="{AC61131A-C71E-4AAE-AFED-6FD79E52CAB0}"/>
    <cellStyle name="20% - Accent3 2 2 2 4 4" xfId="9995" xr:uid="{6FFD155C-F315-4315-95DF-4644284CCFA4}"/>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F001AEFD-DB50-4200-8E04-3402A4764EE9}"/>
    <cellStyle name="20% - Accent3 2 2 2 5 2 3" xfId="12553" xr:uid="{0D9F341C-883F-427E-8332-18F8A9B9127A}"/>
    <cellStyle name="20% - Accent3 2 2 2 5 3" xfId="6176" xr:uid="{00000000-0005-0000-0000-000054010000}"/>
    <cellStyle name="20% - Accent3 2 2 2 5 3 2" xfId="14626" xr:uid="{79805D7D-BCF4-454C-8F08-2CB83C0C8759}"/>
    <cellStyle name="20% - Accent3 2 2 2 5 4" xfId="10408" xr:uid="{1487A1FD-8D04-45A6-92AB-C889DC7A7A13}"/>
    <cellStyle name="20% - Accent3 2 2 2 6" xfId="2283" xr:uid="{00000000-0005-0000-0000-000055010000}"/>
    <cellStyle name="20% - Accent3 2 2 2 6 2" xfId="6589" xr:uid="{00000000-0005-0000-0000-000056010000}"/>
    <cellStyle name="20% - Accent3 2 2 2 6 2 2" xfId="15039" xr:uid="{E1122DCE-564A-4269-A592-F8EAE41AED21}"/>
    <cellStyle name="20% - Accent3 2 2 2 6 3" xfId="10821" xr:uid="{755D4DAA-0A5F-44AA-8FA0-223AC7F22920}"/>
    <cellStyle name="20% - Accent3 2 2 2 7" xfId="4523" xr:uid="{00000000-0005-0000-0000-000057010000}"/>
    <cellStyle name="20% - Accent3 2 2 2 7 2" xfId="12973" xr:uid="{213872FC-162C-4030-A00C-AA78DDF9924A}"/>
    <cellStyle name="20% - Accent3 2 2 2 8" xfId="8755" xr:uid="{C3487FB9-BE1E-4975-B6DA-56171276569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7B8563E5-3BBB-4A32-814A-B788C5762228}"/>
    <cellStyle name="20% - Accent3 2 2 3 2 3" xfId="11313" xr:uid="{7D8E6731-0AFE-47EE-A73E-C8C0960F6E20}"/>
    <cellStyle name="20% - Accent3 2 2 3 3" xfId="4936" xr:uid="{00000000-0005-0000-0000-00005B010000}"/>
    <cellStyle name="20% - Accent3 2 2 3 3 2" xfId="13386" xr:uid="{5573EA3E-7E69-4029-8E6A-49F045C0424D}"/>
    <cellStyle name="20% - Accent3 2 2 3 4" xfId="9168" xr:uid="{54F66844-C958-425E-BD09-B728A5AEEDA7}"/>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55E0E364-E80D-438A-8209-9123AD82D07D}"/>
    <cellStyle name="20% - Accent3 2 2 4 2 3" xfId="11726" xr:uid="{BFCE86B8-9809-4EF5-896F-7D179EE41A30}"/>
    <cellStyle name="20% - Accent3 2 2 4 3" xfId="5349" xr:uid="{00000000-0005-0000-0000-00005F010000}"/>
    <cellStyle name="20% - Accent3 2 2 4 3 2" xfId="13799" xr:uid="{2480128E-1FC4-4DBE-839B-05C0BFC82FD5}"/>
    <cellStyle name="20% - Accent3 2 2 4 4" xfId="9581" xr:uid="{B16DDA19-854E-44E8-9590-CF370CD06329}"/>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E89BC984-54CD-4E22-9244-5FF6E1EFD33C}"/>
    <cellStyle name="20% - Accent3 2 2 5 2 3" xfId="12139" xr:uid="{61BE147C-33C8-4C98-A18D-E18772FB0510}"/>
    <cellStyle name="20% - Accent3 2 2 5 3" xfId="5762" xr:uid="{00000000-0005-0000-0000-000063010000}"/>
    <cellStyle name="20% - Accent3 2 2 5 3 2" xfId="14212" xr:uid="{E70C43A9-3060-47AF-B359-DAA9E79C241B}"/>
    <cellStyle name="20% - Accent3 2 2 5 4" xfId="9994" xr:uid="{B666E102-66D2-42B6-A4F6-2AA52F9967B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74193B1E-DBB6-4E52-8C0B-25B01CDB6C9C}"/>
    <cellStyle name="20% - Accent3 2 2 6 2 3" xfId="12552" xr:uid="{632E6638-9C6F-485B-92CA-D6EF48036B2F}"/>
    <cellStyle name="20% - Accent3 2 2 6 3" xfId="6175" xr:uid="{00000000-0005-0000-0000-000067010000}"/>
    <cellStyle name="20% - Accent3 2 2 6 3 2" xfId="14625" xr:uid="{CE108D0D-7AB1-4FA4-8E0C-953095841C25}"/>
    <cellStyle name="20% - Accent3 2 2 6 4" xfId="10407" xr:uid="{E6A0543F-0DCC-45B3-A7E3-5094A06980F3}"/>
    <cellStyle name="20% - Accent3 2 2 7" xfId="2282" xr:uid="{00000000-0005-0000-0000-000068010000}"/>
    <cellStyle name="20% - Accent3 2 2 7 2" xfId="6588" xr:uid="{00000000-0005-0000-0000-000069010000}"/>
    <cellStyle name="20% - Accent3 2 2 7 2 2" xfId="15038" xr:uid="{ECF3238C-7D61-451C-AC60-074388C179ED}"/>
    <cellStyle name="20% - Accent3 2 2 7 3" xfId="10820" xr:uid="{ECCB8025-3313-4F37-BE52-B5AF9ED0715F}"/>
    <cellStyle name="20% - Accent3 2 2 8" xfId="4522" xr:uid="{00000000-0005-0000-0000-00006A010000}"/>
    <cellStyle name="20% - Accent3 2 2 8 2" xfId="12972" xr:uid="{6607CF85-F27D-494F-B32D-0914CAF2890A}"/>
    <cellStyle name="20% - Accent3 2 2 9" xfId="8754" xr:uid="{AD6177EE-552C-4974-AE3F-C41413CD123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E5959957-39A6-440E-ACA4-5960D1E8D66D}"/>
    <cellStyle name="20% - Accent3 2 3 2 2 3" xfId="11315" xr:uid="{D24E1898-9D9F-440D-9DD2-9F1553A76213}"/>
    <cellStyle name="20% - Accent3 2 3 2 3" xfId="4938" xr:uid="{00000000-0005-0000-0000-00006F010000}"/>
    <cellStyle name="20% - Accent3 2 3 2 3 2" xfId="13388" xr:uid="{06FFE7B6-7F3C-4B88-8A1D-F5FAD963DF25}"/>
    <cellStyle name="20% - Accent3 2 3 2 4" xfId="9170" xr:uid="{039D6E3E-B321-441D-96ED-81EDA426653F}"/>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E9F78FFC-313D-468D-ADF6-66A3B08A2AE4}"/>
    <cellStyle name="20% - Accent3 2 3 3 2 3" xfId="11728" xr:uid="{B0921620-5E00-47B2-A4CE-8AD39E66DD81}"/>
    <cellStyle name="20% - Accent3 2 3 3 3" xfId="5351" xr:uid="{00000000-0005-0000-0000-000073010000}"/>
    <cellStyle name="20% - Accent3 2 3 3 3 2" xfId="13801" xr:uid="{AA17BC91-F947-4137-96F5-95717A327DC8}"/>
    <cellStyle name="20% - Accent3 2 3 3 4" xfId="9583" xr:uid="{CCDE428D-54FF-4EEF-BC14-9B4C10189C70}"/>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F5A4AB49-5D89-42F6-B93A-EC59FCA46C70}"/>
    <cellStyle name="20% - Accent3 2 3 4 2 3" xfId="12141" xr:uid="{1709F2AF-5BFF-4657-9C8C-E3070C7D2C1D}"/>
    <cellStyle name="20% - Accent3 2 3 4 3" xfId="5764" xr:uid="{00000000-0005-0000-0000-000077010000}"/>
    <cellStyle name="20% - Accent3 2 3 4 3 2" xfId="14214" xr:uid="{B7AC98A4-9137-44A5-99C2-58676637E285}"/>
    <cellStyle name="20% - Accent3 2 3 4 4" xfId="9996" xr:uid="{EE6EA166-EF42-4F40-92EE-0006CA378B0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DA7A5C0D-9C2B-47DD-B941-E21866C8AA78}"/>
    <cellStyle name="20% - Accent3 2 3 5 2 3" xfId="12554" xr:uid="{FD738F62-F4D4-468A-8E9F-2ADA6DBCEB6C}"/>
    <cellStyle name="20% - Accent3 2 3 5 3" xfId="6177" xr:uid="{00000000-0005-0000-0000-00007B010000}"/>
    <cellStyle name="20% - Accent3 2 3 5 3 2" xfId="14627" xr:uid="{FA6B79CE-4C97-43E3-808B-5CCFEC00F923}"/>
    <cellStyle name="20% - Accent3 2 3 5 4" xfId="10409" xr:uid="{45D09B33-D2EB-4A9C-8266-7BF4D28E84DB}"/>
    <cellStyle name="20% - Accent3 2 3 6" xfId="2284" xr:uid="{00000000-0005-0000-0000-00007C010000}"/>
    <cellStyle name="20% - Accent3 2 3 6 2" xfId="6590" xr:uid="{00000000-0005-0000-0000-00007D010000}"/>
    <cellStyle name="20% - Accent3 2 3 6 2 2" xfId="15040" xr:uid="{E24D942C-0713-4561-81D4-A4ED4CC7F0C0}"/>
    <cellStyle name="20% - Accent3 2 3 6 3" xfId="10822" xr:uid="{A3B34DEA-3998-4ADA-8CC8-9ECBBF230F16}"/>
    <cellStyle name="20% - Accent3 2 3 7" xfId="4524" xr:uid="{00000000-0005-0000-0000-00007E010000}"/>
    <cellStyle name="20% - Accent3 2 3 7 2" xfId="12974" xr:uid="{490E79E3-D6AC-4253-9585-546B000A6468}"/>
    <cellStyle name="20% - Accent3 2 3 8" xfId="8756" xr:uid="{EC5F98BC-C73C-4A87-A697-920FC41DCDCC}"/>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3339A02A-1917-4920-9A69-04FD82A9418F}"/>
    <cellStyle name="20% - Accent3 2 4 2 3" xfId="11312" xr:uid="{A5C2B70F-C702-4A86-A312-CBE776BBD870}"/>
    <cellStyle name="20% - Accent3 2 4 3" xfId="4935" xr:uid="{00000000-0005-0000-0000-000082010000}"/>
    <cellStyle name="20% - Accent3 2 4 3 2" xfId="13385" xr:uid="{006903CB-0202-4880-8DC2-6E3716BEF10F}"/>
    <cellStyle name="20% - Accent3 2 4 4" xfId="9167" xr:uid="{AEDE387D-AB4E-445E-A5AC-D7151B4F26DF}"/>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485E05C4-7F57-4AB8-BEBF-ED09975573B6}"/>
    <cellStyle name="20% - Accent3 2 5 2 3" xfId="11725" xr:uid="{27C94E2A-97B3-4823-812C-FA2D9949BC4F}"/>
    <cellStyle name="20% - Accent3 2 5 3" xfId="5348" xr:uid="{00000000-0005-0000-0000-000086010000}"/>
    <cellStyle name="20% - Accent3 2 5 3 2" xfId="13798" xr:uid="{735407E4-0685-4FB2-875F-D0FFC9A17379}"/>
    <cellStyle name="20% - Accent3 2 5 4" xfId="9580" xr:uid="{38E582D1-23F0-46A8-A1AF-E7779C558A33}"/>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13D9A3F8-6F98-42C2-908F-4509A4BE4A86}"/>
    <cellStyle name="20% - Accent3 2 6 2 3" xfId="12138" xr:uid="{BD1D5A30-DD0F-4BDA-B804-30A9BF0CCF25}"/>
    <cellStyle name="20% - Accent3 2 6 3" xfId="5761" xr:uid="{00000000-0005-0000-0000-00008A010000}"/>
    <cellStyle name="20% - Accent3 2 6 3 2" xfId="14211" xr:uid="{9C242E74-3B1A-483F-9074-2E22454148A0}"/>
    <cellStyle name="20% - Accent3 2 6 4" xfId="9993" xr:uid="{7EF40BF3-FAA8-49DA-86FA-D188A5070099}"/>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358419E1-7054-44A6-B524-A186A5EC4B71}"/>
    <cellStyle name="20% - Accent3 2 7 2 3" xfId="12551" xr:uid="{1A84A22A-E954-4248-A5C2-E05F48DE36BE}"/>
    <cellStyle name="20% - Accent3 2 7 3" xfId="6174" xr:uid="{00000000-0005-0000-0000-00008E010000}"/>
    <cellStyle name="20% - Accent3 2 7 3 2" xfId="14624" xr:uid="{8AFC23A3-9EF2-49BB-9BAF-5F62E374FFA0}"/>
    <cellStyle name="20% - Accent3 2 7 4" xfId="10406" xr:uid="{00646BA2-8526-4935-9710-07B96B68567B}"/>
    <cellStyle name="20% - Accent3 2 8" xfId="2281" xr:uid="{00000000-0005-0000-0000-00008F010000}"/>
    <cellStyle name="20% - Accent3 2 8 2" xfId="6587" xr:uid="{00000000-0005-0000-0000-000090010000}"/>
    <cellStyle name="20% - Accent3 2 8 2 2" xfId="15037" xr:uid="{E7569BEE-7A46-4C60-9261-6AA9BCDA2DD0}"/>
    <cellStyle name="20% - Accent3 2 8 3" xfId="10819" xr:uid="{578362CA-04B5-49B7-A911-FA0A6A557E02}"/>
    <cellStyle name="20% - Accent3 2 9" xfId="4521" xr:uid="{00000000-0005-0000-0000-000091010000}"/>
    <cellStyle name="20% - Accent3 2 9 2" xfId="12971" xr:uid="{6ADAB3A5-F492-4DF2-8ED3-91B75D5B9A46}"/>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3C71AF48-2018-4073-A042-3BF3CB60C97F}"/>
    <cellStyle name="20% - Accent3 3 2 2 2 3" xfId="11317" xr:uid="{97ACA055-5B76-40C8-B14E-02B8645F6D92}"/>
    <cellStyle name="20% - Accent3 3 2 2 3" xfId="4940" xr:uid="{00000000-0005-0000-0000-000097010000}"/>
    <cellStyle name="20% - Accent3 3 2 2 3 2" xfId="13390" xr:uid="{0964A74F-B4A0-4D75-ADD8-D759A969F3F7}"/>
    <cellStyle name="20% - Accent3 3 2 2 4" xfId="9172" xr:uid="{004842E9-2079-430B-BD6E-C2AFDB9C3AF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1822CF07-8EF1-462D-AB11-8A793706D7A0}"/>
    <cellStyle name="20% - Accent3 3 2 3 2 3" xfId="11730" xr:uid="{61116F15-9D8A-4FE9-8E58-26CABD39020A}"/>
    <cellStyle name="20% - Accent3 3 2 3 3" xfId="5353" xr:uid="{00000000-0005-0000-0000-00009B010000}"/>
    <cellStyle name="20% - Accent3 3 2 3 3 2" xfId="13803" xr:uid="{443023BD-AD98-43A5-A18F-F3AAF89F227D}"/>
    <cellStyle name="20% - Accent3 3 2 3 4" xfId="9585" xr:uid="{9B5E181E-B38D-462E-8998-C3A19915D243}"/>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4A257108-6F1A-4C51-85A9-73C124E073CA}"/>
    <cellStyle name="20% - Accent3 3 2 4 2 3" xfId="12143" xr:uid="{3B34F4FD-70E5-4A9A-B5E7-93BBE7682BB3}"/>
    <cellStyle name="20% - Accent3 3 2 4 3" xfId="5766" xr:uid="{00000000-0005-0000-0000-00009F010000}"/>
    <cellStyle name="20% - Accent3 3 2 4 3 2" xfId="14216" xr:uid="{22B2BB6A-B488-46C3-AF00-3BF8690A558E}"/>
    <cellStyle name="20% - Accent3 3 2 4 4" xfId="9998" xr:uid="{18F817DF-1AAE-49D0-8A35-ADC5948337A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2BCD7434-0554-4DDA-9F31-A3A77555980F}"/>
    <cellStyle name="20% - Accent3 3 2 5 2 3" xfId="12556" xr:uid="{4BBC5655-BC76-4B58-B09F-9898975EACDD}"/>
    <cellStyle name="20% - Accent3 3 2 5 3" xfId="6179" xr:uid="{00000000-0005-0000-0000-0000A3010000}"/>
    <cellStyle name="20% - Accent3 3 2 5 3 2" xfId="14629" xr:uid="{E587CAC3-7F8E-4A7D-A699-3E402BD3EEB3}"/>
    <cellStyle name="20% - Accent3 3 2 5 4" xfId="10411" xr:uid="{EA03C523-F9E7-4599-803F-679E83ADA6F8}"/>
    <cellStyle name="20% - Accent3 3 2 6" xfId="2286" xr:uid="{00000000-0005-0000-0000-0000A4010000}"/>
    <cellStyle name="20% - Accent3 3 2 6 2" xfId="6592" xr:uid="{00000000-0005-0000-0000-0000A5010000}"/>
    <cellStyle name="20% - Accent3 3 2 6 2 2" xfId="15042" xr:uid="{546B076D-411A-426B-BDF8-7C0706B88EBA}"/>
    <cellStyle name="20% - Accent3 3 2 6 3" xfId="10824" xr:uid="{6B23538C-EB3F-4F35-902C-4FEE94A9A54E}"/>
    <cellStyle name="20% - Accent3 3 2 7" xfId="4526" xr:uid="{00000000-0005-0000-0000-0000A6010000}"/>
    <cellStyle name="20% - Accent3 3 2 7 2" xfId="12976" xr:uid="{71DDCA50-A9B2-40EE-B26A-565EB7B7A294}"/>
    <cellStyle name="20% - Accent3 3 2 8" xfId="8758" xr:uid="{CCBC3033-1C44-4FAE-8290-626EA3D0766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10473788-C1A7-450A-8D50-0EF607EA4124}"/>
    <cellStyle name="20% - Accent3 3 3 2 3" xfId="11316" xr:uid="{EBB273DC-9C05-44D1-994D-0C69E0AEB9ED}"/>
    <cellStyle name="20% - Accent3 3 3 3" xfId="4939" xr:uid="{00000000-0005-0000-0000-0000AA010000}"/>
    <cellStyle name="20% - Accent3 3 3 3 2" xfId="13389" xr:uid="{2D81A582-7307-4C5A-A11B-6AB930276918}"/>
    <cellStyle name="20% - Accent3 3 3 4" xfId="9171" xr:uid="{D0D85A02-007C-421B-8E15-748A4AB9DFAB}"/>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A8F0E920-9065-4A21-8CB4-8C5247274901}"/>
    <cellStyle name="20% - Accent3 3 4 2 3" xfId="11729" xr:uid="{028D4A1D-E836-4C66-81CB-B941451FF990}"/>
    <cellStyle name="20% - Accent3 3 4 3" xfId="5352" xr:uid="{00000000-0005-0000-0000-0000AE010000}"/>
    <cellStyle name="20% - Accent3 3 4 3 2" xfId="13802" xr:uid="{212F198C-BEB2-4204-A294-07382CCF9A1E}"/>
    <cellStyle name="20% - Accent3 3 4 4" xfId="9584" xr:uid="{2441A7FD-290B-41F9-9914-185FD1DCE21C}"/>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ADE7D37F-0348-4EC5-BF81-E1841965E4EC}"/>
    <cellStyle name="20% - Accent3 3 5 2 3" xfId="12142" xr:uid="{AA89205F-6722-4499-8167-548869589C95}"/>
    <cellStyle name="20% - Accent3 3 5 3" xfId="5765" xr:uid="{00000000-0005-0000-0000-0000B2010000}"/>
    <cellStyle name="20% - Accent3 3 5 3 2" xfId="14215" xr:uid="{E2C2633A-4BD6-45A9-A9E6-E4679100FB07}"/>
    <cellStyle name="20% - Accent3 3 5 4" xfId="9997" xr:uid="{B97EC69A-B784-4136-BE38-6EEF2D7FE681}"/>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18C576E4-08F9-401C-8BAA-AD76749413CF}"/>
    <cellStyle name="20% - Accent3 3 6 2 3" xfId="12555" xr:uid="{A161337D-28AF-47B0-8EB4-36C414C7AA0D}"/>
    <cellStyle name="20% - Accent3 3 6 3" xfId="6178" xr:uid="{00000000-0005-0000-0000-0000B6010000}"/>
    <cellStyle name="20% - Accent3 3 6 3 2" xfId="14628" xr:uid="{129BB0B7-7EEA-4F38-BC34-02174A1AF5AA}"/>
    <cellStyle name="20% - Accent3 3 6 4" xfId="10410" xr:uid="{8B43CBC6-F7AA-4882-A322-61AF8B655567}"/>
    <cellStyle name="20% - Accent3 3 7" xfId="2285" xr:uid="{00000000-0005-0000-0000-0000B7010000}"/>
    <cellStyle name="20% - Accent3 3 7 2" xfId="6591" xr:uid="{00000000-0005-0000-0000-0000B8010000}"/>
    <cellStyle name="20% - Accent3 3 7 2 2" xfId="15041" xr:uid="{99C94FE3-0E50-47FC-97E6-53FF98A130F5}"/>
    <cellStyle name="20% - Accent3 3 7 3" xfId="10823" xr:uid="{7E15BF92-5D1C-4BE7-9654-88F85CB08BD9}"/>
    <cellStyle name="20% - Accent3 3 8" xfId="4525" xr:uid="{00000000-0005-0000-0000-0000B9010000}"/>
    <cellStyle name="20% - Accent3 3 8 2" xfId="12975" xr:uid="{4BD41B8C-9B5A-4406-A18C-936E5EFFC976}"/>
    <cellStyle name="20% - Accent3 3 9" xfId="8757" xr:uid="{DF3C7CC2-D0DB-410B-BB72-950363633801}"/>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B2C9024B-1E65-4A3B-86DD-EE7E069D6090}"/>
    <cellStyle name="20% - Accent3 4 2 2 3" xfId="11318" xr:uid="{0CC82E3D-66C0-4317-95C8-0AEBC2DA341C}"/>
    <cellStyle name="20% - Accent3 4 2 3" xfId="4941" xr:uid="{00000000-0005-0000-0000-0000BE010000}"/>
    <cellStyle name="20% - Accent3 4 2 3 2" xfId="13391" xr:uid="{2D9FBACE-1B4C-478B-BD60-8BF5EC7BED7D}"/>
    <cellStyle name="20% - Accent3 4 2 4" xfId="9173" xr:uid="{6A9A9816-21E5-4A58-81A9-B4E9888CA8AA}"/>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2E4CAD0A-9FEE-4B55-9272-801C8FF73BD5}"/>
    <cellStyle name="20% - Accent3 4 3 2 3" xfId="11731" xr:uid="{638C3B70-A9EB-42E6-A461-470E6D005F85}"/>
    <cellStyle name="20% - Accent3 4 3 3" xfId="5354" xr:uid="{00000000-0005-0000-0000-0000C2010000}"/>
    <cellStyle name="20% - Accent3 4 3 3 2" xfId="13804" xr:uid="{A583E969-29F5-44C5-BF90-FA461E9C20FF}"/>
    <cellStyle name="20% - Accent3 4 3 4" xfId="9586" xr:uid="{9312B581-458E-483C-8F77-C9AC48DD377C}"/>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91233419-281C-498C-B62A-70A7639D4A99}"/>
    <cellStyle name="20% - Accent3 4 4 2 3" xfId="12144" xr:uid="{E17858FF-C9EB-4DF5-9DA2-81BEFBE16283}"/>
    <cellStyle name="20% - Accent3 4 4 3" xfId="5767" xr:uid="{00000000-0005-0000-0000-0000C6010000}"/>
    <cellStyle name="20% - Accent3 4 4 3 2" xfId="14217" xr:uid="{51B753ED-4DED-44A4-95F6-8A1B4D6976CA}"/>
    <cellStyle name="20% - Accent3 4 4 4" xfId="9999" xr:uid="{6746B4DB-653F-4806-9708-09CE2F3AEE2A}"/>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1D0186AF-56DD-41CF-9201-8E1E409630F9}"/>
    <cellStyle name="20% - Accent3 4 5 2 3" xfId="12557" xr:uid="{CF0AC206-7D33-48BC-BF52-946B7DE022A8}"/>
    <cellStyle name="20% - Accent3 4 5 3" xfId="6180" xr:uid="{00000000-0005-0000-0000-0000CA010000}"/>
    <cellStyle name="20% - Accent3 4 5 3 2" xfId="14630" xr:uid="{19DB4CAA-3E3D-466D-B47E-076FF761B038}"/>
    <cellStyle name="20% - Accent3 4 5 4" xfId="10412" xr:uid="{97BE950F-6C61-4190-A03C-73A0B603BF00}"/>
    <cellStyle name="20% - Accent3 4 6" xfId="2287" xr:uid="{00000000-0005-0000-0000-0000CB010000}"/>
    <cellStyle name="20% - Accent3 4 6 2" xfId="6593" xr:uid="{00000000-0005-0000-0000-0000CC010000}"/>
    <cellStyle name="20% - Accent3 4 6 2 2" xfId="15043" xr:uid="{05BC6D61-CE05-4648-9F06-D5FF8FE3E579}"/>
    <cellStyle name="20% - Accent3 4 6 3" xfId="10825" xr:uid="{74561D3A-6017-49AB-B470-90CF05CBA9F8}"/>
    <cellStyle name="20% - Accent3 4 7" xfId="4527" xr:uid="{00000000-0005-0000-0000-0000CD010000}"/>
    <cellStyle name="20% - Accent3 4 7 2" xfId="12977" xr:uid="{DB4DE58A-DD6B-4083-96D0-F55E3C1CA06D}"/>
    <cellStyle name="20% - Accent3 4 8" xfId="8759" xr:uid="{DE1237F1-C0F3-4854-964E-25E04CDE015C}"/>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C11A955B-0C04-42A3-95BB-CE17C2B34258}"/>
    <cellStyle name="20% - Accent3 5 2 3" xfId="11311" xr:uid="{4002D539-4B51-4E66-9069-B76628F23406}"/>
    <cellStyle name="20% - Accent3 5 3" xfId="4934" xr:uid="{00000000-0005-0000-0000-0000D1010000}"/>
    <cellStyle name="20% - Accent3 5 3 2" xfId="13384" xr:uid="{EE101667-65F6-4B1A-8C93-986DD290B57E}"/>
    <cellStyle name="20% - Accent3 5 4" xfId="9166" xr:uid="{E299AF7B-6839-490A-91FF-4676CC88328D}"/>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33717FA3-CF46-4239-A10B-1938604A4580}"/>
    <cellStyle name="20% - Accent3 6 2 3" xfId="11724" xr:uid="{56850231-B818-4D0F-9E41-E36A82F8BF07}"/>
    <cellStyle name="20% - Accent3 6 3" xfId="5347" xr:uid="{00000000-0005-0000-0000-0000D5010000}"/>
    <cellStyle name="20% - Accent3 6 3 2" xfId="13797" xr:uid="{EA951E30-A9DE-432C-939E-C4431B1E3751}"/>
    <cellStyle name="20% - Accent3 6 4" xfId="9579" xr:uid="{1B54EE16-6BF2-48CB-B44C-32DBB06BDF1E}"/>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820CDFBD-77E0-4636-B9DC-BCCDD634D48F}"/>
    <cellStyle name="20% - Accent3 7 2 3" xfId="12137" xr:uid="{97FC4DE8-53BE-4FFE-94C2-6D5DB6E1453D}"/>
    <cellStyle name="20% - Accent3 7 3" xfId="5760" xr:uid="{00000000-0005-0000-0000-0000D9010000}"/>
    <cellStyle name="20% - Accent3 7 3 2" xfId="14210" xr:uid="{968B7EA2-0EA1-4784-B7BA-5C61BA91E48A}"/>
    <cellStyle name="20% - Accent3 7 4" xfId="9992" xr:uid="{C6896589-5EEA-490B-8963-52F0724474AA}"/>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9E10436F-1D02-48EF-860C-39E67F289161}"/>
    <cellStyle name="20% - Accent3 8 2 3" xfId="12550" xr:uid="{9FE7F84B-6A14-4B2C-85D5-C136EE2532C5}"/>
    <cellStyle name="20% - Accent3 8 3" xfId="6173" xr:uid="{00000000-0005-0000-0000-0000DD010000}"/>
    <cellStyle name="20% - Accent3 8 3 2" xfId="14623" xr:uid="{BCB12D02-44A5-4D94-9BD3-2B435482C1E0}"/>
    <cellStyle name="20% - Accent3 8 4" xfId="10405" xr:uid="{AD295ADF-47D1-4BC9-8827-15E4B59945BC}"/>
    <cellStyle name="20% - Accent3 9" xfId="2280" xr:uid="{00000000-0005-0000-0000-0000DE010000}"/>
    <cellStyle name="20% - Accent3 9 2" xfId="6586" xr:uid="{00000000-0005-0000-0000-0000DF010000}"/>
    <cellStyle name="20% - Accent3 9 2 2" xfId="15036" xr:uid="{DBD3F6A5-02F7-4024-A464-DC7B6B58DAD7}"/>
    <cellStyle name="20% - Accent3 9 3" xfId="10818" xr:uid="{47C70861-97A9-427D-AC0C-88BF88A524E5}"/>
    <cellStyle name="20% - Accent4" xfId="25" builtinId="42" customBuiltin="1"/>
    <cellStyle name="20% - Accent4 10" xfId="4528" xr:uid="{00000000-0005-0000-0000-0000E1010000}"/>
    <cellStyle name="20% - Accent4 10 2" xfId="12978" xr:uid="{0F479EF5-BC5D-4DD8-B339-C8D24D675083}"/>
    <cellStyle name="20% - Accent4 11" xfId="8760" xr:uid="{84955031-56FD-4811-A367-B4F5497048FD}"/>
    <cellStyle name="20% - Accent4 2" xfId="26" xr:uid="{00000000-0005-0000-0000-0000E2010000}"/>
    <cellStyle name="20% - Accent4 2 10" xfId="8761" xr:uid="{E3F7FAAE-F35B-4BFD-AD7D-B53C75E51C63}"/>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C0999C5B-E415-4D14-8B12-BFB285AB520F}"/>
    <cellStyle name="20% - Accent4 2 2 2 2 2 3" xfId="11322" xr:uid="{527082FF-57CC-40C2-80C4-652D2BBC437D}"/>
    <cellStyle name="20% - Accent4 2 2 2 2 3" xfId="4945" xr:uid="{00000000-0005-0000-0000-0000E8010000}"/>
    <cellStyle name="20% - Accent4 2 2 2 2 3 2" xfId="13395" xr:uid="{FAD41C2B-F126-41B1-A2E8-B1F6596EC8F4}"/>
    <cellStyle name="20% - Accent4 2 2 2 2 4" xfId="9177" xr:uid="{7B088960-0873-4B0E-8715-2BE340FE060A}"/>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BA7ECDAF-2DB4-4389-908F-51A95EAB661A}"/>
    <cellStyle name="20% - Accent4 2 2 2 3 2 3" xfId="11735" xr:uid="{E78DB866-6399-4F89-9299-73B4129E236D}"/>
    <cellStyle name="20% - Accent4 2 2 2 3 3" xfId="5358" xr:uid="{00000000-0005-0000-0000-0000EC010000}"/>
    <cellStyle name="20% - Accent4 2 2 2 3 3 2" xfId="13808" xr:uid="{C62193F5-53A6-489E-8806-C2C877B4F0F4}"/>
    <cellStyle name="20% - Accent4 2 2 2 3 4" xfId="9590" xr:uid="{BA850C22-F00E-4A6B-BE45-194C0F35CA26}"/>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8733CA41-E020-4755-A4E8-7636B69BBD10}"/>
    <cellStyle name="20% - Accent4 2 2 2 4 2 3" xfId="12148" xr:uid="{770423EC-580F-4505-B5FD-795C508EF43D}"/>
    <cellStyle name="20% - Accent4 2 2 2 4 3" xfId="5771" xr:uid="{00000000-0005-0000-0000-0000F0010000}"/>
    <cellStyle name="20% - Accent4 2 2 2 4 3 2" xfId="14221" xr:uid="{6CFC13C6-D4F3-4DB6-9938-1B46EA32344D}"/>
    <cellStyle name="20% - Accent4 2 2 2 4 4" xfId="10003" xr:uid="{56C654EE-8D51-4171-A0E5-378332567B2A}"/>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8FC6D12B-8E97-4775-8578-41F1C78142BA}"/>
    <cellStyle name="20% - Accent4 2 2 2 5 2 3" xfId="12561" xr:uid="{9C9C6D86-A82C-4259-A1C6-20616B306974}"/>
    <cellStyle name="20% - Accent4 2 2 2 5 3" xfId="6184" xr:uid="{00000000-0005-0000-0000-0000F4010000}"/>
    <cellStyle name="20% - Accent4 2 2 2 5 3 2" xfId="14634" xr:uid="{79C0E5BD-7543-4A76-9A46-B06D04022722}"/>
    <cellStyle name="20% - Accent4 2 2 2 5 4" xfId="10416" xr:uid="{D128FFED-13E9-4ED5-997F-A1BB90A75475}"/>
    <cellStyle name="20% - Accent4 2 2 2 6" xfId="2291" xr:uid="{00000000-0005-0000-0000-0000F5010000}"/>
    <cellStyle name="20% - Accent4 2 2 2 6 2" xfId="6597" xr:uid="{00000000-0005-0000-0000-0000F6010000}"/>
    <cellStyle name="20% - Accent4 2 2 2 6 2 2" xfId="15047" xr:uid="{4E6F1EDF-5610-40BE-8E16-03CD44DEDCDA}"/>
    <cellStyle name="20% - Accent4 2 2 2 6 3" xfId="10829" xr:uid="{9FD7C748-FFE3-4983-8E5B-781D11A995EF}"/>
    <cellStyle name="20% - Accent4 2 2 2 7" xfId="4531" xr:uid="{00000000-0005-0000-0000-0000F7010000}"/>
    <cellStyle name="20% - Accent4 2 2 2 7 2" xfId="12981" xr:uid="{D0260CB0-389A-4752-9721-357298225977}"/>
    <cellStyle name="20% - Accent4 2 2 2 8" xfId="8763" xr:uid="{11CB69AB-573A-42C5-B70F-9FBB6AFFA472}"/>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557A818E-D5CD-4D98-9C20-4E8A82E260BC}"/>
    <cellStyle name="20% - Accent4 2 2 3 2 3" xfId="11321" xr:uid="{5B4DD9CA-1BD7-46FD-B9B8-958A13A66C4F}"/>
    <cellStyle name="20% - Accent4 2 2 3 3" xfId="4944" xr:uid="{00000000-0005-0000-0000-0000FB010000}"/>
    <cellStyle name="20% - Accent4 2 2 3 3 2" xfId="13394" xr:uid="{7A0A4BFB-671A-4091-A9A2-772DDE85C32B}"/>
    <cellStyle name="20% - Accent4 2 2 3 4" xfId="9176" xr:uid="{053BAE90-8D3E-48A8-835F-096293957A20}"/>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BBFB951A-915A-428B-9E5B-512398EF2768}"/>
    <cellStyle name="20% - Accent4 2 2 4 2 3" xfId="11734" xr:uid="{90B718D8-A239-4503-B566-E20CFF2A4043}"/>
    <cellStyle name="20% - Accent4 2 2 4 3" xfId="5357" xr:uid="{00000000-0005-0000-0000-0000FF010000}"/>
    <cellStyle name="20% - Accent4 2 2 4 3 2" xfId="13807" xr:uid="{8F51B26C-E179-4065-B70D-9A45704D3EF2}"/>
    <cellStyle name="20% - Accent4 2 2 4 4" xfId="9589" xr:uid="{9CE0E40B-77C0-4FE9-985F-6FCD3BDC244D}"/>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731ECCE4-D675-4BE3-BB32-B0C68D9F95FE}"/>
    <cellStyle name="20% - Accent4 2 2 5 2 3" xfId="12147" xr:uid="{CD0FBFF1-DBE6-48F1-B8B0-EB5E5D56F8C9}"/>
    <cellStyle name="20% - Accent4 2 2 5 3" xfId="5770" xr:uid="{00000000-0005-0000-0000-000003020000}"/>
    <cellStyle name="20% - Accent4 2 2 5 3 2" xfId="14220" xr:uid="{0FAA22C7-B4A6-4AF8-8129-DA9237CF447C}"/>
    <cellStyle name="20% - Accent4 2 2 5 4" xfId="10002" xr:uid="{705AAF54-811A-4C34-9735-4637FD9C998A}"/>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AB92875F-F326-48F6-8540-49ECC7AC3983}"/>
    <cellStyle name="20% - Accent4 2 2 6 2 3" xfId="12560" xr:uid="{1D1D7C92-2197-4D43-92F1-08982F7A564D}"/>
    <cellStyle name="20% - Accent4 2 2 6 3" xfId="6183" xr:uid="{00000000-0005-0000-0000-000007020000}"/>
    <cellStyle name="20% - Accent4 2 2 6 3 2" xfId="14633" xr:uid="{52B5B45E-CDBB-49C7-AA96-1E036F68D523}"/>
    <cellStyle name="20% - Accent4 2 2 6 4" xfId="10415" xr:uid="{0D11E42E-72CA-4D9D-A76F-126BE3CB168D}"/>
    <cellStyle name="20% - Accent4 2 2 7" xfId="2290" xr:uid="{00000000-0005-0000-0000-000008020000}"/>
    <cellStyle name="20% - Accent4 2 2 7 2" xfId="6596" xr:uid="{00000000-0005-0000-0000-000009020000}"/>
    <cellStyle name="20% - Accent4 2 2 7 2 2" xfId="15046" xr:uid="{E1EFD477-BCE3-4E91-9A4D-A49E4A54A4A9}"/>
    <cellStyle name="20% - Accent4 2 2 7 3" xfId="10828" xr:uid="{D16A743D-1810-4B88-9E16-8D6ACDE7CD3F}"/>
    <cellStyle name="20% - Accent4 2 2 8" xfId="4530" xr:uid="{00000000-0005-0000-0000-00000A020000}"/>
    <cellStyle name="20% - Accent4 2 2 8 2" xfId="12980" xr:uid="{309F33F9-03B2-4182-A5F8-181E742CB3AF}"/>
    <cellStyle name="20% - Accent4 2 2 9" xfId="8762" xr:uid="{241055DC-665E-4388-8572-627EA4F255D8}"/>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C046008F-854F-4726-B6A8-8194DC0C30F0}"/>
    <cellStyle name="20% - Accent4 2 3 2 2 3" xfId="11323" xr:uid="{592B6DFC-0B07-434C-A3E4-BEEFF3D31277}"/>
    <cellStyle name="20% - Accent4 2 3 2 3" xfId="4946" xr:uid="{00000000-0005-0000-0000-00000F020000}"/>
    <cellStyle name="20% - Accent4 2 3 2 3 2" xfId="13396" xr:uid="{5CCBB11C-ADCA-4B67-A965-05349B8A1190}"/>
    <cellStyle name="20% - Accent4 2 3 2 4" xfId="9178" xr:uid="{44D20752-7A36-426C-944E-3DB84D77C1BA}"/>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0CAB5BCD-00F3-45F0-95B9-4709048338D3}"/>
    <cellStyle name="20% - Accent4 2 3 3 2 3" xfId="11736" xr:uid="{32FA2227-1FA3-4D08-A95B-4D7FA3E78F74}"/>
    <cellStyle name="20% - Accent4 2 3 3 3" xfId="5359" xr:uid="{00000000-0005-0000-0000-000013020000}"/>
    <cellStyle name="20% - Accent4 2 3 3 3 2" xfId="13809" xr:uid="{23D3C45A-A0F9-41D0-AA5C-48E82A443E8F}"/>
    <cellStyle name="20% - Accent4 2 3 3 4" xfId="9591" xr:uid="{5D20651E-69CC-48CF-A9C5-C907C00B35C1}"/>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711F5E1D-AA85-4AF7-AEDB-BF7C77D0B7C0}"/>
    <cellStyle name="20% - Accent4 2 3 4 2 3" xfId="12149" xr:uid="{C0FC303A-5BAA-452D-9B4C-0E78DDE3604C}"/>
    <cellStyle name="20% - Accent4 2 3 4 3" xfId="5772" xr:uid="{00000000-0005-0000-0000-000017020000}"/>
    <cellStyle name="20% - Accent4 2 3 4 3 2" xfId="14222" xr:uid="{4E8D14CA-7FA3-4172-919E-17D19578C90C}"/>
    <cellStyle name="20% - Accent4 2 3 4 4" xfId="10004" xr:uid="{1619969E-D12E-4F6F-B69D-3A19C950B56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F722066F-10AC-4271-B701-28E7DAAC6F1A}"/>
    <cellStyle name="20% - Accent4 2 3 5 2 3" xfId="12562" xr:uid="{90B3CF81-CA48-4A6D-9A2A-3CA78AA2F2B4}"/>
    <cellStyle name="20% - Accent4 2 3 5 3" xfId="6185" xr:uid="{00000000-0005-0000-0000-00001B020000}"/>
    <cellStyle name="20% - Accent4 2 3 5 3 2" xfId="14635" xr:uid="{DAC74E80-EA99-4D50-9618-A4F1E2B9F869}"/>
    <cellStyle name="20% - Accent4 2 3 5 4" xfId="10417" xr:uid="{F549454E-1CCF-4752-934B-B27F14E118CA}"/>
    <cellStyle name="20% - Accent4 2 3 6" xfId="2292" xr:uid="{00000000-0005-0000-0000-00001C020000}"/>
    <cellStyle name="20% - Accent4 2 3 6 2" xfId="6598" xr:uid="{00000000-0005-0000-0000-00001D020000}"/>
    <cellStyle name="20% - Accent4 2 3 6 2 2" xfId="15048" xr:uid="{C06AF224-32E4-422A-B9C5-4B06DB95ACDA}"/>
    <cellStyle name="20% - Accent4 2 3 6 3" xfId="10830" xr:uid="{664773FF-0BE6-4606-8812-58AB58711EA8}"/>
    <cellStyle name="20% - Accent4 2 3 7" xfId="4532" xr:uid="{00000000-0005-0000-0000-00001E020000}"/>
    <cellStyle name="20% - Accent4 2 3 7 2" xfId="12982" xr:uid="{1ED62FEA-5EC4-4C1A-9260-F0DA3341F259}"/>
    <cellStyle name="20% - Accent4 2 3 8" xfId="8764" xr:uid="{2CFFC024-818B-4889-AB6B-57917F2EB85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CB88A29D-60DD-4386-88B5-4EA0B62E04DE}"/>
    <cellStyle name="20% - Accent4 2 4 2 3" xfId="11320" xr:uid="{7962F086-63FE-48C5-AA94-F952E5BAE24A}"/>
    <cellStyle name="20% - Accent4 2 4 3" xfId="4943" xr:uid="{00000000-0005-0000-0000-000022020000}"/>
    <cellStyle name="20% - Accent4 2 4 3 2" xfId="13393" xr:uid="{9062FBF5-0315-42B1-A352-7EDF18181CAD}"/>
    <cellStyle name="20% - Accent4 2 4 4" xfId="9175" xr:uid="{512137AB-026B-4BF9-A57B-74E78260523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BDDA524D-03D1-4831-BC8C-CFE80889C99F}"/>
    <cellStyle name="20% - Accent4 2 5 2 3" xfId="11733" xr:uid="{D2DB84EA-E0FA-41F5-B8D5-03FDDFDD1E70}"/>
    <cellStyle name="20% - Accent4 2 5 3" xfId="5356" xr:uid="{00000000-0005-0000-0000-000026020000}"/>
    <cellStyle name="20% - Accent4 2 5 3 2" xfId="13806" xr:uid="{5296F89E-5EC5-40E1-A991-0D75FC71698B}"/>
    <cellStyle name="20% - Accent4 2 5 4" xfId="9588" xr:uid="{A94111F0-D620-4D55-86BD-85821CA0E238}"/>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33C2CE15-DED7-427E-B1F2-239EFEF911A3}"/>
    <cellStyle name="20% - Accent4 2 6 2 3" xfId="12146" xr:uid="{6684B657-728E-4CF7-A428-1F82AE1BC80C}"/>
    <cellStyle name="20% - Accent4 2 6 3" xfId="5769" xr:uid="{00000000-0005-0000-0000-00002A020000}"/>
    <cellStyle name="20% - Accent4 2 6 3 2" xfId="14219" xr:uid="{9B507376-1945-4D8F-98A7-B89884A2B120}"/>
    <cellStyle name="20% - Accent4 2 6 4" xfId="10001" xr:uid="{0F2C21CD-B485-458B-A02E-155B49D2C293}"/>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D8921319-24AC-4B7F-A848-D01BF46E6F37}"/>
    <cellStyle name="20% - Accent4 2 7 2 3" xfId="12559" xr:uid="{3EB50BE7-2908-4989-AE6D-A5ED868D5219}"/>
    <cellStyle name="20% - Accent4 2 7 3" xfId="6182" xr:uid="{00000000-0005-0000-0000-00002E020000}"/>
    <cellStyle name="20% - Accent4 2 7 3 2" xfId="14632" xr:uid="{EEB492B7-A063-4524-9B15-61C70631A28B}"/>
    <cellStyle name="20% - Accent4 2 7 4" xfId="10414" xr:uid="{97E63D27-48FB-4D28-87D3-B1C6C922BBF9}"/>
    <cellStyle name="20% - Accent4 2 8" xfId="2289" xr:uid="{00000000-0005-0000-0000-00002F020000}"/>
    <cellStyle name="20% - Accent4 2 8 2" xfId="6595" xr:uid="{00000000-0005-0000-0000-000030020000}"/>
    <cellStyle name="20% - Accent4 2 8 2 2" xfId="15045" xr:uid="{75522331-268E-478E-9F80-5B41425F3D0A}"/>
    <cellStyle name="20% - Accent4 2 8 3" xfId="10827" xr:uid="{D4FEC3DC-66AB-4ACF-AAAF-A6303B0D5989}"/>
    <cellStyle name="20% - Accent4 2 9" xfId="4529" xr:uid="{00000000-0005-0000-0000-000031020000}"/>
    <cellStyle name="20% - Accent4 2 9 2" xfId="12979" xr:uid="{2F1B1622-B787-488C-842D-658CF107A61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41A438E5-AABE-4AEB-8AA8-CC8C23566556}"/>
    <cellStyle name="20% - Accent4 3 2 2 2 3" xfId="11325" xr:uid="{F35F5440-A060-4FDF-91E6-25AFA655D374}"/>
    <cellStyle name="20% - Accent4 3 2 2 3" xfId="4948" xr:uid="{00000000-0005-0000-0000-000037020000}"/>
    <cellStyle name="20% - Accent4 3 2 2 3 2" xfId="13398" xr:uid="{F60B809C-7935-4251-A0FC-9BE53947E7EF}"/>
    <cellStyle name="20% - Accent4 3 2 2 4" xfId="9180" xr:uid="{49FCD65D-ACC2-4B60-BFD4-298E68229B6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A6BC6B4F-087D-41CE-80F0-E09709CCE46F}"/>
    <cellStyle name="20% - Accent4 3 2 3 2 3" xfId="11738" xr:uid="{11D9FB78-8C32-4BA3-AE12-94A1F2DE4735}"/>
    <cellStyle name="20% - Accent4 3 2 3 3" xfId="5361" xr:uid="{00000000-0005-0000-0000-00003B020000}"/>
    <cellStyle name="20% - Accent4 3 2 3 3 2" xfId="13811" xr:uid="{E7221439-0011-4082-892D-0F0E2A9C2546}"/>
    <cellStyle name="20% - Accent4 3 2 3 4" xfId="9593" xr:uid="{E27BA8A0-1C49-446E-B45A-0A68B8DB243E}"/>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E57C9061-CF71-457B-8364-3A406CEC3CCA}"/>
    <cellStyle name="20% - Accent4 3 2 4 2 3" xfId="12151" xr:uid="{7E6546D3-07ED-4E6C-AF2A-3DF4B4326349}"/>
    <cellStyle name="20% - Accent4 3 2 4 3" xfId="5774" xr:uid="{00000000-0005-0000-0000-00003F020000}"/>
    <cellStyle name="20% - Accent4 3 2 4 3 2" xfId="14224" xr:uid="{B2DD766C-4B79-494A-BA56-0E9E3AEE0C04}"/>
    <cellStyle name="20% - Accent4 3 2 4 4" xfId="10006" xr:uid="{2CB8EEE2-F21E-4DFF-A1E1-6D65480049F4}"/>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2B31658D-B0E6-4DE8-A45B-ACF7C833DA90}"/>
    <cellStyle name="20% - Accent4 3 2 5 2 3" xfId="12564" xr:uid="{458516A6-849A-4449-A0BE-745D074FAD4D}"/>
    <cellStyle name="20% - Accent4 3 2 5 3" xfId="6187" xr:uid="{00000000-0005-0000-0000-000043020000}"/>
    <cellStyle name="20% - Accent4 3 2 5 3 2" xfId="14637" xr:uid="{CB975302-698E-415A-A879-B49D0DB75366}"/>
    <cellStyle name="20% - Accent4 3 2 5 4" xfId="10419" xr:uid="{087579F7-D804-47E1-95EE-DCA251981ABA}"/>
    <cellStyle name="20% - Accent4 3 2 6" xfId="2294" xr:uid="{00000000-0005-0000-0000-000044020000}"/>
    <cellStyle name="20% - Accent4 3 2 6 2" xfId="6600" xr:uid="{00000000-0005-0000-0000-000045020000}"/>
    <cellStyle name="20% - Accent4 3 2 6 2 2" xfId="15050" xr:uid="{38E8A314-7606-466E-9963-C1A00D114F19}"/>
    <cellStyle name="20% - Accent4 3 2 6 3" xfId="10832" xr:uid="{DB271277-D1E4-462F-B235-093E8AFE94FC}"/>
    <cellStyle name="20% - Accent4 3 2 7" xfId="4534" xr:uid="{00000000-0005-0000-0000-000046020000}"/>
    <cellStyle name="20% - Accent4 3 2 7 2" xfId="12984" xr:uid="{D8AF89B2-103C-4DB2-8EB4-05A555F0BAE8}"/>
    <cellStyle name="20% - Accent4 3 2 8" xfId="8766" xr:uid="{CB67107D-0834-42F2-A3F7-2B92391EFDAD}"/>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33A464F7-6F51-4078-9F44-F978FF0D3AF1}"/>
    <cellStyle name="20% - Accent4 3 3 2 3" xfId="11324" xr:uid="{B93210A0-3519-4695-8267-77E6E187804D}"/>
    <cellStyle name="20% - Accent4 3 3 3" xfId="4947" xr:uid="{00000000-0005-0000-0000-00004A020000}"/>
    <cellStyle name="20% - Accent4 3 3 3 2" xfId="13397" xr:uid="{B40575BD-700E-4498-8DF4-A0C77ECA55CB}"/>
    <cellStyle name="20% - Accent4 3 3 4" xfId="9179" xr:uid="{CEBA3B80-5473-4F96-AED1-6401E99B43A9}"/>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44E0BDEA-0DBF-4321-BFEF-6FF9AD813CF2}"/>
    <cellStyle name="20% - Accent4 3 4 2 3" xfId="11737" xr:uid="{9F01607D-6E8B-4210-B424-194CAF9C9D5E}"/>
    <cellStyle name="20% - Accent4 3 4 3" xfId="5360" xr:uid="{00000000-0005-0000-0000-00004E020000}"/>
    <cellStyle name="20% - Accent4 3 4 3 2" xfId="13810" xr:uid="{48ED0FDA-696C-4B97-89BE-9470256819FC}"/>
    <cellStyle name="20% - Accent4 3 4 4" xfId="9592" xr:uid="{C22B588E-8B7B-4727-8CF8-DC2CE5DB5C3E}"/>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AD1FD7D0-2EAC-4015-930A-D7A4D0B7E8C9}"/>
    <cellStyle name="20% - Accent4 3 5 2 3" xfId="12150" xr:uid="{7B9C268C-85BC-4EFB-B79D-0BA0E243C382}"/>
    <cellStyle name="20% - Accent4 3 5 3" xfId="5773" xr:uid="{00000000-0005-0000-0000-000052020000}"/>
    <cellStyle name="20% - Accent4 3 5 3 2" xfId="14223" xr:uid="{AE00EAE0-22D7-4508-ABB4-674D3B21A7BD}"/>
    <cellStyle name="20% - Accent4 3 5 4" xfId="10005" xr:uid="{0066D06B-BE42-475B-838A-0A65992958BC}"/>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30FA616B-6CE9-482A-9597-91A736490546}"/>
    <cellStyle name="20% - Accent4 3 6 2 3" xfId="12563" xr:uid="{5AA0DEAC-8C75-4FA9-BEB3-6133C3E710E5}"/>
    <cellStyle name="20% - Accent4 3 6 3" xfId="6186" xr:uid="{00000000-0005-0000-0000-000056020000}"/>
    <cellStyle name="20% - Accent4 3 6 3 2" xfId="14636" xr:uid="{8D99D97A-EDA4-4A08-B2C1-FDAC44F3F502}"/>
    <cellStyle name="20% - Accent4 3 6 4" xfId="10418" xr:uid="{9B8AC7E8-6363-4722-BEB3-6B3AE4396231}"/>
    <cellStyle name="20% - Accent4 3 7" xfId="2293" xr:uid="{00000000-0005-0000-0000-000057020000}"/>
    <cellStyle name="20% - Accent4 3 7 2" xfId="6599" xr:uid="{00000000-0005-0000-0000-000058020000}"/>
    <cellStyle name="20% - Accent4 3 7 2 2" xfId="15049" xr:uid="{BCD0326F-6340-4982-A086-3B51F2BC9AA6}"/>
    <cellStyle name="20% - Accent4 3 7 3" xfId="10831" xr:uid="{4A6785AC-389C-47D8-90AA-1180D3B9B436}"/>
    <cellStyle name="20% - Accent4 3 8" xfId="4533" xr:uid="{00000000-0005-0000-0000-000059020000}"/>
    <cellStyle name="20% - Accent4 3 8 2" xfId="12983" xr:uid="{95F09AF5-2ED5-4B80-A71C-A6D59AEA0169}"/>
    <cellStyle name="20% - Accent4 3 9" xfId="8765" xr:uid="{F710EC6C-9993-466F-88AB-67C62EC63332}"/>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D12A97EE-C33C-4B89-B137-7A5928003097}"/>
    <cellStyle name="20% - Accent4 4 2 2 3" xfId="11326" xr:uid="{C1A94DBA-4EB2-4D80-9E0A-030C40A048D4}"/>
    <cellStyle name="20% - Accent4 4 2 3" xfId="4949" xr:uid="{00000000-0005-0000-0000-00005E020000}"/>
    <cellStyle name="20% - Accent4 4 2 3 2" xfId="13399" xr:uid="{221CC0F4-A354-40C8-97E9-4CF704C96516}"/>
    <cellStyle name="20% - Accent4 4 2 4" xfId="9181" xr:uid="{A7B7E6FB-A02C-47FC-A6EE-4995AE5E37DB}"/>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EF6F0102-8721-4A2A-8B9E-DDF4EC4F44A0}"/>
    <cellStyle name="20% - Accent4 4 3 2 3" xfId="11739" xr:uid="{24D80D75-58FE-4E37-8AAC-FD7BFD183CF3}"/>
    <cellStyle name="20% - Accent4 4 3 3" xfId="5362" xr:uid="{00000000-0005-0000-0000-000062020000}"/>
    <cellStyle name="20% - Accent4 4 3 3 2" xfId="13812" xr:uid="{E0833C8C-0E42-413B-BD86-390DE2D8A6C2}"/>
    <cellStyle name="20% - Accent4 4 3 4" xfId="9594" xr:uid="{659A57D9-B510-46FC-A7E1-5C7B81ECD350}"/>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773E6B14-A263-4348-A0E0-EE7596EA3F64}"/>
    <cellStyle name="20% - Accent4 4 4 2 3" xfId="12152" xr:uid="{51BB4255-161C-48C5-B72B-A4A6316C98FF}"/>
    <cellStyle name="20% - Accent4 4 4 3" xfId="5775" xr:uid="{00000000-0005-0000-0000-000066020000}"/>
    <cellStyle name="20% - Accent4 4 4 3 2" xfId="14225" xr:uid="{25D99788-2D0D-42A0-B6A1-159051E7B684}"/>
    <cellStyle name="20% - Accent4 4 4 4" xfId="10007" xr:uid="{380D904F-3AD4-4DDE-BA79-3AD9EC7096AD}"/>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6A514406-5D75-407C-9061-CE5789AC9DDE}"/>
    <cellStyle name="20% - Accent4 4 5 2 3" xfId="12565" xr:uid="{ADAC92EC-3F3D-412D-9274-827E4168A4D2}"/>
    <cellStyle name="20% - Accent4 4 5 3" xfId="6188" xr:uid="{00000000-0005-0000-0000-00006A020000}"/>
    <cellStyle name="20% - Accent4 4 5 3 2" xfId="14638" xr:uid="{C500D06E-37A0-456A-82D7-CAD781FFF37E}"/>
    <cellStyle name="20% - Accent4 4 5 4" xfId="10420" xr:uid="{9A1BF7F4-7968-437C-858B-91F370C30232}"/>
    <cellStyle name="20% - Accent4 4 6" xfId="2295" xr:uid="{00000000-0005-0000-0000-00006B020000}"/>
    <cellStyle name="20% - Accent4 4 6 2" xfId="6601" xr:uid="{00000000-0005-0000-0000-00006C020000}"/>
    <cellStyle name="20% - Accent4 4 6 2 2" xfId="15051" xr:uid="{EF87A35D-8754-4925-A588-0F731ED48493}"/>
    <cellStyle name="20% - Accent4 4 6 3" xfId="10833" xr:uid="{B4C03637-1630-45F1-A609-6B554E1AB7E8}"/>
    <cellStyle name="20% - Accent4 4 7" xfId="4535" xr:uid="{00000000-0005-0000-0000-00006D020000}"/>
    <cellStyle name="20% - Accent4 4 7 2" xfId="12985" xr:uid="{FE1F6027-15CE-4BF2-AD91-35D89EAB8C36}"/>
    <cellStyle name="20% - Accent4 4 8" xfId="8767" xr:uid="{538E62E0-1794-46EB-A067-C82F405B473F}"/>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3E05A3E5-08A8-47AE-AD01-F5B432D05154}"/>
    <cellStyle name="20% - Accent4 5 2 3" xfId="11319" xr:uid="{F0A65EC9-CD77-4189-B62C-B3A39122969A}"/>
    <cellStyle name="20% - Accent4 5 3" xfId="4942" xr:uid="{00000000-0005-0000-0000-000071020000}"/>
    <cellStyle name="20% - Accent4 5 3 2" xfId="13392" xr:uid="{3192D84A-034A-480A-ADC4-5CEEEFB00A8C}"/>
    <cellStyle name="20% - Accent4 5 4" xfId="9174" xr:uid="{6B2047E0-8BB8-4798-ACA8-069A037AA27C}"/>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4E683AB7-E7BB-412A-B3FF-1BC39814EDC3}"/>
    <cellStyle name="20% - Accent4 6 2 3" xfId="11732" xr:uid="{825C9081-8101-4611-8D95-7D0308954A16}"/>
    <cellStyle name="20% - Accent4 6 3" xfId="5355" xr:uid="{00000000-0005-0000-0000-000075020000}"/>
    <cellStyle name="20% - Accent4 6 3 2" xfId="13805" xr:uid="{34CE74D2-BA53-4F73-81E5-1216AF4D68DA}"/>
    <cellStyle name="20% - Accent4 6 4" xfId="9587" xr:uid="{E13B2CA2-2B9F-4FED-8F8C-47A452C17B0C}"/>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A41C0026-8B25-479A-BE19-D5321480CEC5}"/>
    <cellStyle name="20% - Accent4 7 2 3" xfId="12145" xr:uid="{52CFFB85-D6A5-4171-8F50-332E70E13AAD}"/>
    <cellStyle name="20% - Accent4 7 3" xfId="5768" xr:uid="{00000000-0005-0000-0000-000079020000}"/>
    <cellStyle name="20% - Accent4 7 3 2" xfId="14218" xr:uid="{B2FB13B2-8577-4150-8C53-26E697BBE4AC}"/>
    <cellStyle name="20% - Accent4 7 4" xfId="10000" xr:uid="{14F50084-6187-461D-A140-869FFE922F02}"/>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B1F7D63A-D1FA-4162-937D-52173872DCF6}"/>
    <cellStyle name="20% - Accent4 8 2 3" xfId="12558" xr:uid="{73940ADC-CF97-4651-A199-9C4BF12016E1}"/>
    <cellStyle name="20% - Accent4 8 3" xfId="6181" xr:uid="{00000000-0005-0000-0000-00007D020000}"/>
    <cellStyle name="20% - Accent4 8 3 2" xfId="14631" xr:uid="{4928F075-C906-4DA2-B87A-EDC0CCE7AD4B}"/>
    <cellStyle name="20% - Accent4 8 4" xfId="10413" xr:uid="{4E68E906-7964-4184-BEB3-6B2C251F6243}"/>
    <cellStyle name="20% - Accent4 9" xfId="2288" xr:uid="{00000000-0005-0000-0000-00007E020000}"/>
    <cellStyle name="20% - Accent4 9 2" xfId="6594" xr:uid="{00000000-0005-0000-0000-00007F020000}"/>
    <cellStyle name="20% - Accent4 9 2 2" xfId="15044" xr:uid="{05D7A20B-0932-4195-A70D-719AD30C3813}"/>
    <cellStyle name="20% - Accent4 9 3" xfId="10826" xr:uid="{7AD9F81F-9BCF-4A8E-950B-87130D4A106F}"/>
    <cellStyle name="20% - Accent5" xfId="33" builtinId="46" customBuiltin="1"/>
    <cellStyle name="20% - Accent5 10" xfId="4536" xr:uid="{00000000-0005-0000-0000-000081020000}"/>
    <cellStyle name="20% - Accent5 10 2" xfId="12986" xr:uid="{71A2DDFC-A333-416C-8EA0-29E50F2FA624}"/>
    <cellStyle name="20% - Accent5 11" xfId="8768" xr:uid="{EEAD2877-FC8C-4869-9E79-DCE418FB6945}"/>
    <cellStyle name="20% - Accent5 2" xfId="34" xr:uid="{00000000-0005-0000-0000-000082020000}"/>
    <cellStyle name="20% - Accent5 2 10" xfId="8769" xr:uid="{17E51A1F-901D-4C4B-832D-C01B3EB99C34}"/>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5D11ED83-1B7B-44BA-B0D4-C01BD1C3A15D}"/>
    <cellStyle name="20% - Accent5 2 2 2 2 2 3" xfId="11330" xr:uid="{3CB3BA6A-4A10-4E10-9C25-6B7976839306}"/>
    <cellStyle name="20% - Accent5 2 2 2 2 3" xfId="4953" xr:uid="{00000000-0005-0000-0000-000088020000}"/>
    <cellStyle name="20% - Accent5 2 2 2 2 3 2" xfId="13403" xr:uid="{4B644569-C72B-4720-879C-F567BDBDC57D}"/>
    <cellStyle name="20% - Accent5 2 2 2 2 4" xfId="9185" xr:uid="{60F2E8A1-9FE6-429B-B2FF-3B91A14ADD8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1A573EF6-0280-43C3-9599-58721DDEBB5F}"/>
    <cellStyle name="20% - Accent5 2 2 2 3 2 3" xfId="11743" xr:uid="{59ED99BD-6AA5-4434-8DB8-02A82F35854E}"/>
    <cellStyle name="20% - Accent5 2 2 2 3 3" xfId="5366" xr:uid="{00000000-0005-0000-0000-00008C020000}"/>
    <cellStyle name="20% - Accent5 2 2 2 3 3 2" xfId="13816" xr:uid="{6E8059A9-5997-4FAA-9DA7-BB05A4820FBB}"/>
    <cellStyle name="20% - Accent5 2 2 2 3 4" xfId="9598" xr:uid="{B9F82CC8-F5CE-4829-8613-AEF3E41F96CE}"/>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1912647E-6F2D-47B0-BEB8-8D2845960220}"/>
    <cellStyle name="20% - Accent5 2 2 2 4 2 3" xfId="12156" xr:uid="{7DED3A44-DD9F-439A-98F9-D548C23D9A11}"/>
    <cellStyle name="20% - Accent5 2 2 2 4 3" xfId="5779" xr:uid="{00000000-0005-0000-0000-000090020000}"/>
    <cellStyle name="20% - Accent5 2 2 2 4 3 2" xfId="14229" xr:uid="{DDA7FAD5-B7E5-48A2-B0E9-F4CF40D52FF5}"/>
    <cellStyle name="20% - Accent5 2 2 2 4 4" xfId="10011" xr:uid="{838F6A0D-9705-463A-9856-33B36AED22D3}"/>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8E90D66-8A71-40F0-A25F-66977EA43FFE}"/>
    <cellStyle name="20% - Accent5 2 2 2 5 2 3" xfId="12569" xr:uid="{A3669D87-C46A-4EE9-AA53-DD07A50A7D0D}"/>
    <cellStyle name="20% - Accent5 2 2 2 5 3" xfId="6192" xr:uid="{00000000-0005-0000-0000-000094020000}"/>
    <cellStyle name="20% - Accent5 2 2 2 5 3 2" xfId="14642" xr:uid="{441ECDC3-CBD9-4515-BA4E-D0E4EAB4B4A9}"/>
    <cellStyle name="20% - Accent5 2 2 2 5 4" xfId="10424" xr:uid="{D1780FFF-11AB-4729-A8B5-EC810AAC8911}"/>
    <cellStyle name="20% - Accent5 2 2 2 6" xfId="2299" xr:uid="{00000000-0005-0000-0000-000095020000}"/>
    <cellStyle name="20% - Accent5 2 2 2 6 2" xfId="6605" xr:uid="{00000000-0005-0000-0000-000096020000}"/>
    <cellStyle name="20% - Accent5 2 2 2 6 2 2" xfId="15055" xr:uid="{E4A79734-47C2-42AA-A4F5-CB8E7A675F98}"/>
    <cellStyle name="20% - Accent5 2 2 2 6 3" xfId="10837" xr:uid="{6C3B8791-5CF0-4372-8B1A-766C2D6681C2}"/>
    <cellStyle name="20% - Accent5 2 2 2 7" xfId="4539" xr:uid="{00000000-0005-0000-0000-000097020000}"/>
    <cellStyle name="20% - Accent5 2 2 2 7 2" xfId="12989" xr:uid="{76919FAF-AF83-419E-A1D8-016458890B2C}"/>
    <cellStyle name="20% - Accent5 2 2 2 8" xfId="8771" xr:uid="{52B6771C-0E56-42FA-BF70-D1DAD50CC35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AAFBA0BF-BFD6-4EBE-A385-3565F7540B41}"/>
    <cellStyle name="20% - Accent5 2 2 3 2 3" xfId="11329" xr:uid="{BCF51BE1-E271-49D1-9EE1-95637F5B5C3A}"/>
    <cellStyle name="20% - Accent5 2 2 3 3" xfId="4952" xr:uid="{00000000-0005-0000-0000-00009B020000}"/>
    <cellStyle name="20% - Accent5 2 2 3 3 2" xfId="13402" xr:uid="{F2D012CC-A6F4-473F-AC5D-EC03F1A62799}"/>
    <cellStyle name="20% - Accent5 2 2 3 4" xfId="9184" xr:uid="{DB7E75C4-0802-4D10-BDD5-2023051232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5B0973AE-F02A-49B4-A724-CA96EF884056}"/>
    <cellStyle name="20% - Accent5 2 2 4 2 3" xfId="11742" xr:uid="{48034453-51E1-4566-94F9-CEA87DA439F9}"/>
    <cellStyle name="20% - Accent5 2 2 4 3" xfId="5365" xr:uid="{00000000-0005-0000-0000-00009F020000}"/>
    <cellStyle name="20% - Accent5 2 2 4 3 2" xfId="13815" xr:uid="{49993C8F-3E8C-4616-9E8A-EEB0AFB95E6F}"/>
    <cellStyle name="20% - Accent5 2 2 4 4" xfId="9597" xr:uid="{1E7F59E6-C04C-4C0A-A44A-DB94CF5DDF06}"/>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F7A6C2BD-A1FA-4A83-A248-F905107181DA}"/>
    <cellStyle name="20% - Accent5 2 2 5 2 3" xfId="12155" xr:uid="{0E4A2ED5-F55E-4911-9D1C-28F474DEECD9}"/>
    <cellStyle name="20% - Accent5 2 2 5 3" xfId="5778" xr:uid="{00000000-0005-0000-0000-0000A3020000}"/>
    <cellStyle name="20% - Accent5 2 2 5 3 2" xfId="14228" xr:uid="{409B5BD8-05B8-470C-B0D2-44380B9D367E}"/>
    <cellStyle name="20% - Accent5 2 2 5 4" xfId="10010" xr:uid="{6DB244DD-8EB2-4BBD-8E95-AD2E13A08768}"/>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618DD881-93DB-4990-8EAC-30FEDD1793FA}"/>
    <cellStyle name="20% - Accent5 2 2 6 2 3" xfId="12568" xr:uid="{B418B94B-E377-4623-9F66-E56DC896E197}"/>
    <cellStyle name="20% - Accent5 2 2 6 3" xfId="6191" xr:uid="{00000000-0005-0000-0000-0000A7020000}"/>
    <cellStyle name="20% - Accent5 2 2 6 3 2" xfId="14641" xr:uid="{1C6E44A8-1935-4710-B6FE-958CDD74D036}"/>
    <cellStyle name="20% - Accent5 2 2 6 4" xfId="10423" xr:uid="{4E1112D9-270B-49F9-9C51-253C7371A86A}"/>
    <cellStyle name="20% - Accent5 2 2 7" xfId="2298" xr:uid="{00000000-0005-0000-0000-0000A8020000}"/>
    <cellStyle name="20% - Accent5 2 2 7 2" xfId="6604" xr:uid="{00000000-0005-0000-0000-0000A9020000}"/>
    <cellStyle name="20% - Accent5 2 2 7 2 2" xfId="15054" xr:uid="{3066E4E9-D018-42AD-8692-09BB6CCAB60B}"/>
    <cellStyle name="20% - Accent5 2 2 7 3" xfId="10836" xr:uid="{555E249A-C793-4E05-B276-5A5E5BF61603}"/>
    <cellStyle name="20% - Accent5 2 2 8" xfId="4538" xr:uid="{00000000-0005-0000-0000-0000AA020000}"/>
    <cellStyle name="20% - Accent5 2 2 8 2" xfId="12988" xr:uid="{5CA7B71C-FED4-4787-B9B3-D0A83598F460}"/>
    <cellStyle name="20% - Accent5 2 2 9" xfId="8770" xr:uid="{E795432A-D4B1-4BCC-938D-298041408D25}"/>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FD2DEA0B-55A6-41BF-9BCC-9C576A6E8F11}"/>
    <cellStyle name="20% - Accent5 2 3 2 2 3" xfId="11331" xr:uid="{AABAD0FC-79E8-4465-9D25-7850FFED00B3}"/>
    <cellStyle name="20% - Accent5 2 3 2 3" xfId="4954" xr:uid="{00000000-0005-0000-0000-0000AF020000}"/>
    <cellStyle name="20% - Accent5 2 3 2 3 2" xfId="13404" xr:uid="{B9BD195B-8A76-43E7-9198-C409830A8F2F}"/>
    <cellStyle name="20% - Accent5 2 3 2 4" xfId="9186" xr:uid="{5EEDF65E-9498-49E6-9765-D595966E5340}"/>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DE252C13-D1AC-4907-BEC9-CAE6CCE0980E}"/>
    <cellStyle name="20% - Accent5 2 3 3 2 3" xfId="11744" xr:uid="{96EB500D-1EE1-4593-AE89-274B85FA060B}"/>
    <cellStyle name="20% - Accent5 2 3 3 3" xfId="5367" xr:uid="{00000000-0005-0000-0000-0000B3020000}"/>
    <cellStyle name="20% - Accent5 2 3 3 3 2" xfId="13817" xr:uid="{D7152FD1-0400-4693-83A9-8AAB3136FD76}"/>
    <cellStyle name="20% - Accent5 2 3 3 4" xfId="9599" xr:uid="{44A4A8A4-DDEF-4262-9379-A87E8CC341EF}"/>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F2E8965B-3FAF-4EAC-BD08-739ABEE9AD44}"/>
    <cellStyle name="20% - Accent5 2 3 4 2 3" xfId="12157" xr:uid="{8AF3C0AB-87D3-472E-8ABE-F5B8D8020268}"/>
    <cellStyle name="20% - Accent5 2 3 4 3" xfId="5780" xr:uid="{00000000-0005-0000-0000-0000B7020000}"/>
    <cellStyle name="20% - Accent5 2 3 4 3 2" xfId="14230" xr:uid="{40B30922-326B-4AC2-9955-C9F7C3B07630}"/>
    <cellStyle name="20% - Accent5 2 3 4 4" xfId="10012" xr:uid="{2CD10B18-8766-48C7-A503-4A329F142A4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9CEF49A2-5BD5-4AEE-8C3B-3BA342F0F7DB}"/>
    <cellStyle name="20% - Accent5 2 3 5 2 3" xfId="12570" xr:uid="{16F0B19B-9024-4C55-89F8-5E71963838F6}"/>
    <cellStyle name="20% - Accent5 2 3 5 3" xfId="6193" xr:uid="{00000000-0005-0000-0000-0000BB020000}"/>
    <cellStyle name="20% - Accent5 2 3 5 3 2" xfId="14643" xr:uid="{7C6A2AA1-FE35-4683-BFD2-D1182371AA23}"/>
    <cellStyle name="20% - Accent5 2 3 5 4" xfId="10425" xr:uid="{1760A271-9CF4-49F3-8ED2-68FE10961520}"/>
    <cellStyle name="20% - Accent5 2 3 6" xfId="2300" xr:uid="{00000000-0005-0000-0000-0000BC020000}"/>
    <cellStyle name="20% - Accent5 2 3 6 2" xfId="6606" xr:uid="{00000000-0005-0000-0000-0000BD020000}"/>
    <cellStyle name="20% - Accent5 2 3 6 2 2" xfId="15056" xr:uid="{E0932AD4-D4A7-40CB-A720-5E31BFF8A2A4}"/>
    <cellStyle name="20% - Accent5 2 3 6 3" xfId="10838" xr:uid="{3918DD68-37EE-42CE-A537-ED55568C9EF5}"/>
    <cellStyle name="20% - Accent5 2 3 7" xfId="4540" xr:uid="{00000000-0005-0000-0000-0000BE020000}"/>
    <cellStyle name="20% - Accent5 2 3 7 2" xfId="12990" xr:uid="{96E9042D-9C13-4BCF-BDB9-5B6FBAC92A06}"/>
    <cellStyle name="20% - Accent5 2 3 8" xfId="8772" xr:uid="{3C3F7048-C570-403F-85B7-7AE920CAF43C}"/>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9CB0100C-FAFE-4711-BF08-51A9AB133EF8}"/>
    <cellStyle name="20% - Accent5 2 4 2 3" xfId="11328" xr:uid="{1FA4B937-6497-46C6-9185-F320FAA91D0A}"/>
    <cellStyle name="20% - Accent5 2 4 3" xfId="4951" xr:uid="{00000000-0005-0000-0000-0000C2020000}"/>
    <cellStyle name="20% - Accent5 2 4 3 2" xfId="13401" xr:uid="{8B3E030B-42C0-4235-A4DE-CC149E749479}"/>
    <cellStyle name="20% - Accent5 2 4 4" xfId="9183" xr:uid="{929AD2CA-9740-4D14-BB60-BAF9D07F0136}"/>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D70FB59F-9EE9-4E45-94BB-C5C83825CBB3}"/>
    <cellStyle name="20% - Accent5 2 5 2 3" xfId="11741" xr:uid="{B96DAFD6-17AD-40A4-95B3-5E42F06D3D84}"/>
    <cellStyle name="20% - Accent5 2 5 3" xfId="5364" xr:uid="{00000000-0005-0000-0000-0000C6020000}"/>
    <cellStyle name="20% - Accent5 2 5 3 2" xfId="13814" xr:uid="{F50ACDCF-B860-4F3B-BF12-E533998AA66D}"/>
    <cellStyle name="20% - Accent5 2 5 4" xfId="9596" xr:uid="{3BC25D41-E9F1-412D-8D9B-2F0EA4620914}"/>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239C8D63-A26B-427B-8982-129DB637A3A3}"/>
    <cellStyle name="20% - Accent5 2 6 2 3" xfId="12154" xr:uid="{A5A0913B-C515-438B-A380-36880DB1A2E5}"/>
    <cellStyle name="20% - Accent5 2 6 3" xfId="5777" xr:uid="{00000000-0005-0000-0000-0000CA020000}"/>
    <cellStyle name="20% - Accent5 2 6 3 2" xfId="14227" xr:uid="{1933E822-EBBC-48D9-89F3-9350E528F14B}"/>
    <cellStyle name="20% - Accent5 2 6 4" xfId="10009" xr:uid="{BF6B24FF-F287-41FA-90F3-F23DDA63C831}"/>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9F24B005-67E5-44E8-9C72-C131B9391DE3}"/>
    <cellStyle name="20% - Accent5 2 7 2 3" xfId="12567" xr:uid="{5CFA49DA-663D-40FF-AAD0-4BDEC5170718}"/>
    <cellStyle name="20% - Accent5 2 7 3" xfId="6190" xr:uid="{00000000-0005-0000-0000-0000CE020000}"/>
    <cellStyle name="20% - Accent5 2 7 3 2" xfId="14640" xr:uid="{B1446F11-7221-482D-854E-1364AA52014A}"/>
    <cellStyle name="20% - Accent5 2 7 4" xfId="10422" xr:uid="{17F71403-35A6-4506-B43D-0C24718F9B8A}"/>
    <cellStyle name="20% - Accent5 2 8" xfId="2297" xr:uid="{00000000-0005-0000-0000-0000CF020000}"/>
    <cellStyle name="20% - Accent5 2 8 2" xfId="6603" xr:uid="{00000000-0005-0000-0000-0000D0020000}"/>
    <cellStyle name="20% - Accent5 2 8 2 2" xfId="15053" xr:uid="{3F93A088-6746-4DB6-B761-8B4B2D281DCF}"/>
    <cellStyle name="20% - Accent5 2 8 3" xfId="10835" xr:uid="{6FE8F0E9-052B-42CE-8803-F32463B671D7}"/>
    <cellStyle name="20% - Accent5 2 9" xfId="4537" xr:uid="{00000000-0005-0000-0000-0000D1020000}"/>
    <cellStyle name="20% - Accent5 2 9 2" xfId="12987" xr:uid="{1D7B03C0-04EE-4B4C-B9B2-54046516AC7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6311D589-5046-4F67-8C41-CE28981B501F}"/>
    <cellStyle name="20% - Accent5 3 2 2 2 3" xfId="11333" xr:uid="{9F1FA48B-2BD8-49DE-80FF-02AC7B694427}"/>
    <cellStyle name="20% - Accent5 3 2 2 3" xfId="4956" xr:uid="{00000000-0005-0000-0000-0000D7020000}"/>
    <cellStyle name="20% - Accent5 3 2 2 3 2" xfId="13406" xr:uid="{A8EF6363-0F39-4AC6-BF24-F1A477BB4910}"/>
    <cellStyle name="20% - Accent5 3 2 2 4" xfId="9188" xr:uid="{B38BF009-707F-4ED9-AF09-8E506A2C2EA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37675555-979D-4ADF-9636-C20DA36E3396}"/>
    <cellStyle name="20% - Accent5 3 2 3 2 3" xfId="11746" xr:uid="{A65161DA-7182-451A-83F6-118A7505F9F5}"/>
    <cellStyle name="20% - Accent5 3 2 3 3" xfId="5369" xr:uid="{00000000-0005-0000-0000-0000DB020000}"/>
    <cellStyle name="20% - Accent5 3 2 3 3 2" xfId="13819" xr:uid="{1566AC1B-4596-4948-A2CF-E4B3251D901D}"/>
    <cellStyle name="20% - Accent5 3 2 3 4" xfId="9601" xr:uid="{97E77B10-B868-4D23-9CAA-4A8AB9217E72}"/>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E267DB4F-56BF-490C-A59A-4C8836915227}"/>
    <cellStyle name="20% - Accent5 3 2 4 2 3" xfId="12159" xr:uid="{ABDC3551-3888-4644-AAB6-8AB83C6A8BC1}"/>
    <cellStyle name="20% - Accent5 3 2 4 3" xfId="5782" xr:uid="{00000000-0005-0000-0000-0000DF020000}"/>
    <cellStyle name="20% - Accent5 3 2 4 3 2" xfId="14232" xr:uid="{E09AB600-4E03-4F4C-9FDF-669299737470}"/>
    <cellStyle name="20% - Accent5 3 2 4 4" xfId="10014" xr:uid="{11413304-885D-43F6-9511-F58D17AFC587}"/>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205B8D5A-1497-400B-8816-BB6EB16DDCF1}"/>
    <cellStyle name="20% - Accent5 3 2 5 2 3" xfId="12572" xr:uid="{792FEF65-D826-4A3B-BC31-936D859E2EB6}"/>
    <cellStyle name="20% - Accent5 3 2 5 3" xfId="6195" xr:uid="{00000000-0005-0000-0000-0000E3020000}"/>
    <cellStyle name="20% - Accent5 3 2 5 3 2" xfId="14645" xr:uid="{0AD3727C-BAB2-4156-92F0-4CC628FDB748}"/>
    <cellStyle name="20% - Accent5 3 2 5 4" xfId="10427" xr:uid="{60DDF52A-3921-471B-88F0-0A093AC30D2D}"/>
    <cellStyle name="20% - Accent5 3 2 6" xfId="2302" xr:uid="{00000000-0005-0000-0000-0000E4020000}"/>
    <cellStyle name="20% - Accent5 3 2 6 2" xfId="6608" xr:uid="{00000000-0005-0000-0000-0000E5020000}"/>
    <cellStyle name="20% - Accent5 3 2 6 2 2" xfId="15058" xr:uid="{7EE26A56-7132-4D7A-A4FD-0494923625F9}"/>
    <cellStyle name="20% - Accent5 3 2 6 3" xfId="10840" xr:uid="{61664FD8-AC2E-4A7C-B622-CB8790605990}"/>
    <cellStyle name="20% - Accent5 3 2 7" xfId="4542" xr:uid="{00000000-0005-0000-0000-0000E6020000}"/>
    <cellStyle name="20% - Accent5 3 2 7 2" xfId="12992" xr:uid="{AC8FD259-6D04-4EDC-824E-0AAD51CB2A95}"/>
    <cellStyle name="20% - Accent5 3 2 8" xfId="8774" xr:uid="{42C9BF2E-A05B-4C54-90F2-2AE147125FFF}"/>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A5314B69-524A-498A-BDCA-890C1E36FEFF}"/>
    <cellStyle name="20% - Accent5 3 3 2 3" xfId="11332" xr:uid="{BFDB3C02-750D-468A-8822-36CB91AE92E7}"/>
    <cellStyle name="20% - Accent5 3 3 3" xfId="4955" xr:uid="{00000000-0005-0000-0000-0000EA020000}"/>
    <cellStyle name="20% - Accent5 3 3 3 2" xfId="13405" xr:uid="{413B2212-56C2-4347-90A5-6A34221C3750}"/>
    <cellStyle name="20% - Accent5 3 3 4" xfId="9187" xr:uid="{124DB378-5A4A-46D0-8EEF-C889525CE914}"/>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E5F52342-A383-42C3-9F08-ADF16A284C69}"/>
    <cellStyle name="20% - Accent5 3 4 2 3" xfId="11745" xr:uid="{6B955C8B-F5FD-4924-8300-68C1E8299C2B}"/>
    <cellStyle name="20% - Accent5 3 4 3" xfId="5368" xr:uid="{00000000-0005-0000-0000-0000EE020000}"/>
    <cellStyle name="20% - Accent5 3 4 3 2" xfId="13818" xr:uid="{159E23B1-CCE7-4B2E-911E-A5BBD0DD06C6}"/>
    <cellStyle name="20% - Accent5 3 4 4" xfId="9600" xr:uid="{B1EFA034-017B-4568-A15F-07F52908C569}"/>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17C6B175-4B11-43A1-8319-3631914DEF1A}"/>
    <cellStyle name="20% - Accent5 3 5 2 3" xfId="12158" xr:uid="{109E41A9-B05A-4073-BE12-6B76B081363B}"/>
    <cellStyle name="20% - Accent5 3 5 3" xfId="5781" xr:uid="{00000000-0005-0000-0000-0000F2020000}"/>
    <cellStyle name="20% - Accent5 3 5 3 2" xfId="14231" xr:uid="{D60B80E5-CAB3-4DEF-A15D-8ADE809E36A8}"/>
    <cellStyle name="20% - Accent5 3 5 4" xfId="10013" xr:uid="{77859C97-46AD-430E-B527-AD023E353D4E}"/>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0E33BCB5-561C-4C16-9964-20D4A6664F28}"/>
    <cellStyle name="20% - Accent5 3 6 2 3" xfId="12571" xr:uid="{A389C0BF-B6BE-451C-814E-1A01F2139E3B}"/>
    <cellStyle name="20% - Accent5 3 6 3" xfId="6194" xr:uid="{00000000-0005-0000-0000-0000F6020000}"/>
    <cellStyle name="20% - Accent5 3 6 3 2" xfId="14644" xr:uid="{35A03133-D674-4639-B0E5-F61BE8A53AF9}"/>
    <cellStyle name="20% - Accent5 3 6 4" xfId="10426" xr:uid="{30E638CC-00A2-457C-B57D-E7E0B7AD08E5}"/>
    <cellStyle name="20% - Accent5 3 7" xfId="2301" xr:uid="{00000000-0005-0000-0000-0000F7020000}"/>
    <cellStyle name="20% - Accent5 3 7 2" xfId="6607" xr:uid="{00000000-0005-0000-0000-0000F8020000}"/>
    <cellStyle name="20% - Accent5 3 7 2 2" xfId="15057" xr:uid="{2A91C0C2-EE85-449E-A0EC-A1F4D78F6F7C}"/>
    <cellStyle name="20% - Accent5 3 7 3" xfId="10839" xr:uid="{4D7A8FA0-78CD-41AD-AF1F-9F4A13B12C97}"/>
    <cellStyle name="20% - Accent5 3 8" xfId="4541" xr:uid="{00000000-0005-0000-0000-0000F9020000}"/>
    <cellStyle name="20% - Accent5 3 8 2" xfId="12991" xr:uid="{18FC9F99-1761-4DB7-AEDB-C7EEAC3802E2}"/>
    <cellStyle name="20% - Accent5 3 9" xfId="8773" xr:uid="{E72150EC-9444-47A5-9DE7-B288C29A35BC}"/>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C9196CDF-073B-4485-B018-06934B5B6BE1}"/>
    <cellStyle name="20% - Accent5 4 2 2 3" xfId="11334" xr:uid="{ED36E437-9EED-4929-9F9D-CEE10DF7975D}"/>
    <cellStyle name="20% - Accent5 4 2 3" xfId="4957" xr:uid="{00000000-0005-0000-0000-0000FE020000}"/>
    <cellStyle name="20% - Accent5 4 2 3 2" xfId="13407" xr:uid="{1E58ACB8-EE7E-4C3C-8B8F-FEEEFAE6E0B1}"/>
    <cellStyle name="20% - Accent5 4 2 4" xfId="9189" xr:uid="{3693043B-C5E4-43FA-B488-B30415FED15E}"/>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C0A96579-D377-4A65-A002-432771A76F16}"/>
    <cellStyle name="20% - Accent5 4 3 2 3" xfId="11747" xr:uid="{0C425133-6A48-476B-AE03-EB4C12E61567}"/>
    <cellStyle name="20% - Accent5 4 3 3" xfId="5370" xr:uid="{00000000-0005-0000-0000-000002030000}"/>
    <cellStyle name="20% - Accent5 4 3 3 2" xfId="13820" xr:uid="{BD814DED-2212-4F8B-BD9C-45BD1F76619F}"/>
    <cellStyle name="20% - Accent5 4 3 4" xfId="9602" xr:uid="{56DEAAB6-A06B-4D9E-8842-2F60C3038DE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760B016F-7482-46B2-8906-C381B4350770}"/>
    <cellStyle name="20% - Accent5 4 4 2 3" xfId="12160" xr:uid="{C7358F41-F428-4BEF-8E22-979C63D10763}"/>
    <cellStyle name="20% - Accent5 4 4 3" xfId="5783" xr:uid="{00000000-0005-0000-0000-000006030000}"/>
    <cellStyle name="20% - Accent5 4 4 3 2" xfId="14233" xr:uid="{C5937EC2-E9C1-4FCC-AA03-B9090B613EE5}"/>
    <cellStyle name="20% - Accent5 4 4 4" xfId="10015" xr:uid="{D579BA31-CEB4-4EB3-818F-3A7A6687799D}"/>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C7EC7DB8-93C7-4597-9800-7E8E683FD848}"/>
    <cellStyle name="20% - Accent5 4 5 2 3" xfId="12573" xr:uid="{DC6A2478-D8F9-4650-A431-ABBD686CC594}"/>
    <cellStyle name="20% - Accent5 4 5 3" xfId="6196" xr:uid="{00000000-0005-0000-0000-00000A030000}"/>
    <cellStyle name="20% - Accent5 4 5 3 2" xfId="14646" xr:uid="{887333AA-1593-4EDA-B7EB-B871722CAF48}"/>
    <cellStyle name="20% - Accent5 4 5 4" xfId="10428" xr:uid="{1E48CAC7-75B8-4B0E-BF7C-E7EFC8BFFBEE}"/>
    <cellStyle name="20% - Accent5 4 6" xfId="2303" xr:uid="{00000000-0005-0000-0000-00000B030000}"/>
    <cellStyle name="20% - Accent5 4 6 2" xfId="6609" xr:uid="{00000000-0005-0000-0000-00000C030000}"/>
    <cellStyle name="20% - Accent5 4 6 2 2" xfId="15059" xr:uid="{080875C3-BEF3-4D10-B84B-70553EA1CEC2}"/>
    <cellStyle name="20% - Accent5 4 6 3" xfId="10841" xr:uid="{D377B4BB-AB6C-4A9A-8DD5-BFA60AE94B4D}"/>
    <cellStyle name="20% - Accent5 4 7" xfId="4543" xr:uid="{00000000-0005-0000-0000-00000D030000}"/>
    <cellStyle name="20% - Accent5 4 7 2" xfId="12993" xr:uid="{10CC814D-30E0-4172-8350-533CC9765A41}"/>
    <cellStyle name="20% - Accent5 4 8" xfId="8775" xr:uid="{58450C67-1BBA-40AC-B10E-F2E91CE310A8}"/>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34F8535F-530D-4996-9FD6-A7722A0AD560}"/>
    <cellStyle name="20% - Accent5 5 2 3" xfId="11327" xr:uid="{E1E55361-597A-477E-8E67-89A4947C643B}"/>
    <cellStyle name="20% - Accent5 5 3" xfId="4950" xr:uid="{00000000-0005-0000-0000-000011030000}"/>
    <cellStyle name="20% - Accent5 5 3 2" xfId="13400" xr:uid="{F5D24C94-EE10-497E-9A6C-A578C8C6E148}"/>
    <cellStyle name="20% - Accent5 5 4" xfId="9182" xr:uid="{597B7B38-6CB7-4736-89DF-4991FB60361B}"/>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83DCC188-9997-42A5-9BCD-3972067605D0}"/>
    <cellStyle name="20% - Accent5 6 2 3" xfId="11740" xr:uid="{92D892EE-4077-4E35-A4E2-C9E33866293A}"/>
    <cellStyle name="20% - Accent5 6 3" xfId="5363" xr:uid="{00000000-0005-0000-0000-000015030000}"/>
    <cellStyle name="20% - Accent5 6 3 2" xfId="13813" xr:uid="{06775545-FDFB-4125-8F8E-2740AC827B97}"/>
    <cellStyle name="20% - Accent5 6 4" xfId="9595" xr:uid="{6EA976E7-C45D-49BE-8DA9-68A6A603B49A}"/>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5318462B-10F5-4614-A852-6096224C1A9E}"/>
    <cellStyle name="20% - Accent5 7 2 3" xfId="12153" xr:uid="{6521AFBE-F75F-4E75-B941-6CFB25A19ECC}"/>
    <cellStyle name="20% - Accent5 7 3" xfId="5776" xr:uid="{00000000-0005-0000-0000-000019030000}"/>
    <cellStyle name="20% - Accent5 7 3 2" xfId="14226" xr:uid="{575266FA-36E8-4DB9-803C-3B9B92BFE184}"/>
    <cellStyle name="20% - Accent5 7 4" xfId="10008" xr:uid="{61A76140-29C3-4982-9BAD-54654F97DB44}"/>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13502826-D3E0-41E7-A239-B09FDD66A4B2}"/>
    <cellStyle name="20% - Accent5 8 2 3" xfId="12566" xr:uid="{C700FB16-C0D6-47C6-A569-4A3DAA1FFBFE}"/>
    <cellStyle name="20% - Accent5 8 3" xfId="6189" xr:uid="{00000000-0005-0000-0000-00001D030000}"/>
    <cellStyle name="20% - Accent5 8 3 2" xfId="14639" xr:uid="{E50131C8-6595-49AC-B74F-99879A2C57DD}"/>
    <cellStyle name="20% - Accent5 8 4" xfId="10421" xr:uid="{7E3399F2-E9E5-46FA-999D-763C223F8A16}"/>
    <cellStyle name="20% - Accent5 9" xfId="2296" xr:uid="{00000000-0005-0000-0000-00001E030000}"/>
    <cellStyle name="20% - Accent5 9 2" xfId="6602" xr:uid="{00000000-0005-0000-0000-00001F030000}"/>
    <cellStyle name="20% - Accent5 9 2 2" xfId="15052" xr:uid="{E8207599-BB2B-4692-80B4-611BE9FA13FB}"/>
    <cellStyle name="20% - Accent5 9 3" xfId="10834" xr:uid="{5A8C8ECB-0438-45AC-8D6F-FDADAE26DCA7}"/>
    <cellStyle name="20% - Accent6" xfId="41" builtinId="50" customBuiltin="1"/>
    <cellStyle name="20% - Accent6 10" xfId="4544" xr:uid="{00000000-0005-0000-0000-000021030000}"/>
    <cellStyle name="20% - Accent6 10 2" xfId="12994" xr:uid="{9B887D47-30FC-4C0B-B73C-8E77DF9CBFE8}"/>
    <cellStyle name="20% - Accent6 11" xfId="8776" xr:uid="{BECAFEDA-788B-420F-B923-4D8D31878A2D}"/>
    <cellStyle name="20% - Accent6 2" xfId="42" xr:uid="{00000000-0005-0000-0000-000022030000}"/>
    <cellStyle name="20% - Accent6 2 10" xfId="8777" xr:uid="{E8896CB4-8000-4799-AA68-6EDFD3C7F0AB}"/>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C4963F0F-76BE-424E-B29D-D251AEBCCBE0}"/>
    <cellStyle name="20% - Accent6 2 2 2 2 2 3" xfId="11338" xr:uid="{06DFF62E-069D-4D3E-9EEC-004C69CD557F}"/>
    <cellStyle name="20% - Accent6 2 2 2 2 3" xfId="4961" xr:uid="{00000000-0005-0000-0000-000028030000}"/>
    <cellStyle name="20% - Accent6 2 2 2 2 3 2" xfId="13411" xr:uid="{BEAF1D4C-C518-4657-B76F-ECDDFA276E98}"/>
    <cellStyle name="20% - Accent6 2 2 2 2 4" xfId="9193" xr:uid="{F2B6D9C8-F382-401B-B55B-51699401CB23}"/>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506FF055-B858-482C-9541-07DE23167B83}"/>
    <cellStyle name="20% - Accent6 2 2 2 3 2 3" xfId="11751" xr:uid="{2D70BBCB-E9CA-4589-8C6D-46ABAF9830A5}"/>
    <cellStyle name="20% - Accent6 2 2 2 3 3" xfId="5374" xr:uid="{00000000-0005-0000-0000-00002C030000}"/>
    <cellStyle name="20% - Accent6 2 2 2 3 3 2" xfId="13824" xr:uid="{53082B13-02A8-4FE4-B225-366023D4C937}"/>
    <cellStyle name="20% - Accent6 2 2 2 3 4" xfId="9606" xr:uid="{079E2016-E122-4A17-B1AA-E0E9298378E3}"/>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F39F6F96-37F0-44C0-B874-349FB6791EDD}"/>
    <cellStyle name="20% - Accent6 2 2 2 4 2 3" xfId="12164" xr:uid="{398A381A-4060-4372-BC63-706C64A99AAC}"/>
    <cellStyle name="20% - Accent6 2 2 2 4 3" xfId="5787" xr:uid="{00000000-0005-0000-0000-000030030000}"/>
    <cellStyle name="20% - Accent6 2 2 2 4 3 2" xfId="14237" xr:uid="{58941E84-CF23-48B4-BABA-0D26F1A46DF4}"/>
    <cellStyle name="20% - Accent6 2 2 2 4 4" xfId="10019" xr:uid="{E0BE63A2-BF59-4394-A666-28936E667AF1}"/>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0A7C6026-A780-42B4-8D84-94AB1788136C}"/>
    <cellStyle name="20% - Accent6 2 2 2 5 2 3" xfId="12577" xr:uid="{3FCBD733-BD69-4143-BA2D-4FAD6D16878D}"/>
    <cellStyle name="20% - Accent6 2 2 2 5 3" xfId="6200" xr:uid="{00000000-0005-0000-0000-000034030000}"/>
    <cellStyle name="20% - Accent6 2 2 2 5 3 2" xfId="14650" xr:uid="{CA9F0609-D975-4CF7-B6A3-7CF63C05F071}"/>
    <cellStyle name="20% - Accent6 2 2 2 5 4" xfId="10432" xr:uid="{D8D172F9-09C6-4C23-8260-92BF91C7532A}"/>
    <cellStyle name="20% - Accent6 2 2 2 6" xfId="2307" xr:uid="{00000000-0005-0000-0000-000035030000}"/>
    <cellStyle name="20% - Accent6 2 2 2 6 2" xfId="6613" xr:uid="{00000000-0005-0000-0000-000036030000}"/>
    <cellStyle name="20% - Accent6 2 2 2 6 2 2" xfId="15063" xr:uid="{334295FB-E94A-4B5A-BEE5-14FD481BCFAC}"/>
    <cellStyle name="20% - Accent6 2 2 2 6 3" xfId="10845" xr:uid="{BC545A26-374E-4A1B-9059-583E3BE222C3}"/>
    <cellStyle name="20% - Accent6 2 2 2 7" xfId="4547" xr:uid="{00000000-0005-0000-0000-000037030000}"/>
    <cellStyle name="20% - Accent6 2 2 2 7 2" xfId="12997" xr:uid="{3EAB0861-8312-4CA1-B086-CCE302D556F5}"/>
    <cellStyle name="20% - Accent6 2 2 2 8" xfId="8779" xr:uid="{7A81CB92-AF29-4F74-81AA-9C6140306CD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B552B76C-36E1-4439-84D4-8E9AC7A86EDD}"/>
    <cellStyle name="20% - Accent6 2 2 3 2 3" xfId="11337" xr:uid="{D100D0F9-D12D-4C1F-8C67-23DC94F6D2D5}"/>
    <cellStyle name="20% - Accent6 2 2 3 3" xfId="4960" xr:uid="{00000000-0005-0000-0000-00003B030000}"/>
    <cellStyle name="20% - Accent6 2 2 3 3 2" xfId="13410" xr:uid="{24FB2BCC-C60B-4257-B037-3C771C77A310}"/>
    <cellStyle name="20% - Accent6 2 2 3 4" xfId="9192" xr:uid="{5389D5A9-649B-4A3A-82B6-158A3DAA035D}"/>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9A76CFE1-5AF2-4875-9450-60B77DF18F6A}"/>
    <cellStyle name="20% - Accent6 2 2 4 2 3" xfId="11750" xr:uid="{5E11CD0B-7785-483F-9620-70FFAA385B48}"/>
    <cellStyle name="20% - Accent6 2 2 4 3" xfId="5373" xr:uid="{00000000-0005-0000-0000-00003F030000}"/>
    <cellStyle name="20% - Accent6 2 2 4 3 2" xfId="13823" xr:uid="{D463E6B0-8537-4CC8-826B-8C98AECEFA52}"/>
    <cellStyle name="20% - Accent6 2 2 4 4" xfId="9605" xr:uid="{1943DEB3-6CD7-4DE2-BC42-FD7E4776343A}"/>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C824503A-03A7-43ED-A48A-0DD7EC79C547}"/>
    <cellStyle name="20% - Accent6 2 2 5 2 3" xfId="12163" xr:uid="{F81A9C74-6573-4A2A-B7E7-938B77FF7934}"/>
    <cellStyle name="20% - Accent6 2 2 5 3" xfId="5786" xr:uid="{00000000-0005-0000-0000-000043030000}"/>
    <cellStyle name="20% - Accent6 2 2 5 3 2" xfId="14236" xr:uid="{653E8FD9-E151-488A-AB14-A1FB58F561EE}"/>
    <cellStyle name="20% - Accent6 2 2 5 4" xfId="10018" xr:uid="{7A148497-77EE-465F-9CAF-7B33BDCB9542}"/>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CF4DE93C-99F1-4630-89BD-3FE4793B0FF2}"/>
    <cellStyle name="20% - Accent6 2 2 6 2 3" xfId="12576" xr:uid="{E14FF866-D9F2-4B26-863B-612FC04CF763}"/>
    <cellStyle name="20% - Accent6 2 2 6 3" xfId="6199" xr:uid="{00000000-0005-0000-0000-000047030000}"/>
    <cellStyle name="20% - Accent6 2 2 6 3 2" xfId="14649" xr:uid="{C8EF0012-53F7-4F48-AF72-2C5B4C1FB273}"/>
    <cellStyle name="20% - Accent6 2 2 6 4" xfId="10431" xr:uid="{302BA808-03A3-4DE9-94EC-60FF20B1549E}"/>
    <cellStyle name="20% - Accent6 2 2 7" xfId="2306" xr:uid="{00000000-0005-0000-0000-000048030000}"/>
    <cellStyle name="20% - Accent6 2 2 7 2" xfId="6612" xr:uid="{00000000-0005-0000-0000-000049030000}"/>
    <cellStyle name="20% - Accent6 2 2 7 2 2" xfId="15062" xr:uid="{093D62B9-977B-4944-AA4A-B251ED3E0303}"/>
    <cellStyle name="20% - Accent6 2 2 7 3" xfId="10844" xr:uid="{4C2C2EEE-D8E4-4307-A42A-7F2E452DCBB8}"/>
    <cellStyle name="20% - Accent6 2 2 8" xfId="4546" xr:uid="{00000000-0005-0000-0000-00004A030000}"/>
    <cellStyle name="20% - Accent6 2 2 8 2" xfId="12996" xr:uid="{6C651560-FD99-4943-9228-FA1C2D775230}"/>
    <cellStyle name="20% - Accent6 2 2 9" xfId="8778" xr:uid="{0600100F-E6CD-4785-8238-52598F80DD3B}"/>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F800EB47-016F-42D9-BE90-6C00CEF2D846}"/>
    <cellStyle name="20% - Accent6 2 3 2 2 3" xfId="11339" xr:uid="{AB656A11-6A1D-4513-BE8F-216F0F4E8551}"/>
    <cellStyle name="20% - Accent6 2 3 2 3" xfId="4962" xr:uid="{00000000-0005-0000-0000-00004F030000}"/>
    <cellStyle name="20% - Accent6 2 3 2 3 2" xfId="13412" xr:uid="{89BD0F3B-C0F3-4153-B56E-D7D71E709910}"/>
    <cellStyle name="20% - Accent6 2 3 2 4" xfId="9194" xr:uid="{E528A922-7F0D-414B-BE24-822CEFB6EC57}"/>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4332D224-7549-412B-AFEA-B38304E23FDA}"/>
    <cellStyle name="20% - Accent6 2 3 3 2 3" xfId="11752" xr:uid="{D1A42879-1EE7-48BB-99AD-803A21F79804}"/>
    <cellStyle name="20% - Accent6 2 3 3 3" xfId="5375" xr:uid="{00000000-0005-0000-0000-000053030000}"/>
    <cellStyle name="20% - Accent6 2 3 3 3 2" xfId="13825" xr:uid="{EEC7CB98-3387-47BA-A46F-55026D04AAFB}"/>
    <cellStyle name="20% - Accent6 2 3 3 4" xfId="9607" xr:uid="{8D897D94-C505-4BD3-9722-F6BA233359B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C77155AA-5ED5-418D-852E-15545F971683}"/>
    <cellStyle name="20% - Accent6 2 3 4 2 3" xfId="12165" xr:uid="{EFD574E6-EA15-4B12-8CBD-F264A43F1BC0}"/>
    <cellStyle name="20% - Accent6 2 3 4 3" xfId="5788" xr:uid="{00000000-0005-0000-0000-000057030000}"/>
    <cellStyle name="20% - Accent6 2 3 4 3 2" xfId="14238" xr:uid="{C2879E93-74C1-40A3-865F-5FEEE5F59F89}"/>
    <cellStyle name="20% - Accent6 2 3 4 4" xfId="10020" xr:uid="{752F1C2C-EEEF-4F10-BCDB-95857E238121}"/>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1DDD4228-3802-4BCB-B14C-699F2BAA5286}"/>
    <cellStyle name="20% - Accent6 2 3 5 2 3" xfId="12578" xr:uid="{831EAD5F-FD5F-4F87-AB9D-1548825C3D2A}"/>
    <cellStyle name="20% - Accent6 2 3 5 3" xfId="6201" xr:uid="{00000000-0005-0000-0000-00005B030000}"/>
    <cellStyle name="20% - Accent6 2 3 5 3 2" xfId="14651" xr:uid="{8ABFFEE4-D334-49C6-A855-C0FAEFF66D68}"/>
    <cellStyle name="20% - Accent6 2 3 5 4" xfId="10433" xr:uid="{959B0EF4-475A-46E6-B567-4829DA588C26}"/>
    <cellStyle name="20% - Accent6 2 3 6" xfId="2308" xr:uid="{00000000-0005-0000-0000-00005C030000}"/>
    <cellStyle name="20% - Accent6 2 3 6 2" xfId="6614" xr:uid="{00000000-0005-0000-0000-00005D030000}"/>
    <cellStyle name="20% - Accent6 2 3 6 2 2" xfId="15064" xr:uid="{A9A748DE-5681-4BA2-BE8D-EC0FD73B68ED}"/>
    <cellStyle name="20% - Accent6 2 3 6 3" xfId="10846" xr:uid="{88397070-9A0F-4EC0-93DA-E83BBF67EFB3}"/>
    <cellStyle name="20% - Accent6 2 3 7" xfId="4548" xr:uid="{00000000-0005-0000-0000-00005E030000}"/>
    <cellStyle name="20% - Accent6 2 3 7 2" xfId="12998" xr:uid="{BC26F4B3-010C-4E4C-AD86-B9ECCBF2A955}"/>
    <cellStyle name="20% - Accent6 2 3 8" xfId="8780" xr:uid="{3AD59044-8E08-4BD8-B960-D4DDC7FDA89A}"/>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6FA26C31-AAC9-4DD0-8E55-4FE4CD28B137}"/>
    <cellStyle name="20% - Accent6 2 4 2 3" xfId="11336" xr:uid="{DA570A39-9800-4504-8183-C56EC0DAB951}"/>
    <cellStyle name="20% - Accent6 2 4 3" xfId="4959" xr:uid="{00000000-0005-0000-0000-000062030000}"/>
    <cellStyle name="20% - Accent6 2 4 3 2" xfId="13409" xr:uid="{F7E777F1-D623-45AE-96A6-3B56620CFF57}"/>
    <cellStyle name="20% - Accent6 2 4 4" xfId="9191" xr:uid="{2FB0332A-9C9D-4532-9AA0-2313C5D394A5}"/>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5EB6A351-E44E-49A0-8E5E-4CA96F3F1B85}"/>
    <cellStyle name="20% - Accent6 2 5 2 3" xfId="11749" xr:uid="{013D78BF-738D-4554-BE1F-6CC55D6C500C}"/>
    <cellStyle name="20% - Accent6 2 5 3" xfId="5372" xr:uid="{00000000-0005-0000-0000-000066030000}"/>
    <cellStyle name="20% - Accent6 2 5 3 2" xfId="13822" xr:uid="{05A0B791-C93E-4B0C-863D-BCB53B066D06}"/>
    <cellStyle name="20% - Accent6 2 5 4" xfId="9604" xr:uid="{6E33C80D-C99A-4798-99C2-0FDF152EFC3C}"/>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D62D5FD6-A15A-4ED8-944E-858CB9C5EE29}"/>
    <cellStyle name="20% - Accent6 2 6 2 3" xfId="12162" xr:uid="{AB77734A-E978-48F2-89A5-7E359ECC877A}"/>
    <cellStyle name="20% - Accent6 2 6 3" xfId="5785" xr:uid="{00000000-0005-0000-0000-00006A030000}"/>
    <cellStyle name="20% - Accent6 2 6 3 2" xfId="14235" xr:uid="{53E4A8FD-1623-45E1-A3F4-D80AC1167710}"/>
    <cellStyle name="20% - Accent6 2 6 4" xfId="10017" xr:uid="{C0DF77C1-31F4-434E-8E87-CD81AC0C11C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C32B8CDE-D6D2-49C3-8540-6DF7DEB14E05}"/>
    <cellStyle name="20% - Accent6 2 7 2 3" xfId="12575" xr:uid="{6F2AC36C-5D7D-44C1-8F0A-D6638E618621}"/>
    <cellStyle name="20% - Accent6 2 7 3" xfId="6198" xr:uid="{00000000-0005-0000-0000-00006E030000}"/>
    <cellStyle name="20% - Accent6 2 7 3 2" xfId="14648" xr:uid="{93875876-6A48-4F85-93F4-399CA8FFA227}"/>
    <cellStyle name="20% - Accent6 2 7 4" xfId="10430" xr:uid="{5CC38149-18C5-40D9-9E3D-5A7652BCB066}"/>
    <cellStyle name="20% - Accent6 2 8" xfId="2305" xr:uid="{00000000-0005-0000-0000-00006F030000}"/>
    <cellStyle name="20% - Accent6 2 8 2" xfId="6611" xr:uid="{00000000-0005-0000-0000-000070030000}"/>
    <cellStyle name="20% - Accent6 2 8 2 2" xfId="15061" xr:uid="{8B47A1BF-32CE-45F3-80C2-B65E43FAC1F0}"/>
    <cellStyle name="20% - Accent6 2 8 3" xfId="10843" xr:uid="{D5D29439-0E23-4258-A131-926C99CEBB25}"/>
    <cellStyle name="20% - Accent6 2 9" xfId="4545" xr:uid="{00000000-0005-0000-0000-000071030000}"/>
    <cellStyle name="20% - Accent6 2 9 2" xfId="12995" xr:uid="{E381DA0F-8A3C-4A99-B507-60984439B96A}"/>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B400647F-A920-4758-A871-0854498E3671}"/>
    <cellStyle name="20% - Accent6 3 2 2 2 3" xfId="11341" xr:uid="{4A4842F6-1455-483D-B976-78ABE1410CAC}"/>
    <cellStyle name="20% - Accent6 3 2 2 3" xfId="4964" xr:uid="{00000000-0005-0000-0000-000077030000}"/>
    <cellStyle name="20% - Accent6 3 2 2 3 2" xfId="13414" xr:uid="{1E3A420C-B166-4F70-9961-4F378BF757B1}"/>
    <cellStyle name="20% - Accent6 3 2 2 4" xfId="9196" xr:uid="{ECB5563E-BC0D-4E49-9961-50EEA1E3FAEC}"/>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3E4D70C4-C2D5-4ED4-9BC4-7ECBE300B847}"/>
    <cellStyle name="20% - Accent6 3 2 3 2 3" xfId="11754" xr:uid="{B09EEE62-6690-4A19-A0FA-662F377B92C5}"/>
    <cellStyle name="20% - Accent6 3 2 3 3" xfId="5377" xr:uid="{00000000-0005-0000-0000-00007B030000}"/>
    <cellStyle name="20% - Accent6 3 2 3 3 2" xfId="13827" xr:uid="{99CAA5BB-821D-484E-A2AE-23BBDFDF05A6}"/>
    <cellStyle name="20% - Accent6 3 2 3 4" xfId="9609" xr:uid="{3C637495-9CA7-4551-A8E3-4D4A9C087F61}"/>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8584ED6C-4AA1-4868-B9F1-CAEE0425B1CB}"/>
    <cellStyle name="20% - Accent6 3 2 4 2 3" xfId="12167" xr:uid="{4ED4799A-3A2A-4862-B6E8-A1EF41261AFA}"/>
    <cellStyle name="20% - Accent6 3 2 4 3" xfId="5790" xr:uid="{00000000-0005-0000-0000-00007F030000}"/>
    <cellStyle name="20% - Accent6 3 2 4 3 2" xfId="14240" xr:uid="{40782463-641A-4E7B-9433-B4B4444AF8D9}"/>
    <cellStyle name="20% - Accent6 3 2 4 4" xfId="10022" xr:uid="{90FFD52B-10CA-4DCE-B029-1F95645595EE}"/>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7CBE8607-5C9A-42D3-986F-1D21E55A64CD}"/>
    <cellStyle name="20% - Accent6 3 2 5 2 3" xfId="12580" xr:uid="{26EF2BD5-6933-4C4A-957C-AC3D61D933B8}"/>
    <cellStyle name="20% - Accent6 3 2 5 3" xfId="6203" xr:uid="{00000000-0005-0000-0000-000083030000}"/>
    <cellStyle name="20% - Accent6 3 2 5 3 2" xfId="14653" xr:uid="{BEDC1C2F-47F7-44A5-B1BB-0D7BBB827536}"/>
    <cellStyle name="20% - Accent6 3 2 5 4" xfId="10435" xr:uid="{FF3A080A-924C-4720-892A-5818AE04368C}"/>
    <cellStyle name="20% - Accent6 3 2 6" xfId="2310" xr:uid="{00000000-0005-0000-0000-000084030000}"/>
    <cellStyle name="20% - Accent6 3 2 6 2" xfId="6616" xr:uid="{00000000-0005-0000-0000-000085030000}"/>
    <cellStyle name="20% - Accent6 3 2 6 2 2" xfId="15066" xr:uid="{B3149FF3-1161-4C89-9AF1-1AEB0DD65AAE}"/>
    <cellStyle name="20% - Accent6 3 2 6 3" xfId="10848" xr:uid="{BB4F8E5F-935F-4DB6-86B5-EF85D9D8239D}"/>
    <cellStyle name="20% - Accent6 3 2 7" xfId="4550" xr:uid="{00000000-0005-0000-0000-000086030000}"/>
    <cellStyle name="20% - Accent6 3 2 7 2" xfId="13000" xr:uid="{917DEF61-FCA7-409B-BE33-34350FB5D340}"/>
    <cellStyle name="20% - Accent6 3 2 8" xfId="8782" xr:uid="{A4DDC29C-24F9-4408-95BF-67B168069944}"/>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462057EE-028D-4259-8C8B-B96DB71655D5}"/>
    <cellStyle name="20% - Accent6 3 3 2 3" xfId="11340" xr:uid="{563EE3ED-CA15-445C-932D-F39148471956}"/>
    <cellStyle name="20% - Accent6 3 3 3" xfId="4963" xr:uid="{00000000-0005-0000-0000-00008A030000}"/>
    <cellStyle name="20% - Accent6 3 3 3 2" xfId="13413" xr:uid="{C2810656-7BBD-4277-8DE8-9DA8411B1721}"/>
    <cellStyle name="20% - Accent6 3 3 4" xfId="9195" xr:uid="{493DD7F8-6BF2-4A28-A461-F1D67F02D989}"/>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DFA58A35-4C21-4156-84E2-7DE0FA8DFE4D}"/>
    <cellStyle name="20% - Accent6 3 4 2 3" xfId="11753" xr:uid="{8F18E91B-941C-47B5-9EFF-63900249DE8A}"/>
    <cellStyle name="20% - Accent6 3 4 3" xfId="5376" xr:uid="{00000000-0005-0000-0000-00008E030000}"/>
    <cellStyle name="20% - Accent6 3 4 3 2" xfId="13826" xr:uid="{D37EBB27-12E7-4630-9E5E-F3BFAAC978FC}"/>
    <cellStyle name="20% - Accent6 3 4 4" xfId="9608" xr:uid="{62DC7421-5981-4BFF-8411-4D70830FE82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0E354221-E3BB-4B92-AA4D-64A1DD813C68}"/>
    <cellStyle name="20% - Accent6 3 5 2 3" xfId="12166" xr:uid="{33A7BBB6-807F-4AC0-B5AD-01C97EA9CB9C}"/>
    <cellStyle name="20% - Accent6 3 5 3" xfId="5789" xr:uid="{00000000-0005-0000-0000-000092030000}"/>
    <cellStyle name="20% - Accent6 3 5 3 2" xfId="14239" xr:uid="{8954FB4B-B9BB-42FC-B048-298C0E31F791}"/>
    <cellStyle name="20% - Accent6 3 5 4" xfId="10021" xr:uid="{5F52344A-C4F4-4AF3-BE74-3377F9DE830A}"/>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2CC4B805-2FE5-4258-A7DA-50AD09CDA7F3}"/>
    <cellStyle name="20% - Accent6 3 6 2 3" xfId="12579" xr:uid="{673D0415-857B-4109-A0A6-5303A017C4DC}"/>
    <cellStyle name="20% - Accent6 3 6 3" xfId="6202" xr:uid="{00000000-0005-0000-0000-000096030000}"/>
    <cellStyle name="20% - Accent6 3 6 3 2" xfId="14652" xr:uid="{6AA9F6D3-F8BF-49BD-9CE3-411E58BFB1ED}"/>
    <cellStyle name="20% - Accent6 3 6 4" xfId="10434" xr:uid="{68D8436E-ACB1-4618-93FC-B57D3587F663}"/>
    <cellStyle name="20% - Accent6 3 7" xfId="2309" xr:uid="{00000000-0005-0000-0000-000097030000}"/>
    <cellStyle name="20% - Accent6 3 7 2" xfId="6615" xr:uid="{00000000-0005-0000-0000-000098030000}"/>
    <cellStyle name="20% - Accent6 3 7 2 2" xfId="15065" xr:uid="{FA9EDBDE-FCFE-41F1-A0D5-3CD6ECD7078E}"/>
    <cellStyle name="20% - Accent6 3 7 3" xfId="10847" xr:uid="{9EA36BDB-4EC6-450E-978F-A670D1A98E7A}"/>
    <cellStyle name="20% - Accent6 3 8" xfId="4549" xr:uid="{00000000-0005-0000-0000-000099030000}"/>
    <cellStyle name="20% - Accent6 3 8 2" xfId="12999" xr:uid="{2329EF9B-64A8-4812-B12E-47E2AC4BBD6C}"/>
    <cellStyle name="20% - Accent6 3 9" xfId="8781" xr:uid="{1FAC0815-D7FC-4748-AD1B-F87BA7976697}"/>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B0610E91-C85A-4A22-B9D4-ADBD744E7016}"/>
    <cellStyle name="20% - Accent6 4 2 2 3" xfId="11342" xr:uid="{4B4AAFF5-6987-4489-953D-340E849DC889}"/>
    <cellStyle name="20% - Accent6 4 2 3" xfId="4965" xr:uid="{00000000-0005-0000-0000-00009E030000}"/>
    <cellStyle name="20% - Accent6 4 2 3 2" xfId="13415" xr:uid="{4988DFAA-91C2-4BEE-BE1B-C9A0254294E7}"/>
    <cellStyle name="20% - Accent6 4 2 4" xfId="9197" xr:uid="{FE9944E8-F87F-466A-AC89-96F38223F12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35510050-24FC-4E21-A452-36C276B64985}"/>
    <cellStyle name="20% - Accent6 4 3 2 3" xfId="11755" xr:uid="{EE12B8E8-7D97-4233-A4DC-4F914D4858CF}"/>
    <cellStyle name="20% - Accent6 4 3 3" xfId="5378" xr:uid="{00000000-0005-0000-0000-0000A2030000}"/>
    <cellStyle name="20% - Accent6 4 3 3 2" xfId="13828" xr:uid="{B69A11FB-517A-419A-9A32-B3151D52AE12}"/>
    <cellStyle name="20% - Accent6 4 3 4" xfId="9610" xr:uid="{F947E493-5E92-4399-A0EF-F1C4B90F5DB6}"/>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D58809D-AA53-4CD9-AE44-7F84E061EEA3}"/>
    <cellStyle name="20% - Accent6 4 4 2 3" xfId="12168" xr:uid="{7940F51E-8359-4C65-8B8F-93874D0C0F35}"/>
    <cellStyle name="20% - Accent6 4 4 3" xfId="5791" xr:uid="{00000000-0005-0000-0000-0000A6030000}"/>
    <cellStyle name="20% - Accent6 4 4 3 2" xfId="14241" xr:uid="{62E26D24-ADD4-41D5-8729-776B368338B1}"/>
    <cellStyle name="20% - Accent6 4 4 4" xfId="10023" xr:uid="{81BBB78F-BBB4-42A4-9677-1354C6E984F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59D5616A-D252-4332-B8C1-BE1A31FA0C7E}"/>
    <cellStyle name="20% - Accent6 4 5 2 3" xfId="12581" xr:uid="{3AD07950-703E-4FE7-BB4A-D11D66EBA9A9}"/>
    <cellStyle name="20% - Accent6 4 5 3" xfId="6204" xr:uid="{00000000-0005-0000-0000-0000AA030000}"/>
    <cellStyle name="20% - Accent6 4 5 3 2" xfId="14654" xr:uid="{149AD861-AA52-4098-B00B-3D07993A0F3B}"/>
    <cellStyle name="20% - Accent6 4 5 4" xfId="10436" xr:uid="{9655C43B-36D5-41F4-ADAE-4DD77D522341}"/>
    <cellStyle name="20% - Accent6 4 6" xfId="2311" xr:uid="{00000000-0005-0000-0000-0000AB030000}"/>
    <cellStyle name="20% - Accent6 4 6 2" xfId="6617" xr:uid="{00000000-0005-0000-0000-0000AC030000}"/>
    <cellStyle name="20% - Accent6 4 6 2 2" xfId="15067" xr:uid="{50865865-6720-4CE8-BCCB-BE7FF1FA465D}"/>
    <cellStyle name="20% - Accent6 4 6 3" xfId="10849" xr:uid="{159DF5C2-235A-49C6-8B02-9A8C7C7FB314}"/>
    <cellStyle name="20% - Accent6 4 7" xfId="4551" xr:uid="{00000000-0005-0000-0000-0000AD030000}"/>
    <cellStyle name="20% - Accent6 4 7 2" xfId="13001" xr:uid="{7AFFD2F2-9A38-4987-840B-B2AD40C37CEA}"/>
    <cellStyle name="20% - Accent6 4 8" xfId="8783" xr:uid="{C0E1CD0B-6DF4-49F3-9EEC-5FC1387C3B83}"/>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0B9C928A-1F92-4BB9-A815-8EECC12F0CE6}"/>
    <cellStyle name="20% - Accent6 5 2 3" xfId="11335" xr:uid="{127F9A57-620A-4AA6-AF53-5D2CB451630B}"/>
    <cellStyle name="20% - Accent6 5 3" xfId="4958" xr:uid="{00000000-0005-0000-0000-0000B1030000}"/>
    <cellStyle name="20% - Accent6 5 3 2" xfId="13408" xr:uid="{F053DBDF-08FD-4381-9884-B4FA9AF49ED6}"/>
    <cellStyle name="20% - Accent6 5 4" xfId="9190" xr:uid="{85A8ACE8-A904-444C-B5FD-5EABD08394F8}"/>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D237A4E0-F494-4BD4-B99C-AECA5681547A}"/>
    <cellStyle name="20% - Accent6 6 2 3" xfId="11748" xr:uid="{C9B66DAD-24A8-42BF-A85B-35FD50AADE95}"/>
    <cellStyle name="20% - Accent6 6 3" xfId="5371" xr:uid="{00000000-0005-0000-0000-0000B5030000}"/>
    <cellStyle name="20% - Accent6 6 3 2" xfId="13821" xr:uid="{0340D306-8775-487D-9E21-90FA818F208A}"/>
    <cellStyle name="20% - Accent6 6 4" xfId="9603" xr:uid="{07CCDB6E-C962-4FAA-BF5D-CEBFF8363273}"/>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D845943E-2F81-49A5-9A5E-F2CC2014F71F}"/>
    <cellStyle name="20% - Accent6 7 2 3" xfId="12161" xr:uid="{6DD400CA-28B8-49BF-8495-4FF1E5C699FB}"/>
    <cellStyle name="20% - Accent6 7 3" xfId="5784" xr:uid="{00000000-0005-0000-0000-0000B9030000}"/>
    <cellStyle name="20% - Accent6 7 3 2" xfId="14234" xr:uid="{9F48E87B-22AD-4C56-890B-8D9EAAFB1712}"/>
    <cellStyle name="20% - Accent6 7 4" xfId="10016" xr:uid="{FA25A54B-92BF-4A48-AAEF-CEBFE3CD723C}"/>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467D12D2-1680-4FFE-9A34-A55502A1F103}"/>
    <cellStyle name="20% - Accent6 8 2 3" xfId="12574" xr:uid="{26BC500D-C752-4536-A529-CF8200B4846C}"/>
    <cellStyle name="20% - Accent6 8 3" xfId="6197" xr:uid="{00000000-0005-0000-0000-0000BD030000}"/>
    <cellStyle name="20% - Accent6 8 3 2" xfId="14647" xr:uid="{068C2F29-AB31-47B9-807A-14E22CBEFFB9}"/>
    <cellStyle name="20% - Accent6 8 4" xfId="10429" xr:uid="{19926276-8B82-41A5-A132-DC8B4C627180}"/>
    <cellStyle name="20% - Accent6 9" xfId="2304" xr:uid="{00000000-0005-0000-0000-0000BE030000}"/>
    <cellStyle name="20% - Accent6 9 2" xfId="6610" xr:uid="{00000000-0005-0000-0000-0000BF030000}"/>
    <cellStyle name="20% - Accent6 9 2 2" xfId="15060" xr:uid="{E2AA0963-212F-4BB4-BA9C-54AAEBA3B8B2}"/>
    <cellStyle name="20% - Accent6 9 3" xfId="10842" xr:uid="{865018F1-B02E-4B73-98B7-83F2B9350733}"/>
    <cellStyle name="40% - Accent1" xfId="49" builtinId="31" customBuiltin="1"/>
    <cellStyle name="40% - Accent1 10" xfId="4552" xr:uid="{00000000-0005-0000-0000-0000C1030000}"/>
    <cellStyle name="40% - Accent1 10 2" xfId="13002" xr:uid="{F3642ACD-1B9B-4164-989C-B6CEFB523722}"/>
    <cellStyle name="40% - Accent1 11" xfId="8784" xr:uid="{218E3C03-61AD-4E96-A34A-555344988F41}"/>
    <cellStyle name="40% - Accent1 2" xfId="50" xr:uid="{00000000-0005-0000-0000-0000C2030000}"/>
    <cellStyle name="40% - Accent1 2 10" xfId="8785" xr:uid="{9A720057-8B9C-4A7D-AEF5-BBB58715932C}"/>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10D227AB-4848-4AC3-BE1F-2F2341B21DAF}"/>
    <cellStyle name="40% - Accent1 2 2 2 2 2 3" xfId="11346" xr:uid="{FB675C46-3B03-40AE-977B-B9F7BE05C73F}"/>
    <cellStyle name="40% - Accent1 2 2 2 2 3" xfId="4969" xr:uid="{00000000-0005-0000-0000-0000C8030000}"/>
    <cellStyle name="40% - Accent1 2 2 2 2 3 2" xfId="13419" xr:uid="{8743B303-88EE-4566-BBB8-87D1FCA42D5E}"/>
    <cellStyle name="40% - Accent1 2 2 2 2 4" xfId="9201" xr:uid="{1D35B992-55CE-47EC-B073-32FFDB1A142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EF408AAD-A442-4040-B5F5-9B9BA7024A7F}"/>
    <cellStyle name="40% - Accent1 2 2 2 3 2 3" xfId="11759" xr:uid="{A846B29C-F01F-4EDB-BA4A-C84E81E78C9F}"/>
    <cellStyle name="40% - Accent1 2 2 2 3 3" xfId="5382" xr:uid="{00000000-0005-0000-0000-0000CC030000}"/>
    <cellStyle name="40% - Accent1 2 2 2 3 3 2" xfId="13832" xr:uid="{1A935503-0C35-478B-854E-649A71C542F0}"/>
    <cellStyle name="40% - Accent1 2 2 2 3 4" xfId="9614" xr:uid="{13258590-B5AF-4DFD-B509-7420256DF11E}"/>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DAA9DE1C-969B-490F-9A4B-64CC532844EE}"/>
    <cellStyle name="40% - Accent1 2 2 2 4 2 3" xfId="12172" xr:uid="{404E959D-5E7A-4130-BD5B-217953242F3D}"/>
    <cellStyle name="40% - Accent1 2 2 2 4 3" xfId="5795" xr:uid="{00000000-0005-0000-0000-0000D0030000}"/>
    <cellStyle name="40% - Accent1 2 2 2 4 3 2" xfId="14245" xr:uid="{FAB16E9D-C0C7-46F8-9DB7-43C690348E18}"/>
    <cellStyle name="40% - Accent1 2 2 2 4 4" xfId="10027" xr:uid="{57758FD9-0AE5-4575-8656-6A4A6BC3932F}"/>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423FBC0B-3A84-4BFC-B701-529F2AA4EC12}"/>
    <cellStyle name="40% - Accent1 2 2 2 5 2 3" xfId="12585" xr:uid="{CC091667-442D-4B16-A39B-E068AA192D3B}"/>
    <cellStyle name="40% - Accent1 2 2 2 5 3" xfId="6208" xr:uid="{00000000-0005-0000-0000-0000D4030000}"/>
    <cellStyle name="40% - Accent1 2 2 2 5 3 2" xfId="14658" xr:uid="{63FFF988-484C-4A25-AD9E-90F92BCD9C7B}"/>
    <cellStyle name="40% - Accent1 2 2 2 5 4" xfId="10440" xr:uid="{DCC4E4DC-35CA-497D-A59E-D4BBAC737BEC}"/>
    <cellStyle name="40% - Accent1 2 2 2 6" xfId="2315" xr:uid="{00000000-0005-0000-0000-0000D5030000}"/>
    <cellStyle name="40% - Accent1 2 2 2 6 2" xfId="6621" xr:uid="{00000000-0005-0000-0000-0000D6030000}"/>
    <cellStyle name="40% - Accent1 2 2 2 6 2 2" xfId="15071" xr:uid="{715DA055-DEDD-4965-B976-85FBD4DC6B96}"/>
    <cellStyle name="40% - Accent1 2 2 2 6 3" xfId="10853" xr:uid="{DFF26529-8A65-4062-AAAF-93B1DE628DBF}"/>
    <cellStyle name="40% - Accent1 2 2 2 7" xfId="4555" xr:uid="{00000000-0005-0000-0000-0000D7030000}"/>
    <cellStyle name="40% - Accent1 2 2 2 7 2" xfId="13005" xr:uid="{4246D81B-B39A-42BC-9A3D-A691D6BD3539}"/>
    <cellStyle name="40% - Accent1 2 2 2 8" xfId="8787" xr:uid="{E1747782-3844-4258-80C3-5C1F1F8E96E9}"/>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B40D1DE-8764-4CD8-AEE9-1D81062DAC2F}"/>
    <cellStyle name="40% - Accent1 2 2 3 2 3" xfId="11345" xr:uid="{9CE87F03-5CDD-41D7-97F0-25CE0EC06107}"/>
    <cellStyle name="40% - Accent1 2 2 3 3" xfId="4968" xr:uid="{00000000-0005-0000-0000-0000DB030000}"/>
    <cellStyle name="40% - Accent1 2 2 3 3 2" xfId="13418" xr:uid="{8C7006CC-9A40-4DBC-BEC6-D259AA1EA53F}"/>
    <cellStyle name="40% - Accent1 2 2 3 4" xfId="9200" xr:uid="{A6B49BBC-C38A-4BA3-9DCC-A562DBD065C2}"/>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F7D4CD83-35C2-4D9C-8232-64F036C29CBA}"/>
    <cellStyle name="40% - Accent1 2 2 4 2 3" xfId="11758" xr:uid="{184B033F-5593-4644-9439-ACC529F1634B}"/>
    <cellStyle name="40% - Accent1 2 2 4 3" xfId="5381" xr:uid="{00000000-0005-0000-0000-0000DF030000}"/>
    <cellStyle name="40% - Accent1 2 2 4 3 2" xfId="13831" xr:uid="{22C91A78-EACB-4CBF-8D3C-8522F560CF75}"/>
    <cellStyle name="40% - Accent1 2 2 4 4" xfId="9613" xr:uid="{792F8E0E-52A1-4E3F-9A00-D6348EA49E49}"/>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D4F52A64-4791-46BE-93D2-72318BEA5981}"/>
    <cellStyle name="40% - Accent1 2 2 5 2 3" xfId="12171" xr:uid="{2AF051C7-AB2F-4B56-B66A-3357B212CE0E}"/>
    <cellStyle name="40% - Accent1 2 2 5 3" xfId="5794" xr:uid="{00000000-0005-0000-0000-0000E3030000}"/>
    <cellStyle name="40% - Accent1 2 2 5 3 2" xfId="14244" xr:uid="{463A650A-B4A5-41D4-9E8F-36A31D0F52C1}"/>
    <cellStyle name="40% - Accent1 2 2 5 4" xfId="10026" xr:uid="{5A1275B1-A415-4EDA-9B37-5D91F4FF4946}"/>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7F5BF22F-4F65-47FE-9D11-2D0ECC6CD0AF}"/>
    <cellStyle name="40% - Accent1 2 2 6 2 3" xfId="12584" xr:uid="{9173549E-1142-4E8A-A6DA-7D08D089F1A4}"/>
    <cellStyle name="40% - Accent1 2 2 6 3" xfId="6207" xr:uid="{00000000-0005-0000-0000-0000E7030000}"/>
    <cellStyle name="40% - Accent1 2 2 6 3 2" xfId="14657" xr:uid="{19A5D692-54F3-4779-B16D-BE7BACEE0F16}"/>
    <cellStyle name="40% - Accent1 2 2 6 4" xfId="10439" xr:uid="{8A6941FE-8514-4D49-92B7-7FB05327A3EC}"/>
    <cellStyle name="40% - Accent1 2 2 7" xfId="2314" xr:uid="{00000000-0005-0000-0000-0000E8030000}"/>
    <cellStyle name="40% - Accent1 2 2 7 2" xfId="6620" xr:uid="{00000000-0005-0000-0000-0000E9030000}"/>
    <cellStyle name="40% - Accent1 2 2 7 2 2" xfId="15070" xr:uid="{BFA30A64-FE4A-4818-8DC1-E672B20347D2}"/>
    <cellStyle name="40% - Accent1 2 2 7 3" xfId="10852" xr:uid="{9312A373-3EBC-499A-A32D-7B4698803D49}"/>
    <cellStyle name="40% - Accent1 2 2 8" xfId="4554" xr:uid="{00000000-0005-0000-0000-0000EA030000}"/>
    <cellStyle name="40% - Accent1 2 2 8 2" xfId="13004" xr:uid="{7C2ECD49-01E0-471C-BA7A-513844FC2BDF}"/>
    <cellStyle name="40% - Accent1 2 2 9" xfId="8786" xr:uid="{39567CC1-1C0E-4916-80CF-366CD91485D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0985BC59-FB5E-4A72-8D9D-24AB058AF7F8}"/>
    <cellStyle name="40% - Accent1 2 3 2 2 3" xfId="11347" xr:uid="{1DE70AD0-3BC9-47E7-BBB3-829BB12A6C23}"/>
    <cellStyle name="40% - Accent1 2 3 2 3" xfId="4970" xr:uid="{00000000-0005-0000-0000-0000EF030000}"/>
    <cellStyle name="40% - Accent1 2 3 2 3 2" xfId="13420" xr:uid="{16B1DB47-CF38-4484-A2D0-8C03D10D75BD}"/>
    <cellStyle name="40% - Accent1 2 3 2 4" xfId="9202" xr:uid="{11CD6177-84C1-426E-8ADD-53CBEBABDB3E}"/>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4A36F358-89F3-4640-8FAC-E214A2DA96BA}"/>
    <cellStyle name="40% - Accent1 2 3 3 2 3" xfId="11760" xr:uid="{E66E1002-018C-4B50-AB1A-06E9B6866A94}"/>
    <cellStyle name="40% - Accent1 2 3 3 3" xfId="5383" xr:uid="{00000000-0005-0000-0000-0000F3030000}"/>
    <cellStyle name="40% - Accent1 2 3 3 3 2" xfId="13833" xr:uid="{AFB70FA4-69F0-4C65-90B8-988A5BA09070}"/>
    <cellStyle name="40% - Accent1 2 3 3 4" xfId="9615" xr:uid="{64B5FC09-0069-4E8F-B11A-60D12FCDB861}"/>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67364469-2B21-4AD8-829F-5954907F018C}"/>
    <cellStyle name="40% - Accent1 2 3 4 2 3" xfId="12173" xr:uid="{3A0F810A-557A-410C-A0C9-F2BB42CE1550}"/>
    <cellStyle name="40% - Accent1 2 3 4 3" xfId="5796" xr:uid="{00000000-0005-0000-0000-0000F7030000}"/>
    <cellStyle name="40% - Accent1 2 3 4 3 2" xfId="14246" xr:uid="{AB705EA7-3301-4BB0-981C-05595B3CCAE4}"/>
    <cellStyle name="40% - Accent1 2 3 4 4" xfId="10028" xr:uid="{497D2BAE-3844-479B-BF2F-38ADEFEDE403}"/>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51330AA5-1102-46F0-95AE-8594AB531B01}"/>
    <cellStyle name="40% - Accent1 2 3 5 2 3" xfId="12586" xr:uid="{AA6B5822-1D85-4E54-8D29-A6B11A8FFB29}"/>
    <cellStyle name="40% - Accent1 2 3 5 3" xfId="6209" xr:uid="{00000000-0005-0000-0000-0000FB030000}"/>
    <cellStyle name="40% - Accent1 2 3 5 3 2" xfId="14659" xr:uid="{5BB57DBC-2069-4436-86A1-9DFB060AB1EC}"/>
    <cellStyle name="40% - Accent1 2 3 5 4" xfId="10441" xr:uid="{5F6AAAFB-35D5-4E34-A69E-4C3BF2BB5DF6}"/>
    <cellStyle name="40% - Accent1 2 3 6" xfId="2316" xr:uid="{00000000-0005-0000-0000-0000FC030000}"/>
    <cellStyle name="40% - Accent1 2 3 6 2" xfId="6622" xr:uid="{00000000-0005-0000-0000-0000FD030000}"/>
    <cellStyle name="40% - Accent1 2 3 6 2 2" xfId="15072" xr:uid="{16247760-45E5-4B24-A233-7D1EDAC0F7A9}"/>
    <cellStyle name="40% - Accent1 2 3 6 3" xfId="10854" xr:uid="{9B18FFBC-E205-4B52-80A3-15F626F2AE31}"/>
    <cellStyle name="40% - Accent1 2 3 7" xfId="4556" xr:uid="{00000000-0005-0000-0000-0000FE030000}"/>
    <cellStyle name="40% - Accent1 2 3 7 2" xfId="13006" xr:uid="{6B62944F-E07F-4430-B1D9-A4169CE0A8DC}"/>
    <cellStyle name="40% - Accent1 2 3 8" xfId="8788" xr:uid="{7562AB2F-D59A-4450-B480-7355CDCB868D}"/>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3AE25D7C-C910-4544-9557-37F9EB58048C}"/>
    <cellStyle name="40% - Accent1 2 4 2 3" xfId="11344" xr:uid="{6B1A26E5-2F18-4E3E-B1F8-015D5AB220F2}"/>
    <cellStyle name="40% - Accent1 2 4 3" xfId="4967" xr:uid="{00000000-0005-0000-0000-000002040000}"/>
    <cellStyle name="40% - Accent1 2 4 3 2" xfId="13417" xr:uid="{4E1D514A-BD2C-48F2-A70A-87174D8CA411}"/>
    <cellStyle name="40% - Accent1 2 4 4" xfId="9199" xr:uid="{0652B101-4ADD-49FF-86E2-CE5212EA044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E9FA57A3-4E0D-4265-B5F1-F1BE658D6132}"/>
    <cellStyle name="40% - Accent1 2 5 2 3" xfId="11757" xr:uid="{066AD683-2A0A-47AD-B3E4-BDB2258086C4}"/>
    <cellStyle name="40% - Accent1 2 5 3" xfId="5380" xr:uid="{00000000-0005-0000-0000-000006040000}"/>
    <cellStyle name="40% - Accent1 2 5 3 2" xfId="13830" xr:uid="{87BEC25A-52C1-4033-B155-E955838F51A8}"/>
    <cellStyle name="40% - Accent1 2 5 4" xfId="9612" xr:uid="{DF612A2C-8639-43EF-B607-F841363F469E}"/>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100F4E0C-4367-42D3-B5D6-3213C3FF5CA1}"/>
    <cellStyle name="40% - Accent1 2 6 2 3" xfId="12170" xr:uid="{8CB8339B-C2B5-433C-A7E8-267A8FC86DF1}"/>
    <cellStyle name="40% - Accent1 2 6 3" xfId="5793" xr:uid="{00000000-0005-0000-0000-00000A040000}"/>
    <cellStyle name="40% - Accent1 2 6 3 2" xfId="14243" xr:uid="{1D06CA0E-743F-44F6-BC7F-2E07054FD801}"/>
    <cellStyle name="40% - Accent1 2 6 4" xfId="10025" xr:uid="{B6F6AF33-D21B-4366-AC96-5B021D62E06C}"/>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7249F06C-4F43-4BDF-B1F2-FF9E802A2AAF}"/>
    <cellStyle name="40% - Accent1 2 7 2 3" xfId="12583" xr:uid="{6DFF6CA5-A863-4456-A450-C15914FE913D}"/>
    <cellStyle name="40% - Accent1 2 7 3" xfId="6206" xr:uid="{00000000-0005-0000-0000-00000E040000}"/>
    <cellStyle name="40% - Accent1 2 7 3 2" xfId="14656" xr:uid="{60BADDFE-06D6-4C20-86F3-8EA9FF8C944A}"/>
    <cellStyle name="40% - Accent1 2 7 4" xfId="10438" xr:uid="{41C24D70-EEAF-43D0-9500-6FE0BB2C9742}"/>
    <cellStyle name="40% - Accent1 2 8" xfId="2313" xr:uid="{00000000-0005-0000-0000-00000F040000}"/>
    <cellStyle name="40% - Accent1 2 8 2" xfId="6619" xr:uid="{00000000-0005-0000-0000-000010040000}"/>
    <cellStyle name="40% - Accent1 2 8 2 2" xfId="15069" xr:uid="{5B42AA6F-602F-45EF-ACF0-0B420CBF4D74}"/>
    <cellStyle name="40% - Accent1 2 8 3" xfId="10851" xr:uid="{6FE6AFD0-6B51-4549-8148-FD77E90BB15D}"/>
    <cellStyle name="40% - Accent1 2 9" xfId="4553" xr:uid="{00000000-0005-0000-0000-000011040000}"/>
    <cellStyle name="40% - Accent1 2 9 2" xfId="13003" xr:uid="{187AF61F-D262-4A2A-B7C8-666142258DDC}"/>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B91D798F-B45E-4E6E-AF94-ECAC8ADA1DEE}"/>
    <cellStyle name="40% - Accent1 3 2 2 2 3" xfId="11349" xr:uid="{C5F2842F-529D-4749-BE84-E243A9664226}"/>
    <cellStyle name="40% - Accent1 3 2 2 3" xfId="4972" xr:uid="{00000000-0005-0000-0000-000017040000}"/>
    <cellStyle name="40% - Accent1 3 2 2 3 2" xfId="13422" xr:uid="{49DCBC76-E49D-4623-B4AA-BC2FA53D52B2}"/>
    <cellStyle name="40% - Accent1 3 2 2 4" xfId="9204" xr:uid="{CF104001-3F05-4AE9-ACE9-C004B338B04E}"/>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5B33654B-C229-475B-8875-803801AF791B}"/>
    <cellStyle name="40% - Accent1 3 2 3 2 3" xfId="11762" xr:uid="{DEFA7E8D-D394-4708-B266-C724B5D2D81D}"/>
    <cellStyle name="40% - Accent1 3 2 3 3" xfId="5385" xr:uid="{00000000-0005-0000-0000-00001B040000}"/>
    <cellStyle name="40% - Accent1 3 2 3 3 2" xfId="13835" xr:uid="{DE88D1E2-9F31-4CF4-8846-307100DF02FC}"/>
    <cellStyle name="40% - Accent1 3 2 3 4" xfId="9617" xr:uid="{899FB4ED-2E4A-4B2C-9D07-C38E56BCC5D5}"/>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6CEAB1F3-CD38-4FE7-BEC7-F07CBC35AF22}"/>
    <cellStyle name="40% - Accent1 3 2 4 2 3" xfId="12175" xr:uid="{71666584-F5BC-4B1A-9451-3A6F04A60632}"/>
    <cellStyle name="40% - Accent1 3 2 4 3" xfId="5798" xr:uid="{00000000-0005-0000-0000-00001F040000}"/>
    <cellStyle name="40% - Accent1 3 2 4 3 2" xfId="14248" xr:uid="{AAC05695-AE63-43DF-AC19-B48CE392029C}"/>
    <cellStyle name="40% - Accent1 3 2 4 4" xfId="10030" xr:uid="{E3EBEF03-D999-44BE-8D51-7B1363BE16A0}"/>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D5E4CA1A-C556-4979-8990-24DB9D8C27A6}"/>
    <cellStyle name="40% - Accent1 3 2 5 2 3" xfId="12588" xr:uid="{63AA3F58-AE9B-4747-80A2-231863D596B4}"/>
    <cellStyle name="40% - Accent1 3 2 5 3" xfId="6211" xr:uid="{00000000-0005-0000-0000-000023040000}"/>
    <cellStyle name="40% - Accent1 3 2 5 3 2" xfId="14661" xr:uid="{35CA9FDA-F413-4646-8ACC-B092F9037C2E}"/>
    <cellStyle name="40% - Accent1 3 2 5 4" xfId="10443" xr:uid="{E90E1E8A-558B-4C33-8E6D-2EE7D20C89D7}"/>
    <cellStyle name="40% - Accent1 3 2 6" xfId="2318" xr:uid="{00000000-0005-0000-0000-000024040000}"/>
    <cellStyle name="40% - Accent1 3 2 6 2" xfId="6624" xr:uid="{00000000-0005-0000-0000-000025040000}"/>
    <cellStyle name="40% - Accent1 3 2 6 2 2" xfId="15074" xr:uid="{637D39E1-ABA0-487D-8F44-CB28DCE7CEE9}"/>
    <cellStyle name="40% - Accent1 3 2 6 3" xfId="10856" xr:uid="{DACD7A89-04F3-4337-837A-4C867D6BF204}"/>
    <cellStyle name="40% - Accent1 3 2 7" xfId="4558" xr:uid="{00000000-0005-0000-0000-000026040000}"/>
    <cellStyle name="40% - Accent1 3 2 7 2" xfId="13008" xr:uid="{F945DFA6-1883-4D29-9710-2F68ECB65D08}"/>
    <cellStyle name="40% - Accent1 3 2 8" xfId="8790" xr:uid="{863CFA79-6B4D-4A85-B5F6-94893D4EA387}"/>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361A399D-585C-444F-A376-6526DEA3FE29}"/>
    <cellStyle name="40% - Accent1 3 3 2 3" xfId="11348" xr:uid="{1BB3CB0F-4539-4C62-BB13-44EFD6973542}"/>
    <cellStyle name="40% - Accent1 3 3 3" xfId="4971" xr:uid="{00000000-0005-0000-0000-00002A040000}"/>
    <cellStyle name="40% - Accent1 3 3 3 2" xfId="13421" xr:uid="{8DB1982F-A9AF-437E-83AE-8686D7A3651E}"/>
    <cellStyle name="40% - Accent1 3 3 4" xfId="9203" xr:uid="{E599AFD9-DE35-47C2-84D2-3CDE1F6FFD19}"/>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812B5337-FD1C-47B9-BDB7-AFCBC5C06662}"/>
    <cellStyle name="40% - Accent1 3 4 2 3" xfId="11761" xr:uid="{5CCDE994-638D-4B7F-A943-233F00F69D3D}"/>
    <cellStyle name="40% - Accent1 3 4 3" xfId="5384" xr:uid="{00000000-0005-0000-0000-00002E040000}"/>
    <cellStyle name="40% - Accent1 3 4 3 2" xfId="13834" xr:uid="{120642E6-5ED5-422C-A5AC-7D027CBBB9D8}"/>
    <cellStyle name="40% - Accent1 3 4 4" xfId="9616" xr:uid="{7D06C77F-F8F8-40C6-AEFE-4FFC00F36BFC}"/>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516FF044-BF67-45F7-A6D0-8BCB666A88B9}"/>
    <cellStyle name="40% - Accent1 3 5 2 3" xfId="12174" xr:uid="{BE13F1E1-ABEF-4967-806E-00CE44833F3D}"/>
    <cellStyle name="40% - Accent1 3 5 3" xfId="5797" xr:uid="{00000000-0005-0000-0000-000032040000}"/>
    <cellStyle name="40% - Accent1 3 5 3 2" xfId="14247" xr:uid="{D65D22A3-A81E-42E9-87DD-2052C8E1825C}"/>
    <cellStyle name="40% - Accent1 3 5 4" xfId="10029" xr:uid="{FDCDCAE4-522E-4CAB-941E-6C149AED9E98}"/>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E1373E06-242C-416C-9F1C-E802964FEFF1}"/>
    <cellStyle name="40% - Accent1 3 6 2 3" xfId="12587" xr:uid="{CB5BE0C9-2946-4806-ABC9-DA88FC5A7436}"/>
    <cellStyle name="40% - Accent1 3 6 3" xfId="6210" xr:uid="{00000000-0005-0000-0000-000036040000}"/>
    <cellStyle name="40% - Accent1 3 6 3 2" xfId="14660" xr:uid="{B6C39F54-3BB3-4773-A795-2DDB6A83801A}"/>
    <cellStyle name="40% - Accent1 3 6 4" xfId="10442" xr:uid="{135B6208-8BE3-435B-8B18-936433A53D63}"/>
    <cellStyle name="40% - Accent1 3 7" xfId="2317" xr:uid="{00000000-0005-0000-0000-000037040000}"/>
    <cellStyle name="40% - Accent1 3 7 2" xfId="6623" xr:uid="{00000000-0005-0000-0000-000038040000}"/>
    <cellStyle name="40% - Accent1 3 7 2 2" xfId="15073" xr:uid="{BC41C351-92D5-47B2-9238-77442143391B}"/>
    <cellStyle name="40% - Accent1 3 7 3" xfId="10855" xr:uid="{EADBF40F-77D4-4DD6-A28E-65B250199A37}"/>
    <cellStyle name="40% - Accent1 3 8" xfId="4557" xr:uid="{00000000-0005-0000-0000-000039040000}"/>
    <cellStyle name="40% - Accent1 3 8 2" xfId="13007" xr:uid="{65CA342E-4562-47CB-9C84-EAEA9B04C115}"/>
    <cellStyle name="40% - Accent1 3 9" xfId="8789" xr:uid="{BF9DF49B-6E03-46B4-997C-34BF270645D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0619DC41-C747-4B77-BE86-55A84C8E1CB0}"/>
    <cellStyle name="40% - Accent1 4 2 2 3" xfId="11350" xr:uid="{A95C1079-C341-4667-950B-17E32311F883}"/>
    <cellStyle name="40% - Accent1 4 2 3" xfId="4973" xr:uid="{00000000-0005-0000-0000-00003E040000}"/>
    <cellStyle name="40% - Accent1 4 2 3 2" xfId="13423" xr:uid="{62C8BF4C-E52A-48FF-B1E9-962BF6A3CB52}"/>
    <cellStyle name="40% - Accent1 4 2 4" xfId="9205" xr:uid="{87013CE2-DB5B-47B9-8491-42CAF4CF1939}"/>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3B17D3AF-9518-4511-B721-930466327AD6}"/>
    <cellStyle name="40% - Accent1 4 3 2 3" xfId="11763" xr:uid="{C6384F88-85A0-4DE5-8B7C-4E055CDB4E1C}"/>
    <cellStyle name="40% - Accent1 4 3 3" xfId="5386" xr:uid="{00000000-0005-0000-0000-000042040000}"/>
    <cellStyle name="40% - Accent1 4 3 3 2" xfId="13836" xr:uid="{87307C89-C6C1-4773-910E-77837DC880F4}"/>
    <cellStyle name="40% - Accent1 4 3 4" xfId="9618" xr:uid="{2F5BDDA8-D154-471F-A472-3A73FCFE484A}"/>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BD696A8B-B98B-467A-896E-7A2BA4572E76}"/>
    <cellStyle name="40% - Accent1 4 4 2 3" xfId="12176" xr:uid="{62E8F0D5-7F24-4020-B5CA-5073C2580FC2}"/>
    <cellStyle name="40% - Accent1 4 4 3" xfId="5799" xr:uid="{00000000-0005-0000-0000-000046040000}"/>
    <cellStyle name="40% - Accent1 4 4 3 2" xfId="14249" xr:uid="{A6B87AA7-ABCA-4D14-89F5-DE3AFA67E1B6}"/>
    <cellStyle name="40% - Accent1 4 4 4" xfId="10031" xr:uid="{3560D8BC-71AD-4C0A-A55E-9E20118E2637}"/>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DD130F9B-2BDD-4FFE-B2C3-0C20339AF0A8}"/>
    <cellStyle name="40% - Accent1 4 5 2 3" xfId="12589" xr:uid="{BE7AF1B2-6418-4D37-B702-669E7EDC49D8}"/>
    <cellStyle name="40% - Accent1 4 5 3" xfId="6212" xr:uid="{00000000-0005-0000-0000-00004A040000}"/>
    <cellStyle name="40% - Accent1 4 5 3 2" xfId="14662" xr:uid="{EC52B714-CDF9-44F1-AFAF-2032983AFE35}"/>
    <cellStyle name="40% - Accent1 4 5 4" xfId="10444" xr:uid="{B70B03E7-A0A7-4979-ADCF-7093D22F4235}"/>
    <cellStyle name="40% - Accent1 4 6" xfId="2319" xr:uid="{00000000-0005-0000-0000-00004B040000}"/>
    <cellStyle name="40% - Accent1 4 6 2" xfId="6625" xr:uid="{00000000-0005-0000-0000-00004C040000}"/>
    <cellStyle name="40% - Accent1 4 6 2 2" xfId="15075" xr:uid="{61CEF34D-FA3D-4EDC-AD12-8043D4992018}"/>
    <cellStyle name="40% - Accent1 4 6 3" xfId="10857" xr:uid="{EAB2DD18-1B75-4F02-A3CA-364F434AE782}"/>
    <cellStyle name="40% - Accent1 4 7" xfId="4559" xr:uid="{00000000-0005-0000-0000-00004D040000}"/>
    <cellStyle name="40% - Accent1 4 7 2" xfId="13009" xr:uid="{1B0EAAE2-DE85-4794-93FF-E998CBA00D2D}"/>
    <cellStyle name="40% - Accent1 4 8" xfId="8791" xr:uid="{DBBF14B2-A8D8-4BBD-ACBC-FD821F82B615}"/>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0D908F67-E668-4EC7-BA97-C3F6A504F137}"/>
    <cellStyle name="40% - Accent1 5 2 3" xfId="11343" xr:uid="{C831B429-9E9E-4A81-AAAF-1AA58AE6475F}"/>
    <cellStyle name="40% - Accent1 5 3" xfId="4966" xr:uid="{00000000-0005-0000-0000-000051040000}"/>
    <cellStyle name="40% - Accent1 5 3 2" xfId="13416" xr:uid="{BC910A39-FDCE-4AB4-B015-FB2D49E78F9E}"/>
    <cellStyle name="40% - Accent1 5 4" xfId="9198" xr:uid="{B49645A8-3B1D-4407-AAC8-300B158495CA}"/>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5855247B-1D5A-42B7-BEB0-78F8EBC4F57A}"/>
    <cellStyle name="40% - Accent1 6 2 3" xfId="11756" xr:uid="{B7EB9874-02CC-425A-8DC6-63450D6A5C18}"/>
    <cellStyle name="40% - Accent1 6 3" xfId="5379" xr:uid="{00000000-0005-0000-0000-000055040000}"/>
    <cellStyle name="40% - Accent1 6 3 2" xfId="13829" xr:uid="{0E87E0B8-9A5E-4834-B681-882181507795}"/>
    <cellStyle name="40% - Accent1 6 4" xfId="9611" xr:uid="{B891DC42-136D-4B51-A207-9AB402DDD506}"/>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E06FEF1A-8058-4DC8-9DA8-9321391FBB32}"/>
    <cellStyle name="40% - Accent1 7 2 3" xfId="12169" xr:uid="{763A8096-E9EB-4454-BEEC-ACF74E2A3DCB}"/>
    <cellStyle name="40% - Accent1 7 3" xfId="5792" xr:uid="{00000000-0005-0000-0000-000059040000}"/>
    <cellStyle name="40% - Accent1 7 3 2" xfId="14242" xr:uid="{A756DA82-C9FC-4F66-B52F-4FB588F8FEFF}"/>
    <cellStyle name="40% - Accent1 7 4" xfId="10024" xr:uid="{8A2F76C4-3571-4447-A277-8B138227EDBE}"/>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717BD544-6AEC-4A5F-AA58-E9445FBFBB98}"/>
    <cellStyle name="40% - Accent1 8 2 3" xfId="12582" xr:uid="{17842BD9-8405-405E-B4B4-3D1717714FF4}"/>
    <cellStyle name="40% - Accent1 8 3" xfId="6205" xr:uid="{00000000-0005-0000-0000-00005D040000}"/>
    <cellStyle name="40% - Accent1 8 3 2" xfId="14655" xr:uid="{6C92CA53-33D7-4232-89D9-62C898045C9F}"/>
    <cellStyle name="40% - Accent1 8 4" xfId="10437" xr:uid="{83A3DBAA-4982-4A64-A1DD-CCDBFBA80614}"/>
    <cellStyle name="40% - Accent1 9" xfId="2312" xr:uid="{00000000-0005-0000-0000-00005E040000}"/>
    <cellStyle name="40% - Accent1 9 2" xfId="6618" xr:uid="{00000000-0005-0000-0000-00005F040000}"/>
    <cellStyle name="40% - Accent1 9 2 2" xfId="15068" xr:uid="{B06591DA-644D-4629-B1A8-CE267598AAC3}"/>
    <cellStyle name="40% - Accent1 9 3" xfId="10850" xr:uid="{EF5B7E74-9CC3-4109-8013-4E876E3A28F6}"/>
    <cellStyle name="40% - Accent2" xfId="57" builtinId="35" customBuiltin="1"/>
    <cellStyle name="40% - Accent2 10" xfId="4560" xr:uid="{00000000-0005-0000-0000-000061040000}"/>
    <cellStyle name="40% - Accent2 10 2" xfId="13010" xr:uid="{D2A78CE7-7A7F-49AE-AD6E-708276F9B6AB}"/>
    <cellStyle name="40% - Accent2 11" xfId="8792" xr:uid="{F923C32B-BF43-4470-AD8D-0B4E1EA21DE6}"/>
    <cellStyle name="40% - Accent2 2" xfId="58" xr:uid="{00000000-0005-0000-0000-000062040000}"/>
    <cellStyle name="40% - Accent2 2 10" xfId="8793" xr:uid="{60717AD2-0C0B-4629-A7A4-918D67B5738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B1D74745-4919-403C-8043-3770B6470989}"/>
    <cellStyle name="40% - Accent2 2 2 2 2 2 3" xfId="11354" xr:uid="{FFE4C2DB-635D-446B-9B12-40721A690805}"/>
    <cellStyle name="40% - Accent2 2 2 2 2 3" xfId="4977" xr:uid="{00000000-0005-0000-0000-000068040000}"/>
    <cellStyle name="40% - Accent2 2 2 2 2 3 2" xfId="13427" xr:uid="{5681FACE-6019-4339-B7F8-50D8E35A431F}"/>
    <cellStyle name="40% - Accent2 2 2 2 2 4" xfId="9209" xr:uid="{692786FA-90BB-4E19-B386-56B7909D675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925BD9BA-D9F9-41D5-8700-8929F40F186E}"/>
    <cellStyle name="40% - Accent2 2 2 2 3 2 3" xfId="11767" xr:uid="{B0833D1A-0644-47E2-9604-8158E67F7310}"/>
    <cellStyle name="40% - Accent2 2 2 2 3 3" xfId="5390" xr:uid="{00000000-0005-0000-0000-00006C040000}"/>
    <cellStyle name="40% - Accent2 2 2 2 3 3 2" xfId="13840" xr:uid="{5CACB2D1-A2D0-4B9F-A028-79C509CBA349}"/>
    <cellStyle name="40% - Accent2 2 2 2 3 4" xfId="9622" xr:uid="{DFA9996B-CDAA-4369-9EC9-3DBFC30D15ED}"/>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0307CC26-D7BB-4EF5-A08F-8E053E4CA8A9}"/>
    <cellStyle name="40% - Accent2 2 2 2 4 2 3" xfId="12180" xr:uid="{BD0ED403-CD35-4B7B-8BBB-154834766FE2}"/>
    <cellStyle name="40% - Accent2 2 2 2 4 3" xfId="5803" xr:uid="{00000000-0005-0000-0000-000070040000}"/>
    <cellStyle name="40% - Accent2 2 2 2 4 3 2" xfId="14253" xr:uid="{1720073D-F9D7-429A-91C4-E056DBA4010D}"/>
    <cellStyle name="40% - Accent2 2 2 2 4 4" xfId="10035" xr:uid="{829C1E7B-F14F-4E5F-8625-60433B6273F9}"/>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BF04DBE3-8737-4C88-A72E-30D22086DF94}"/>
    <cellStyle name="40% - Accent2 2 2 2 5 2 3" xfId="12593" xr:uid="{BFB0FE8D-A01A-42CE-9458-B835F47AB716}"/>
    <cellStyle name="40% - Accent2 2 2 2 5 3" xfId="6216" xr:uid="{00000000-0005-0000-0000-000074040000}"/>
    <cellStyle name="40% - Accent2 2 2 2 5 3 2" xfId="14666" xr:uid="{C56D394B-EBBD-4052-9CFB-40BE88144D08}"/>
    <cellStyle name="40% - Accent2 2 2 2 5 4" xfId="10448" xr:uid="{092A5BFA-F495-4401-9D7E-A8C681AADD01}"/>
    <cellStyle name="40% - Accent2 2 2 2 6" xfId="2323" xr:uid="{00000000-0005-0000-0000-000075040000}"/>
    <cellStyle name="40% - Accent2 2 2 2 6 2" xfId="6629" xr:uid="{00000000-0005-0000-0000-000076040000}"/>
    <cellStyle name="40% - Accent2 2 2 2 6 2 2" xfId="15079" xr:uid="{808B721A-A8AF-4325-908F-75BDA070401B}"/>
    <cellStyle name="40% - Accent2 2 2 2 6 3" xfId="10861" xr:uid="{3DFE2088-232A-4687-83BB-084B2A75E612}"/>
    <cellStyle name="40% - Accent2 2 2 2 7" xfId="4563" xr:uid="{00000000-0005-0000-0000-000077040000}"/>
    <cellStyle name="40% - Accent2 2 2 2 7 2" xfId="13013" xr:uid="{2E673857-89AF-4F17-A1E4-4FBDC7FA45B4}"/>
    <cellStyle name="40% - Accent2 2 2 2 8" xfId="8795" xr:uid="{9A8F1FB9-8052-4AD4-B77A-148DEFB0CF98}"/>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334E9D85-D5EA-410D-BF1E-1D543E51B583}"/>
    <cellStyle name="40% - Accent2 2 2 3 2 3" xfId="11353" xr:uid="{41FDA8CC-AB23-4C74-9C65-5838F3032AC2}"/>
    <cellStyle name="40% - Accent2 2 2 3 3" xfId="4976" xr:uid="{00000000-0005-0000-0000-00007B040000}"/>
    <cellStyle name="40% - Accent2 2 2 3 3 2" xfId="13426" xr:uid="{0C4EA0C7-92FB-4544-BBE6-E7872DBEA9DC}"/>
    <cellStyle name="40% - Accent2 2 2 3 4" xfId="9208" xr:uid="{B08B2DDE-4DB8-44DE-8CDD-CE96ACB5DCD9}"/>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4A801CAA-E9B0-4C7D-86C7-FF033D2C50D0}"/>
    <cellStyle name="40% - Accent2 2 2 4 2 3" xfId="11766" xr:uid="{2894DF88-ACF7-49C2-B616-695A3F20ED5A}"/>
    <cellStyle name="40% - Accent2 2 2 4 3" xfId="5389" xr:uid="{00000000-0005-0000-0000-00007F040000}"/>
    <cellStyle name="40% - Accent2 2 2 4 3 2" xfId="13839" xr:uid="{87ED61D3-B743-4E3F-88F7-D84FEF4965FA}"/>
    <cellStyle name="40% - Accent2 2 2 4 4" xfId="9621" xr:uid="{E0FB4DC5-808C-4844-91B3-7228EAFAFC3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A8DF46FD-73E9-4F59-AD60-3B5EEE1BA31D}"/>
    <cellStyle name="40% - Accent2 2 2 5 2 3" xfId="12179" xr:uid="{BE1DF224-6A03-4F87-A292-12F1472F8644}"/>
    <cellStyle name="40% - Accent2 2 2 5 3" xfId="5802" xr:uid="{00000000-0005-0000-0000-000083040000}"/>
    <cellStyle name="40% - Accent2 2 2 5 3 2" xfId="14252" xr:uid="{8E271972-173D-4AFA-B370-A1D40CB5C1DD}"/>
    <cellStyle name="40% - Accent2 2 2 5 4" xfId="10034" xr:uid="{F29B682D-8FAB-4DA5-8447-0BC560C21FAF}"/>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7BA91AF3-34D6-42A5-ACE1-E9A416B57478}"/>
    <cellStyle name="40% - Accent2 2 2 6 2 3" xfId="12592" xr:uid="{863DF120-8CD7-4B00-842B-65A973848E02}"/>
    <cellStyle name="40% - Accent2 2 2 6 3" xfId="6215" xr:uid="{00000000-0005-0000-0000-000087040000}"/>
    <cellStyle name="40% - Accent2 2 2 6 3 2" xfId="14665" xr:uid="{56183AFC-71DA-4440-ADE4-D227F728E362}"/>
    <cellStyle name="40% - Accent2 2 2 6 4" xfId="10447" xr:uid="{6F2570F9-022F-4DE1-84A3-F26590BB311B}"/>
    <cellStyle name="40% - Accent2 2 2 7" xfId="2322" xr:uid="{00000000-0005-0000-0000-000088040000}"/>
    <cellStyle name="40% - Accent2 2 2 7 2" xfId="6628" xr:uid="{00000000-0005-0000-0000-000089040000}"/>
    <cellStyle name="40% - Accent2 2 2 7 2 2" xfId="15078" xr:uid="{CBAFEF85-3D6A-43CE-96A2-20E1E614098A}"/>
    <cellStyle name="40% - Accent2 2 2 7 3" xfId="10860" xr:uid="{A8D4258F-D189-4C7A-A464-345FF7D5E48E}"/>
    <cellStyle name="40% - Accent2 2 2 8" xfId="4562" xr:uid="{00000000-0005-0000-0000-00008A040000}"/>
    <cellStyle name="40% - Accent2 2 2 8 2" xfId="13012" xr:uid="{9AFA0D2A-8B8A-4687-82EA-F2040482AC94}"/>
    <cellStyle name="40% - Accent2 2 2 9" xfId="8794" xr:uid="{90DEF256-94D5-43AB-B931-56ECDBA40185}"/>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6EFB60D9-D276-4663-B287-DBBE87EF1905}"/>
    <cellStyle name="40% - Accent2 2 3 2 2 3" xfId="11355" xr:uid="{A42F0B4F-F0BA-4A6F-9A4F-4902AEBBF03A}"/>
    <cellStyle name="40% - Accent2 2 3 2 3" xfId="4978" xr:uid="{00000000-0005-0000-0000-00008F040000}"/>
    <cellStyle name="40% - Accent2 2 3 2 3 2" xfId="13428" xr:uid="{8EB47D56-0216-4749-9C73-C5005A2B7F82}"/>
    <cellStyle name="40% - Accent2 2 3 2 4" xfId="9210" xr:uid="{921601A1-A621-4AC8-8AE2-AEA40FBCC51B}"/>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80124A4A-0EA0-47A2-B0A4-BA99B5D79DD9}"/>
    <cellStyle name="40% - Accent2 2 3 3 2 3" xfId="11768" xr:uid="{272C7B49-C25A-4A02-9BA6-A1DF190A7790}"/>
    <cellStyle name="40% - Accent2 2 3 3 3" xfId="5391" xr:uid="{00000000-0005-0000-0000-000093040000}"/>
    <cellStyle name="40% - Accent2 2 3 3 3 2" xfId="13841" xr:uid="{DAFE8F08-B5F5-4115-9104-BE5CE2BAF1EA}"/>
    <cellStyle name="40% - Accent2 2 3 3 4" xfId="9623" xr:uid="{88AC90AD-EDE9-42CC-808E-70D85819361C}"/>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D0295C7B-B9EF-4E33-84A7-9C5C6D0C81B2}"/>
    <cellStyle name="40% - Accent2 2 3 4 2 3" xfId="12181" xr:uid="{F00FD1EB-A800-4D0D-8842-F1D3E3D48DBB}"/>
    <cellStyle name="40% - Accent2 2 3 4 3" xfId="5804" xr:uid="{00000000-0005-0000-0000-000097040000}"/>
    <cellStyle name="40% - Accent2 2 3 4 3 2" xfId="14254" xr:uid="{DACF7A87-845B-4AA5-8794-C5FCCB2CF6C0}"/>
    <cellStyle name="40% - Accent2 2 3 4 4" xfId="10036" xr:uid="{8DDCD327-65A4-404E-B235-B4BAABF0F023}"/>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558A8860-12A6-43DE-928E-2194CE98CBB0}"/>
    <cellStyle name="40% - Accent2 2 3 5 2 3" xfId="12594" xr:uid="{33EE755A-4550-4A1B-88BF-4A6CC0597967}"/>
    <cellStyle name="40% - Accent2 2 3 5 3" xfId="6217" xr:uid="{00000000-0005-0000-0000-00009B040000}"/>
    <cellStyle name="40% - Accent2 2 3 5 3 2" xfId="14667" xr:uid="{1538E000-BBB7-472A-8771-D1C16C97C8AE}"/>
    <cellStyle name="40% - Accent2 2 3 5 4" xfId="10449" xr:uid="{24F3BB3A-4EBB-4650-BB1A-1E57C804BECF}"/>
    <cellStyle name="40% - Accent2 2 3 6" xfId="2324" xr:uid="{00000000-0005-0000-0000-00009C040000}"/>
    <cellStyle name="40% - Accent2 2 3 6 2" xfId="6630" xr:uid="{00000000-0005-0000-0000-00009D040000}"/>
    <cellStyle name="40% - Accent2 2 3 6 2 2" xfId="15080" xr:uid="{33F9613B-A70C-410D-AFF2-C9E5A8423647}"/>
    <cellStyle name="40% - Accent2 2 3 6 3" xfId="10862" xr:uid="{1B35E399-B9FE-4C10-822D-ED01E9FC475B}"/>
    <cellStyle name="40% - Accent2 2 3 7" xfId="4564" xr:uid="{00000000-0005-0000-0000-00009E040000}"/>
    <cellStyle name="40% - Accent2 2 3 7 2" xfId="13014" xr:uid="{9A24C213-BA6F-41F4-BD7C-11408B171C61}"/>
    <cellStyle name="40% - Accent2 2 3 8" xfId="8796" xr:uid="{A302591D-C602-4152-9F83-515B4FAB1535}"/>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363283DE-4115-4B11-9288-16551BAE4053}"/>
    <cellStyle name="40% - Accent2 2 4 2 3" xfId="11352" xr:uid="{C035B06A-AF07-4DF9-BE1D-17EB20D4923E}"/>
    <cellStyle name="40% - Accent2 2 4 3" xfId="4975" xr:uid="{00000000-0005-0000-0000-0000A2040000}"/>
    <cellStyle name="40% - Accent2 2 4 3 2" xfId="13425" xr:uid="{9F0FB886-2A30-4CB8-AD8F-DC54DAF6AEFC}"/>
    <cellStyle name="40% - Accent2 2 4 4" xfId="9207" xr:uid="{C9AEDA81-C034-4618-91DB-06393B2CE83D}"/>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9DBD5C24-94AE-420A-8305-A6E84719F4B1}"/>
    <cellStyle name="40% - Accent2 2 5 2 3" xfId="11765" xr:uid="{8C894274-EE80-44F4-8062-014427C1DBD7}"/>
    <cellStyle name="40% - Accent2 2 5 3" xfId="5388" xr:uid="{00000000-0005-0000-0000-0000A6040000}"/>
    <cellStyle name="40% - Accent2 2 5 3 2" xfId="13838" xr:uid="{E70F616F-ABAD-4B67-9A53-C6520B553978}"/>
    <cellStyle name="40% - Accent2 2 5 4" xfId="9620" xr:uid="{DFF20A61-6A9F-4554-89D2-91499B6D282A}"/>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A0E765A6-60E4-4C6B-82D2-38C60C24E692}"/>
    <cellStyle name="40% - Accent2 2 6 2 3" xfId="12178" xr:uid="{45F69C73-37F5-4A67-8CD6-BE0449D9E40C}"/>
    <cellStyle name="40% - Accent2 2 6 3" xfId="5801" xr:uid="{00000000-0005-0000-0000-0000AA040000}"/>
    <cellStyle name="40% - Accent2 2 6 3 2" xfId="14251" xr:uid="{741CCA63-33C0-4FA5-B26B-04F47E3CC121}"/>
    <cellStyle name="40% - Accent2 2 6 4" xfId="10033" xr:uid="{E72F01C1-BBC1-45F9-ADBD-7A20D2CDAC24}"/>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A868A14D-A16B-4DC7-A301-CC0DCEB45443}"/>
    <cellStyle name="40% - Accent2 2 7 2 3" xfId="12591" xr:uid="{FA468214-6B93-4ED3-A938-BB536D77C920}"/>
    <cellStyle name="40% - Accent2 2 7 3" xfId="6214" xr:uid="{00000000-0005-0000-0000-0000AE040000}"/>
    <cellStyle name="40% - Accent2 2 7 3 2" xfId="14664" xr:uid="{69F72128-FC15-4E83-BB50-03F76DCE9149}"/>
    <cellStyle name="40% - Accent2 2 7 4" xfId="10446" xr:uid="{8E39BFB9-EDE7-4171-85CF-A10C1798AA9C}"/>
    <cellStyle name="40% - Accent2 2 8" xfId="2321" xr:uid="{00000000-0005-0000-0000-0000AF040000}"/>
    <cellStyle name="40% - Accent2 2 8 2" xfId="6627" xr:uid="{00000000-0005-0000-0000-0000B0040000}"/>
    <cellStyle name="40% - Accent2 2 8 2 2" xfId="15077" xr:uid="{90B5C1E6-DC30-4041-B078-148DA7C4686C}"/>
    <cellStyle name="40% - Accent2 2 8 3" xfId="10859" xr:uid="{C40B0BF6-02EA-495A-84CE-C823119F8645}"/>
    <cellStyle name="40% - Accent2 2 9" xfId="4561" xr:uid="{00000000-0005-0000-0000-0000B1040000}"/>
    <cellStyle name="40% - Accent2 2 9 2" xfId="13011" xr:uid="{EA261EB6-4911-497C-8CB4-26C85621D2E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AB67B309-2151-40D6-8F29-297BC5F5E737}"/>
    <cellStyle name="40% - Accent2 3 2 2 2 3" xfId="11357" xr:uid="{30EA94F1-D4CB-4270-B711-855A6DA99965}"/>
    <cellStyle name="40% - Accent2 3 2 2 3" xfId="4980" xr:uid="{00000000-0005-0000-0000-0000B7040000}"/>
    <cellStyle name="40% - Accent2 3 2 2 3 2" xfId="13430" xr:uid="{629D28DC-F392-4D89-872E-66F8FD91AAA1}"/>
    <cellStyle name="40% - Accent2 3 2 2 4" xfId="9212" xr:uid="{D2C46AC6-67C0-447A-AC1E-B083F64DA5E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490598C4-F08D-42D7-BB5A-D30D54FA6520}"/>
    <cellStyle name="40% - Accent2 3 2 3 2 3" xfId="11770" xr:uid="{237871E8-F5C4-4C77-8518-A1315A2494F5}"/>
    <cellStyle name="40% - Accent2 3 2 3 3" xfId="5393" xr:uid="{00000000-0005-0000-0000-0000BB040000}"/>
    <cellStyle name="40% - Accent2 3 2 3 3 2" xfId="13843" xr:uid="{6879D4C8-170F-4277-BF76-C2826F31453F}"/>
    <cellStyle name="40% - Accent2 3 2 3 4" xfId="9625" xr:uid="{66C77066-6760-4DF3-A62F-CF63936680B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E6D847AC-AB3E-41F4-A258-6C682B9A4CDD}"/>
    <cellStyle name="40% - Accent2 3 2 4 2 3" xfId="12183" xr:uid="{A8E806ED-0104-44DA-B42D-0E361C591202}"/>
    <cellStyle name="40% - Accent2 3 2 4 3" xfId="5806" xr:uid="{00000000-0005-0000-0000-0000BF040000}"/>
    <cellStyle name="40% - Accent2 3 2 4 3 2" xfId="14256" xr:uid="{AD1999FD-9011-4ED1-8DF0-A93D94807279}"/>
    <cellStyle name="40% - Accent2 3 2 4 4" xfId="10038" xr:uid="{CC993A44-6FD1-4D3A-A93A-3A2F7543E74B}"/>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55B157B1-94A6-4FFB-A5D4-601B515DD25A}"/>
    <cellStyle name="40% - Accent2 3 2 5 2 3" xfId="12596" xr:uid="{B939D608-3DB3-4B6D-AC00-EE5EB6C289F3}"/>
    <cellStyle name="40% - Accent2 3 2 5 3" xfId="6219" xr:uid="{00000000-0005-0000-0000-0000C3040000}"/>
    <cellStyle name="40% - Accent2 3 2 5 3 2" xfId="14669" xr:uid="{F2FB604B-E639-4B0C-B164-D07A57A7345F}"/>
    <cellStyle name="40% - Accent2 3 2 5 4" xfId="10451" xr:uid="{704C9AF0-2F82-401E-BF34-36212C10D567}"/>
    <cellStyle name="40% - Accent2 3 2 6" xfId="2326" xr:uid="{00000000-0005-0000-0000-0000C4040000}"/>
    <cellStyle name="40% - Accent2 3 2 6 2" xfId="6632" xr:uid="{00000000-0005-0000-0000-0000C5040000}"/>
    <cellStyle name="40% - Accent2 3 2 6 2 2" xfId="15082" xr:uid="{78BE8D14-A600-4CED-9D2B-89BAA7174461}"/>
    <cellStyle name="40% - Accent2 3 2 6 3" xfId="10864" xr:uid="{4DC57BEF-D444-43C2-8356-494740B35D4E}"/>
    <cellStyle name="40% - Accent2 3 2 7" xfId="4566" xr:uid="{00000000-0005-0000-0000-0000C6040000}"/>
    <cellStyle name="40% - Accent2 3 2 7 2" xfId="13016" xr:uid="{269181D5-E3D9-4351-BA79-8D1730E5027D}"/>
    <cellStyle name="40% - Accent2 3 2 8" xfId="8798" xr:uid="{15545CBA-5821-4A30-86A5-3453B1E00161}"/>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8005F6B5-8348-4156-96DD-16BB75A8A167}"/>
    <cellStyle name="40% - Accent2 3 3 2 3" xfId="11356" xr:uid="{C21BD6B5-429F-4824-8169-6FA2B1157F97}"/>
    <cellStyle name="40% - Accent2 3 3 3" xfId="4979" xr:uid="{00000000-0005-0000-0000-0000CA040000}"/>
    <cellStyle name="40% - Accent2 3 3 3 2" xfId="13429" xr:uid="{143A6740-B03B-48E4-A585-D7402C714574}"/>
    <cellStyle name="40% - Accent2 3 3 4" xfId="9211" xr:uid="{4AE458D1-D9DB-4316-BF71-8B86C48CA3B8}"/>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501B6854-DFE1-4C25-B659-23DA1E3E3724}"/>
    <cellStyle name="40% - Accent2 3 4 2 3" xfId="11769" xr:uid="{6CC292AB-C8B7-4289-802E-8D0C2C473719}"/>
    <cellStyle name="40% - Accent2 3 4 3" xfId="5392" xr:uid="{00000000-0005-0000-0000-0000CE040000}"/>
    <cellStyle name="40% - Accent2 3 4 3 2" xfId="13842" xr:uid="{4213E2FA-E73B-441A-ABEA-7C56C87B4878}"/>
    <cellStyle name="40% - Accent2 3 4 4" xfId="9624" xr:uid="{E02B7E1C-786E-4821-A60F-B06164D1F5D5}"/>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72A31552-ECD6-47FB-AB4E-B85A17D33F5A}"/>
    <cellStyle name="40% - Accent2 3 5 2 3" xfId="12182" xr:uid="{EE3CB4D2-91C8-4163-BC8E-06E26CEEEDDD}"/>
    <cellStyle name="40% - Accent2 3 5 3" xfId="5805" xr:uid="{00000000-0005-0000-0000-0000D2040000}"/>
    <cellStyle name="40% - Accent2 3 5 3 2" xfId="14255" xr:uid="{9D5826D4-C497-46E9-88B1-F300F1C23A73}"/>
    <cellStyle name="40% - Accent2 3 5 4" xfId="10037" xr:uid="{53476B19-D18A-46FF-AC43-C5159C55D94C}"/>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1ADEB61B-2071-47E9-B784-F68CE9BB542A}"/>
    <cellStyle name="40% - Accent2 3 6 2 3" xfId="12595" xr:uid="{643DEDE5-F6BA-4386-80A5-9706DDC501A9}"/>
    <cellStyle name="40% - Accent2 3 6 3" xfId="6218" xr:uid="{00000000-0005-0000-0000-0000D6040000}"/>
    <cellStyle name="40% - Accent2 3 6 3 2" xfId="14668" xr:uid="{444C911C-BC5D-43C8-B516-65C99EA54BD0}"/>
    <cellStyle name="40% - Accent2 3 6 4" xfId="10450" xr:uid="{341F9200-0B45-4CA0-88B6-670851BF5148}"/>
    <cellStyle name="40% - Accent2 3 7" xfId="2325" xr:uid="{00000000-0005-0000-0000-0000D7040000}"/>
    <cellStyle name="40% - Accent2 3 7 2" xfId="6631" xr:uid="{00000000-0005-0000-0000-0000D8040000}"/>
    <cellStyle name="40% - Accent2 3 7 2 2" xfId="15081" xr:uid="{8B3A30E1-897F-4EDE-BD79-82E095A58AF7}"/>
    <cellStyle name="40% - Accent2 3 7 3" xfId="10863" xr:uid="{78DF72B4-08EE-49BD-ADB1-A06781E48C90}"/>
    <cellStyle name="40% - Accent2 3 8" xfId="4565" xr:uid="{00000000-0005-0000-0000-0000D9040000}"/>
    <cellStyle name="40% - Accent2 3 8 2" xfId="13015" xr:uid="{679A0670-AE2F-43A7-948E-E704DE4AEFF6}"/>
    <cellStyle name="40% - Accent2 3 9" xfId="8797" xr:uid="{7C3E69BC-6F3B-4B65-8127-AAB4C8A12B66}"/>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D8FA661F-77AE-40BA-BB9E-5202B85DEC9F}"/>
    <cellStyle name="40% - Accent2 4 2 2 3" xfId="11358" xr:uid="{242F67C2-5BC5-404C-B167-92922AAC257F}"/>
    <cellStyle name="40% - Accent2 4 2 3" xfId="4981" xr:uid="{00000000-0005-0000-0000-0000DE040000}"/>
    <cellStyle name="40% - Accent2 4 2 3 2" xfId="13431" xr:uid="{D9841866-D4B3-4E5F-909E-0C7CD953ED82}"/>
    <cellStyle name="40% - Accent2 4 2 4" xfId="9213" xr:uid="{090DD534-5BDD-43BD-89AE-535E4ED1507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C66E540B-4DDA-4177-85A6-C1A6A22AF8D1}"/>
    <cellStyle name="40% - Accent2 4 3 2 3" xfId="11771" xr:uid="{323A7A21-FFF2-4B79-B499-B5D91E470BD4}"/>
    <cellStyle name="40% - Accent2 4 3 3" xfId="5394" xr:uid="{00000000-0005-0000-0000-0000E2040000}"/>
    <cellStyle name="40% - Accent2 4 3 3 2" xfId="13844" xr:uid="{12E01CE7-773D-4829-AADB-E9AA0E426E8B}"/>
    <cellStyle name="40% - Accent2 4 3 4" xfId="9626" xr:uid="{83AA2FD5-2CBB-49E0-8252-C346BAB1503B}"/>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E0C32493-795F-462A-9913-B126569D9B72}"/>
    <cellStyle name="40% - Accent2 4 4 2 3" xfId="12184" xr:uid="{2490E6C3-55EE-4715-8F9F-E81CFFF7BD9D}"/>
    <cellStyle name="40% - Accent2 4 4 3" xfId="5807" xr:uid="{00000000-0005-0000-0000-0000E6040000}"/>
    <cellStyle name="40% - Accent2 4 4 3 2" xfId="14257" xr:uid="{8BAB11DD-A775-4D19-AA89-713D238042E7}"/>
    <cellStyle name="40% - Accent2 4 4 4" xfId="10039" xr:uid="{B2F812E6-040E-4E11-885E-6C3323A42B74}"/>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E887A655-11A3-412A-B11D-F29E6048C80F}"/>
    <cellStyle name="40% - Accent2 4 5 2 3" xfId="12597" xr:uid="{D05B504C-D3FE-4151-A3C0-5951A04EE432}"/>
    <cellStyle name="40% - Accent2 4 5 3" xfId="6220" xr:uid="{00000000-0005-0000-0000-0000EA040000}"/>
    <cellStyle name="40% - Accent2 4 5 3 2" xfId="14670" xr:uid="{A53963B6-D334-4170-9828-0CA8D58AFFBD}"/>
    <cellStyle name="40% - Accent2 4 5 4" xfId="10452" xr:uid="{394981E0-295F-42CC-B18B-5127ECEABADC}"/>
    <cellStyle name="40% - Accent2 4 6" xfId="2327" xr:uid="{00000000-0005-0000-0000-0000EB040000}"/>
    <cellStyle name="40% - Accent2 4 6 2" xfId="6633" xr:uid="{00000000-0005-0000-0000-0000EC040000}"/>
    <cellStyle name="40% - Accent2 4 6 2 2" xfId="15083" xr:uid="{3DC77725-5570-44F7-8C67-787F32F2FE62}"/>
    <cellStyle name="40% - Accent2 4 6 3" xfId="10865" xr:uid="{37B6810E-022A-4055-B73F-432AECF4CF92}"/>
    <cellStyle name="40% - Accent2 4 7" xfId="4567" xr:uid="{00000000-0005-0000-0000-0000ED040000}"/>
    <cellStyle name="40% - Accent2 4 7 2" xfId="13017" xr:uid="{2576E73F-56BE-42BA-9242-97DD4CCBE7C4}"/>
    <cellStyle name="40% - Accent2 4 8" xfId="8799" xr:uid="{3E9B1179-EDD6-426F-ABF3-4815E8C79EF3}"/>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C61A6D96-CF52-4579-88F9-2989A0B8679C}"/>
    <cellStyle name="40% - Accent2 5 2 3" xfId="11351" xr:uid="{D61C2C25-0B2F-4B9B-9683-268D083033B0}"/>
    <cellStyle name="40% - Accent2 5 3" xfId="4974" xr:uid="{00000000-0005-0000-0000-0000F1040000}"/>
    <cellStyle name="40% - Accent2 5 3 2" xfId="13424" xr:uid="{D0C1D3B4-DAEE-4AD6-950B-A2090F3D2291}"/>
    <cellStyle name="40% - Accent2 5 4" xfId="9206" xr:uid="{DFB663E2-7D6E-4A8B-82C0-EB42C1148F71}"/>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4F174DB4-81AE-4EDA-8153-D5B361C2520A}"/>
    <cellStyle name="40% - Accent2 6 2 3" xfId="11764" xr:uid="{4A2A5B68-D9B0-4BCC-928A-FC11D2860BCF}"/>
    <cellStyle name="40% - Accent2 6 3" xfId="5387" xr:uid="{00000000-0005-0000-0000-0000F5040000}"/>
    <cellStyle name="40% - Accent2 6 3 2" xfId="13837" xr:uid="{6915E658-597A-4B06-BD10-1BCCEAEABA4D}"/>
    <cellStyle name="40% - Accent2 6 4" xfId="9619" xr:uid="{7EA86B14-8D5C-414C-9EF7-5345C1DA0BB6}"/>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C8364E61-69F9-4470-ABE0-884031B37377}"/>
    <cellStyle name="40% - Accent2 7 2 3" xfId="12177" xr:uid="{07A1462D-F859-4F08-B256-D5E165442F29}"/>
    <cellStyle name="40% - Accent2 7 3" xfId="5800" xr:uid="{00000000-0005-0000-0000-0000F9040000}"/>
    <cellStyle name="40% - Accent2 7 3 2" xfId="14250" xr:uid="{9A887074-29AF-4C87-9D02-0CBD6D4F68EA}"/>
    <cellStyle name="40% - Accent2 7 4" xfId="10032" xr:uid="{159606D7-D875-4073-816E-31FCBBF7CEB4}"/>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C801C1FF-1662-4097-A0E3-5A5EFD79A469}"/>
    <cellStyle name="40% - Accent2 8 2 3" xfId="12590" xr:uid="{0694EF71-9ED1-4986-98BE-980D62AD9E9D}"/>
    <cellStyle name="40% - Accent2 8 3" xfId="6213" xr:uid="{00000000-0005-0000-0000-0000FD040000}"/>
    <cellStyle name="40% - Accent2 8 3 2" xfId="14663" xr:uid="{9D360740-62EF-4996-8C59-30761D3041B2}"/>
    <cellStyle name="40% - Accent2 8 4" xfId="10445" xr:uid="{C93D02EC-68D5-42F9-B001-BD6C3BEE68B4}"/>
    <cellStyle name="40% - Accent2 9" xfId="2320" xr:uid="{00000000-0005-0000-0000-0000FE040000}"/>
    <cellStyle name="40% - Accent2 9 2" xfId="6626" xr:uid="{00000000-0005-0000-0000-0000FF040000}"/>
    <cellStyle name="40% - Accent2 9 2 2" xfId="15076" xr:uid="{35E881E6-0BD2-4D2A-A1C7-68FDD66368E8}"/>
    <cellStyle name="40% - Accent2 9 3" xfId="10858" xr:uid="{C1ADD1A0-9D6B-4783-8ACA-5A20A8973C52}"/>
    <cellStyle name="40% - Accent3" xfId="65" builtinId="39" customBuiltin="1"/>
    <cellStyle name="40% - Accent3 10" xfId="4568" xr:uid="{00000000-0005-0000-0000-000001050000}"/>
    <cellStyle name="40% - Accent3 10 2" xfId="13018" xr:uid="{6F73E9EF-116E-4870-A905-4E3B814DEAF1}"/>
    <cellStyle name="40% - Accent3 11" xfId="8800" xr:uid="{E129E73F-745C-421F-969A-DDD3FE51815B}"/>
    <cellStyle name="40% - Accent3 2" xfId="66" xr:uid="{00000000-0005-0000-0000-000002050000}"/>
    <cellStyle name="40% - Accent3 2 10" xfId="8801" xr:uid="{52704B85-89D2-4D9F-B8B3-652243F49B1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A862BE82-4B64-4C38-A2DD-2BA50EA74AA7}"/>
    <cellStyle name="40% - Accent3 2 2 2 2 2 3" xfId="11362" xr:uid="{1E869171-AA77-4690-9E45-0FD855F8210C}"/>
    <cellStyle name="40% - Accent3 2 2 2 2 3" xfId="4985" xr:uid="{00000000-0005-0000-0000-000008050000}"/>
    <cellStyle name="40% - Accent3 2 2 2 2 3 2" xfId="13435" xr:uid="{CD3A7FAC-52A3-41DC-BD47-00312D6B8499}"/>
    <cellStyle name="40% - Accent3 2 2 2 2 4" xfId="9217" xr:uid="{F8AA54C0-404C-4AC0-A771-D6A1CB417E1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F0359A39-A20B-42F9-878D-864136D5113D}"/>
    <cellStyle name="40% - Accent3 2 2 2 3 2 3" xfId="11775" xr:uid="{EAABC77A-509B-4075-A319-FF29112B9E53}"/>
    <cellStyle name="40% - Accent3 2 2 2 3 3" xfId="5398" xr:uid="{00000000-0005-0000-0000-00000C050000}"/>
    <cellStyle name="40% - Accent3 2 2 2 3 3 2" xfId="13848" xr:uid="{4B46D418-764D-42DB-A90C-E87DB1AB5C41}"/>
    <cellStyle name="40% - Accent3 2 2 2 3 4" xfId="9630" xr:uid="{1C7A65E6-8497-4F0B-91AE-E7653BA6827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974C83B2-4AA3-4498-ADEB-2DDADCBD4F7F}"/>
    <cellStyle name="40% - Accent3 2 2 2 4 2 3" xfId="12188" xr:uid="{5DA56822-8C3E-4AA6-B94F-6638DEBC6951}"/>
    <cellStyle name="40% - Accent3 2 2 2 4 3" xfId="5811" xr:uid="{00000000-0005-0000-0000-000010050000}"/>
    <cellStyle name="40% - Accent3 2 2 2 4 3 2" xfId="14261" xr:uid="{31DBFD3E-2A3A-44DF-9698-939D3EF91167}"/>
    <cellStyle name="40% - Accent3 2 2 2 4 4" xfId="10043" xr:uid="{16F8098D-5373-4505-A061-1FC4CDDE4664}"/>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45A34039-CD4F-48D1-A2CF-41619CDA4C27}"/>
    <cellStyle name="40% - Accent3 2 2 2 5 2 3" xfId="12601" xr:uid="{5DCA2D5D-5896-439C-915B-45CB0CDBF4DD}"/>
    <cellStyle name="40% - Accent3 2 2 2 5 3" xfId="6224" xr:uid="{00000000-0005-0000-0000-000014050000}"/>
    <cellStyle name="40% - Accent3 2 2 2 5 3 2" xfId="14674" xr:uid="{3B61578E-9CD3-46CE-8C63-2ED4F0EEA7F5}"/>
    <cellStyle name="40% - Accent3 2 2 2 5 4" xfId="10456" xr:uid="{F3FFF2D9-714D-4C6D-831D-B260CAAC9439}"/>
    <cellStyle name="40% - Accent3 2 2 2 6" xfId="2331" xr:uid="{00000000-0005-0000-0000-000015050000}"/>
    <cellStyle name="40% - Accent3 2 2 2 6 2" xfId="6637" xr:uid="{00000000-0005-0000-0000-000016050000}"/>
    <cellStyle name="40% - Accent3 2 2 2 6 2 2" xfId="15087" xr:uid="{26BFB719-41E8-4FCA-8154-9227F986F674}"/>
    <cellStyle name="40% - Accent3 2 2 2 6 3" xfId="10869" xr:uid="{83C2CA98-F578-4FF4-862E-D911D0E18613}"/>
    <cellStyle name="40% - Accent3 2 2 2 7" xfId="4571" xr:uid="{00000000-0005-0000-0000-000017050000}"/>
    <cellStyle name="40% - Accent3 2 2 2 7 2" xfId="13021" xr:uid="{3157EB91-9FC4-4767-8A9B-673A71376A2A}"/>
    <cellStyle name="40% - Accent3 2 2 2 8" xfId="8803" xr:uid="{378C886A-2449-420A-8A6A-818FC58418E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2ED5722E-FD36-4237-B86C-063C62CEFD2B}"/>
    <cellStyle name="40% - Accent3 2 2 3 2 3" xfId="11361" xr:uid="{77AA9E55-23E8-4B05-ABC2-2F612E3E04DF}"/>
    <cellStyle name="40% - Accent3 2 2 3 3" xfId="4984" xr:uid="{00000000-0005-0000-0000-00001B050000}"/>
    <cellStyle name="40% - Accent3 2 2 3 3 2" xfId="13434" xr:uid="{06762DE6-DA17-499F-A615-14870EC463FF}"/>
    <cellStyle name="40% - Accent3 2 2 3 4" xfId="9216" xr:uid="{4833DEF8-1914-4A02-9231-A2AB123FADF2}"/>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2E87674E-7AE3-4B43-ADD9-F76E150C1762}"/>
    <cellStyle name="40% - Accent3 2 2 4 2 3" xfId="11774" xr:uid="{AFD6501F-1168-42FA-A504-D01B890EB0FB}"/>
    <cellStyle name="40% - Accent3 2 2 4 3" xfId="5397" xr:uid="{00000000-0005-0000-0000-00001F050000}"/>
    <cellStyle name="40% - Accent3 2 2 4 3 2" xfId="13847" xr:uid="{8C7B8EB1-407D-41DE-A0B9-10CC65331C2B}"/>
    <cellStyle name="40% - Accent3 2 2 4 4" xfId="9629" xr:uid="{9E060B79-AED4-4837-A6DC-68095C93756F}"/>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A27C93AA-C18E-4EF6-830B-4DFE324F8992}"/>
    <cellStyle name="40% - Accent3 2 2 5 2 3" xfId="12187" xr:uid="{7D283578-17DA-4332-8BAE-5214CAD4574A}"/>
    <cellStyle name="40% - Accent3 2 2 5 3" xfId="5810" xr:uid="{00000000-0005-0000-0000-000023050000}"/>
    <cellStyle name="40% - Accent3 2 2 5 3 2" xfId="14260" xr:uid="{D4B629F3-A8FA-47DB-AA31-2D078BBFFFCC}"/>
    <cellStyle name="40% - Accent3 2 2 5 4" xfId="10042" xr:uid="{B523B2B6-0015-47A7-AACC-CF6DCD6F43C1}"/>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2337DB02-1EDF-481C-9BAA-4DF5F056BAD3}"/>
    <cellStyle name="40% - Accent3 2 2 6 2 3" xfId="12600" xr:uid="{DF1829A6-B8C1-4F0D-B999-333E7C822045}"/>
    <cellStyle name="40% - Accent3 2 2 6 3" xfId="6223" xr:uid="{00000000-0005-0000-0000-000027050000}"/>
    <cellStyle name="40% - Accent3 2 2 6 3 2" xfId="14673" xr:uid="{4C6E4EF4-B333-4660-85A4-BD057E8F16FD}"/>
    <cellStyle name="40% - Accent3 2 2 6 4" xfId="10455" xr:uid="{445ABE00-75CD-4DB9-AAC6-123D2D210936}"/>
    <cellStyle name="40% - Accent3 2 2 7" xfId="2330" xr:uid="{00000000-0005-0000-0000-000028050000}"/>
    <cellStyle name="40% - Accent3 2 2 7 2" xfId="6636" xr:uid="{00000000-0005-0000-0000-000029050000}"/>
    <cellStyle name="40% - Accent3 2 2 7 2 2" xfId="15086" xr:uid="{377D8EEB-206B-44FB-A3C7-2CEAF94FAF88}"/>
    <cellStyle name="40% - Accent3 2 2 7 3" xfId="10868" xr:uid="{7D4E4B88-09D3-49A9-B162-87929B343055}"/>
    <cellStyle name="40% - Accent3 2 2 8" xfId="4570" xr:uid="{00000000-0005-0000-0000-00002A050000}"/>
    <cellStyle name="40% - Accent3 2 2 8 2" xfId="13020" xr:uid="{A558F2E0-91EC-4A98-AEA5-A65EBCEE9037}"/>
    <cellStyle name="40% - Accent3 2 2 9" xfId="8802" xr:uid="{563DCD3E-098E-48D7-8694-9925D0965CD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8D68C8DA-7791-4252-B178-26134DD8BEF6}"/>
    <cellStyle name="40% - Accent3 2 3 2 2 3" xfId="11363" xr:uid="{C80DB4E8-4EBB-4274-A570-CC78940E3A4A}"/>
    <cellStyle name="40% - Accent3 2 3 2 3" xfId="4986" xr:uid="{00000000-0005-0000-0000-00002F050000}"/>
    <cellStyle name="40% - Accent3 2 3 2 3 2" xfId="13436" xr:uid="{F11DFF2E-A6DD-4A2C-A7F3-29A8A31BB8C4}"/>
    <cellStyle name="40% - Accent3 2 3 2 4" xfId="9218" xr:uid="{E8C92E2A-5789-4165-9CD1-D8968131796A}"/>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E3B02A80-9B8A-4FB9-94AF-5DE38693D993}"/>
    <cellStyle name="40% - Accent3 2 3 3 2 3" xfId="11776" xr:uid="{010FE85F-B79C-4D49-A61D-6B1125153AA5}"/>
    <cellStyle name="40% - Accent3 2 3 3 3" xfId="5399" xr:uid="{00000000-0005-0000-0000-000033050000}"/>
    <cellStyle name="40% - Accent3 2 3 3 3 2" xfId="13849" xr:uid="{D89419B6-3708-40E5-B638-50608E458A3E}"/>
    <cellStyle name="40% - Accent3 2 3 3 4" xfId="9631" xr:uid="{94B2896F-C574-489E-9E7F-7B4973289273}"/>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CCCACAB5-179C-408D-B393-11E575B4D30B}"/>
    <cellStyle name="40% - Accent3 2 3 4 2 3" xfId="12189" xr:uid="{5922A134-0E6E-4A84-AF98-7D57497F4E86}"/>
    <cellStyle name="40% - Accent3 2 3 4 3" xfId="5812" xr:uid="{00000000-0005-0000-0000-000037050000}"/>
    <cellStyle name="40% - Accent3 2 3 4 3 2" xfId="14262" xr:uid="{C565AE60-AB78-4474-A7D0-4F000F208383}"/>
    <cellStyle name="40% - Accent3 2 3 4 4" xfId="10044" xr:uid="{10533B97-BC29-4B61-8BDD-67CC64AD44FF}"/>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7B9F7624-E50D-4065-A0AD-A0334CAB946B}"/>
    <cellStyle name="40% - Accent3 2 3 5 2 3" xfId="12602" xr:uid="{A51730D4-860F-4409-A15B-A680CBDD0E9C}"/>
    <cellStyle name="40% - Accent3 2 3 5 3" xfId="6225" xr:uid="{00000000-0005-0000-0000-00003B050000}"/>
    <cellStyle name="40% - Accent3 2 3 5 3 2" xfId="14675" xr:uid="{310E95CF-2503-4487-ACBC-BE956A99DACA}"/>
    <cellStyle name="40% - Accent3 2 3 5 4" xfId="10457" xr:uid="{30DC544C-4709-4F3F-8DB5-D1426FCF9ADB}"/>
    <cellStyle name="40% - Accent3 2 3 6" xfId="2332" xr:uid="{00000000-0005-0000-0000-00003C050000}"/>
    <cellStyle name="40% - Accent3 2 3 6 2" xfId="6638" xr:uid="{00000000-0005-0000-0000-00003D050000}"/>
    <cellStyle name="40% - Accent3 2 3 6 2 2" xfId="15088" xr:uid="{86F58999-15AF-403D-8C1E-FE6D9DA97B42}"/>
    <cellStyle name="40% - Accent3 2 3 6 3" xfId="10870" xr:uid="{43D1B4FD-7E23-47EB-95BA-9E196298B875}"/>
    <cellStyle name="40% - Accent3 2 3 7" xfId="4572" xr:uid="{00000000-0005-0000-0000-00003E050000}"/>
    <cellStyle name="40% - Accent3 2 3 7 2" xfId="13022" xr:uid="{B11A7312-CFD6-46B3-8E64-441C523FF6EB}"/>
    <cellStyle name="40% - Accent3 2 3 8" xfId="8804" xr:uid="{F0F1E4A5-D089-4703-BB1C-06B3A05B8DF6}"/>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760E5732-14C6-4F06-A0E3-98A510ABA35B}"/>
    <cellStyle name="40% - Accent3 2 4 2 3" xfId="11360" xr:uid="{9086EFF0-69F3-42BF-8227-BCEBB5C9DA3E}"/>
    <cellStyle name="40% - Accent3 2 4 3" xfId="4983" xr:uid="{00000000-0005-0000-0000-000042050000}"/>
    <cellStyle name="40% - Accent3 2 4 3 2" xfId="13433" xr:uid="{1823383B-03C4-4C82-97FC-91C5AE065922}"/>
    <cellStyle name="40% - Accent3 2 4 4" xfId="9215" xr:uid="{51797109-B08D-4855-BE97-5658C827336F}"/>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E20454AB-3037-47DC-B4F6-0D2D047D6246}"/>
    <cellStyle name="40% - Accent3 2 5 2 3" xfId="11773" xr:uid="{8A053D68-A867-4D6D-8105-EFB429B5EEA1}"/>
    <cellStyle name="40% - Accent3 2 5 3" xfId="5396" xr:uid="{00000000-0005-0000-0000-000046050000}"/>
    <cellStyle name="40% - Accent3 2 5 3 2" xfId="13846" xr:uid="{168C303C-626B-477C-A1B1-28F53B6505EB}"/>
    <cellStyle name="40% - Accent3 2 5 4" xfId="9628" xr:uid="{6CFE5AAE-FB1F-4E9A-ABD3-D1A0D02D09D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7F0EC1E2-073A-49F7-A76E-307A9202DAB4}"/>
    <cellStyle name="40% - Accent3 2 6 2 3" xfId="12186" xr:uid="{BE51011E-5A43-44CF-BDD9-959E2C6B8664}"/>
    <cellStyle name="40% - Accent3 2 6 3" xfId="5809" xr:uid="{00000000-0005-0000-0000-00004A050000}"/>
    <cellStyle name="40% - Accent3 2 6 3 2" xfId="14259" xr:uid="{7459CC8F-4508-4653-BDEA-6236F502BF86}"/>
    <cellStyle name="40% - Accent3 2 6 4" xfId="10041" xr:uid="{FB5A30F8-2F5D-4F5D-8C7B-1D3FFD515FFB}"/>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4390AE01-CF84-4CC5-8E1C-4D3C74FED0EF}"/>
    <cellStyle name="40% - Accent3 2 7 2 3" xfId="12599" xr:uid="{CEBA5F3A-8645-4E07-B893-807E68A13EB2}"/>
    <cellStyle name="40% - Accent3 2 7 3" xfId="6222" xr:uid="{00000000-0005-0000-0000-00004E050000}"/>
    <cellStyle name="40% - Accent3 2 7 3 2" xfId="14672" xr:uid="{2CB8BBD4-471C-42A1-A73D-A53AAC268217}"/>
    <cellStyle name="40% - Accent3 2 7 4" xfId="10454" xr:uid="{40B4A3D9-EC32-434C-AE4A-DF6CAA4F03DD}"/>
    <cellStyle name="40% - Accent3 2 8" xfId="2329" xr:uid="{00000000-0005-0000-0000-00004F050000}"/>
    <cellStyle name="40% - Accent3 2 8 2" xfId="6635" xr:uid="{00000000-0005-0000-0000-000050050000}"/>
    <cellStyle name="40% - Accent3 2 8 2 2" xfId="15085" xr:uid="{C04F10EA-62D0-49AA-9904-2E043C1EF3B8}"/>
    <cellStyle name="40% - Accent3 2 8 3" xfId="10867" xr:uid="{0B65A670-1EC0-4489-8E8A-0C155F2173B5}"/>
    <cellStyle name="40% - Accent3 2 9" xfId="4569" xr:uid="{00000000-0005-0000-0000-000051050000}"/>
    <cellStyle name="40% - Accent3 2 9 2" xfId="13019" xr:uid="{98F5F35A-D6FB-467C-83D1-FB1F04A5D32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78A9CE5C-7FDD-470D-8068-1D8C5E68C466}"/>
    <cellStyle name="40% - Accent3 3 2 2 2 3" xfId="11365" xr:uid="{DAA511FF-543B-4634-964A-8C6A96B4E236}"/>
    <cellStyle name="40% - Accent3 3 2 2 3" xfId="4988" xr:uid="{00000000-0005-0000-0000-000057050000}"/>
    <cellStyle name="40% - Accent3 3 2 2 3 2" xfId="13438" xr:uid="{833B9F4A-1730-42C6-9D23-B782C169F372}"/>
    <cellStyle name="40% - Accent3 3 2 2 4" xfId="9220" xr:uid="{020260D2-F854-4D89-8C4B-7993B4F834B7}"/>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D885062F-B703-4ED2-ACC2-40977CC93942}"/>
    <cellStyle name="40% - Accent3 3 2 3 2 3" xfId="11778" xr:uid="{1E25A6FC-6A30-487B-915F-8103EF50F027}"/>
    <cellStyle name="40% - Accent3 3 2 3 3" xfId="5401" xr:uid="{00000000-0005-0000-0000-00005B050000}"/>
    <cellStyle name="40% - Accent3 3 2 3 3 2" xfId="13851" xr:uid="{D7B44BFA-A463-4ACC-9529-3113E21CC304}"/>
    <cellStyle name="40% - Accent3 3 2 3 4" xfId="9633" xr:uid="{74E1FE95-F346-44F2-807A-19B826CFD5DA}"/>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093E6E3E-70AC-4438-8EBB-4B938AF073C8}"/>
    <cellStyle name="40% - Accent3 3 2 4 2 3" xfId="12191" xr:uid="{7D168B18-147E-4F3F-A136-01D1C1D7BF13}"/>
    <cellStyle name="40% - Accent3 3 2 4 3" xfId="5814" xr:uid="{00000000-0005-0000-0000-00005F050000}"/>
    <cellStyle name="40% - Accent3 3 2 4 3 2" xfId="14264" xr:uid="{76CADE26-44FE-4EDE-B79E-330CC6054D6D}"/>
    <cellStyle name="40% - Accent3 3 2 4 4" xfId="10046" xr:uid="{340858C7-F970-4204-8027-A6144564CC39}"/>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10995423-8403-4B6A-A94C-EDB9F4E3C71C}"/>
    <cellStyle name="40% - Accent3 3 2 5 2 3" xfId="12604" xr:uid="{D8B39F6B-CFEC-4BD3-8BD2-7A0C2222B03D}"/>
    <cellStyle name="40% - Accent3 3 2 5 3" xfId="6227" xr:uid="{00000000-0005-0000-0000-000063050000}"/>
    <cellStyle name="40% - Accent3 3 2 5 3 2" xfId="14677" xr:uid="{16D1C4BF-0315-4171-BB25-4B02985A60C9}"/>
    <cellStyle name="40% - Accent3 3 2 5 4" xfId="10459" xr:uid="{16F6430E-FD1C-4CCA-A984-A4FB2263C51D}"/>
    <cellStyle name="40% - Accent3 3 2 6" xfId="2334" xr:uid="{00000000-0005-0000-0000-000064050000}"/>
    <cellStyle name="40% - Accent3 3 2 6 2" xfId="6640" xr:uid="{00000000-0005-0000-0000-000065050000}"/>
    <cellStyle name="40% - Accent3 3 2 6 2 2" xfId="15090" xr:uid="{04F87B5E-661C-45C8-905D-A3AC9CB24F84}"/>
    <cellStyle name="40% - Accent3 3 2 6 3" xfId="10872" xr:uid="{B66E8BC1-A578-45D5-B118-6B0C86A26DCE}"/>
    <cellStyle name="40% - Accent3 3 2 7" xfId="4574" xr:uid="{00000000-0005-0000-0000-000066050000}"/>
    <cellStyle name="40% - Accent3 3 2 7 2" xfId="13024" xr:uid="{BF99EFAD-E50D-4B9E-B21B-6BAD33A81BD7}"/>
    <cellStyle name="40% - Accent3 3 2 8" xfId="8806" xr:uid="{1B3CF7BF-16E1-42FB-B20A-98110B75D6E2}"/>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D83609E2-DCC1-4DC4-8701-6906484CE678}"/>
    <cellStyle name="40% - Accent3 3 3 2 3" xfId="11364" xr:uid="{4D57E042-8BC7-4EF2-947C-BD67621A2233}"/>
    <cellStyle name="40% - Accent3 3 3 3" xfId="4987" xr:uid="{00000000-0005-0000-0000-00006A050000}"/>
    <cellStyle name="40% - Accent3 3 3 3 2" xfId="13437" xr:uid="{3E25A72A-8FDB-45F1-ACFB-5BFB71B36E89}"/>
    <cellStyle name="40% - Accent3 3 3 4" xfId="9219" xr:uid="{C043E054-6F11-45FC-9991-48006896D8EC}"/>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AA7795A6-6505-4477-BA2B-FA6F3370C572}"/>
    <cellStyle name="40% - Accent3 3 4 2 3" xfId="11777" xr:uid="{4B7BFCA3-31B1-4140-B325-453E037F51BE}"/>
    <cellStyle name="40% - Accent3 3 4 3" xfId="5400" xr:uid="{00000000-0005-0000-0000-00006E050000}"/>
    <cellStyle name="40% - Accent3 3 4 3 2" xfId="13850" xr:uid="{13F28269-7D83-4A3E-9C39-33F8EAB24D4D}"/>
    <cellStyle name="40% - Accent3 3 4 4" xfId="9632" xr:uid="{99FC2045-F2CA-4FB7-A1E2-B75DE169EB4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D5A6ECBB-AF17-4886-8E3C-9FC07B07404B}"/>
    <cellStyle name="40% - Accent3 3 5 2 3" xfId="12190" xr:uid="{F076F9E5-7A85-416B-B7EB-0EACCCA7D88E}"/>
    <cellStyle name="40% - Accent3 3 5 3" xfId="5813" xr:uid="{00000000-0005-0000-0000-000072050000}"/>
    <cellStyle name="40% - Accent3 3 5 3 2" xfId="14263" xr:uid="{BEF32245-B0EE-4939-B62B-78781D9D1560}"/>
    <cellStyle name="40% - Accent3 3 5 4" xfId="10045" xr:uid="{F227949B-393D-4E99-BEBB-971F5A36005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3F17CBF5-BD70-4A6E-A414-24E7F850A332}"/>
    <cellStyle name="40% - Accent3 3 6 2 3" xfId="12603" xr:uid="{E03297F0-10F2-4893-8B20-480C1B01F7A4}"/>
    <cellStyle name="40% - Accent3 3 6 3" xfId="6226" xr:uid="{00000000-0005-0000-0000-000076050000}"/>
    <cellStyle name="40% - Accent3 3 6 3 2" xfId="14676" xr:uid="{21D3876A-B5D2-47DA-B5EA-B5B1EAF8F223}"/>
    <cellStyle name="40% - Accent3 3 6 4" xfId="10458" xr:uid="{3E544AA8-8F1D-4DCD-8C38-09BC58E7D985}"/>
    <cellStyle name="40% - Accent3 3 7" xfId="2333" xr:uid="{00000000-0005-0000-0000-000077050000}"/>
    <cellStyle name="40% - Accent3 3 7 2" xfId="6639" xr:uid="{00000000-0005-0000-0000-000078050000}"/>
    <cellStyle name="40% - Accent3 3 7 2 2" xfId="15089" xr:uid="{FA2F595E-C843-424A-957E-FE040740B208}"/>
    <cellStyle name="40% - Accent3 3 7 3" xfId="10871" xr:uid="{DD863498-B7BC-4668-A2F4-CB8310567BF0}"/>
    <cellStyle name="40% - Accent3 3 8" xfId="4573" xr:uid="{00000000-0005-0000-0000-000079050000}"/>
    <cellStyle name="40% - Accent3 3 8 2" xfId="13023" xr:uid="{DDBE9245-B6CA-43FC-9FB1-6AB3A1E4BFF4}"/>
    <cellStyle name="40% - Accent3 3 9" xfId="8805" xr:uid="{54EE490D-41B9-4FD6-B234-C0505C84FA2E}"/>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55B1B541-FAE1-482F-A0BF-6ABE624DA7CF}"/>
    <cellStyle name="40% - Accent3 4 2 2 3" xfId="11366" xr:uid="{08DDA91B-20FA-4F36-80AB-C08A9E3A4A3F}"/>
    <cellStyle name="40% - Accent3 4 2 3" xfId="4989" xr:uid="{00000000-0005-0000-0000-00007E050000}"/>
    <cellStyle name="40% - Accent3 4 2 3 2" xfId="13439" xr:uid="{D3F764A2-6982-4D33-9CF9-2CF42D14DFAE}"/>
    <cellStyle name="40% - Accent3 4 2 4" xfId="9221" xr:uid="{1B2B9748-7EF4-46F1-9217-E1FA711FB3E6}"/>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7CBC835E-C8C5-4654-9752-80CC304A3959}"/>
    <cellStyle name="40% - Accent3 4 3 2 3" xfId="11779" xr:uid="{A44CC784-258C-4327-A8BE-2720DEA277F7}"/>
    <cellStyle name="40% - Accent3 4 3 3" xfId="5402" xr:uid="{00000000-0005-0000-0000-000082050000}"/>
    <cellStyle name="40% - Accent3 4 3 3 2" xfId="13852" xr:uid="{511CD5BB-5A6F-4A16-A59F-62FEE639E843}"/>
    <cellStyle name="40% - Accent3 4 3 4" xfId="9634" xr:uid="{730D6DDA-6D07-4033-A23E-233FBBB5D07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72D44938-BE02-4694-A620-DE888E5F27DA}"/>
    <cellStyle name="40% - Accent3 4 4 2 3" xfId="12192" xr:uid="{C5C6AFE2-5185-4E08-9041-ECE8DD63E348}"/>
    <cellStyle name="40% - Accent3 4 4 3" xfId="5815" xr:uid="{00000000-0005-0000-0000-000086050000}"/>
    <cellStyle name="40% - Accent3 4 4 3 2" xfId="14265" xr:uid="{A3346F7F-FFD6-45D3-A1DF-A2B453282821}"/>
    <cellStyle name="40% - Accent3 4 4 4" xfId="10047" xr:uid="{2E401004-9281-4A97-848B-7FC5291C973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C54A4F20-7220-4752-9202-CE9C21F68F19}"/>
    <cellStyle name="40% - Accent3 4 5 2 3" xfId="12605" xr:uid="{AE1B5060-78CF-4FA7-BB41-A5E3510F7F43}"/>
    <cellStyle name="40% - Accent3 4 5 3" xfId="6228" xr:uid="{00000000-0005-0000-0000-00008A050000}"/>
    <cellStyle name="40% - Accent3 4 5 3 2" xfId="14678" xr:uid="{CBF554C6-D323-4EAD-8D9A-00AA3787BCCB}"/>
    <cellStyle name="40% - Accent3 4 5 4" xfId="10460" xr:uid="{09EAE78A-FC3B-4514-BA20-706BD195344E}"/>
    <cellStyle name="40% - Accent3 4 6" xfId="2335" xr:uid="{00000000-0005-0000-0000-00008B050000}"/>
    <cellStyle name="40% - Accent3 4 6 2" xfId="6641" xr:uid="{00000000-0005-0000-0000-00008C050000}"/>
    <cellStyle name="40% - Accent3 4 6 2 2" xfId="15091" xr:uid="{CB8B0460-0B93-41C2-B403-76AA8F09BA05}"/>
    <cellStyle name="40% - Accent3 4 6 3" xfId="10873" xr:uid="{DA94AE93-CDC9-4F10-9EC7-A3AD093C0B1D}"/>
    <cellStyle name="40% - Accent3 4 7" xfId="4575" xr:uid="{00000000-0005-0000-0000-00008D050000}"/>
    <cellStyle name="40% - Accent3 4 7 2" xfId="13025" xr:uid="{9F7989E0-1643-468D-9C2C-7685404AEF3F}"/>
    <cellStyle name="40% - Accent3 4 8" xfId="8807" xr:uid="{3557C6E3-E95C-4FB7-8577-59B621A4DA57}"/>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3DA033CC-A5E4-44E4-BAD3-651E91D12AD5}"/>
    <cellStyle name="40% - Accent3 5 2 3" xfId="11359" xr:uid="{180D14B4-3CFB-49A7-99BD-299A917ED852}"/>
    <cellStyle name="40% - Accent3 5 3" xfId="4982" xr:uid="{00000000-0005-0000-0000-000091050000}"/>
    <cellStyle name="40% - Accent3 5 3 2" xfId="13432" xr:uid="{AA8656AF-A9CC-4044-9067-D3E1FEFEDD88}"/>
    <cellStyle name="40% - Accent3 5 4" xfId="9214" xr:uid="{122AEB46-B890-4C41-A8CE-996C5042EA76}"/>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44BF3033-9B57-4B19-9C73-FA121F29E9DB}"/>
    <cellStyle name="40% - Accent3 6 2 3" xfId="11772" xr:uid="{5E56A3FF-AF80-4242-AFF1-0E77AE2A5A33}"/>
    <cellStyle name="40% - Accent3 6 3" xfId="5395" xr:uid="{00000000-0005-0000-0000-000095050000}"/>
    <cellStyle name="40% - Accent3 6 3 2" xfId="13845" xr:uid="{00E40DC0-C19A-44F5-B062-3B6B2859E99F}"/>
    <cellStyle name="40% - Accent3 6 4" xfId="9627" xr:uid="{F2EBDF08-E5F5-4E8E-B17F-59C17D68D3D9}"/>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8D1C9ABB-BAE3-4C07-80BC-2D8F2A2C9450}"/>
    <cellStyle name="40% - Accent3 7 2 3" xfId="12185" xr:uid="{4CCE4DD2-54A9-480B-AE83-4A6243D00949}"/>
    <cellStyle name="40% - Accent3 7 3" xfId="5808" xr:uid="{00000000-0005-0000-0000-000099050000}"/>
    <cellStyle name="40% - Accent3 7 3 2" xfId="14258" xr:uid="{4CE570EB-B715-4966-9A08-4BD17B33CE18}"/>
    <cellStyle name="40% - Accent3 7 4" xfId="10040" xr:uid="{99DE3FAA-B59B-4ACE-BF91-A79DE9755380}"/>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57C3FF84-299D-40B1-BFE8-496B06951D69}"/>
    <cellStyle name="40% - Accent3 8 2 3" xfId="12598" xr:uid="{D65E9741-67B0-49C9-B2E3-96AA782B0266}"/>
    <cellStyle name="40% - Accent3 8 3" xfId="6221" xr:uid="{00000000-0005-0000-0000-00009D050000}"/>
    <cellStyle name="40% - Accent3 8 3 2" xfId="14671" xr:uid="{5468CC82-9D6A-432B-8FA7-71F2AE387AEA}"/>
    <cellStyle name="40% - Accent3 8 4" xfId="10453" xr:uid="{951F4C31-677E-4297-B06F-8C4F50C9680E}"/>
    <cellStyle name="40% - Accent3 9" xfId="2328" xr:uid="{00000000-0005-0000-0000-00009E050000}"/>
    <cellStyle name="40% - Accent3 9 2" xfId="6634" xr:uid="{00000000-0005-0000-0000-00009F050000}"/>
    <cellStyle name="40% - Accent3 9 2 2" xfId="15084" xr:uid="{3F232418-9619-4CFE-8D2F-AFDD35D0E668}"/>
    <cellStyle name="40% - Accent3 9 3" xfId="10866" xr:uid="{0B3BCF5F-2E66-4AAF-AFCE-1FEB98752051}"/>
    <cellStyle name="40% - Accent4" xfId="73" builtinId="43" customBuiltin="1"/>
    <cellStyle name="40% - Accent4 10" xfId="4576" xr:uid="{00000000-0005-0000-0000-0000A1050000}"/>
    <cellStyle name="40% - Accent4 10 2" xfId="13026" xr:uid="{ABAAD616-91F3-40CC-8AF3-9B77B0AD2849}"/>
    <cellStyle name="40% - Accent4 11" xfId="8808" xr:uid="{73332273-C2EA-4BB9-8747-11C165BD2DC8}"/>
    <cellStyle name="40% - Accent4 2" xfId="74" xr:uid="{00000000-0005-0000-0000-0000A2050000}"/>
    <cellStyle name="40% - Accent4 2 10" xfId="8809" xr:uid="{F5FD671F-D28E-4BB8-A972-B3EA0FD6CD87}"/>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4B9F4996-9D97-4961-A1B8-0895120724C1}"/>
    <cellStyle name="40% - Accent4 2 2 2 2 2 3" xfId="11370" xr:uid="{D6FC5147-1F17-4E54-A162-789A39086E87}"/>
    <cellStyle name="40% - Accent4 2 2 2 2 3" xfId="4993" xr:uid="{00000000-0005-0000-0000-0000A8050000}"/>
    <cellStyle name="40% - Accent4 2 2 2 2 3 2" xfId="13443" xr:uid="{8F89F49B-BA66-47EA-8DE1-2F5628BFA350}"/>
    <cellStyle name="40% - Accent4 2 2 2 2 4" xfId="9225" xr:uid="{32F3AF39-F558-4771-9016-61BDB683C587}"/>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CB6FE13B-C042-44DE-9374-CB4D081EE0B6}"/>
    <cellStyle name="40% - Accent4 2 2 2 3 2 3" xfId="11783" xr:uid="{16F633AE-1975-41C5-9A29-9B38804CFEBB}"/>
    <cellStyle name="40% - Accent4 2 2 2 3 3" xfId="5406" xr:uid="{00000000-0005-0000-0000-0000AC050000}"/>
    <cellStyle name="40% - Accent4 2 2 2 3 3 2" xfId="13856" xr:uid="{236D131C-F508-4043-B022-0D9732E7C4E0}"/>
    <cellStyle name="40% - Accent4 2 2 2 3 4" xfId="9638" xr:uid="{FFDE6767-FDEB-417D-85E9-A2675B4D073E}"/>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C5C66713-C5D7-4FCB-8662-2F0A34E2426C}"/>
    <cellStyle name="40% - Accent4 2 2 2 4 2 3" xfId="12196" xr:uid="{E5879EE5-D576-46E2-8447-57D5BBD5F9C4}"/>
    <cellStyle name="40% - Accent4 2 2 2 4 3" xfId="5819" xr:uid="{00000000-0005-0000-0000-0000B0050000}"/>
    <cellStyle name="40% - Accent4 2 2 2 4 3 2" xfId="14269" xr:uid="{3865C4F6-35BD-42B4-ACD4-4E07BCEE41ED}"/>
    <cellStyle name="40% - Accent4 2 2 2 4 4" xfId="10051" xr:uid="{BB21CA6C-8757-4E7A-A83A-07F82719C832}"/>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2015ACD6-A427-4A81-9736-3BEE48CF7832}"/>
    <cellStyle name="40% - Accent4 2 2 2 5 2 3" xfId="12609" xr:uid="{499C5776-41B9-456E-A990-9C794D99B46B}"/>
    <cellStyle name="40% - Accent4 2 2 2 5 3" xfId="6232" xr:uid="{00000000-0005-0000-0000-0000B4050000}"/>
    <cellStyle name="40% - Accent4 2 2 2 5 3 2" xfId="14682" xr:uid="{5A9EFE3A-B442-4834-BD4B-FE82543132C9}"/>
    <cellStyle name="40% - Accent4 2 2 2 5 4" xfId="10464" xr:uid="{310D4A94-6BF4-4020-82C0-F8FFC405F4CC}"/>
    <cellStyle name="40% - Accent4 2 2 2 6" xfId="2339" xr:uid="{00000000-0005-0000-0000-0000B5050000}"/>
    <cellStyle name="40% - Accent4 2 2 2 6 2" xfId="6645" xr:uid="{00000000-0005-0000-0000-0000B6050000}"/>
    <cellStyle name="40% - Accent4 2 2 2 6 2 2" xfId="15095" xr:uid="{218588AD-56C5-4194-914E-2986A7E0B822}"/>
    <cellStyle name="40% - Accent4 2 2 2 6 3" xfId="10877" xr:uid="{F62133CF-C66E-4A84-8FD3-4A111F125DEF}"/>
    <cellStyle name="40% - Accent4 2 2 2 7" xfId="4579" xr:uid="{00000000-0005-0000-0000-0000B7050000}"/>
    <cellStyle name="40% - Accent4 2 2 2 7 2" xfId="13029" xr:uid="{C6E5E273-02AE-4578-80D2-482BB1EC88EC}"/>
    <cellStyle name="40% - Accent4 2 2 2 8" xfId="8811" xr:uid="{2DC65E70-7277-4F7B-9122-2858BB204AD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E49DAA10-3208-4E1D-89E9-9D16416C37B6}"/>
    <cellStyle name="40% - Accent4 2 2 3 2 3" xfId="11369" xr:uid="{761BB3F2-C1E8-4E4B-AB52-6BE9042F3A4C}"/>
    <cellStyle name="40% - Accent4 2 2 3 3" xfId="4992" xr:uid="{00000000-0005-0000-0000-0000BB050000}"/>
    <cellStyle name="40% - Accent4 2 2 3 3 2" xfId="13442" xr:uid="{EBAA3224-C8F6-4B2C-AB06-9267F97A1EC2}"/>
    <cellStyle name="40% - Accent4 2 2 3 4" xfId="9224" xr:uid="{A9560381-9098-427F-BFC0-9C28234B2C37}"/>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54C3E59B-486D-42CD-82B3-4FA96082DA28}"/>
    <cellStyle name="40% - Accent4 2 2 4 2 3" xfId="11782" xr:uid="{EAC13131-DE67-4024-8D3C-ED7FC52940E3}"/>
    <cellStyle name="40% - Accent4 2 2 4 3" xfId="5405" xr:uid="{00000000-0005-0000-0000-0000BF050000}"/>
    <cellStyle name="40% - Accent4 2 2 4 3 2" xfId="13855" xr:uid="{BC81395F-C354-47A8-8860-E66F2C92793B}"/>
    <cellStyle name="40% - Accent4 2 2 4 4" xfId="9637" xr:uid="{64A127F6-69F2-4B33-B362-2779A7406826}"/>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81EBB311-6AC7-4EDB-91FA-539183F145BA}"/>
    <cellStyle name="40% - Accent4 2 2 5 2 3" xfId="12195" xr:uid="{ABDE7C32-A7C7-4E07-A122-93C9C5F7B697}"/>
    <cellStyle name="40% - Accent4 2 2 5 3" xfId="5818" xr:uid="{00000000-0005-0000-0000-0000C3050000}"/>
    <cellStyle name="40% - Accent4 2 2 5 3 2" xfId="14268" xr:uid="{46C3A014-B855-47B4-AC13-C9D6D5E9D84D}"/>
    <cellStyle name="40% - Accent4 2 2 5 4" xfId="10050" xr:uid="{C4420C8F-388C-4EE7-A329-9A45C6AF0123}"/>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13E8F03A-8ABB-4F4B-9B28-3F3BCC01E0C1}"/>
    <cellStyle name="40% - Accent4 2 2 6 2 3" xfId="12608" xr:uid="{E9ED5A20-0F5D-413E-9466-B1354F0CDF38}"/>
    <cellStyle name="40% - Accent4 2 2 6 3" xfId="6231" xr:uid="{00000000-0005-0000-0000-0000C7050000}"/>
    <cellStyle name="40% - Accent4 2 2 6 3 2" xfId="14681" xr:uid="{DA09BB59-5F23-450C-A020-D11826D7100D}"/>
    <cellStyle name="40% - Accent4 2 2 6 4" xfId="10463" xr:uid="{BD535778-D487-401A-83D2-1CF28F524E87}"/>
    <cellStyle name="40% - Accent4 2 2 7" xfId="2338" xr:uid="{00000000-0005-0000-0000-0000C8050000}"/>
    <cellStyle name="40% - Accent4 2 2 7 2" xfId="6644" xr:uid="{00000000-0005-0000-0000-0000C9050000}"/>
    <cellStyle name="40% - Accent4 2 2 7 2 2" xfId="15094" xr:uid="{9195D8C6-AC17-4B7B-9822-E722565539F2}"/>
    <cellStyle name="40% - Accent4 2 2 7 3" xfId="10876" xr:uid="{4F8072DB-66D1-49D5-AFB2-95197BD7345D}"/>
    <cellStyle name="40% - Accent4 2 2 8" xfId="4578" xr:uid="{00000000-0005-0000-0000-0000CA050000}"/>
    <cellStyle name="40% - Accent4 2 2 8 2" xfId="13028" xr:uid="{818FF24F-8EFD-4FBB-9B12-838025018588}"/>
    <cellStyle name="40% - Accent4 2 2 9" xfId="8810" xr:uid="{F6ACCE01-C621-4AF5-9D04-BF5A1F67C6C9}"/>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4559C188-DD46-4C4F-AF74-C86F6F8692A2}"/>
    <cellStyle name="40% - Accent4 2 3 2 2 3" xfId="11371" xr:uid="{B222E95A-DD04-4702-8471-3E18007E6309}"/>
    <cellStyle name="40% - Accent4 2 3 2 3" xfId="4994" xr:uid="{00000000-0005-0000-0000-0000CF050000}"/>
    <cellStyle name="40% - Accent4 2 3 2 3 2" xfId="13444" xr:uid="{9CD62B24-680D-4152-9030-ABFFDA5E69F8}"/>
    <cellStyle name="40% - Accent4 2 3 2 4" xfId="9226" xr:uid="{DE313842-96CC-4841-BA55-7C87DA7B3042}"/>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2FF99988-8AD3-4081-8380-E54DFC1AAFD2}"/>
    <cellStyle name="40% - Accent4 2 3 3 2 3" xfId="11784" xr:uid="{9A8D36FD-22E6-4826-8E9D-FCB7A839509C}"/>
    <cellStyle name="40% - Accent4 2 3 3 3" xfId="5407" xr:uid="{00000000-0005-0000-0000-0000D3050000}"/>
    <cellStyle name="40% - Accent4 2 3 3 3 2" xfId="13857" xr:uid="{B2C56815-4EF8-4F45-B916-DC17F73799DA}"/>
    <cellStyle name="40% - Accent4 2 3 3 4" xfId="9639" xr:uid="{17F0EDDF-DFF5-4BF2-89EE-D69D8ED2B080}"/>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61569994-D5A5-49B2-A74F-FA8289D87E96}"/>
    <cellStyle name="40% - Accent4 2 3 4 2 3" xfId="12197" xr:uid="{CBCE6A81-1262-496D-B285-E0DFD9EC4A39}"/>
    <cellStyle name="40% - Accent4 2 3 4 3" xfId="5820" xr:uid="{00000000-0005-0000-0000-0000D7050000}"/>
    <cellStyle name="40% - Accent4 2 3 4 3 2" xfId="14270" xr:uid="{9D4C340C-0E4F-4456-B8AC-17B9514E6E42}"/>
    <cellStyle name="40% - Accent4 2 3 4 4" xfId="10052" xr:uid="{33238A3F-4DBE-4D99-A6F9-ABD70CFAC16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B88CF11B-8D12-4309-A299-AEEC9631A7AB}"/>
    <cellStyle name="40% - Accent4 2 3 5 2 3" xfId="12610" xr:uid="{4FAD7EAC-5299-4E79-9F1C-8BFCB141B362}"/>
    <cellStyle name="40% - Accent4 2 3 5 3" xfId="6233" xr:uid="{00000000-0005-0000-0000-0000DB050000}"/>
    <cellStyle name="40% - Accent4 2 3 5 3 2" xfId="14683" xr:uid="{2BB3E9D9-DE27-4269-BADA-B94EA0F50B77}"/>
    <cellStyle name="40% - Accent4 2 3 5 4" xfId="10465" xr:uid="{D2015759-61B1-4FEC-926F-9F279CDD7FB1}"/>
    <cellStyle name="40% - Accent4 2 3 6" xfId="2340" xr:uid="{00000000-0005-0000-0000-0000DC050000}"/>
    <cellStyle name="40% - Accent4 2 3 6 2" xfId="6646" xr:uid="{00000000-0005-0000-0000-0000DD050000}"/>
    <cellStyle name="40% - Accent4 2 3 6 2 2" xfId="15096" xr:uid="{2B289A48-3004-45A4-8414-03C357633741}"/>
    <cellStyle name="40% - Accent4 2 3 6 3" xfId="10878" xr:uid="{8D0F1653-3C20-422C-8403-3B695625DD95}"/>
    <cellStyle name="40% - Accent4 2 3 7" xfId="4580" xr:uid="{00000000-0005-0000-0000-0000DE050000}"/>
    <cellStyle name="40% - Accent4 2 3 7 2" xfId="13030" xr:uid="{A00C02B5-B318-4D23-8AB9-642812C337E1}"/>
    <cellStyle name="40% - Accent4 2 3 8" xfId="8812" xr:uid="{3D6652FD-8976-45D2-8886-0D8C652D2C96}"/>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2332E61A-4BAA-4B10-B24C-525A1F421C21}"/>
    <cellStyle name="40% - Accent4 2 4 2 3" xfId="11368" xr:uid="{3465465E-0E4C-4AE1-9878-6C9D85B3EB97}"/>
    <cellStyle name="40% - Accent4 2 4 3" xfId="4991" xr:uid="{00000000-0005-0000-0000-0000E2050000}"/>
    <cellStyle name="40% - Accent4 2 4 3 2" xfId="13441" xr:uid="{B1637EFB-336A-4536-95C9-12098048767F}"/>
    <cellStyle name="40% - Accent4 2 4 4" xfId="9223" xr:uid="{38A3A90B-61A7-4608-B665-42D04AB49ED2}"/>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C689051D-CD37-46A2-9FC8-A58ADAE7CBF6}"/>
    <cellStyle name="40% - Accent4 2 5 2 3" xfId="11781" xr:uid="{C7314DCF-F4CE-48E3-8007-F95E780C7963}"/>
    <cellStyle name="40% - Accent4 2 5 3" xfId="5404" xr:uid="{00000000-0005-0000-0000-0000E6050000}"/>
    <cellStyle name="40% - Accent4 2 5 3 2" xfId="13854" xr:uid="{332FBDC2-44A8-4589-9844-22B93061C51F}"/>
    <cellStyle name="40% - Accent4 2 5 4" xfId="9636" xr:uid="{01CCBDDA-EC82-4D66-A936-39C4942AE959}"/>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78AAD6FA-7609-408A-B880-64D9C5FDC84C}"/>
    <cellStyle name="40% - Accent4 2 6 2 3" xfId="12194" xr:uid="{18E75F69-CBC7-40B4-88E9-1F15B5795FAA}"/>
    <cellStyle name="40% - Accent4 2 6 3" xfId="5817" xr:uid="{00000000-0005-0000-0000-0000EA050000}"/>
    <cellStyle name="40% - Accent4 2 6 3 2" xfId="14267" xr:uid="{D0426E96-DAFA-4C18-AF16-770F6C8EAAC8}"/>
    <cellStyle name="40% - Accent4 2 6 4" xfId="10049" xr:uid="{A683A81C-4786-4143-BA39-A54FBCBADCF0}"/>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208DB832-8B99-4DCE-9E65-6404925A9D1E}"/>
    <cellStyle name="40% - Accent4 2 7 2 3" xfId="12607" xr:uid="{6C9358EC-9350-4FB9-9CC5-47108BE982A6}"/>
    <cellStyle name="40% - Accent4 2 7 3" xfId="6230" xr:uid="{00000000-0005-0000-0000-0000EE050000}"/>
    <cellStyle name="40% - Accent4 2 7 3 2" xfId="14680" xr:uid="{309094A3-6FA4-4911-B752-790AA3927FE4}"/>
    <cellStyle name="40% - Accent4 2 7 4" xfId="10462" xr:uid="{2CF3F234-D847-4595-B738-C262FC6376F5}"/>
    <cellStyle name="40% - Accent4 2 8" xfId="2337" xr:uid="{00000000-0005-0000-0000-0000EF050000}"/>
    <cellStyle name="40% - Accent4 2 8 2" xfId="6643" xr:uid="{00000000-0005-0000-0000-0000F0050000}"/>
    <cellStyle name="40% - Accent4 2 8 2 2" xfId="15093" xr:uid="{6A812BC0-E534-4366-B860-7B76828EFD2C}"/>
    <cellStyle name="40% - Accent4 2 8 3" xfId="10875" xr:uid="{E927E14F-01C4-4690-8087-AFCC5EB51F13}"/>
    <cellStyle name="40% - Accent4 2 9" xfId="4577" xr:uid="{00000000-0005-0000-0000-0000F1050000}"/>
    <cellStyle name="40% - Accent4 2 9 2" xfId="13027" xr:uid="{FEEF8310-F0B5-4062-BE27-E70FAEC0C479}"/>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19295AFA-A5CD-4983-935A-D2C2594B541B}"/>
    <cellStyle name="40% - Accent4 3 2 2 2 3" xfId="11373" xr:uid="{D9ED8495-3CA7-4AA0-9813-C1209306C2B5}"/>
    <cellStyle name="40% - Accent4 3 2 2 3" xfId="4996" xr:uid="{00000000-0005-0000-0000-0000F7050000}"/>
    <cellStyle name="40% - Accent4 3 2 2 3 2" xfId="13446" xr:uid="{684F5B60-F29A-4564-A86C-8AFC1847C129}"/>
    <cellStyle name="40% - Accent4 3 2 2 4" xfId="9228" xr:uid="{807579B9-39B8-4B7E-8E88-8BFC6132BF7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5F4998FC-27F5-40D4-8E19-E924B44E66A6}"/>
    <cellStyle name="40% - Accent4 3 2 3 2 3" xfId="11786" xr:uid="{B0193C7A-2848-4017-AB3C-BE19338E7F44}"/>
    <cellStyle name="40% - Accent4 3 2 3 3" xfId="5409" xr:uid="{00000000-0005-0000-0000-0000FB050000}"/>
    <cellStyle name="40% - Accent4 3 2 3 3 2" xfId="13859" xr:uid="{D95361CD-9003-45AE-B3E0-2C4843A0CC05}"/>
    <cellStyle name="40% - Accent4 3 2 3 4" xfId="9641" xr:uid="{5C71C114-2DF9-4AE3-9881-9C095C781DF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F948955C-F9D0-4940-9C58-625284125FE4}"/>
    <cellStyle name="40% - Accent4 3 2 4 2 3" xfId="12199" xr:uid="{5BBADF88-AB90-4084-98F0-C96CC6384D50}"/>
    <cellStyle name="40% - Accent4 3 2 4 3" xfId="5822" xr:uid="{00000000-0005-0000-0000-0000FF050000}"/>
    <cellStyle name="40% - Accent4 3 2 4 3 2" xfId="14272" xr:uid="{6D932548-AA92-45C6-9207-1C564A0A8186}"/>
    <cellStyle name="40% - Accent4 3 2 4 4" xfId="10054" xr:uid="{57C30872-0C71-4F7B-8016-776AB675F379}"/>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F26964C0-5DEB-442B-9AC4-7112742D716D}"/>
    <cellStyle name="40% - Accent4 3 2 5 2 3" xfId="12612" xr:uid="{54724C9D-CD0B-4895-BE40-09AEEEF58EB3}"/>
    <cellStyle name="40% - Accent4 3 2 5 3" xfId="6235" xr:uid="{00000000-0005-0000-0000-000003060000}"/>
    <cellStyle name="40% - Accent4 3 2 5 3 2" xfId="14685" xr:uid="{9E539478-6EA1-4E3A-8707-A72EDE22C921}"/>
    <cellStyle name="40% - Accent4 3 2 5 4" xfId="10467" xr:uid="{43AD7DBA-8773-490E-8FA9-55C4CDE7E163}"/>
    <cellStyle name="40% - Accent4 3 2 6" xfId="2342" xr:uid="{00000000-0005-0000-0000-000004060000}"/>
    <cellStyle name="40% - Accent4 3 2 6 2" xfId="6648" xr:uid="{00000000-0005-0000-0000-000005060000}"/>
    <cellStyle name="40% - Accent4 3 2 6 2 2" xfId="15098" xr:uid="{C66FA917-869C-46EC-995B-AAB40F78B105}"/>
    <cellStyle name="40% - Accent4 3 2 6 3" xfId="10880" xr:uid="{FC4851E1-57EF-4CD6-A554-BAE617573000}"/>
    <cellStyle name="40% - Accent4 3 2 7" xfId="4582" xr:uid="{00000000-0005-0000-0000-000006060000}"/>
    <cellStyle name="40% - Accent4 3 2 7 2" xfId="13032" xr:uid="{FA2B6165-187C-46C3-963D-B592C17B7A18}"/>
    <cellStyle name="40% - Accent4 3 2 8" xfId="8814" xr:uid="{4849CE1E-3F7E-4AA8-88CF-722921510C79}"/>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36AA2CBB-5E71-4066-B0B7-58C1ABF9BC6F}"/>
    <cellStyle name="40% - Accent4 3 3 2 3" xfId="11372" xr:uid="{60676092-D240-4C37-B1B8-6E2B4C6CE42C}"/>
    <cellStyle name="40% - Accent4 3 3 3" xfId="4995" xr:uid="{00000000-0005-0000-0000-00000A060000}"/>
    <cellStyle name="40% - Accent4 3 3 3 2" xfId="13445" xr:uid="{AF730837-6504-4FD0-AD99-FD87137AAF80}"/>
    <cellStyle name="40% - Accent4 3 3 4" xfId="9227" xr:uid="{AEE940C3-D1FC-4682-A19C-5DFE8431BE02}"/>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2453642F-220D-4D1F-93E6-F1F06F05E6F1}"/>
    <cellStyle name="40% - Accent4 3 4 2 3" xfId="11785" xr:uid="{913AF8CD-45F5-4446-B314-F3B5BE104C20}"/>
    <cellStyle name="40% - Accent4 3 4 3" xfId="5408" xr:uid="{00000000-0005-0000-0000-00000E060000}"/>
    <cellStyle name="40% - Accent4 3 4 3 2" xfId="13858" xr:uid="{A1695561-69A3-423A-8927-D2F38F82A7EA}"/>
    <cellStyle name="40% - Accent4 3 4 4" xfId="9640" xr:uid="{42AED76C-8DCF-4112-8438-661A84DEB26E}"/>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3C31B8C3-671A-410C-B3AF-CB85AE0071E1}"/>
    <cellStyle name="40% - Accent4 3 5 2 3" xfId="12198" xr:uid="{6080BCC6-C86A-4C49-AB36-43C72CACC537}"/>
    <cellStyle name="40% - Accent4 3 5 3" xfId="5821" xr:uid="{00000000-0005-0000-0000-000012060000}"/>
    <cellStyle name="40% - Accent4 3 5 3 2" xfId="14271" xr:uid="{C404C95D-255C-4C29-8684-EC880B996A83}"/>
    <cellStyle name="40% - Accent4 3 5 4" xfId="10053" xr:uid="{9095927D-35DE-4E59-8EA9-A605E4800666}"/>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C1C525AC-7A65-4239-A798-6297E843CB90}"/>
    <cellStyle name="40% - Accent4 3 6 2 3" xfId="12611" xr:uid="{7DBE7252-9FB1-41E3-B976-A5B24BA958AF}"/>
    <cellStyle name="40% - Accent4 3 6 3" xfId="6234" xr:uid="{00000000-0005-0000-0000-000016060000}"/>
    <cellStyle name="40% - Accent4 3 6 3 2" xfId="14684" xr:uid="{F96191FD-862D-4AFB-ACED-42F730D68DFF}"/>
    <cellStyle name="40% - Accent4 3 6 4" xfId="10466" xr:uid="{AA8D8B42-FB1F-47AD-823A-AF65D108EB73}"/>
    <cellStyle name="40% - Accent4 3 7" xfId="2341" xr:uid="{00000000-0005-0000-0000-000017060000}"/>
    <cellStyle name="40% - Accent4 3 7 2" xfId="6647" xr:uid="{00000000-0005-0000-0000-000018060000}"/>
    <cellStyle name="40% - Accent4 3 7 2 2" xfId="15097" xr:uid="{C23A5696-623A-42FA-8F47-0FA299756808}"/>
    <cellStyle name="40% - Accent4 3 7 3" xfId="10879" xr:uid="{8D90C6B5-F3BF-472E-BF78-F897C4C1B0F4}"/>
    <cellStyle name="40% - Accent4 3 8" xfId="4581" xr:uid="{00000000-0005-0000-0000-000019060000}"/>
    <cellStyle name="40% - Accent4 3 8 2" xfId="13031" xr:uid="{D8C9CA54-D18D-4DE0-B35C-3DA06540C7E8}"/>
    <cellStyle name="40% - Accent4 3 9" xfId="8813" xr:uid="{D0CE6A47-0C54-48ED-8164-13160F868CE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1F010D66-EB2C-4988-86A4-25C5078BE26B}"/>
    <cellStyle name="40% - Accent4 4 2 2 3" xfId="11374" xr:uid="{A8CC82B1-C7C7-470A-8DAA-A35174946B77}"/>
    <cellStyle name="40% - Accent4 4 2 3" xfId="4997" xr:uid="{00000000-0005-0000-0000-00001E060000}"/>
    <cellStyle name="40% - Accent4 4 2 3 2" xfId="13447" xr:uid="{E7DBB869-5609-4BA5-A4A2-BE6C402BCE58}"/>
    <cellStyle name="40% - Accent4 4 2 4" xfId="9229" xr:uid="{9B2A3694-168E-4594-8AEF-6B66FCBBA39D}"/>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B49D8EDA-F518-4D7B-8729-1E99BE2DB009}"/>
    <cellStyle name="40% - Accent4 4 3 2 3" xfId="11787" xr:uid="{DE57B059-9928-447A-80BC-AAEEAB0A151C}"/>
    <cellStyle name="40% - Accent4 4 3 3" xfId="5410" xr:uid="{00000000-0005-0000-0000-000022060000}"/>
    <cellStyle name="40% - Accent4 4 3 3 2" xfId="13860" xr:uid="{F9DEC578-6FEF-4757-8055-8A2AA671FAF0}"/>
    <cellStyle name="40% - Accent4 4 3 4" xfId="9642" xr:uid="{434CFC47-9F5C-44D3-BDE4-6D57FC99A641}"/>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F8FC574B-79BD-43E3-AE8B-CF877199EED3}"/>
    <cellStyle name="40% - Accent4 4 4 2 3" xfId="12200" xr:uid="{626E6532-19F9-4BEB-9310-934F4ACCBC9C}"/>
    <cellStyle name="40% - Accent4 4 4 3" xfId="5823" xr:uid="{00000000-0005-0000-0000-000026060000}"/>
    <cellStyle name="40% - Accent4 4 4 3 2" xfId="14273" xr:uid="{BD20CA07-F538-4235-BA30-4443F8B227D9}"/>
    <cellStyle name="40% - Accent4 4 4 4" xfId="10055" xr:uid="{841E7CD6-9808-4AB9-9272-BC36679D0C20}"/>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23BFE016-940D-49F9-9AB4-19FC2B86CE6E}"/>
    <cellStyle name="40% - Accent4 4 5 2 3" xfId="12613" xr:uid="{59D7C7A8-8A91-46ED-B927-A1CD7986DFC9}"/>
    <cellStyle name="40% - Accent4 4 5 3" xfId="6236" xr:uid="{00000000-0005-0000-0000-00002A060000}"/>
    <cellStyle name="40% - Accent4 4 5 3 2" xfId="14686" xr:uid="{ABE7ED1A-8CD7-45B8-B761-98B048F62CD9}"/>
    <cellStyle name="40% - Accent4 4 5 4" xfId="10468" xr:uid="{3D24A7DA-509D-4AE1-A042-14AAC7783DF5}"/>
    <cellStyle name="40% - Accent4 4 6" xfId="2343" xr:uid="{00000000-0005-0000-0000-00002B060000}"/>
    <cellStyle name="40% - Accent4 4 6 2" xfId="6649" xr:uid="{00000000-0005-0000-0000-00002C060000}"/>
    <cellStyle name="40% - Accent4 4 6 2 2" xfId="15099" xr:uid="{7E65EE2A-CF2A-4FF2-AC6C-B43CE44CD1DE}"/>
    <cellStyle name="40% - Accent4 4 6 3" xfId="10881" xr:uid="{175648E4-02D9-4020-9687-75D298C73166}"/>
    <cellStyle name="40% - Accent4 4 7" xfId="4583" xr:uid="{00000000-0005-0000-0000-00002D060000}"/>
    <cellStyle name="40% - Accent4 4 7 2" xfId="13033" xr:uid="{E8BF9A7A-036A-4CF2-882A-59C1EE517723}"/>
    <cellStyle name="40% - Accent4 4 8" xfId="8815" xr:uid="{2CA86E9E-D71F-4C2A-9049-769D5CC834EF}"/>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877CB08A-B96E-4457-8CF9-FA650BCD54FF}"/>
    <cellStyle name="40% - Accent4 5 2 3" xfId="11367" xr:uid="{F6385DF7-A101-4AB5-86C9-C8A25B64028C}"/>
    <cellStyle name="40% - Accent4 5 3" xfId="4990" xr:uid="{00000000-0005-0000-0000-000031060000}"/>
    <cellStyle name="40% - Accent4 5 3 2" xfId="13440" xr:uid="{A4659A85-2719-4655-BE90-5DAA6AD3BEEF}"/>
    <cellStyle name="40% - Accent4 5 4" xfId="9222" xr:uid="{49EA3B9E-45C4-4E82-A62D-E1DA6BFDC06B}"/>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E42D32AD-4A66-442B-9CC8-60E9C284380E}"/>
    <cellStyle name="40% - Accent4 6 2 3" xfId="11780" xr:uid="{E6F1B934-9315-425F-AFC2-6D1DAFB1461B}"/>
    <cellStyle name="40% - Accent4 6 3" xfId="5403" xr:uid="{00000000-0005-0000-0000-000035060000}"/>
    <cellStyle name="40% - Accent4 6 3 2" xfId="13853" xr:uid="{518E0301-36D6-455E-8485-8034AD47A0C2}"/>
    <cellStyle name="40% - Accent4 6 4" xfId="9635" xr:uid="{D7AB62EE-AD9D-4606-ADC1-4BF8A530E1F9}"/>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0D31DBD2-0B39-445D-B6AD-9DCB88EC27EA}"/>
    <cellStyle name="40% - Accent4 7 2 3" xfId="12193" xr:uid="{1C5EEE6E-5E9F-4DB2-A2CE-993A4A8FA0D7}"/>
    <cellStyle name="40% - Accent4 7 3" xfId="5816" xr:uid="{00000000-0005-0000-0000-000039060000}"/>
    <cellStyle name="40% - Accent4 7 3 2" xfId="14266" xr:uid="{C049F73B-98B4-4801-A30F-0BCA29EDB326}"/>
    <cellStyle name="40% - Accent4 7 4" xfId="10048" xr:uid="{C531F338-1624-4A9E-A77C-F9F2982098F2}"/>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6F891517-B244-4E1E-95E9-0CA5CE5B4695}"/>
    <cellStyle name="40% - Accent4 8 2 3" xfId="12606" xr:uid="{53DC40AC-CD9D-472B-B884-0C853D78E400}"/>
    <cellStyle name="40% - Accent4 8 3" xfId="6229" xr:uid="{00000000-0005-0000-0000-00003D060000}"/>
    <cellStyle name="40% - Accent4 8 3 2" xfId="14679" xr:uid="{928F6F68-F37B-4270-ADA6-A68B0373C417}"/>
    <cellStyle name="40% - Accent4 8 4" xfId="10461" xr:uid="{D68ECAF5-D83D-4DBE-BBFB-1F51BEB40B2E}"/>
    <cellStyle name="40% - Accent4 9" xfId="2336" xr:uid="{00000000-0005-0000-0000-00003E060000}"/>
    <cellStyle name="40% - Accent4 9 2" xfId="6642" xr:uid="{00000000-0005-0000-0000-00003F060000}"/>
    <cellStyle name="40% - Accent4 9 2 2" xfId="15092" xr:uid="{816E30EA-4C32-49E3-8F74-E0F8BE627EC7}"/>
    <cellStyle name="40% - Accent4 9 3" xfId="10874" xr:uid="{F912EA59-07F8-404F-BA29-859CAE199909}"/>
    <cellStyle name="40% - Accent5" xfId="81" builtinId="47" customBuiltin="1"/>
    <cellStyle name="40% - Accent5 10" xfId="4584" xr:uid="{00000000-0005-0000-0000-000041060000}"/>
    <cellStyle name="40% - Accent5 10 2" xfId="13034" xr:uid="{693102E7-7F68-4B19-9ED2-1E4C8F9715AD}"/>
    <cellStyle name="40% - Accent5 11" xfId="8816" xr:uid="{EA896D31-DCF5-4CFB-B645-458FE5AB20B5}"/>
    <cellStyle name="40% - Accent5 2" xfId="82" xr:uid="{00000000-0005-0000-0000-000042060000}"/>
    <cellStyle name="40% - Accent5 2 10" xfId="8817" xr:uid="{D82F5E0D-7930-4C1D-BAAA-0C47A62BD5A3}"/>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FF2409A1-DDBF-4275-BBC7-465731810D7C}"/>
    <cellStyle name="40% - Accent5 2 2 2 2 2 3" xfId="11378" xr:uid="{CFB44575-2FD1-499C-B513-58D575007578}"/>
    <cellStyle name="40% - Accent5 2 2 2 2 3" xfId="5001" xr:uid="{00000000-0005-0000-0000-000048060000}"/>
    <cellStyle name="40% - Accent5 2 2 2 2 3 2" xfId="13451" xr:uid="{A2CFBE60-26D4-46BD-9DFD-287129EB3195}"/>
    <cellStyle name="40% - Accent5 2 2 2 2 4" xfId="9233" xr:uid="{E36AFE7A-B033-4A6A-A9EF-4C3961AFF633}"/>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9F929190-6F82-4C74-84F6-0515B07CAB0E}"/>
    <cellStyle name="40% - Accent5 2 2 2 3 2 3" xfId="11791" xr:uid="{0E437896-D2CD-4884-803D-069B9546C1EC}"/>
    <cellStyle name="40% - Accent5 2 2 2 3 3" xfId="5414" xr:uid="{00000000-0005-0000-0000-00004C060000}"/>
    <cellStyle name="40% - Accent5 2 2 2 3 3 2" xfId="13864" xr:uid="{EDF882B0-3CC7-4C4C-A57B-E141E85A97AC}"/>
    <cellStyle name="40% - Accent5 2 2 2 3 4" xfId="9646" xr:uid="{9A4C7D2B-EC9D-4600-84FA-FBD5C0C3028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B3480BAE-5EEE-4168-960B-89FF217A1C99}"/>
    <cellStyle name="40% - Accent5 2 2 2 4 2 3" xfId="12204" xr:uid="{81450FFD-8EBB-4276-BED9-448D8E3EB420}"/>
    <cellStyle name="40% - Accent5 2 2 2 4 3" xfId="5827" xr:uid="{00000000-0005-0000-0000-000050060000}"/>
    <cellStyle name="40% - Accent5 2 2 2 4 3 2" xfId="14277" xr:uid="{49ECD65D-7765-4CA5-BC1B-ADB76A2D73A2}"/>
    <cellStyle name="40% - Accent5 2 2 2 4 4" xfId="10059" xr:uid="{C0C2220B-30EF-48AB-BCD4-48659006BC4E}"/>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16CF04B3-96DC-4E23-BF8B-18816F630CF7}"/>
    <cellStyle name="40% - Accent5 2 2 2 5 2 3" xfId="12617" xr:uid="{DE5C7C31-64F0-4C10-91E6-857594702360}"/>
    <cellStyle name="40% - Accent5 2 2 2 5 3" xfId="6240" xr:uid="{00000000-0005-0000-0000-000054060000}"/>
    <cellStyle name="40% - Accent5 2 2 2 5 3 2" xfId="14690" xr:uid="{99903883-991A-4E80-9615-11C4D6E16C54}"/>
    <cellStyle name="40% - Accent5 2 2 2 5 4" xfId="10472" xr:uid="{514F081E-12B6-45F3-A245-10DB4F4FCD1B}"/>
    <cellStyle name="40% - Accent5 2 2 2 6" xfId="2347" xr:uid="{00000000-0005-0000-0000-000055060000}"/>
    <cellStyle name="40% - Accent5 2 2 2 6 2" xfId="6653" xr:uid="{00000000-0005-0000-0000-000056060000}"/>
    <cellStyle name="40% - Accent5 2 2 2 6 2 2" xfId="15103" xr:uid="{9FE02CCA-E870-44E5-8CB0-8C42DF6A8942}"/>
    <cellStyle name="40% - Accent5 2 2 2 6 3" xfId="10885" xr:uid="{C3B4B3DC-7F4A-48D8-AFA9-E0A45C54A245}"/>
    <cellStyle name="40% - Accent5 2 2 2 7" xfId="4587" xr:uid="{00000000-0005-0000-0000-000057060000}"/>
    <cellStyle name="40% - Accent5 2 2 2 7 2" xfId="13037" xr:uid="{5C60CC78-9BE3-466B-98A6-F9D61D003AAA}"/>
    <cellStyle name="40% - Accent5 2 2 2 8" xfId="8819" xr:uid="{F6583637-C4B6-4531-A81F-CC534546D85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5EF74E5B-D7EF-4A9F-9162-1D6FBE506CAF}"/>
    <cellStyle name="40% - Accent5 2 2 3 2 3" xfId="11377" xr:uid="{B00A510C-5749-4D40-934C-885CC6B18AEA}"/>
    <cellStyle name="40% - Accent5 2 2 3 3" xfId="5000" xr:uid="{00000000-0005-0000-0000-00005B060000}"/>
    <cellStyle name="40% - Accent5 2 2 3 3 2" xfId="13450" xr:uid="{7C472560-68CF-47EA-97BB-2DCD4F068C02}"/>
    <cellStyle name="40% - Accent5 2 2 3 4" xfId="9232" xr:uid="{E594BDD1-904F-4428-AEA3-604D1B6A19B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7CED995A-2874-4FBC-B01C-EF577B5E7365}"/>
    <cellStyle name="40% - Accent5 2 2 4 2 3" xfId="11790" xr:uid="{AA47B80B-6216-4C11-B0A6-628856462842}"/>
    <cellStyle name="40% - Accent5 2 2 4 3" xfId="5413" xr:uid="{00000000-0005-0000-0000-00005F060000}"/>
    <cellStyle name="40% - Accent5 2 2 4 3 2" xfId="13863" xr:uid="{116A49BB-BF9C-44CC-A0E4-F8929CA948D5}"/>
    <cellStyle name="40% - Accent5 2 2 4 4" xfId="9645" xr:uid="{B1BF16B9-B344-43BA-BD60-91A3B7A21641}"/>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E5EA0943-3D4C-4581-A9C6-A590583F8479}"/>
    <cellStyle name="40% - Accent5 2 2 5 2 3" xfId="12203" xr:uid="{02C82AC5-3CF2-4524-9EAC-0E3036ECAC51}"/>
    <cellStyle name="40% - Accent5 2 2 5 3" xfId="5826" xr:uid="{00000000-0005-0000-0000-000063060000}"/>
    <cellStyle name="40% - Accent5 2 2 5 3 2" xfId="14276" xr:uid="{8E9A437B-86B3-4464-AFD5-D9B5D42DE996}"/>
    <cellStyle name="40% - Accent5 2 2 5 4" xfId="10058" xr:uid="{6D968AEE-CE75-4CA8-83F6-A596ECBB83BF}"/>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C6435B19-06DE-4895-9A33-8717C21B9CD0}"/>
    <cellStyle name="40% - Accent5 2 2 6 2 3" xfId="12616" xr:uid="{A5A71C97-FDB8-4F69-A917-80228A5E7730}"/>
    <cellStyle name="40% - Accent5 2 2 6 3" xfId="6239" xr:uid="{00000000-0005-0000-0000-000067060000}"/>
    <cellStyle name="40% - Accent5 2 2 6 3 2" xfId="14689" xr:uid="{E2E15D09-7760-418B-B9F2-E9CA13CF1B5A}"/>
    <cellStyle name="40% - Accent5 2 2 6 4" xfId="10471" xr:uid="{F082154F-A9B7-47B3-B1C0-8ED93B018453}"/>
    <cellStyle name="40% - Accent5 2 2 7" xfId="2346" xr:uid="{00000000-0005-0000-0000-000068060000}"/>
    <cellStyle name="40% - Accent5 2 2 7 2" xfId="6652" xr:uid="{00000000-0005-0000-0000-000069060000}"/>
    <cellStyle name="40% - Accent5 2 2 7 2 2" xfId="15102" xr:uid="{3A0B3C60-8840-4923-997D-CF7566EC8551}"/>
    <cellStyle name="40% - Accent5 2 2 7 3" xfId="10884" xr:uid="{E6659A5A-D54A-492F-A253-54A492FFA4D9}"/>
    <cellStyle name="40% - Accent5 2 2 8" xfId="4586" xr:uid="{00000000-0005-0000-0000-00006A060000}"/>
    <cellStyle name="40% - Accent5 2 2 8 2" xfId="13036" xr:uid="{03457189-1895-4D7F-8771-51A3E0733C95}"/>
    <cellStyle name="40% - Accent5 2 2 9" xfId="8818" xr:uid="{6D7E53DA-7D11-4780-B186-7E8BC298DFAC}"/>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B7FAB633-1481-421F-92F0-F13A333B58B3}"/>
    <cellStyle name="40% - Accent5 2 3 2 2 3" xfId="11379" xr:uid="{ADEDD22B-22F6-4565-97C6-EF849C031C55}"/>
    <cellStyle name="40% - Accent5 2 3 2 3" xfId="5002" xr:uid="{00000000-0005-0000-0000-00006F060000}"/>
    <cellStyle name="40% - Accent5 2 3 2 3 2" xfId="13452" xr:uid="{D869458E-ABE7-439E-A8A2-4EDA9199ABD0}"/>
    <cellStyle name="40% - Accent5 2 3 2 4" xfId="9234" xr:uid="{83F892E6-A15F-4DDD-9A91-8048F21BDB8D}"/>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DF28ADB7-B8A7-44A3-9FE5-742B95F59B38}"/>
    <cellStyle name="40% - Accent5 2 3 3 2 3" xfId="11792" xr:uid="{8A0DE476-1128-401F-9ACD-B71A4A6EE7F3}"/>
    <cellStyle name="40% - Accent5 2 3 3 3" xfId="5415" xr:uid="{00000000-0005-0000-0000-000073060000}"/>
    <cellStyle name="40% - Accent5 2 3 3 3 2" xfId="13865" xr:uid="{C2D28F67-7947-4214-B3BA-DD1457AF7F51}"/>
    <cellStyle name="40% - Accent5 2 3 3 4" xfId="9647" xr:uid="{1EB6955B-BE7D-4AF0-8CCD-D35D0C56502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CF8F488E-F6E1-4F5D-A20A-B9508FDF4725}"/>
    <cellStyle name="40% - Accent5 2 3 4 2 3" xfId="12205" xr:uid="{807E499A-59E1-4584-AAA9-CC09364D7D24}"/>
    <cellStyle name="40% - Accent5 2 3 4 3" xfId="5828" xr:uid="{00000000-0005-0000-0000-000077060000}"/>
    <cellStyle name="40% - Accent5 2 3 4 3 2" xfId="14278" xr:uid="{03C5697F-69D9-455E-A13C-D09FC5909796}"/>
    <cellStyle name="40% - Accent5 2 3 4 4" xfId="10060" xr:uid="{5E629472-D811-4A2E-832F-FA12B3B1306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7289C6A1-2DF8-4C73-B12F-1B3ED9FD2030}"/>
    <cellStyle name="40% - Accent5 2 3 5 2 3" xfId="12618" xr:uid="{D1196AE2-29E3-43FF-A483-2D35C1072CE0}"/>
    <cellStyle name="40% - Accent5 2 3 5 3" xfId="6241" xr:uid="{00000000-0005-0000-0000-00007B060000}"/>
    <cellStyle name="40% - Accent5 2 3 5 3 2" xfId="14691" xr:uid="{0DAEC649-91F0-4658-83FE-380B0863346E}"/>
    <cellStyle name="40% - Accent5 2 3 5 4" xfId="10473" xr:uid="{46A15423-C65B-4501-A5D1-2B776DDCB112}"/>
    <cellStyle name="40% - Accent5 2 3 6" xfId="2348" xr:uid="{00000000-0005-0000-0000-00007C060000}"/>
    <cellStyle name="40% - Accent5 2 3 6 2" xfId="6654" xr:uid="{00000000-0005-0000-0000-00007D060000}"/>
    <cellStyle name="40% - Accent5 2 3 6 2 2" xfId="15104" xr:uid="{AE79706E-9152-43EE-ABC6-84C86C155C42}"/>
    <cellStyle name="40% - Accent5 2 3 6 3" xfId="10886" xr:uid="{A3C57092-63D6-4C90-AD16-E4831CA8CCCF}"/>
    <cellStyle name="40% - Accent5 2 3 7" xfId="4588" xr:uid="{00000000-0005-0000-0000-00007E060000}"/>
    <cellStyle name="40% - Accent5 2 3 7 2" xfId="13038" xr:uid="{43FA5DF6-7E77-469A-93A6-471C58165EF2}"/>
    <cellStyle name="40% - Accent5 2 3 8" xfId="8820" xr:uid="{A1FD76CB-420D-4EE4-92CF-B1FCB53E6E66}"/>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8151A46A-B4EC-4ABD-A648-0BD47A7EA058}"/>
    <cellStyle name="40% - Accent5 2 4 2 3" xfId="11376" xr:uid="{E58CED6A-2798-4E9E-A2B6-19AA53B53649}"/>
    <cellStyle name="40% - Accent5 2 4 3" xfId="4999" xr:uid="{00000000-0005-0000-0000-000082060000}"/>
    <cellStyle name="40% - Accent5 2 4 3 2" xfId="13449" xr:uid="{73E4E415-ECBC-416B-9E7B-9FB5206B19FA}"/>
    <cellStyle name="40% - Accent5 2 4 4" xfId="9231" xr:uid="{5815AE11-AF4B-443D-BD9B-00974F4CA2DC}"/>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9F16B954-099A-49A0-8352-104324BFFD4C}"/>
    <cellStyle name="40% - Accent5 2 5 2 3" xfId="11789" xr:uid="{6F87CC1E-73E6-46F6-B1C8-F3C4A7F17629}"/>
    <cellStyle name="40% - Accent5 2 5 3" xfId="5412" xr:uid="{00000000-0005-0000-0000-000086060000}"/>
    <cellStyle name="40% - Accent5 2 5 3 2" xfId="13862" xr:uid="{900FBDB9-8293-4DC5-98DC-361A6A272A41}"/>
    <cellStyle name="40% - Accent5 2 5 4" xfId="9644" xr:uid="{A17D09A0-FF7A-4D60-98C7-E36E106BC8DE}"/>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A7575C36-6ED3-4D60-BED3-54335180BBD5}"/>
    <cellStyle name="40% - Accent5 2 6 2 3" xfId="12202" xr:uid="{1C605CCC-EA42-4F08-92F1-4AAAD9A15FA3}"/>
    <cellStyle name="40% - Accent5 2 6 3" xfId="5825" xr:uid="{00000000-0005-0000-0000-00008A060000}"/>
    <cellStyle name="40% - Accent5 2 6 3 2" xfId="14275" xr:uid="{415B4377-F42D-477D-9E97-9716AE8BF03E}"/>
    <cellStyle name="40% - Accent5 2 6 4" xfId="10057" xr:uid="{29D1382F-0A0D-4035-A9DE-3E248F01ABC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C306F97F-0CD5-4D2C-BFEA-53490A8E738E}"/>
    <cellStyle name="40% - Accent5 2 7 2 3" xfId="12615" xr:uid="{7EA5D26B-839E-4399-A966-4F2AB14B441E}"/>
    <cellStyle name="40% - Accent5 2 7 3" xfId="6238" xr:uid="{00000000-0005-0000-0000-00008E060000}"/>
    <cellStyle name="40% - Accent5 2 7 3 2" xfId="14688" xr:uid="{06DBF656-0703-42D5-A506-6B322C52215A}"/>
    <cellStyle name="40% - Accent5 2 7 4" xfId="10470" xr:uid="{D8EF5547-028C-4245-A235-757298E69A9B}"/>
    <cellStyle name="40% - Accent5 2 8" xfId="2345" xr:uid="{00000000-0005-0000-0000-00008F060000}"/>
    <cellStyle name="40% - Accent5 2 8 2" xfId="6651" xr:uid="{00000000-0005-0000-0000-000090060000}"/>
    <cellStyle name="40% - Accent5 2 8 2 2" xfId="15101" xr:uid="{560E71EE-97CC-4D2F-B660-35AA07E8E41A}"/>
    <cellStyle name="40% - Accent5 2 8 3" xfId="10883" xr:uid="{F1F79DAC-8096-40EE-BF6D-C04BB9C5988F}"/>
    <cellStyle name="40% - Accent5 2 9" xfId="4585" xr:uid="{00000000-0005-0000-0000-000091060000}"/>
    <cellStyle name="40% - Accent5 2 9 2" xfId="13035" xr:uid="{627972DA-69A1-4926-8AA0-C89170B9F6AB}"/>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4B2C0F37-F191-4B0B-84CB-C087998DB087}"/>
    <cellStyle name="40% - Accent5 3 2 2 2 3" xfId="11381" xr:uid="{5FA10597-ECEE-4751-A867-B32D9CD8C089}"/>
    <cellStyle name="40% - Accent5 3 2 2 3" xfId="5004" xr:uid="{00000000-0005-0000-0000-000097060000}"/>
    <cellStyle name="40% - Accent5 3 2 2 3 2" xfId="13454" xr:uid="{9D5DE6A9-81B5-4178-AB47-0208E22C1294}"/>
    <cellStyle name="40% - Accent5 3 2 2 4" xfId="9236" xr:uid="{C89B2AD1-576B-444B-AE89-932140719164}"/>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319BD6DE-70CD-442A-BB16-DD515AFF1D09}"/>
    <cellStyle name="40% - Accent5 3 2 3 2 3" xfId="11794" xr:uid="{946F5469-E7EB-4C0F-8243-2D2D4DD06638}"/>
    <cellStyle name="40% - Accent5 3 2 3 3" xfId="5417" xr:uid="{00000000-0005-0000-0000-00009B060000}"/>
    <cellStyle name="40% - Accent5 3 2 3 3 2" xfId="13867" xr:uid="{F0751E11-16F6-45D2-A364-FA82B09BE228}"/>
    <cellStyle name="40% - Accent5 3 2 3 4" xfId="9649" xr:uid="{912DA800-3104-4C36-A628-6D9F0EBF1107}"/>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FBCCD408-A539-4EE8-AC04-7FD148E6BE4E}"/>
    <cellStyle name="40% - Accent5 3 2 4 2 3" xfId="12207" xr:uid="{ACA25832-B691-4939-BECD-326BE405490E}"/>
    <cellStyle name="40% - Accent5 3 2 4 3" xfId="5830" xr:uid="{00000000-0005-0000-0000-00009F060000}"/>
    <cellStyle name="40% - Accent5 3 2 4 3 2" xfId="14280" xr:uid="{40A95A5A-EA7E-44DA-A1D9-D9A64C0A50AA}"/>
    <cellStyle name="40% - Accent5 3 2 4 4" xfId="10062" xr:uid="{425EF923-C304-4C47-9072-D549E3716968}"/>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3713FEB2-3A1F-4E58-8A96-611A93E2FE47}"/>
    <cellStyle name="40% - Accent5 3 2 5 2 3" xfId="12620" xr:uid="{604A4216-F8BD-41E1-B469-2BEFBFA92780}"/>
    <cellStyle name="40% - Accent5 3 2 5 3" xfId="6243" xr:uid="{00000000-0005-0000-0000-0000A3060000}"/>
    <cellStyle name="40% - Accent5 3 2 5 3 2" xfId="14693" xr:uid="{6188D79E-9B96-4D38-B462-996798985030}"/>
    <cellStyle name="40% - Accent5 3 2 5 4" xfId="10475" xr:uid="{5177D2EC-A9E3-45EA-9DA5-A1B9AC3E0F84}"/>
    <cellStyle name="40% - Accent5 3 2 6" xfId="2350" xr:uid="{00000000-0005-0000-0000-0000A4060000}"/>
    <cellStyle name="40% - Accent5 3 2 6 2" xfId="6656" xr:uid="{00000000-0005-0000-0000-0000A5060000}"/>
    <cellStyle name="40% - Accent5 3 2 6 2 2" xfId="15106" xr:uid="{2AA74504-8E76-4FE6-9B65-4549CFDC6F78}"/>
    <cellStyle name="40% - Accent5 3 2 6 3" xfId="10888" xr:uid="{8E214CB1-4F33-4B7B-AF2B-3BE7335E6D3D}"/>
    <cellStyle name="40% - Accent5 3 2 7" xfId="4590" xr:uid="{00000000-0005-0000-0000-0000A6060000}"/>
    <cellStyle name="40% - Accent5 3 2 7 2" xfId="13040" xr:uid="{E5F83ACA-376F-40EE-B2EF-489D0603CA0D}"/>
    <cellStyle name="40% - Accent5 3 2 8" xfId="8822" xr:uid="{1FBB509B-EF7A-4289-AE5C-07265CBFE89F}"/>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369B64B5-F87A-475E-9DEF-DFE033151798}"/>
    <cellStyle name="40% - Accent5 3 3 2 3" xfId="11380" xr:uid="{47BBC505-0EE2-4D46-A88C-4E8458BA9EBD}"/>
    <cellStyle name="40% - Accent5 3 3 3" xfId="5003" xr:uid="{00000000-0005-0000-0000-0000AA060000}"/>
    <cellStyle name="40% - Accent5 3 3 3 2" xfId="13453" xr:uid="{FD158091-3770-4C57-B2D4-38C149BE7EAA}"/>
    <cellStyle name="40% - Accent5 3 3 4" xfId="9235" xr:uid="{D7141A5C-5B38-4AC0-849D-F0DB1B9B511D}"/>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B5E6614D-DDDA-4F9C-95A5-A065BA805A29}"/>
    <cellStyle name="40% - Accent5 3 4 2 3" xfId="11793" xr:uid="{10954AC3-CF62-46DB-952D-0238879E9E76}"/>
    <cellStyle name="40% - Accent5 3 4 3" xfId="5416" xr:uid="{00000000-0005-0000-0000-0000AE060000}"/>
    <cellStyle name="40% - Accent5 3 4 3 2" xfId="13866" xr:uid="{C98345C3-03F1-4F39-BCA9-CE8A0F8CED47}"/>
    <cellStyle name="40% - Accent5 3 4 4" xfId="9648" xr:uid="{B4F1CF1E-C295-456E-99B2-7C7AEEEAD623}"/>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A9D0FF8A-9BE6-42C9-8E05-58AB3EE62344}"/>
    <cellStyle name="40% - Accent5 3 5 2 3" xfId="12206" xr:uid="{E2FABEBA-419E-4C86-BB44-495CE28407C3}"/>
    <cellStyle name="40% - Accent5 3 5 3" xfId="5829" xr:uid="{00000000-0005-0000-0000-0000B2060000}"/>
    <cellStyle name="40% - Accent5 3 5 3 2" xfId="14279" xr:uid="{E58C2798-AD9A-42C6-BE9A-D30F603F2189}"/>
    <cellStyle name="40% - Accent5 3 5 4" xfId="10061" xr:uid="{83099BA9-EF7C-4832-BAE2-376AA27961D6}"/>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5CF3B8D4-3E46-48AC-BBE5-C789084A1F48}"/>
    <cellStyle name="40% - Accent5 3 6 2 3" xfId="12619" xr:uid="{B72C898B-97E4-434B-846D-741F43AB6A03}"/>
    <cellStyle name="40% - Accent5 3 6 3" xfId="6242" xr:uid="{00000000-0005-0000-0000-0000B6060000}"/>
    <cellStyle name="40% - Accent5 3 6 3 2" xfId="14692" xr:uid="{6759CDFD-096E-4CE0-8FE5-2C97278C55B5}"/>
    <cellStyle name="40% - Accent5 3 6 4" xfId="10474" xr:uid="{8182F47A-039D-401D-997E-97D4AE692E54}"/>
    <cellStyle name="40% - Accent5 3 7" xfId="2349" xr:uid="{00000000-0005-0000-0000-0000B7060000}"/>
    <cellStyle name="40% - Accent5 3 7 2" xfId="6655" xr:uid="{00000000-0005-0000-0000-0000B8060000}"/>
    <cellStyle name="40% - Accent5 3 7 2 2" xfId="15105" xr:uid="{A9172CC7-2749-421D-84A8-8F6F19FB3559}"/>
    <cellStyle name="40% - Accent5 3 7 3" xfId="10887" xr:uid="{D1A28BA0-75D2-49FF-87F7-6F7E068754EF}"/>
    <cellStyle name="40% - Accent5 3 8" xfId="4589" xr:uid="{00000000-0005-0000-0000-0000B9060000}"/>
    <cellStyle name="40% - Accent5 3 8 2" xfId="13039" xr:uid="{80193E57-D990-4AEE-A703-0E073BD15CBA}"/>
    <cellStyle name="40% - Accent5 3 9" xfId="8821" xr:uid="{CD2AF171-6737-4B46-A78F-3A0EFB25D0D5}"/>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73010552-39AC-4137-8D57-9338F8A963ED}"/>
    <cellStyle name="40% - Accent5 4 2 2 3" xfId="11382" xr:uid="{EFA3BF46-9135-405B-A632-8902BCE9A20C}"/>
    <cellStyle name="40% - Accent5 4 2 3" xfId="5005" xr:uid="{00000000-0005-0000-0000-0000BE060000}"/>
    <cellStyle name="40% - Accent5 4 2 3 2" xfId="13455" xr:uid="{027E9AC0-D137-4EA9-BBF8-DF9F9627577A}"/>
    <cellStyle name="40% - Accent5 4 2 4" xfId="9237" xr:uid="{1A711E18-8F4F-45A1-9AA9-0092E2D37E5B}"/>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ED6677FA-37A7-49B9-B467-8E75DEAF4F0E}"/>
    <cellStyle name="40% - Accent5 4 3 2 3" xfId="11795" xr:uid="{9A8AA3D6-2C03-4D5E-BF2F-28FBB0B0D719}"/>
    <cellStyle name="40% - Accent5 4 3 3" xfId="5418" xr:uid="{00000000-0005-0000-0000-0000C2060000}"/>
    <cellStyle name="40% - Accent5 4 3 3 2" xfId="13868" xr:uid="{3F46625D-13F5-432A-9330-3ED0997659C0}"/>
    <cellStyle name="40% - Accent5 4 3 4" xfId="9650" xr:uid="{DD43C498-4BB8-4132-9A3C-EDEF782A006D}"/>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69EB6014-C4A6-4AED-8CAF-18CD04B04EEC}"/>
    <cellStyle name="40% - Accent5 4 4 2 3" xfId="12208" xr:uid="{D21D3B99-5782-41E0-BB95-9F09A65CFFD2}"/>
    <cellStyle name="40% - Accent5 4 4 3" xfId="5831" xr:uid="{00000000-0005-0000-0000-0000C6060000}"/>
    <cellStyle name="40% - Accent5 4 4 3 2" xfId="14281" xr:uid="{635DC40C-1A03-4E0A-8561-033A007B7EAF}"/>
    <cellStyle name="40% - Accent5 4 4 4" xfId="10063" xr:uid="{F3FB6BED-6ED2-416F-B364-DB2F72A418EC}"/>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C9A6555F-7BE3-4640-8FEE-5CC9CE05A59B}"/>
    <cellStyle name="40% - Accent5 4 5 2 3" xfId="12621" xr:uid="{0E308A63-80F6-4E48-BB87-561538392170}"/>
    <cellStyle name="40% - Accent5 4 5 3" xfId="6244" xr:uid="{00000000-0005-0000-0000-0000CA060000}"/>
    <cellStyle name="40% - Accent5 4 5 3 2" xfId="14694" xr:uid="{16695E3D-ACE9-4BD2-9CBC-E722ACB662E6}"/>
    <cellStyle name="40% - Accent5 4 5 4" xfId="10476" xr:uid="{B9B6830C-3624-41AB-8B0C-5A281C200965}"/>
    <cellStyle name="40% - Accent5 4 6" xfId="2351" xr:uid="{00000000-0005-0000-0000-0000CB060000}"/>
    <cellStyle name="40% - Accent5 4 6 2" xfId="6657" xr:uid="{00000000-0005-0000-0000-0000CC060000}"/>
    <cellStyle name="40% - Accent5 4 6 2 2" xfId="15107" xr:uid="{8F110EAD-ED97-4601-95E3-A7180FBCC39F}"/>
    <cellStyle name="40% - Accent5 4 6 3" xfId="10889" xr:uid="{08337922-6C02-462E-9AD9-979401321B30}"/>
    <cellStyle name="40% - Accent5 4 7" xfId="4591" xr:uid="{00000000-0005-0000-0000-0000CD060000}"/>
    <cellStyle name="40% - Accent5 4 7 2" xfId="13041" xr:uid="{218F7CC3-18F9-4ACE-A867-329444FE8546}"/>
    <cellStyle name="40% - Accent5 4 8" xfId="8823" xr:uid="{3027C0E3-9C92-46FD-8169-F1EEFFE94A07}"/>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F7F60939-3F06-4902-A36C-9A9C0F37D4E8}"/>
    <cellStyle name="40% - Accent5 5 2 3" xfId="11375" xr:uid="{93B5EB83-36BE-4851-9BF7-DE8437DB9BA1}"/>
    <cellStyle name="40% - Accent5 5 3" xfId="4998" xr:uid="{00000000-0005-0000-0000-0000D1060000}"/>
    <cellStyle name="40% - Accent5 5 3 2" xfId="13448" xr:uid="{B622C688-A5B0-47B5-857C-4E6A8977F684}"/>
    <cellStyle name="40% - Accent5 5 4" xfId="9230" xr:uid="{B8D6AB9A-9174-44E1-A910-1C4B958B013F}"/>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C5557A30-186A-4EC9-90C3-85ED73B1F27C}"/>
    <cellStyle name="40% - Accent5 6 2 3" xfId="11788" xr:uid="{54DBD060-D894-403B-B74A-58B4EAE29925}"/>
    <cellStyle name="40% - Accent5 6 3" xfId="5411" xr:uid="{00000000-0005-0000-0000-0000D5060000}"/>
    <cellStyle name="40% - Accent5 6 3 2" xfId="13861" xr:uid="{2AB76396-A172-4EFA-B0EE-C91C224FA73C}"/>
    <cellStyle name="40% - Accent5 6 4" xfId="9643" xr:uid="{26115845-22EB-4F30-9FD3-3101FC21A573}"/>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77A8C5FC-7BF1-4E63-9231-6B71287976CE}"/>
    <cellStyle name="40% - Accent5 7 2 3" xfId="12201" xr:uid="{DE1ACB25-2B1E-45A0-BF5C-E02A6F969E7F}"/>
    <cellStyle name="40% - Accent5 7 3" xfId="5824" xr:uid="{00000000-0005-0000-0000-0000D9060000}"/>
    <cellStyle name="40% - Accent5 7 3 2" xfId="14274" xr:uid="{3B773C59-0FC0-4DCB-AD74-C40FC01648EF}"/>
    <cellStyle name="40% - Accent5 7 4" xfId="10056" xr:uid="{82794431-54F6-446A-AF7F-5D7736C5E4CF}"/>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54416A84-A4B0-45B9-9B25-C588E328EB9A}"/>
    <cellStyle name="40% - Accent5 8 2 3" xfId="12614" xr:uid="{3730EEAF-D5C3-4AC5-B6F2-9D8BDE4470D9}"/>
    <cellStyle name="40% - Accent5 8 3" xfId="6237" xr:uid="{00000000-0005-0000-0000-0000DD060000}"/>
    <cellStyle name="40% - Accent5 8 3 2" xfId="14687" xr:uid="{065A53C5-DB35-4AFB-A570-C0F48C5944A8}"/>
    <cellStyle name="40% - Accent5 8 4" xfId="10469" xr:uid="{0D8D37A9-9C32-42EA-97A2-EC10D62276A2}"/>
    <cellStyle name="40% - Accent5 9" xfId="2344" xr:uid="{00000000-0005-0000-0000-0000DE060000}"/>
    <cellStyle name="40% - Accent5 9 2" xfId="6650" xr:uid="{00000000-0005-0000-0000-0000DF060000}"/>
    <cellStyle name="40% - Accent5 9 2 2" xfId="15100" xr:uid="{232A380C-DC10-4D86-AC04-3B91C2EAEF26}"/>
    <cellStyle name="40% - Accent5 9 3" xfId="10882" xr:uid="{616F9AD2-6499-4272-ACFD-37726B6CEF17}"/>
    <cellStyle name="40% - Accent6" xfId="89" builtinId="51" customBuiltin="1"/>
    <cellStyle name="40% - Accent6 10" xfId="4592" xr:uid="{00000000-0005-0000-0000-0000E1060000}"/>
    <cellStyle name="40% - Accent6 10 2" xfId="13042" xr:uid="{0133B864-B91C-47C5-AE25-C808CFA987AB}"/>
    <cellStyle name="40% - Accent6 11" xfId="8824" xr:uid="{DAD2CEFB-C029-4A70-8874-B98AB444E51E}"/>
    <cellStyle name="40% - Accent6 2" xfId="90" xr:uid="{00000000-0005-0000-0000-0000E2060000}"/>
    <cellStyle name="40% - Accent6 2 10" xfId="8825" xr:uid="{D2B44FC3-2385-4C4D-9C02-ACE846C9063A}"/>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C7AAB9FB-4F9E-4C58-9431-B9D9C6BE77EC}"/>
    <cellStyle name="40% - Accent6 2 2 2 2 2 3" xfId="11386" xr:uid="{CBF217CF-8097-425A-BE04-C296BF18197B}"/>
    <cellStyle name="40% - Accent6 2 2 2 2 3" xfId="5009" xr:uid="{00000000-0005-0000-0000-0000E8060000}"/>
    <cellStyle name="40% - Accent6 2 2 2 2 3 2" xfId="13459" xr:uid="{E8035A79-1CAA-4823-86D0-A2BB9D961411}"/>
    <cellStyle name="40% - Accent6 2 2 2 2 4" xfId="9241" xr:uid="{10E66A5C-63EE-4DAD-BEF0-A9B85EC2527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39C99119-1506-4C3E-9C7E-60752F2692B0}"/>
    <cellStyle name="40% - Accent6 2 2 2 3 2 3" xfId="11799" xr:uid="{54E48C8C-1E75-446F-830C-858B8EA3CF75}"/>
    <cellStyle name="40% - Accent6 2 2 2 3 3" xfId="5422" xr:uid="{00000000-0005-0000-0000-0000EC060000}"/>
    <cellStyle name="40% - Accent6 2 2 2 3 3 2" xfId="13872" xr:uid="{E716E658-5728-4D4D-B0F3-A7DCAF7A17C2}"/>
    <cellStyle name="40% - Accent6 2 2 2 3 4" xfId="9654" xr:uid="{062D6D2C-F6D6-4117-8811-C8AC1047DD7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C23F28AC-41F5-4FF7-A4FB-7C6CF78C07B8}"/>
    <cellStyle name="40% - Accent6 2 2 2 4 2 3" xfId="12212" xr:uid="{E54F1526-60B7-4876-8AD1-5B1AEFA76D86}"/>
    <cellStyle name="40% - Accent6 2 2 2 4 3" xfId="5835" xr:uid="{00000000-0005-0000-0000-0000F0060000}"/>
    <cellStyle name="40% - Accent6 2 2 2 4 3 2" xfId="14285" xr:uid="{8F7195C7-D1BD-4529-8965-4B35D7827A5F}"/>
    <cellStyle name="40% - Accent6 2 2 2 4 4" xfId="10067" xr:uid="{B90BFA26-2E24-4AF9-9A80-47992A0E7423}"/>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FC8228CA-A456-4C2F-A3BA-7DC7153921CC}"/>
    <cellStyle name="40% - Accent6 2 2 2 5 2 3" xfId="12625" xr:uid="{D97F2ED8-9C78-4339-B951-7A37874967E1}"/>
    <cellStyle name="40% - Accent6 2 2 2 5 3" xfId="6248" xr:uid="{00000000-0005-0000-0000-0000F4060000}"/>
    <cellStyle name="40% - Accent6 2 2 2 5 3 2" xfId="14698" xr:uid="{7B0D38A8-EFDE-47A0-B57F-3BF584AC9C7C}"/>
    <cellStyle name="40% - Accent6 2 2 2 5 4" xfId="10480" xr:uid="{416AB468-4376-4B61-BC97-C6A92B94BCEB}"/>
    <cellStyle name="40% - Accent6 2 2 2 6" xfId="2355" xr:uid="{00000000-0005-0000-0000-0000F5060000}"/>
    <cellStyle name="40% - Accent6 2 2 2 6 2" xfId="6661" xr:uid="{00000000-0005-0000-0000-0000F6060000}"/>
    <cellStyle name="40% - Accent6 2 2 2 6 2 2" xfId="15111" xr:uid="{D3478804-9FD3-4D37-9F8D-DBCFFA06D613}"/>
    <cellStyle name="40% - Accent6 2 2 2 6 3" xfId="10893" xr:uid="{51076D1C-8244-4446-8C0D-3355372911DE}"/>
    <cellStyle name="40% - Accent6 2 2 2 7" xfId="4595" xr:uid="{00000000-0005-0000-0000-0000F7060000}"/>
    <cellStyle name="40% - Accent6 2 2 2 7 2" xfId="13045" xr:uid="{18CB0C00-559F-4667-8D5E-FDDF1853CA3B}"/>
    <cellStyle name="40% - Accent6 2 2 2 8" xfId="8827" xr:uid="{3894966B-20AD-4993-8323-1C44FE17102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A04952A3-3722-44E5-B3AA-C6A7BB246B49}"/>
    <cellStyle name="40% - Accent6 2 2 3 2 3" xfId="11385" xr:uid="{A6C892FB-78DF-467F-AE07-B8C9F7BECE51}"/>
    <cellStyle name="40% - Accent6 2 2 3 3" xfId="5008" xr:uid="{00000000-0005-0000-0000-0000FB060000}"/>
    <cellStyle name="40% - Accent6 2 2 3 3 2" xfId="13458" xr:uid="{7F9358AB-B4DC-49C1-B81B-4BF773D6A1CF}"/>
    <cellStyle name="40% - Accent6 2 2 3 4" xfId="9240" xr:uid="{1C3C3111-806B-4929-8C78-CD40567450B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A93C495D-26F2-4120-AC6C-21E663DF8E6F}"/>
    <cellStyle name="40% - Accent6 2 2 4 2 3" xfId="11798" xr:uid="{3F832D56-E96B-45EE-ABF7-EC72FCDB9C29}"/>
    <cellStyle name="40% - Accent6 2 2 4 3" xfId="5421" xr:uid="{00000000-0005-0000-0000-0000FF060000}"/>
    <cellStyle name="40% - Accent6 2 2 4 3 2" xfId="13871" xr:uid="{BC8FAC7B-6463-4238-AA78-C82113102654}"/>
    <cellStyle name="40% - Accent6 2 2 4 4" xfId="9653" xr:uid="{07D07DE4-B382-4129-9F49-0041776BD79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AC52F780-60BF-464F-A491-BD3266AB7818}"/>
    <cellStyle name="40% - Accent6 2 2 5 2 3" xfId="12211" xr:uid="{52BA5BBD-A81F-414A-A46A-4C9128C2CC26}"/>
    <cellStyle name="40% - Accent6 2 2 5 3" xfId="5834" xr:uid="{00000000-0005-0000-0000-000003070000}"/>
    <cellStyle name="40% - Accent6 2 2 5 3 2" xfId="14284" xr:uid="{A4A884C2-1AC3-45A1-8199-675729BB7104}"/>
    <cellStyle name="40% - Accent6 2 2 5 4" xfId="10066" xr:uid="{BFA486D4-B3EF-473B-9D4C-43419DEADD92}"/>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C9393A3A-1900-42C6-AD8E-5F5947D15B1C}"/>
    <cellStyle name="40% - Accent6 2 2 6 2 3" xfId="12624" xr:uid="{748375CB-48D3-4EEA-9247-DC42EB5A175E}"/>
    <cellStyle name="40% - Accent6 2 2 6 3" xfId="6247" xr:uid="{00000000-0005-0000-0000-000007070000}"/>
    <cellStyle name="40% - Accent6 2 2 6 3 2" xfId="14697" xr:uid="{DA71E377-351C-42D7-B3C9-247FEBB05339}"/>
    <cellStyle name="40% - Accent6 2 2 6 4" xfId="10479" xr:uid="{C42EECF3-88FC-4293-8A98-7F905F31E85C}"/>
    <cellStyle name="40% - Accent6 2 2 7" xfId="2354" xr:uid="{00000000-0005-0000-0000-000008070000}"/>
    <cellStyle name="40% - Accent6 2 2 7 2" xfId="6660" xr:uid="{00000000-0005-0000-0000-000009070000}"/>
    <cellStyle name="40% - Accent6 2 2 7 2 2" xfId="15110" xr:uid="{208E129A-DDA8-4E1C-AE1F-BD8E0A0B1CC6}"/>
    <cellStyle name="40% - Accent6 2 2 7 3" xfId="10892" xr:uid="{A3B9C13C-1A55-42B5-8BFC-0127D0AF4A1D}"/>
    <cellStyle name="40% - Accent6 2 2 8" xfId="4594" xr:uid="{00000000-0005-0000-0000-00000A070000}"/>
    <cellStyle name="40% - Accent6 2 2 8 2" xfId="13044" xr:uid="{45D2FA61-8116-4435-9304-38BE3FB27C4F}"/>
    <cellStyle name="40% - Accent6 2 2 9" xfId="8826" xr:uid="{E2B2E5BE-6D19-4CD9-A9C1-F56784B19D69}"/>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62FE8A6A-F1DB-4666-8803-32DE507B9ED4}"/>
    <cellStyle name="40% - Accent6 2 3 2 2 3" xfId="11387" xr:uid="{4BB17BC9-EE97-4282-928A-C8716AD655E6}"/>
    <cellStyle name="40% - Accent6 2 3 2 3" xfId="5010" xr:uid="{00000000-0005-0000-0000-00000F070000}"/>
    <cellStyle name="40% - Accent6 2 3 2 3 2" xfId="13460" xr:uid="{1AC96893-C1B3-441E-A8E0-8317BCCA3B8A}"/>
    <cellStyle name="40% - Accent6 2 3 2 4" xfId="9242" xr:uid="{A947932B-0661-47C9-A14A-733DAE8224FF}"/>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174DA6FE-EF20-494F-83E2-469C03896554}"/>
    <cellStyle name="40% - Accent6 2 3 3 2 3" xfId="11800" xr:uid="{DDE99C29-C423-4976-91E9-D78C31D66393}"/>
    <cellStyle name="40% - Accent6 2 3 3 3" xfId="5423" xr:uid="{00000000-0005-0000-0000-000013070000}"/>
    <cellStyle name="40% - Accent6 2 3 3 3 2" xfId="13873" xr:uid="{6E0A9982-34EB-438B-BBFA-B1C3A4631580}"/>
    <cellStyle name="40% - Accent6 2 3 3 4" xfId="9655" xr:uid="{63222365-6810-4E1A-9102-C1762A7204D8}"/>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017BC079-1577-4EAE-AC6B-940DE9628637}"/>
    <cellStyle name="40% - Accent6 2 3 4 2 3" xfId="12213" xr:uid="{7ACEF233-5033-4DEA-9D53-F2B9D40D3D0E}"/>
    <cellStyle name="40% - Accent6 2 3 4 3" xfId="5836" xr:uid="{00000000-0005-0000-0000-000017070000}"/>
    <cellStyle name="40% - Accent6 2 3 4 3 2" xfId="14286" xr:uid="{22420E94-4E47-4CB1-B077-9BAD702F0FDB}"/>
    <cellStyle name="40% - Accent6 2 3 4 4" xfId="10068" xr:uid="{99B97108-2813-4E6D-97F7-946347D71DA4}"/>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638E7F5A-2030-4346-8192-95A58F216EC7}"/>
    <cellStyle name="40% - Accent6 2 3 5 2 3" xfId="12626" xr:uid="{9D26BE70-927A-4E1C-8E47-97513755B697}"/>
    <cellStyle name="40% - Accent6 2 3 5 3" xfId="6249" xr:uid="{00000000-0005-0000-0000-00001B070000}"/>
    <cellStyle name="40% - Accent6 2 3 5 3 2" xfId="14699" xr:uid="{8191A4F6-CD57-43D9-A96C-C1C5EC547492}"/>
    <cellStyle name="40% - Accent6 2 3 5 4" xfId="10481" xr:uid="{EAE8269B-3EE4-424F-BCB8-C3E3DCA33F1D}"/>
    <cellStyle name="40% - Accent6 2 3 6" xfId="2356" xr:uid="{00000000-0005-0000-0000-00001C070000}"/>
    <cellStyle name="40% - Accent6 2 3 6 2" xfId="6662" xr:uid="{00000000-0005-0000-0000-00001D070000}"/>
    <cellStyle name="40% - Accent6 2 3 6 2 2" xfId="15112" xr:uid="{53CD942F-021E-4F09-9AA0-1E61D649E4C6}"/>
    <cellStyle name="40% - Accent6 2 3 6 3" xfId="10894" xr:uid="{79AF7158-43EF-4126-8814-2D85CA9D491D}"/>
    <cellStyle name="40% - Accent6 2 3 7" xfId="4596" xr:uid="{00000000-0005-0000-0000-00001E070000}"/>
    <cellStyle name="40% - Accent6 2 3 7 2" xfId="13046" xr:uid="{3F06EF81-84FB-4159-82E9-7A57B1DAB5DF}"/>
    <cellStyle name="40% - Accent6 2 3 8" xfId="8828" xr:uid="{7EA668B5-F214-4C2D-A20D-C2A9D1334F5C}"/>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37084F37-C50A-44D6-9436-E1D43CFFF41A}"/>
    <cellStyle name="40% - Accent6 2 4 2 3" xfId="11384" xr:uid="{BBDCC4E1-452A-49B8-AD9E-494D8ACB30A7}"/>
    <cellStyle name="40% - Accent6 2 4 3" xfId="5007" xr:uid="{00000000-0005-0000-0000-000022070000}"/>
    <cellStyle name="40% - Accent6 2 4 3 2" xfId="13457" xr:uid="{207411C7-7CE3-49A0-84E3-B0E275FFD759}"/>
    <cellStyle name="40% - Accent6 2 4 4" xfId="9239" xr:uid="{B1F5564E-29CB-4F82-BEB7-90F4F5E5B651}"/>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84AB9D37-F64C-41F6-8778-A8C03C3AA29E}"/>
    <cellStyle name="40% - Accent6 2 5 2 3" xfId="11797" xr:uid="{C3E6ABE9-10D8-4A3A-B10D-D88D6EA16775}"/>
    <cellStyle name="40% - Accent6 2 5 3" xfId="5420" xr:uid="{00000000-0005-0000-0000-000026070000}"/>
    <cellStyle name="40% - Accent6 2 5 3 2" xfId="13870" xr:uid="{53B915B5-168D-47C8-BD5B-7146215DE9FA}"/>
    <cellStyle name="40% - Accent6 2 5 4" xfId="9652" xr:uid="{53FBB5ED-F85E-4710-8D31-A82B3322312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02E6C8EE-6D83-4CB3-A981-4CC6C27F9950}"/>
    <cellStyle name="40% - Accent6 2 6 2 3" xfId="12210" xr:uid="{AB048830-E8BD-4BC6-B49C-59B6AA19120D}"/>
    <cellStyle name="40% - Accent6 2 6 3" xfId="5833" xr:uid="{00000000-0005-0000-0000-00002A070000}"/>
    <cellStyle name="40% - Accent6 2 6 3 2" xfId="14283" xr:uid="{FB74A7B4-DCB5-4A60-8E92-1586A9CFA57C}"/>
    <cellStyle name="40% - Accent6 2 6 4" xfId="10065" xr:uid="{1E299174-91EE-4CF1-8D73-FE394C65E286}"/>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C55B3588-2D0B-42F8-A5C0-502430EDF24E}"/>
    <cellStyle name="40% - Accent6 2 7 2 3" xfId="12623" xr:uid="{2F3674F9-5EAD-4E28-B926-138F920C788C}"/>
    <cellStyle name="40% - Accent6 2 7 3" xfId="6246" xr:uid="{00000000-0005-0000-0000-00002E070000}"/>
    <cellStyle name="40% - Accent6 2 7 3 2" xfId="14696" xr:uid="{E78DD0EB-A11B-4328-8F11-EA84A90DF63E}"/>
    <cellStyle name="40% - Accent6 2 7 4" xfId="10478" xr:uid="{69ACEDD6-1378-4C33-9697-64820BB1837F}"/>
    <cellStyle name="40% - Accent6 2 8" xfId="2353" xr:uid="{00000000-0005-0000-0000-00002F070000}"/>
    <cellStyle name="40% - Accent6 2 8 2" xfId="6659" xr:uid="{00000000-0005-0000-0000-000030070000}"/>
    <cellStyle name="40% - Accent6 2 8 2 2" xfId="15109" xr:uid="{65EC267A-F15D-4FF4-B910-B21E5A9C128E}"/>
    <cellStyle name="40% - Accent6 2 8 3" xfId="10891" xr:uid="{5324F945-92A7-4FE6-AFF8-934841D97273}"/>
    <cellStyle name="40% - Accent6 2 9" xfId="4593" xr:uid="{00000000-0005-0000-0000-000031070000}"/>
    <cellStyle name="40% - Accent6 2 9 2" xfId="13043" xr:uid="{DEB48451-CFFA-4E69-B326-F9A8E541EE88}"/>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9A89CB1E-4002-4913-AE0C-92B35ED1A011}"/>
    <cellStyle name="40% - Accent6 3 2 2 2 3" xfId="11389" xr:uid="{3CB0882C-5255-49B8-ABC7-C0990E1AAD8B}"/>
    <cellStyle name="40% - Accent6 3 2 2 3" xfId="5012" xr:uid="{00000000-0005-0000-0000-000037070000}"/>
    <cellStyle name="40% - Accent6 3 2 2 3 2" xfId="13462" xr:uid="{42E8F0BB-0E8D-4919-BD58-76AC8EF2E04F}"/>
    <cellStyle name="40% - Accent6 3 2 2 4" xfId="9244" xr:uid="{096A7902-5452-4059-9046-C2979B43DF0C}"/>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10047042-E567-44D7-9930-72F4ABD6C814}"/>
    <cellStyle name="40% - Accent6 3 2 3 2 3" xfId="11802" xr:uid="{3B0685FF-EAA4-401D-B618-60EAB38054FB}"/>
    <cellStyle name="40% - Accent6 3 2 3 3" xfId="5425" xr:uid="{00000000-0005-0000-0000-00003B070000}"/>
    <cellStyle name="40% - Accent6 3 2 3 3 2" xfId="13875" xr:uid="{A6C013FE-8128-462F-B53E-1F762930D42F}"/>
    <cellStyle name="40% - Accent6 3 2 3 4" xfId="9657" xr:uid="{9E9AE6E7-EF86-438D-8912-56E01299CCE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FAF58B97-FBD8-4441-9535-D90CD4EF0355}"/>
    <cellStyle name="40% - Accent6 3 2 4 2 3" xfId="12215" xr:uid="{FB44E3D2-C91E-4CDB-98FF-62B82880C7B0}"/>
    <cellStyle name="40% - Accent6 3 2 4 3" xfId="5838" xr:uid="{00000000-0005-0000-0000-00003F070000}"/>
    <cellStyle name="40% - Accent6 3 2 4 3 2" xfId="14288" xr:uid="{7A6E8B47-7E6C-4784-BDE1-7D42B99CA171}"/>
    <cellStyle name="40% - Accent6 3 2 4 4" xfId="10070" xr:uid="{FD9649E2-8E04-437F-B4C1-B2AB6C92D046}"/>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11C7BD21-B9BA-492C-A9E7-F92BB9E0AE45}"/>
    <cellStyle name="40% - Accent6 3 2 5 2 3" xfId="12628" xr:uid="{293FB2A4-7253-4ED3-9DE6-D5D2744400E8}"/>
    <cellStyle name="40% - Accent6 3 2 5 3" xfId="6251" xr:uid="{00000000-0005-0000-0000-000043070000}"/>
    <cellStyle name="40% - Accent6 3 2 5 3 2" xfId="14701" xr:uid="{482E3526-74D7-4B37-8E89-2A422DFCB7F4}"/>
    <cellStyle name="40% - Accent6 3 2 5 4" xfId="10483" xr:uid="{19066092-1614-456E-BF30-555E1839A378}"/>
    <cellStyle name="40% - Accent6 3 2 6" xfId="2358" xr:uid="{00000000-0005-0000-0000-000044070000}"/>
    <cellStyle name="40% - Accent6 3 2 6 2" xfId="6664" xr:uid="{00000000-0005-0000-0000-000045070000}"/>
    <cellStyle name="40% - Accent6 3 2 6 2 2" xfId="15114" xr:uid="{8499724C-6E06-46DF-A61B-53EEFA0794A8}"/>
    <cellStyle name="40% - Accent6 3 2 6 3" xfId="10896" xr:uid="{DB6C6A39-64E2-415E-B614-8F81EC082175}"/>
    <cellStyle name="40% - Accent6 3 2 7" xfId="4598" xr:uid="{00000000-0005-0000-0000-000046070000}"/>
    <cellStyle name="40% - Accent6 3 2 7 2" xfId="13048" xr:uid="{33B4DCE0-D761-4CFC-991F-FE16D3AE8326}"/>
    <cellStyle name="40% - Accent6 3 2 8" xfId="8830" xr:uid="{B592A47C-E746-466A-BE0E-51457FC95A0F}"/>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1AC0BF62-EC0F-4F61-833B-5E76A9E7609A}"/>
    <cellStyle name="40% - Accent6 3 3 2 3" xfId="11388" xr:uid="{755C6432-67D7-4F72-9F8B-C9C783595F4C}"/>
    <cellStyle name="40% - Accent6 3 3 3" xfId="5011" xr:uid="{00000000-0005-0000-0000-00004A070000}"/>
    <cellStyle name="40% - Accent6 3 3 3 2" xfId="13461" xr:uid="{3831CB9B-AFBE-4C24-A962-DA437DB6EE80}"/>
    <cellStyle name="40% - Accent6 3 3 4" xfId="9243" xr:uid="{10BBCA8C-2D5D-478B-B8A6-F5427C886650}"/>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374D0CDA-47D4-4617-A88B-78712F61BD48}"/>
    <cellStyle name="40% - Accent6 3 4 2 3" xfId="11801" xr:uid="{15C97CD6-1159-4D17-B98B-9CEFE3B4C6E2}"/>
    <cellStyle name="40% - Accent6 3 4 3" xfId="5424" xr:uid="{00000000-0005-0000-0000-00004E070000}"/>
    <cellStyle name="40% - Accent6 3 4 3 2" xfId="13874" xr:uid="{23099D41-4972-4E51-BD19-7DD590E26542}"/>
    <cellStyle name="40% - Accent6 3 4 4" xfId="9656" xr:uid="{6ABE2BFF-828E-4943-A4A1-FC07CCB4AF21}"/>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B2CAD403-E009-4369-878E-9D65350760A3}"/>
    <cellStyle name="40% - Accent6 3 5 2 3" xfId="12214" xr:uid="{1AECDE61-73DD-40A5-A89A-4023A084B7B5}"/>
    <cellStyle name="40% - Accent6 3 5 3" xfId="5837" xr:uid="{00000000-0005-0000-0000-000052070000}"/>
    <cellStyle name="40% - Accent6 3 5 3 2" xfId="14287" xr:uid="{BA50EFCF-9B19-494D-BEE1-5C831A01FE18}"/>
    <cellStyle name="40% - Accent6 3 5 4" xfId="10069" xr:uid="{5AC3095B-5C84-4E3E-9B5C-0470622A30C1}"/>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222C1B15-8BCB-4866-9838-13AB8C30DB25}"/>
    <cellStyle name="40% - Accent6 3 6 2 3" xfId="12627" xr:uid="{A4EA74CA-4D1B-4116-9814-425C737A1A03}"/>
    <cellStyle name="40% - Accent6 3 6 3" xfId="6250" xr:uid="{00000000-0005-0000-0000-000056070000}"/>
    <cellStyle name="40% - Accent6 3 6 3 2" xfId="14700" xr:uid="{BEF4DC2F-E637-4E1D-9FFF-5BF79976D8A8}"/>
    <cellStyle name="40% - Accent6 3 6 4" xfId="10482" xr:uid="{12CA8C81-25B2-459B-8A20-3581C199F150}"/>
    <cellStyle name="40% - Accent6 3 7" xfId="2357" xr:uid="{00000000-0005-0000-0000-000057070000}"/>
    <cellStyle name="40% - Accent6 3 7 2" xfId="6663" xr:uid="{00000000-0005-0000-0000-000058070000}"/>
    <cellStyle name="40% - Accent6 3 7 2 2" xfId="15113" xr:uid="{FAE16CFF-D61C-4E45-9821-6B7E126B05B3}"/>
    <cellStyle name="40% - Accent6 3 7 3" xfId="10895" xr:uid="{DB87531E-2210-434A-9F02-F4C1246BDA41}"/>
    <cellStyle name="40% - Accent6 3 8" xfId="4597" xr:uid="{00000000-0005-0000-0000-000059070000}"/>
    <cellStyle name="40% - Accent6 3 8 2" xfId="13047" xr:uid="{AD1EB50A-75F0-4126-9E6C-4B3226893CA6}"/>
    <cellStyle name="40% - Accent6 3 9" xfId="8829" xr:uid="{D6B22807-EEA8-4E7D-B123-B318930F2A16}"/>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8EC9E91D-6D57-4636-8953-A58D114307D9}"/>
    <cellStyle name="40% - Accent6 4 2 2 3" xfId="11390" xr:uid="{8EC1AC54-ACCB-4E8D-BB77-4365E4009083}"/>
    <cellStyle name="40% - Accent6 4 2 3" xfId="5013" xr:uid="{00000000-0005-0000-0000-00005E070000}"/>
    <cellStyle name="40% - Accent6 4 2 3 2" xfId="13463" xr:uid="{AABC459B-4FF4-4CE7-A266-8C9A253C6C8B}"/>
    <cellStyle name="40% - Accent6 4 2 4" xfId="9245" xr:uid="{92B37EC0-DB81-4AC3-9BE8-5D991C560B4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F6CE3B5B-C393-41B9-BEF0-9E652F77A2F1}"/>
    <cellStyle name="40% - Accent6 4 3 2 3" xfId="11803" xr:uid="{E64B2E03-CD6A-4447-8858-50580A444BEC}"/>
    <cellStyle name="40% - Accent6 4 3 3" xfId="5426" xr:uid="{00000000-0005-0000-0000-000062070000}"/>
    <cellStyle name="40% - Accent6 4 3 3 2" xfId="13876" xr:uid="{4DF1BA6F-12FA-451F-8942-08CEDE50BD6B}"/>
    <cellStyle name="40% - Accent6 4 3 4" xfId="9658" xr:uid="{AAA9F919-4A4D-49B3-ACDF-649942A4CF7D}"/>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0887DE0F-1EFF-457E-A8C7-3F4911D6F649}"/>
    <cellStyle name="40% - Accent6 4 4 2 3" xfId="12216" xr:uid="{0A9A580C-734A-4C7D-BCFE-5AEBB996FD6B}"/>
    <cellStyle name="40% - Accent6 4 4 3" xfId="5839" xr:uid="{00000000-0005-0000-0000-000066070000}"/>
    <cellStyle name="40% - Accent6 4 4 3 2" xfId="14289" xr:uid="{E16AB7F7-E614-4484-B8A8-6E55BEB3F8AC}"/>
    <cellStyle name="40% - Accent6 4 4 4" xfId="10071" xr:uid="{7FA96D71-7951-4AA6-9916-238711765C74}"/>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4B31B916-CA7D-4418-BDE9-EE183435208B}"/>
    <cellStyle name="40% - Accent6 4 5 2 3" xfId="12629" xr:uid="{8452FCF1-4F29-40F1-BFF6-B2EE440F0E62}"/>
    <cellStyle name="40% - Accent6 4 5 3" xfId="6252" xr:uid="{00000000-0005-0000-0000-00006A070000}"/>
    <cellStyle name="40% - Accent6 4 5 3 2" xfId="14702" xr:uid="{CEB67177-E78C-40BF-B6E3-132DD0660BA6}"/>
    <cellStyle name="40% - Accent6 4 5 4" xfId="10484" xr:uid="{13635747-D98A-4F78-84D6-CCD75735A69F}"/>
    <cellStyle name="40% - Accent6 4 6" xfId="2359" xr:uid="{00000000-0005-0000-0000-00006B070000}"/>
    <cellStyle name="40% - Accent6 4 6 2" xfId="6665" xr:uid="{00000000-0005-0000-0000-00006C070000}"/>
    <cellStyle name="40% - Accent6 4 6 2 2" xfId="15115" xr:uid="{D04416B3-A86F-4948-B20C-61DCC56E3274}"/>
    <cellStyle name="40% - Accent6 4 6 3" xfId="10897" xr:uid="{D5070356-F7FA-417E-B7D3-9A084CABD07B}"/>
    <cellStyle name="40% - Accent6 4 7" xfId="4599" xr:uid="{00000000-0005-0000-0000-00006D070000}"/>
    <cellStyle name="40% - Accent6 4 7 2" xfId="13049" xr:uid="{D8221DB2-0682-4C66-915D-EFA101EC29E5}"/>
    <cellStyle name="40% - Accent6 4 8" xfId="8831" xr:uid="{A52F7134-1F67-433D-9897-58DB50A3CA90}"/>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BC41AC67-068B-4841-9806-B81F43C201D5}"/>
    <cellStyle name="40% - Accent6 5 2 3" xfId="11383" xr:uid="{8D5693C1-BBCC-4744-B52A-9F7DE084925D}"/>
    <cellStyle name="40% - Accent6 5 3" xfId="5006" xr:uid="{00000000-0005-0000-0000-000071070000}"/>
    <cellStyle name="40% - Accent6 5 3 2" xfId="13456" xr:uid="{779B0DA8-08D3-438F-A8A2-333855308344}"/>
    <cellStyle name="40% - Accent6 5 4" xfId="9238" xr:uid="{4E1E06A0-1B40-4CD2-83C8-BEC48AACC60D}"/>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642B1BBD-C126-44EF-A9DC-F39BCA0F1032}"/>
    <cellStyle name="40% - Accent6 6 2 3" xfId="11796" xr:uid="{A178C19B-3922-4393-B892-E1059B67DB48}"/>
    <cellStyle name="40% - Accent6 6 3" xfId="5419" xr:uid="{00000000-0005-0000-0000-000075070000}"/>
    <cellStyle name="40% - Accent6 6 3 2" xfId="13869" xr:uid="{65FDF96A-B12E-4B52-90ED-31FC713FBE4E}"/>
    <cellStyle name="40% - Accent6 6 4" xfId="9651" xr:uid="{08A65C56-2209-4F1C-888A-4B697F21B699}"/>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1E076E05-7E8E-4950-817F-056683530F92}"/>
    <cellStyle name="40% - Accent6 7 2 3" xfId="12209" xr:uid="{25A68D19-11CA-48FA-8F38-DB9BCD0DA7CD}"/>
    <cellStyle name="40% - Accent6 7 3" xfId="5832" xr:uid="{00000000-0005-0000-0000-000079070000}"/>
    <cellStyle name="40% - Accent6 7 3 2" xfId="14282" xr:uid="{A33404EE-91CA-4841-95F8-4C54B850808D}"/>
    <cellStyle name="40% - Accent6 7 4" xfId="10064" xr:uid="{2803701D-D470-42FE-A4EF-CF9B61961421}"/>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1853BB78-9C80-471E-AAAB-0002FBA67A99}"/>
    <cellStyle name="40% - Accent6 8 2 3" xfId="12622" xr:uid="{DCE2D846-2122-4842-848E-3054CC643AE1}"/>
    <cellStyle name="40% - Accent6 8 3" xfId="6245" xr:uid="{00000000-0005-0000-0000-00007D070000}"/>
    <cellStyle name="40% - Accent6 8 3 2" xfId="14695" xr:uid="{5BC36AD9-C130-4983-AAC9-15BDAF6452B6}"/>
    <cellStyle name="40% - Accent6 8 4" xfId="10477" xr:uid="{61E68A79-725C-479F-B3D8-CC50EDBED79A}"/>
    <cellStyle name="40% - Accent6 9" xfId="2352" xr:uid="{00000000-0005-0000-0000-00007E070000}"/>
    <cellStyle name="40% - Accent6 9 2" xfId="6658" xr:uid="{00000000-0005-0000-0000-00007F070000}"/>
    <cellStyle name="40% - Accent6 9 2 2" xfId="15108" xr:uid="{04394685-540C-4F3F-9345-9393ED135A5F}"/>
    <cellStyle name="40% - Accent6 9 3" xfId="10890" xr:uid="{2D1A742B-82DF-4DE6-9AAC-F2D0B459040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34EF9188-8B85-4027-831A-217C12B93657}"/>
    <cellStyle name="Comma 4 2 2 2 10 3" xfId="11215" xr:uid="{8EF1A096-F720-499A-9276-FD83A24E905A}"/>
    <cellStyle name="Comma 4 2 2 2 11" xfId="4600" xr:uid="{00000000-0005-0000-0000-0000A3070000}"/>
    <cellStyle name="Comma 4 2 2 2 11 2" xfId="13050" xr:uid="{E523C66A-288A-45BB-AFE0-CB29D78CEA16}"/>
    <cellStyle name="Comma 4 2 2 2 12" xfId="8832" xr:uid="{342850D5-19C2-400C-B70D-38F2CD0517B9}"/>
    <cellStyle name="Comma 4 2 2 2 2" xfId="129" xr:uid="{00000000-0005-0000-0000-0000A4070000}"/>
    <cellStyle name="Comma 4 2 2 2 2 10" xfId="4601" xr:uid="{00000000-0005-0000-0000-0000A5070000}"/>
    <cellStyle name="Comma 4 2 2 2 2 10 2" xfId="13051" xr:uid="{1F8F7D96-9B1B-4473-B0A6-C41A35367858}"/>
    <cellStyle name="Comma 4 2 2 2 2 11" xfId="8833" xr:uid="{D45951AF-F0FB-4685-AADC-57EC16ADA9FC}"/>
    <cellStyle name="Comma 4 2 2 2 2 2" xfId="130" xr:uid="{00000000-0005-0000-0000-0000A6070000}"/>
    <cellStyle name="Comma 4 2 2 2 2 2 10" xfId="8834" xr:uid="{483B5159-504C-437D-A458-7A79976F51C7}"/>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890F0E4B-FE58-487E-A84C-0F5148BD362C}"/>
    <cellStyle name="Comma 4 2 2 2 2 2 2 2 3" xfId="11393" xr:uid="{994BE1DA-D40A-4C3E-8B7B-C5710FD73F42}"/>
    <cellStyle name="Comma 4 2 2 2 2 2 2 3" xfId="5016" xr:uid="{00000000-0005-0000-0000-0000AA070000}"/>
    <cellStyle name="Comma 4 2 2 2 2 2 2 3 2" xfId="13466" xr:uid="{6EE9F741-F8A4-4CCE-A8DA-2B5422708E20}"/>
    <cellStyle name="Comma 4 2 2 2 2 2 2 4" xfId="9248" xr:uid="{00118852-2B2C-4500-9C76-1FFD4B26FA1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C641FE35-1BC0-4535-966F-5169AE015D52}"/>
    <cellStyle name="Comma 4 2 2 2 2 2 3 2 3" xfId="11806" xr:uid="{B38F20BF-B38A-452B-8D44-B842D66E519B}"/>
    <cellStyle name="Comma 4 2 2 2 2 2 3 3" xfId="5429" xr:uid="{00000000-0005-0000-0000-0000AE070000}"/>
    <cellStyle name="Comma 4 2 2 2 2 2 3 3 2" xfId="13879" xr:uid="{05B207AD-B0AB-4343-A3CD-3442855DD64C}"/>
    <cellStyle name="Comma 4 2 2 2 2 2 3 4" xfId="9661" xr:uid="{74E64980-511A-4F8D-8959-8C528A2106A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4430C035-F5CA-4F70-AD09-B7F712753D09}"/>
    <cellStyle name="Comma 4 2 2 2 2 2 4 2 3" xfId="12219" xr:uid="{CAD60536-DEFB-4225-A28C-495AE99DDD66}"/>
    <cellStyle name="Comma 4 2 2 2 2 2 4 3" xfId="5842" xr:uid="{00000000-0005-0000-0000-0000B2070000}"/>
    <cellStyle name="Comma 4 2 2 2 2 2 4 3 2" xfId="14292" xr:uid="{AC9F0000-933C-4F76-94FA-24923703126A}"/>
    <cellStyle name="Comma 4 2 2 2 2 2 4 4" xfId="10074" xr:uid="{5742EDE0-EAF8-4D3F-AB24-EBA41993F402}"/>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E757BA6E-3992-4C4D-B19D-4ED89C0E9A8A}"/>
    <cellStyle name="Comma 4 2 2 2 2 2 5 2 3" xfId="12632" xr:uid="{4122B5C6-360C-46EF-BDB9-1DBFECA98786}"/>
    <cellStyle name="Comma 4 2 2 2 2 2 5 3" xfId="6255" xr:uid="{00000000-0005-0000-0000-0000B6070000}"/>
    <cellStyle name="Comma 4 2 2 2 2 2 5 3 2" xfId="14705" xr:uid="{1EE3C26A-2222-4DC7-8691-64DFF962E11A}"/>
    <cellStyle name="Comma 4 2 2 2 2 2 5 4" xfId="10487" xr:uid="{37E5AFAC-8680-4DC8-B771-9AA78D55791C}"/>
    <cellStyle name="Comma 4 2 2 2 2 2 6" xfId="2384" xr:uid="{00000000-0005-0000-0000-0000B7070000}"/>
    <cellStyle name="Comma 4 2 2 2 2 2 6 2" xfId="6668" xr:uid="{00000000-0005-0000-0000-0000B8070000}"/>
    <cellStyle name="Comma 4 2 2 2 2 2 6 2 2" xfId="15118" xr:uid="{DD78C6BF-836E-465C-A675-76F10F5019EB}"/>
    <cellStyle name="Comma 4 2 2 2 2 2 6 3" xfId="10900" xr:uid="{D79DA7AF-FC66-4FF0-8A39-9136F6FF1DA5}"/>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09A13732-261D-4E36-A5CF-CD3643ECB159}"/>
    <cellStyle name="Comma 4 2 2 2 2 2 8 3" xfId="11217" xr:uid="{57709C9E-4BD2-4615-901F-E2375AF61C20}"/>
    <cellStyle name="Comma 4 2 2 2 2 2 9" xfId="4602" xr:uid="{00000000-0005-0000-0000-0000BC070000}"/>
    <cellStyle name="Comma 4 2 2 2 2 2 9 2" xfId="13052" xr:uid="{B7EDC499-98E1-4C6C-935F-D31575847B52}"/>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E03EEEC8-30A2-439B-8869-3C20AB14B4FC}"/>
    <cellStyle name="Comma 4 2 2 2 2 3 2 3" xfId="11392" xr:uid="{C43003AB-E631-47A9-AA18-38C037B22CEC}"/>
    <cellStyle name="Comma 4 2 2 2 2 3 3" xfId="5015" xr:uid="{00000000-0005-0000-0000-0000C0070000}"/>
    <cellStyle name="Comma 4 2 2 2 2 3 3 2" xfId="13465" xr:uid="{E1C4009E-7102-4868-A955-83A6CD40CAE6}"/>
    <cellStyle name="Comma 4 2 2 2 2 3 4" xfId="9247" xr:uid="{8A0F38DC-14DE-4FD6-9989-2394F1395A9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169835A3-0C08-4245-B3A4-610553D2E587}"/>
    <cellStyle name="Comma 4 2 2 2 2 4 2 3" xfId="11805" xr:uid="{1B979D1B-0122-4903-B7C2-82C544326DE0}"/>
    <cellStyle name="Comma 4 2 2 2 2 4 3" xfId="5428" xr:uid="{00000000-0005-0000-0000-0000C4070000}"/>
    <cellStyle name="Comma 4 2 2 2 2 4 3 2" xfId="13878" xr:uid="{AD90E399-D2C6-415F-B918-5CDA26B977E9}"/>
    <cellStyle name="Comma 4 2 2 2 2 4 4" xfId="9660" xr:uid="{562F3FDA-093B-4123-8CEA-293EE5A3C04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EA3B4789-BC60-42A2-9157-A14F3CC75A53}"/>
    <cellStyle name="Comma 4 2 2 2 2 5 2 3" xfId="12218" xr:uid="{27B421F4-837C-4A9D-A4E0-1A4DFFA6B423}"/>
    <cellStyle name="Comma 4 2 2 2 2 5 3" xfId="5841" xr:uid="{00000000-0005-0000-0000-0000C8070000}"/>
    <cellStyle name="Comma 4 2 2 2 2 5 3 2" xfId="14291" xr:uid="{024711F6-F68B-4324-9FF3-CFB67BCA16EF}"/>
    <cellStyle name="Comma 4 2 2 2 2 5 4" xfId="10073" xr:uid="{6F66E1B4-4544-4E24-BF7D-00F8689C024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697AA8AF-FBCF-4E6A-9E2A-9A3127772E0C}"/>
    <cellStyle name="Comma 4 2 2 2 2 6 2 3" xfId="12631" xr:uid="{51AD49A5-CC6F-4D88-9CCD-0BF476ABC248}"/>
    <cellStyle name="Comma 4 2 2 2 2 6 3" xfId="6254" xr:uid="{00000000-0005-0000-0000-0000CC070000}"/>
    <cellStyle name="Comma 4 2 2 2 2 6 3 2" xfId="14704" xr:uid="{C70F3644-45AE-4CA9-856A-A443AA37DCA7}"/>
    <cellStyle name="Comma 4 2 2 2 2 6 4" xfId="10486" xr:uid="{92ACB8BF-B857-40FB-AC08-54C4667D72D3}"/>
    <cellStyle name="Comma 4 2 2 2 2 7" xfId="2383" xr:uid="{00000000-0005-0000-0000-0000CD070000}"/>
    <cellStyle name="Comma 4 2 2 2 2 7 2" xfId="6667" xr:uid="{00000000-0005-0000-0000-0000CE070000}"/>
    <cellStyle name="Comma 4 2 2 2 2 7 2 2" xfId="15117" xr:uid="{00B5B738-B509-4324-A961-9864379212E8}"/>
    <cellStyle name="Comma 4 2 2 2 2 7 3" xfId="10899" xr:uid="{B0A6F26D-C1F3-4A96-927E-F52DC9F0CC82}"/>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764F05B1-20D5-49BC-A6E6-7D05C5CCB760}"/>
    <cellStyle name="Comma 4 2 2 2 2 9 3" xfId="11216" xr:uid="{62ECDC89-7F12-43ED-B4FC-8EB75440A215}"/>
    <cellStyle name="Comma 4 2 2 2 3" xfId="131" xr:uid="{00000000-0005-0000-0000-0000D2070000}"/>
    <cellStyle name="Comma 4 2 2 2 3 10" xfId="8835" xr:uid="{4EA40F46-2CF9-4214-80CA-BDC21F582CC5}"/>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21A9EB75-AA86-4228-A774-E981EAF4BEA1}"/>
    <cellStyle name="Comma 4 2 2 2 3 2 2 3" xfId="11394" xr:uid="{D8591C84-56B6-4695-B68B-7F8D028CA979}"/>
    <cellStyle name="Comma 4 2 2 2 3 2 3" xfId="5017" xr:uid="{00000000-0005-0000-0000-0000D6070000}"/>
    <cellStyle name="Comma 4 2 2 2 3 2 3 2" xfId="13467" xr:uid="{6E91D7A9-FD60-4554-B2F7-4EE10E71EE00}"/>
    <cellStyle name="Comma 4 2 2 2 3 2 4" xfId="9249" xr:uid="{673A9531-0BC7-4234-87E4-FEFFA648671B}"/>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1CADD955-1C18-4711-95BE-EE3C27F4C1DE}"/>
    <cellStyle name="Comma 4 2 2 2 3 3 2 3" xfId="11807" xr:uid="{F536CBF3-3AD3-478B-B2D7-4F5CAFC5D2BC}"/>
    <cellStyle name="Comma 4 2 2 2 3 3 3" xfId="5430" xr:uid="{00000000-0005-0000-0000-0000DA070000}"/>
    <cellStyle name="Comma 4 2 2 2 3 3 3 2" xfId="13880" xr:uid="{AA9F6963-2A4F-4CFF-ACFC-3B2FD977A0CC}"/>
    <cellStyle name="Comma 4 2 2 2 3 3 4" xfId="9662" xr:uid="{719DFB44-DA28-4FFD-B791-43A4398460A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1D135F33-709A-4EF3-A3E0-BAD1ED306A50}"/>
    <cellStyle name="Comma 4 2 2 2 3 4 2 3" xfId="12220" xr:uid="{47E46CDD-CFA2-4C48-9E83-66B1E9E88279}"/>
    <cellStyle name="Comma 4 2 2 2 3 4 3" xfId="5843" xr:uid="{00000000-0005-0000-0000-0000DE070000}"/>
    <cellStyle name="Comma 4 2 2 2 3 4 3 2" xfId="14293" xr:uid="{13CA1529-7596-4BF5-8E30-9B466CAD949F}"/>
    <cellStyle name="Comma 4 2 2 2 3 4 4" xfId="10075" xr:uid="{F51E4A1C-024D-4B40-B776-2AE1318C43DA}"/>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204EB84B-9C21-419E-84D8-DB1C5C3CECEC}"/>
    <cellStyle name="Comma 4 2 2 2 3 5 2 3" xfId="12633" xr:uid="{827FF069-3A60-43A3-8F98-66FB2B6214AA}"/>
    <cellStyle name="Comma 4 2 2 2 3 5 3" xfId="6256" xr:uid="{00000000-0005-0000-0000-0000E2070000}"/>
    <cellStyle name="Comma 4 2 2 2 3 5 3 2" xfId="14706" xr:uid="{419088DD-C0C3-47D9-B8F0-E052A19F2CF6}"/>
    <cellStyle name="Comma 4 2 2 2 3 5 4" xfId="10488" xr:uid="{72F278B2-3199-4A31-B760-1D4C8180E2F6}"/>
    <cellStyle name="Comma 4 2 2 2 3 6" xfId="2385" xr:uid="{00000000-0005-0000-0000-0000E3070000}"/>
    <cellStyle name="Comma 4 2 2 2 3 6 2" xfId="6669" xr:uid="{00000000-0005-0000-0000-0000E4070000}"/>
    <cellStyle name="Comma 4 2 2 2 3 6 2 2" xfId="15119" xr:uid="{1433B337-F4F9-4719-B760-C5F48F56BAF1}"/>
    <cellStyle name="Comma 4 2 2 2 3 6 3" xfId="10901" xr:uid="{DE84E97D-4AF7-4969-A07C-DAC20B2E0CEF}"/>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34AAD9B1-2972-406F-8959-66016224B682}"/>
    <cellStyle name="Comma 4 2 2 2 3 8 3" xfId="11218" xr:uid="{19215044-F753-42CD-9195-6A6405583F23}"/>
    <cellStyle name="Comma 4 2 2 2 3 9" xfId="4603" xr:uid="{00000000-0005-0000-0000-0000E8070000}"/>
    <cellStyle name="Comma 4 2 2 2 3 9 2" xfId="13053" xr:uid="{ADB2F973-D4FA-4DCA-89AD-122647A943CC}"/>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8DB43046-465F-420E-9632-150938974F34}"/>
    <cellStyle name="Comma 4 2 2 2 4 2 3" xfId="11391" xr:uid="{1A475354-9603-4730-80EB-6C71A4EEFDC0}"/>
    <cellStyle name="Comma 4 2 2 2 4 3" xfId="5014" xr:uid="{00000000-0005-0000-0000-0000EC070000}"/>
    <cellStyle name="Comma 4 2 2 2 4 3 2" xfId="13464" xr:uid="{2B7DBF20-E06B-4B30-BA5F-C6CA313D6DCD}"/>
    <cellStyle name="Comma 4 2 2 2 4 4" xfId="9246" xr:uid="{5FDDC1E1-D2E3-48B1-8910-E727AC403817}"/>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961F451F-D784-4566-8F3C-DCF5A086198D}"/>
    <cellStyle name="Comma 4 2 2 2 5 2 3" xfId="11804" xr:uid="{BA6EEF9D-8CF8-4A5A-84D6-1A9FAF23F51F}"/>
    <cellStyle name="Comma 4 2 2 2 5 3" xfId="5427" xr:uid="{00000000-0005-0000-0000-0000F0070000}"/>
    <cellStyle name="Comma 4 2 2 2 5 3 2" xfId="13877" xr:uid="{8CA2D64D-32BF-4E66-B918-1D3022ABD973}"/>
    <cellStyle name="Comma 4 2 2 2 5 4" xfId="9659" xr:uid="{B303FB10-09F4-43B4-B15C-5CD0D0757132}"/>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C84DFE69-E45A-4D8D-9BE0-2528A9523DC6}"/>
    <cellStyle name="Comma 4 2 2 2 6 2 3" xfId="12217" xr:uid="{7AECA38C-886A-4B70-A235-AECBA9F278E5}"/>
    <cellStyle name="Comma 4 2 2 2 6 3" xfId="5840" xr:uid="{00000000-0005-0000-0000-0000F4070000}"/>
    <cellStyle name="Comma 4 2 2 2 6 3 2" xfId="14290" xr:uid="{6D3F0ADF-5AD6-4131-8EBB-36AC5002A526}"/>
    <cellStyle name="Comma 4 2 2 2 6 4" xfId="10072" xr:uid="{D3494EDB-DF09-4329-B3C6-C1E3B2810C71}"/>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44D16678-3B76-4231-9830-2EEA08186668}"/>
    <cellStyle name="Comma 4 2 2 2 7 2 3" xfId="12630" xr:uid="{CA5D3A45-1EE6-4588-A6B5-223C67F838B0}"/>
    <cellStyle name="Comma 4 2 2 2 7 3" xfId="6253" xr:uid="{00000000-0005-0000-0000-0000F8070000}"/>
    <cellStyle name="Comma 4 2 2 2 7 3 2" xfId="14703" xr:uid="{078DCBAE-9F60-434B-BCB7-D627EF1FCB10}"/>
    <cellStyle name="Comma 4 2 2 2 7 4" xfId="10485" xr:uid="{5ADDFF39-3A59-4D1B-9243-E46015815C65}"/>
    <cellStyle name="Comma 4 2 2 2 8" xfId="2382" xr:uid="{00000000-0005-0000-0000-0000F9070000}"/>
    <cellStyle name="Comma 4 2 2 2 8 2" xfId="6666" xr:uid="{00000000-0005-0000-0000-0000FA070000}"/>
    <cellStyle name="Comma 4 2 2 2 8 2 2" xfId="15116" xr:uid="{C788C46A-BFD7-4209-9D4A-55CEE9BFCF99}"/>
    <cellStyle name="Comma 4 2 2 2 8 3" xfId="10898" xr:uid="{5C19CF50-671C-4899-A8CC-D2355CD7CC35}"/>
    <cellStyle name="Comma 4 2 2 2 9" xfId="2381" xr:uid="{00000000-0005-0000-0000-0000FB070000}"/>
    <cellStyle name="Comma 4 2 2 3" xfId="132" xr:uid="{00000000-0005-0000-0000-0000FC070000}"/>
    <cellStyle name="Comma 4 2 2 3 10" xfId="4604" xr:uid="{00000000-0005-0000-0000-0000FD070000}"/>
    <cellStyle name="Comma 4 2 2 3 10 2" xfId="13054" xr:uid="{DFA86BF6-CF37-423E-B177-57A7E79BA5F9}"/>
    <cellStyle name="Comma 4 2 2 3 11" xfId="8836" xr:uid="{7B2AE95E-B58C-4A0A-9F17-4DB0489A85C6}"/>
    <cellStyle name="Comma 4 2 2 3 2" xfId="133" xr:uid="{00000000-0005-0000-0000-0000FE070000}"/>
    <cellStyle name="Comma 4 2 2 3 2 10" xfId="8837" xr:uid="{0EC61919-4332-4F8C-812A-A66BC291D93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D9DE2182-C93E-460D-8FF5-F05FE397BC3E}"/>
    <cellStyle name="Comma 4 2 2 3 2 2 2 3" xfId="11396" xr:uid="{D11D0C05-F52D-4D2A-81EA-34B8859543B4}"/>
    <cellStyle name="Comma 4 2 2 3 2 2 3" xfId="5019" xr:uid="{00000000-0005-0000-0000-000002080000}"/>
    <cellStyle name="Comma 4 2 2 3 2 2 3 2" xfId="13469" xr:uid="{AE657583-CA82-48A4-9CAC-E67FF0E5412D}"/>
    <cellStyle name="Comma 4 2 2 3 2 2 4" xfId="9251" xr:uid="{5CFDA330-89EC-4D02-8D89-FDA17DDDAFB4}"/>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84CE6E81-0860-442A-9088-FBBFB8485F1C}"/>
    <cellStyle name="Comma 4 2 2 3 2 3 2 3" xfId="11809" xr:uid="{7920FF8F-3B7F-4BA2-9081-962E98E04275}"/>
    <cellStyle name="Comma 4 2 2 3 2 3 3" xfId="5432" xr:uid="{00000000-0005-0000-0000-000006080000}"/>
    <cellStyle name="Comma 4 2 2 3 2 3 3 2" xfId="13882" xr:uid="{B6F638AE-7CF9-4EC6-B6D9-DEC3B1A7439D}"/>
    <cellStyle name="Comma 4 2 2 3 2 3 4" xfId="9664" xr:uid="{D5DA995B-650B-4358-A5BE-85081B73ED0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62001AE1-CEA7-4534-81EE-7C420AAF3B44}"/>
    <cellStyle name="Comma 4 2 2 3 2 4 2 3" xfId="12222" xr:uid="{128C8D30-B161-4095-A363-511607BEA4DB}"/>
    <cellStyle name="Comma 4 2 2 3 2 4 3" xfId="5845" xr:uid="{00000000-0005-0000-0000-00000A080000}"/>
    <cellStyle name="Comma 4 2 2 3 2 4 3 2" xfId="14295" xr:uid="{677C6F7B-0FDB-4226-8BA7-07D5A6662BD0}"/>
    <cellStyle name="Comma 4 2 2 3 2 4 4" xfId="10077" xr:uid="{7ED718E4-4D0F-4398-B2C0-E5679F493E04}"/>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7F6ABB0A-3036-433C-83DB-3C79BA8EAFFF}"/>
    <cellStyle name="Comma 4 2 2 3 2 5 2 3" xfId="12635" xr:uid="{4756F04A-11F2-401A-9A41-D716086057FD}"/>
    <cellStyle name="Comma 4 2 2 3 2 5 3" xfId="6258" xr:uid="{00000000-0005-0000-0000-00000E080000}"/>
    <cellStyle name="Comma 4 2 2 3 2 5 3 2" xfId="14708" xr:uid="{C9097A51-E54F-45FC-9084-BBE92C918497}"/>
    <cellStyle name="Comma 4 2 2 3 2 5 4" xfId="10490" xr:uid="{EBCFF68D-6FFC-45E7-BBDA-29D0B069ACF1}"/>
    <cellStyle name="Comma 4 2 2 3 2 6" xfId="2387" xr:uid="{00000000-0005-0000-0000-00000F080000}"/>
    <cellStyle name="Comma 4 2 2 3 2 6 2" xfId="6671" xr:uid="{00000000-0005-0000-0000-000010080000}"/>
    <cellStyle name="Comma 4 2 2 3 2 6 2 2" xfId="15121" xr:uid="{5B05C7F0-4B71-4B2C-A00A-36E0937C1865}"/>
    <cellStyle name="Comma 4 2 2 3 2 6 3" xfId="10903" xr:uid="{917DE412-2EED-4E12-B6EE-E1E21EAC390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C49ECFA2-17F6-4579-8EB4-BEBD0E4F24F7}"/>
    <cellStyle name="Comma 4 2 2 3 2 8 3" xfId="11220" xr:uid="{5E635D85-398F-4475-AEF1-71F2E10FD915}"/>
    <cellStyle name="Comma 4 2 2 3 2 9" xfId="4605" xr:uid="{00000000-0005-0000-0000-000014080000}"/>
    <cellStyle name="Comma 4 2 2 3 2 9 2" xfId="13055" xr:uid="{251929E5-0D02-47A6-B4B1-C36D8D32DB50}"/>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1D97F389-A20C-4246-B350-2D5B818B0181}"/>
    <cellStyle name="Comma 4 2 2 3 3 2 3" xfId="11395" xr:uid="{EA589DE1-F583-4378-B9C3-1E914B2E21E9}"/>
    <cellStyle name="Comma 4 2 2 3 3 3" xfId="5018" xr:uid="{00000000-0005-0000-0000-000018080000}"/>
    <cellStyle name="Comma 4 2 2 3 3 3 2" xfId="13468" xr:uid="{6DE420BC-9E62-40B2-82E1-94BDF5B2A1E5}"/>
    <cellStyle name="Comma 4 2 2 3 3 4" xfId="9250" xr:uid="{D4DDC206-F38C-4EE6-81F4-113F69B29A98}"/>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5422FDF7-0C42-4C48-9E39-8E544F7EBF8A}"/>
    <cellStyle name="Comma 4 2 2 3 4 2 3" xfId="11808" xr:uid="{30E6BEBE-CD58-4654-ACC1-CC092FA12325}"/>
    <cellStyle name="Comma 4 2 2 3 4 3" xfId="5431" xr:uid="{00000000-0005-0000-0000-00001C080000}"/>
    <cellStyle name="Comma 4 2 2 3 4 3 2" xfId="13881" xr:uid="{394848F8-2086-41FF-950C-263A3D51BD33}"/>
    <cellStyle name="Comma 4 2 2 3 4 4" xfId="9663" xr:uid="{AA9075A6-0869-4896-96A2-E8FBB7A5F2A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A545FC2E-942C-4922-9B47-05745332BF0B}"/>
    <cellStyle name="Comma 4 2 2 3 5 2 3" xfId="12221" xr:uid="{D0046ED3-40F0-4EF4-9C13-A5895D7D8341}"/>
    <cellStyle name="Comma 4 2 2 3 5 3" xfId="5844" xr:uid="{00000000-0005-0000-0000-000020080000}"/>
    <cellStyle name="Comma 4 2 2 3 5 3 2" xfId="14294" xr:uid="{63282E83-097A-45C9-A95E-1FD1A9C77F2C}"/>
    <cellStyle name="Comma 4 2 2 3 5 4" xfId="10076" xr:uid="{83025143-FF12-4727-A3DA-B4542365D69D}"/>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573077B3-57D4-4247-BC7E-CB93AF3E2379}"/>
    <cellStyle name="Comma 4 2 2 3 6 2 3" xfId="12634" xr:uid="{3A633D31-817B-4A23-8656-BDA908F40915}"/>
    <cellStyle name="Comma 4 2 2 3 6 3" xfId="6257" xr:uid="{00000000-0005-0000-0000-000024080000}"/>
    <cellStyle name="Comma 4 2 2 3 6 3 2" xfId="14707" xr:uid="{844DF6B8-90E9-4379-8757-098D86D833B9}"/>
    <cellStyle name="Comma 4 2 2 3 6 4" xfId="10489" xr:uid="{32D47173-6E24-4FFC-9974-33A2D6488245}"/>
    <cellStyle name="Comma 4 2 2 3 7" xfId="2386" xr:uid="{00000000-0005-0000-0000-000025080000}"/>
    <cellStyle name="Comma 4 2 2 3 7 2" xfId="6670" xr:uid="{00000000-0005-0000-0000-000026080000}"/>
    <cellStyle name="Comma 4 2 2 3 7 2 2" xfId="15120" xr:uid="{1C7C2FA3-AB3A-4F86-9BAB-20C93B9DACC3}"/>
    <cellStyle name="Comma 4 2 2 3 7 3" xfId="10902" xr:uid="{3DC04940-C4D0-426C-B1ED-68D4AE00DAA0}"/>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D28F1187-3165-4664-BF55-940460A6FDA5}"/>
    <cellStyle name="Comma 4 2 2 3 9 3" xfId="11219" xr:uid="{6CF3160B-82DE-424B-B772-4B9C72C113A3}"/>
    <cellStyle name="Comma 4 2 2 4" xfId="134" xr:uid="{00000000-0005-0000-0000-00002A080000}"/>
    <cellStyle name="Comma 4 2 2 4 10" xfId="8838" xr:uid="{079D84D7-0391-4A8D-8776-F9EFFF32289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AFFFA7E6-757D-46AC-A58D-4B01D48E36E5}"/>
    <cellStyle name="Comma 4 2 2 4 2 2 3" xfId="11397" xr:uid="{AE8A8D36-2163-4C28-9686-6D4AD89878C0}"/>
    <cellStyle name="Comma 4 2 2 4 2 3" xfId="5020" xr:uid="{00000000-0005-0000-0000-00002E080000}"/>
    <cellStyle name="Comma 4 2 2 4 2 3 2" xfId="13470" xr:uid="{386CA985-624C-4110-B27B-5438682D2E3C}"/>
    <cellStyle name="Comma 4 2 2 4 2 4" xfId="9252" xr:uid="{646F6961-0B7D-4EE8-BF15-A2C5D56D02A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0EFE774E-3DD8-408E-8DC8-58B676956E3E}"/>
    <cellStyle name="Comma 4 2 2 4 3 2 3" xfId="11810" xr:uid="{BDF2D6BE-A708-4421-8019-EAF364FB22C9}"/>
    <cellStyle name="Comma 4 2 2 4 3 3" xfId="5433" xr:uid="{00000000-0005-0000-0000-000032080000}"/>
    <cellStyle name="Comma 4 2 2 4 3 3 2" xfId="13883" xr:uid="{B6088C66-B855-4CFF-A94D-C1C76B89CF39}"/>
    <cellStyle name="Comma 4 2 2 4 3 4" xfId="9665" xr:uid="{EE925A47-EEB2-468E-9F56-3B111B85E5E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FB29254F-7AD3-4ECB-9636-4E4830916B41}"/>
    <cellStyle name="Comma 4 2 2 4 4 2 3" xfId="12223" xr:uid="{61B5D7FD-A567-436A-A1D5-38DD51F4EBDB}"/>
    <cellStyle name="Comma 4 2 2 4 4 3" xfId="5846" xr:uid="{00000000-0005-0000-0000-000036080000}"/>
    <cellStyle name="Comma 4 2 2 4 4 3 2" xfId="14296" xr:uid="{948874D7-530B-4BB3-9D6A-2A1506813070}"/>
    <cellStyle name="Comma 4 2 2 4 4 4" xfId="10078" xr:uid="{26E4ADB1-2ED3-4C40-BA17-4504B4CEB21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C1390F45-3F22-42A2-8235-C555D7072C07}"/>
    <cellStyle name="Comma 4 2 2 4 5 2 3" xfId="12636" xr:uid="{51A4C4AA-394C-4A11-BD33-8D353F53C189}"/>
    <cellStyle name="Comma 4 2 2 4 5 3" xfId="6259" xr:uid="{00000000-0005-0000-0000-00003A080000}"/>
    <cellStyle name="Comma 4 2 2 4 5 3 2" xfId="14709" xr:uid="{6AA07A47-AFD6-40F7-B25B-22F717B0AAD0}"/>
    <cellStyle name="Comma 4 2 2 4 5 4" xfId="10491" xr:uid="{DC2C442F-DF98-4F2B-BFDC-752C30772471}"/>
    <cellStyle name="Comma 4 2 2 4 6" xfId="2388" xr:uid="{00000000-0005-0000-0000-00003B080000}"/>
    <cellStyle name="Comma 4 2 2 4 6 2" xfId="6672" xr:uid="{00000000-0005-0000-0000-00003C080000}"/>
    <cellStyle name="Comma 4 2 2 4 6 2 2" xfId="15122" xr:uid="{093F6C77-87D6-49F2-91C0-209CAF6AC824}"/>
    <cellStyle name="Comma 4 2 2 4 6 3" xfId="10904" xr:uid="{28825941-EF42-43BE-81C7-FAE49590914D}"/>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DF32DDAD-1D33-49ED-B47B-64F6624D04B3}"/>
    <cellStyle name="Comma 4 2 2 4 8 3" xfId="11221" xr:uid="{9F19807A-FBBA-46A6-9542-196EA9ABD256}"/>
    <cellStyle name="Comma 4 2 2 4 9" xfId="4606" xr:uid="{00000000-0005-0000-0000-000040080000}"/>
    <cellStyle name="Comma 4 2 2 4 9 2" xfId="13056" xr:uid="{A29F2B18-BA12-4AAE-8884-E23E72D12D40}"/>
    <cellStyle name="Comma 4 2 2 5" xfId="135" xr:uid="{00000000-0005-0000-0000-000041080000}"/>
    <cellStyle name="Comma 4 2 2 5 10" xfId="8839" xr:uid="{85E10EB0-74A7-47E5-90CE-43D82A38AF21}"/>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2E11DFB4-3910-410C-922A-CBFB6D681529}"/>
    <cellStyle name="Comma 4 2 2 5 2 2 3" xfId="11398" xr:uid="{FD787397-5B95-4DC8-AC07-4A32600E1542}"/>
    <cellStyle name="Comma 4 2 2 5 2 3" xfId="5021" xr:uid="{00000000-0005-0000-0000-000045080000}"/>
    <cellStyle name="Comma 4 2 2 5 2 3 2" xfId="13471" xr:uid="{59ACCC16-62B3-4573-8210-645EDA816882}"/>
    <cellStyle name="Comma 4 2 2 5 2 4" xfId="9253" xr:uid="{B4D0D64F-DBA3-481E-9974-D1924704C9CF}"/>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BBFD2DD8-45D6-4394-94E5-93ACFC9ACAD5}"/>
    <cellStyle name="Comma 4 2 2 5 3 2 3" xfId="11811" xr:uid="{0FBB37B2-961F-4883-AFB5-64E8A926B040}"/>
    <cellStyle name="Comma 4 2 2 5 3 3" xfId="5434" xr:uid="{00000000-0005-0000-0000-000049080000}"/>
    <cellStyle name="Comma 4 2 2 5 3 3 2" xfId="13884" xr:uid="{5C5E348D-0BCE-476D-9469-0D9C0B162C28}"/>
    <cellStyle name="Comma 4 2 2 5 3 4" xfId="9666" xr:uid="{B0BA74BF-E8A1-42E1-9767-1DDEC9D81DF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66295948-9580-4941-9149-37BD00EBF435}"/>
    <cellStyle name="Comma 4 2 2 5 4 2 3" xfId="12224" xr:uid="{ED0158C1-7597-4383-B4A7-3A5B55FE0D23}"/>
    <cellStyle name="Comma 4 2 2 5 4 3" xfId="5847" xr:uid="{00000000-0005-0000-0000-00004D080000}"/>
    <cellStyle name="Comma 4 2 2 5 4 3 2" xfId="14297" xr:uid="{705300D3-3AA1-4DE4-8597-2BC883AF7809}"/>
    <cellStyle name="Comma 4 2 2 5 4 4" xfId="10079" xr:uid="{33AE5099-213B-4BE9-AF21-A0ECFB1CCF4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D09BE39C-3683-442F-B6E6-DFCF36281F44}"/>
    <cellStyle name="Comma 4 2 2 5 5 2 3" xfId="12637" xr:uid="{E9E861FC-77AC-4BBB-833A-07FE0E3B0A1E}"/>
    <cellStyle name="Comma 4 2 2 5 5 3" xfId="6260" xr:uid="{00000000-0005-0000-0000-000051080000}"/>
    <cellStyle name="Comma 4 2 2 5 5 3 2" xfId="14710" xr:uid="{A3B24C98-32CC-46FC-AE6D-7569BF456BDE}"/>
    <cellStyle name="Comma 4 2 2 5 5 4" xfId="10492" xr:uid="{EF04DBB7-23D3-40F3-8E28-C3C410DEB8B3}"/>
    <cellStyle name="Comma 4 2 2 5 6" xfId="2389" xr:uid="{00000000-0005-0000-0000-000052080000}"/>
    <cellStyle name="Comma 4 2 2 5 6 2" xfId="6673" xr:uid="{00000000-0005-0000-0000-000053080000}"/>
    <cellStyle name="Comma 4 2 2 5 6 2 2" xfId="15123" xr:uid="{CB883726-C689-4079-954B-F1315A30D51D}"/>
    <cellStyle name="Comma 4 2 2 5 6 3" xfId="10905" xr:uid="{465C48DC-0088-45DE-A3AD-94137E79CB45}"/>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0FFE0E69-C21C-48A5-96F3-E703CFF093E1}"/>
    <cellStyle name="Comma 4 2 2 5 8 3" xfId="11222" xr:uid="{4F07E221-2879-4D10-9012-1AEB962A6F59}"/>
    <cellStyle name="Comma 4 2 2 5 9" xfId="4607" xr:uid="{00000000-0005-0000-0000-000057080000}"/>
    <cellStyle name="Comma 4 2 2 5 9 2" xfId="13057" xr:uid="{394D8665-9D83-44DB-9488-DC721E8AAB45}"/>
    <cellStyle name="Comma 4 2 3" xfId="136" xr:uid="{00000000-0005-0000-0000-000058080000}"/>
    <cellStyle name="Comma 4 2 3 10" xfId="2768" xr:uid="{00000000-0005-0000-0000-000059080000}"/>
    <cellStyle name="Comma 4 2 3 10 2" xfId="6991" xr:uid="{00000000-0005-0000-0000-00005A080000}"/>
    <cellStyle name="Comma 4 2 3 10 2 2" xfId="15441" xr:uid="{4961C5FF-BC92-4EFC-A394-EB976CB2D209}"/>
    <cellStyle name="Comma 4 2 3 10 3" xfId="11223" xr:uid="{4E279972-D7A0-45B0-980A-BA86B4C8890E}"/>
    <cellStyle name="Comma 4 2 3 11" xfId="4608" xr:uid="{00000000-0005-0000-0000-00005B080000}"/>
    <cellStyle name="Comma 4 2 3 11 2" xfId="13058" xr:uid="{880538DC-90C3-4189-B547-A1A69AFAA1A0}"/>
    <cellStyle name="Comma 4 2 3 12" xfId="8840" xr:uid="{06B90160-BD94-4E78-9E80-F2077C836F3F}"/>
    <cellStyle name="Comma 4 2 3 2" xfId="137" xr:uid="{00000000-0005-0000-0000-00005C080000}"/>
    <cellStyle name="Comma 4 2 3 2 10" xfId="4609" xr:uid="{00000000-0005-0000-0000-00005D080000}"/>
    <cellStyle name="Comma 4 2 3 2 10 2" xfId="13059" xr:uid="{E688A7B2-53DA-40D9-8DF7-7005D60A3D18}"/>
    <cellStyle name="Comma 4 2 3 2 11" xfId="8841" xr:uid="{CA054293-3A02-4B46-A478-05FAF26A871D}"/>
    <cellStyle name="Comma 4 2 3 2 2" xfId="138" xr:uid="{00000000-0005-0000-0000-00005E080000}"/>
    <cellStyle name="Comma 4 2 3 2 2 10" xfId="8842" xr:uid="{1C4F354D-52A4-4904-A177-10A711130526}"/>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E7124B43-9DB2-4ED2-9963-352AB62B1862}"/>
    <cellStyle name="Comma 4 2 3 2 2 2 2 3" xfId="11401" xr:uid="{98A3DAE4-EFC1-4839-A9F5-696808CFB17F}"/>
    <cellStyle name="Comma 4 2 3 2 2 2 3" xfId="5024" xr:uid="{00000000-0005-0000-0000-000062080000}"/>
    <cellStyle name="Comma 4 2 3 2 2 2 3 2" xfId="13474" xr:uid="{A3AB539E-592C-4107-8762-80BD53DD3C5C}"/>
    <cellStyle name="Comma 4 2 3 2 2 2 4" xfId="9256" xr:uid="{2B0E346F-A463-4B4A-8F0F-33F2AF98E857}"/>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B974460D-442C-495F-855B-D80088C4220C}"/>
    <cellStyle name="Comma 4 2 3 2 2 3 2 3" xfId="11814" xr:uid="{DE8F88EB-EC67-4939-BE79-5DB0B44BD726}"/>
    <cellStyle name="Comma 4 2 3 2 2 3 3" xfId="5437" xr:uid="{00000000-0005-0000-0000-000066080000}"/>
    <cellStyle name="Comma 4 2 3 2 2 3 3 2" xfId="13887" xr:uid="{C3C3D4EA-46FF-491B-B913-5DB057CF1D0E}"/>
    <cellStyle name="Comma 4 2 3 2 2 3 4" xfId="9669" xr:uid="{3B527C92-1E8B-4A93-A7B8-22B9B0201E7E}"/>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86FD7122-88B2-4516-AA19-1B7CBD1DD33C}"/>
    <cellStyle name="Comma 4 2 3 2 2 4 2 3" xfId="12227" xr:uid="{D6F58DCC-D608-4627-AB41-B54E45247DD8}"/>
    <cellStyle name="Comma 4 2 3 2 2 4 3" xfId="5850" xr:uid="{00000000-0005-0000-0000-00006A080000}"/>
    <cellStyle name="Comma 4 2 3 2 2 4 3 2" xfId="14300" xr:uid="{16AE16F9-46AD-41BA-9EA7-CC9224E6C00A}"/>
    <cellStyle name="Comma 4 2 3 2 2 4 4" xfId="10082" xr:uid="{389D1EBA-0C7B-4ED7-AD1F-611922AFB6A8}"/>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AC4F06D2-3917-4646-B4AC-3304838BA85A}"/>
    <cellStyle name="Comma 4 2 3 2 2 5 2 3" xfId="12640" xr:uid="{AFC2C774-EE20-403A-8B5C-A3537AEAC4AA}"/>
    <cellStyle name="Comma 4 2 3 2 2 5 3" xfId="6263" xr:uid="{00000000-0005-0000-0000-00006E080000}"/>
    <cellStyle name="Comma 4 2 3 2 2 5 3 2" xfId="14713" xr:uid="{BBCB0040-8FE7-4548-A863-E0E76CF324A9}"/>
    <cellStyle name="Comma 4 2 3 2 2 5 4" xfId="10495" xr:uid="{9DD664A0-ABDD-41FF-A246-1FE752D46120}"/>
    <cellStyle name="Comma 4 2 3 2 2 6" xfId="2392" xr:uid="{00000000-0005-0000-0000-00006F080000}"/>
    <cellStyle name="Comma 4 2 3 2 2 6 2" xfId="6676" xr:uid="{00000000-0005-0000-0000-000070080000}"/>
    <cellStyle name="Comma 4 2 3 2 2 6 2 2" xfId="15126" xr:uid="{B11517C9-4916-46F9-A418-A2D90672B301}"/>
    <cellStyle name="Comma 4 2 3 2 2 6 3" xfId="10908" xr:uid="{337A072D-15CF-4F54-9AAB-E196B2751CD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DB4EB69A-DF09-4C0B-8388-27600A040D04}"/>
    <cellStyle name="Comma 4 2 3 2 2 8 3" xfId="11225" xr:uid="{AA02BEF5-4EF1-4D11-8D63-22A71A6AA3F2}"/>
    <cellStyle name="Comma 4 2 3 2 2 9" xfId="4610" xr:uid="{00000000-0005-0000-0000-000074080000}"/>
    <cellStyle name="Comma 4 2 3 2 2 9 2" xfId="13060" xr:uid="{681C9B99-A0A9-4CE1-8AC2-EA7E62BA9075}"/>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10159746-75D4-4B0F-8F3E-26A4A624735B}"/>
    <cellStyle name="Comma 4 2 3 2 3 2 3" xfId="11400" xr:uid="{E0E3D263-7218-41A0-8718-5DFA72D5474D}"/>
    <cellStyle name="Comma 4 2 3 2 3 3" xfId="5023" xr:uid="{00000000-0005-0000-0000-000078080000}"/>
    <cellStyle name="Comma 4 2 3 2 3 3 2" xfId="13473" xr:uid="{7EF142DF-38AE-4E7D-851D-64533C81057A}"/>
    <cellStyle name="Comma 4 2 3 2 3 4" xfId="9255" xr:uid="{F8F30ACB-1BA2-4EFF-A1FE-15F43FF391B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E1D0205E-EB5F-4143-994F-0DAAA1FE790E}"/>
    <cellStyle name="Comma 4 2 3 2 4 2 3" xfId="11813" xr:uid="{1FE10459-D8FC-4712-BA20-143CC5535A13}"/>
    <cellStyle name="Comma 4 2 3 2 4 3" xfId="5436" xr:uid="{00000000-0005-0000-0000-00007C080000}"/>
    <cellStyle name="Comma 4 2 3 2 4 3 2" xfId="13886" xr:uid="{EDDD003A-2739-43C2-9DFA-F22C80CA7A03}"/>
    <cellStyle name="Comma 4 2 3 2 4 4" xfId="9668" xr:uid="{55BB1334-A0CC-4208-ADEC-66B445AD183D}"/>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EB1F70F8-47B2-48A5-B0C5-2606EF1E292A}"/>
    <cellStyle name="Comma 4 2 3 2 5 2 3" xfId="12226" xr:uid="{C9854AB5-02F3-4D5B-93C8-17250F2BF5D0}"/>
    <cellStyle name="Comma 4 2 3 2 5 3" xfId="5849" xr:uid="{00000000-0005-0000-0000-000080080000}"/>
    <cellStyle name="Comma 4 2 3 2 5 3 2" xfId="14299" xr:uid="{4E62E0B9-CBB5-4B1C-A054-979CA0EFA338}"/>
    <cellStyle name="Comma 4 2 3 2 5 4" xfId="10081" xr:uid="{80DF5F4B-4C46-4295-86ED-72B6D6D9C126}"/>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4B7A0628-732E-4BB2-B279-4355026CF3EC}"/>
    <cellStyle name="Comma 4 2 3 2 6 2 3" xfId="12639" xr:uid="{A6AE5A80-AB6E-41B5-B1B1-C5CC9333B2EF}"/>
    <cellStyle name="Comma 4 2 3 2 6 3" xfId="6262" xr:uid="{00000000-0005-0000-0000-000084080000}"/>
    <cellStyle name="Comma 4 2 3 2 6 3 2" xfId="14712" xr:uid="{4B35D35C-3ACE-4144-8783-B91BF9E37030}"/>
    <cellStyle name="Comma 4 2 3 2 6 4" xfId="10494" xr:uid="{E0326F14-C0F6-467A-8104-887D2769158F}"/>
    <cellStyle name="Comma 4 2 3 2 7" xfId="2391" xr:uid="{00000000-0005-0000-0000-000085080000}"/>
    <cellStyle name="Comma 4 2 3 2 7 2" xfId="6675" xr:uid="{00000000-0005-0000-0000-000086080000}"/>
    <cellStyle name="Comma 4 2 3 2 7 2 2" xfId="15125" xr:uid="{0ED7604B-BC20-4D8C-81DD-C1BB576EBAE5}"/>
    <cellStyle name="Comma 4 2 3 2 7 3" xfId="10907" xr:uid="{1349149E-5A91-481D-8D26-4BA683BD337C}"/>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149FB533-B414-4BC6-AE4C-EFCED63B2E1A}"/>
    <cellStyle name="Comma 4 2 3 2 9 3" xfId="11224" xr:uid="{22D1A2AD-7A78-4012-802E-A957AA9FDD18}"/>
    <cellStyle name="Comma 4 2 3 3" xfId="139" xr:uid="{00000000-0005-0000-0000-00008A080000}"/>
    <cellStyle name="Comma 4 2 3 3 10" xfId="8843" xr:uid="{88E4E8FB-BD37-4B17-8A77-9D03E96F9FF4}"/>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E0CB3541-1302-40A1-BEC6-11867DB9CD10}"/>
    <cellStyle name="Comma 4 2 3 3 2 2 3" xfId="11402" xr:uid="{2F1D7C95-F907-4832-8147-80686B5204F8}"/>
    <cellStyle name="Comma 4 2 3 3 2 3" xfId="5025" xr:uid="{00000000-0005-0000-0000-00008E080000}"/>
    <cellStyle name="Comma 4 2 3 3 2 3 2" xfId="13475" xr:uid="{2A7D033B-9F5A-40FC-864B-5AA6300577A9}"/>
    <cellStyle name="Comma 4 2 3 3 2 4" xfId="9257" xr:uid="{A794AC65-D40C-4C12-92E7-19025684E0B9}"/>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1B427E57-F1AA-4EFA-8542-7993E21FF576}"/>
    <cellStyle name="Comma 4 2 3 3 3 2 3" xfId="11815" xr:uid="{72D124E5-3BF6-4AA4-87DA-38858F4428CE}"/>
    <cellStyle name="Comma 4 2 3 3 3 3" xfId="5438" xr:uid="{00000000-0005-0000-0000-000092080000}"/>
    <cellStyle name="Comma 4 2 3 3 3 3 2" xfId="13888" xr:uid="{3270EF8E-8473-453D-A1D2-F544DB5DD3A0}"/>
    <cellStyle name="Comma 4 2 3 3 3 4" xfId="9670" xr:uid="{CBAD2F2A-0A4E-4DB2-9029-51160AF72805}"/>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EBE6578C-DE72-46B7-B36C-A81711B891B5}"/>
    <cellStyle name="Comma 4 2 3 3 4 2 3" xfId="12228" xr:uid="{0E678766-E654-4D29-AD8E-0DAF1815D180}"/>
    <cellStyle name="Comma 4 2 3 3 4 3" xfId="5851" xr:uid="{00000000-0005-0000-0000-000096080000}"/>
    <cellStyle name="Comma 4 2 3 3 4 3 2" xfId="14301" xr:uid="{22E2B3D3-FED9-4C36-9D97-FA7E209DD369}"/>
    <cellStyle name="Comma 4 2 3 3 4 4" xfId="10083" xr:uid="{66744F96-DC73-49C3-9205-CA18328A9630}"/>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0E1B79A6-E0D0-4F7C-92A6-D8298BC06A8D}"/>
    <cellStyle name="Comma 4 2 3 3 5 2 3" xfId="12641" xr:uid="{F590C28A-E7F2-44EB-9FC0-79A455CCE904}"/>
    <cellStyle name="Comma 4 2 3 3 5 3" xfId="6264" xr:uid="{00000000-0005-0000-0000-00009A080000}"/>
    <cellStyle name="Comma 4 2 3 3 5 3 2" xfId="14714" xr:uid="{F3F194CB-8785-4E22-A413-56D330C3BAE2}"/>
    <cellStyle name="Comma 4 2 3 3 5 4" xfId="10496" xr:uid="{F5B9AA1A-6282-40FD-A950-F183C0665DEE}"/>
    <cellStyle name="Comma 4 2 3 3 6" xfId="2393" xr:uid="{00000000-0005-0000-0000-00009B080000}"/>
    <cellStyle name="Comma 4 2 3 3 6 2" xfId="6677" xr:uid="{00000000-0005-0000-0000-00009C080000}"/>
    <cellStyle name="Comma 4 2 3 3 6 2 2" xfId="15127" xr:uid="{0AF1D398-1026-4D4A-AA70-7E06C8FAF41B}"/>
    <cellStyle name="Comma 4 2 3 3 6 3" xfId="10909" xr:uid="{EF1CF378-0A75-4A3F-B90A-197E4A0B7D29}"/>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8B361E4D-0675-4ED7-8897-354807E5C521}"/>
    <cellStyle name="Comma 4 2 3 3 8 3" xfId="11226" xr:uid="{EC58E9BD-7320-4FFD-8D79-F1E1AE21A258}"/>
    <cellStyle name="Comma 4 2 3 3 9" xfId="4611" xr:uid="{00000000-0005-0000-0000-0000A0080000}"/>
    <cellStyle name="Comma 4 2 3 3 9 2" xfId="13061" xr:uid="{E0F06205-2F51-4AA4-B594-143C8FC11E28}"/>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7AB48E38-3E66-44F2-9328-8EF6EF8E1CED}"/>
    <cellStyle name="Comma 4 2 3 4 2 3" xfId="11399" xr:uid="{82A0027D-EA9B-4FE3-84BC-C20C7FFBA287}"/>
    <cellStyle name="Comma 4 2 3 4 3" xfId="5022" xr:uid="{00000000-0005-0000-0000-0000A4080000}"/>
    <cellStyle name="Comma 4 2 3 4 3 2" xfId="13472" xr:uid="{8D222D89-75E1-478C-AB60-90859468C6D4}"/>
    <cellStyle name="Comma 4 2 3 4 4" xfId="9254" xr:uid="{D452346E-2BBB-4ACB-9C92-F4E77B34CDF0}"/>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0E9131BB-C3FE-4F9A-8E6A-9B30944A32F3}"/>
    <cellStyle name="Comma 4 2 3 5 2 3" xfId="11812" xr:uid="{E8E08E7A-D06E-41C4-81FE-E582D5C5DDB2}"/>
    <cellStyle name="Comma 4 2 3 5 3" xfId="5435" xr:uid="{00000000-0005-0000-0000-0000A8080000}"/>
    <cellStyle name="Comma 4 2 3 5 3 2" xfId="13885" xr:uid="{C204E131-9B02-4BBD-8BF5-1E657C248121}"/>
    <cellStyle name="Comma 4 2 3 5 4" xfId="9667" xr:uid="{B3DCC7F9-8170-4F4C-831E-AA7C1BCCF619}"/>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7A0140BB-79E6-4E97-8B70-AEC08ADE15A9}"/>
    <cellStyle name="Comma 4 2 3 6 2 3" xfId="12225" xr:uid="{65899533-5A1A-4B06-BF89-FC43305743B5}"/>
    <cellStyle name="Comma 4 2 3 6 3" xfId="5848" xr:uid="{00000000-0005-0000-0000-0000AC080000}"/>
    <cellStyle name="Comma 4 2 3 6 3 2" xfId="14298" xr:uid="{5D9D137F-0E4A-4194-930F-C7503B6C7960}"/>
    <cellStyle name="Comma 4 2 3 6 4" xfId="10080" xr:uid="{C8DA49EC-639A-4FCC-8372-46E90CDF1924}"/>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31E52767-9E63-45E8-A7C0-F15F18DF8DD1}"/>
    <cellStyle name="Comma 4 2 3 7 2 3" xfId="12638" xr:uid="{F428A4D1-52DD-488A-8886-56AC37D08D69}"/>
    <cellStyle name="Comma 4 2 3 7 3" xfId="6261" xr:uid="{00000000-0005-0000-0000-0000B0080000}"/>
    <cellStyle name="Comma 4 2 3 7 3 2" xfId="14711" xr:uid="{2C1073AF-78E0-422E-8838-33B54308670D}"/>
    <cellStyle name="Comma 4 2 3 7 4" xfId="10493" xr:uid="{02C19945-840E-4B42-99BC-3824E60A6688}"/>
    <cellStyle name="Comma 4 2 3 8" xfId="2390" xr:uid="{00000000-0005-0000-0000-0000B1080000}"/>
    <cellStyle name="Comma 4 2 3 8 2" xfId="6674" xr:uid="{00000000-0005-0000-0000-0000B2080000}"/>
    <cellStyle name="Comma 4 2 3 8 2 2" xfId="15124" xr:uid="{6ABAF765-5084-4647-A831-9C340AC4380B}"/>
    <cellStyle name="Comma 4 2 3 8 3" xfId="10906" xr:uid="{27A7DD8B-6279-4740-B879-2DEA71C9D6D7}"/>
    <cellStyle name="Comma 4 2 3 9" xfId="2373" xr:uid="{00000000-0005-0000-0000-0000B3080000}"/>
    <cellStyle name="Comma 4 2 4" xfId="140" xr:uid="{00000000-0005-0000-0000-0000B4080000}"/>
    <cellStyle name="Comma 4 2 4 10" xfId="4612" xr:uid="{00000000-0005-0000-0000-0000B5080000}"/>
    <cellStyle name="Comma 4 2 4 10 2" xfId="13062" xr:uid="{D579DA24-855F-49E9-BD71-BFCAF2DE2FD7}"/>
    <cellStyle name="Comma 4 2 4 11" xfId="8844" xr:uid="{BF7DA7A1-85F6-4C68-AE3D-4C6FB9F04F1D}"/>
    <cellStyle name="Comma 4 2 4 2" xfId="141" xr:uid="{00000000-0005-0000-0000-0000B6080000}"/>
    <cellStyle name="Comma 4 2 4 2 10" xfId="8845" xr:uid="{55DF24E4-F61F-4476-A43A-FF55786F9C27}"/>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7DCF241E-BFDC-43A6-9804-C92EFE511191}"/>
    <cellStyle name="Comma 4 2 4 2 2 2 3" xfId="11404" xr:uid="{F7565293-578C-494B-871D-B91BBBAA4ABA}"/>
    <cellStyle name="Comma 4 2 4 2 2 3" xfId="5027" xr:uid="{00000000-0005-0000-0000-0000BA080000}"/>
    <cellStyle name="Comma 4 2 4 2 2 3 2" xfId="13477" xr:uid="{E17DCF7D-C1E6-4070-B9E1-664B76E7C4F5}"/>
    <cellStyle name="Comma 4 2 4 2 2 4" xfId="9259" xr:uid="{E175D535-E3F4-480B-BF94-B0C79BAC0A7B}"/>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3ACC021E-7212-4229-A935-E07AC48A6AB8}"/>
    <cellStyle name="Comma 4 2 4 2 3 2 3" xfId="11817" xr:uid="{F22F6CBE-67C1-4204-8B49-9FEBD51E7264}"/>
    <cellStyle name="Comma 4 2 4 2 3 3" xfId="5440" xr:uid="{00000000-0005-0000-0000-0000BE080000}"/>
    <cellStyle name="Comma 4 2 4 2 3 3 2" xfId="13890" xr:uid="{94346B9F-DA71-43F1-BAFB-9ABC5E26686A}"/>
    <cellStyle name="Comma 4 2 4 2 3 4" xfId="9672" xr:uid="{47BF02A5-CFBF-47ED-9E8E-BB1B8B883229}"/>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A7E6403E-1F92-44DC-924E-14C786D5626C}"/>
    <cellStyle name="Comma 4 2 4 2 4 2 3" xfId="12230" xr:uid="{A62C337F-A24B-4C5D-B2A3-25D98F7B972E}"/>
    <cellStyle name="Comma 4 2 4 2 4 3" xfId="5853" xr:uid="{00000000-0005-0000-0000-0000C2080000}"/>
    <cellStyle name="Comma 4 2 4 2 4 3 2" xfId="14303" xr:uid="{41192B41-5C3C-455F-8EC9-5E32915F90AD}"/>
    <cellStyle name="Comma 4 2 4 2 4 4" xfId="10085" xr:uid="{D151774D-865F-4399-9440-B037049A756B}"/>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8F1F482B-8E98-44E0-B1FF-1AF7FCD55CBC}"/>
    <cellStyle name="Comma 4 2 4 2 5 2 3" xfId="12643" xr:uid="{61491277-98D8-4FE3-8135-2F69DF9B24D2}"/>
    <cellStyle name="Comma 4 2 4 2 5 3" xfId="6266" xr:uid="{00000000-0005-0000-0000-0000C6080000}"/>
    <cellStyle name="Comma 4 2 4 2 5 3 2" xfId="14716" xr:uid="{0956CE25-7125-4E10-B764-8050ABA6EE76}"/>
    <cellStyle name="Comma 4 2 4 2 5 4" xfId="10498" xr:uid="{41CC11A7-AC6E-427E-AE94-E6E93E0D6FD9}"/>
    <cellStyle name="Comma 4 2 4 2 6" xfId="2395" xr:uid="{00000000-0005-0000-0000-0000C7080000}"/>
    <cellStyle name="Comma 4 2 4 2 6 2" xfId="6679" xr:uid="{00000000-0005-0000-0000-0000C8080000}"/>
    <cellStyle name="Comma 4 2 4 2 6 2 2" xfId="15129" xr:uid="{BA1B8B17-68B6-4604-B4ED-1CC070CEF545}"/>
    <cellStyle name="Comma 4 2 4 2 6 3" xfId="10911" xr:uid="{865F97F2-77D8-41B1-91F3-0583316CCFC1}"/>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758BB50F-699D-414B-8138-68AF069ED54C}"/>
    <cellStyle name="Comma 4 2 4 2 8 3" xfId="11228" xr:uid="{C7D5AD3D-6874-406F-A762-CA165FA4A296}"/>
    <cellStyle name="Comma 4 2 4 2 9" xfId="4613" xr:uid="{00000000-0005-0000-0000-0000CC080000}"/>
    <cellStyle name="Comma 4 2 4 2 9 2" xfId="13063" xr:uid="{A2CD251F-C0A8-478F-B856-8BB107170469}"/>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CAD2CFCE-548F-44DD-812C-0D75893A1FB8}"/>
    <cellStyle name="Comma 4 2 4 3 2 3" xfId="11403" xr:uid="{3EB40CD4-3DAC-401F-BCE9-668E3900D47C}"/>
    <cellStyle name="Comma 4 2 4 3 3" xfId="5026" xr:uid="{00000000-0005-0000-0000-0000D0080000}"/>
    <cellStyle name="Comma 4 2 4 3 3 2" xfId="13476" xr:uid="{BC92FCC3-85D0-4C8A-AB5C-35856F375EF2}"/>
    <cellStyle name="Comma 4 2 4 3 4" xfId="9258" xr:uid="{70D50CB7-ADE6-4AB0-A092-1304074D08F6}"/>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2E969C7C-7DAE-4F6B-841E-1CD346CE45BF}"/>
    <cellStyle name="Comma 4 2 4 4 2 3" xfId="11816" xr:uid="{1038989B-55E2-421F-B3B1-7B7990310BD5}"/>
    <cellStyle name="Comma 4 2 4 4 3" xfId="5439" xr:uid="{00000000-0005-0000-0000-0000D4080000}"/>
    <cellStyle name="Comma 4 2 4 4 3 2" xfId="13889" xr:uid="{576146E9-C1B7-4960-93C9-0A2F7EFC06D9}"/>
    <cellStyle name="Comma 4 2 4 4 4" xfId="9671" xr:uid="{28397810-E714-444F-8767-485132568F23}"/>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F84D5846-628E-41D5-9534-D6C7D58DC172}"/>
    <cellStyle name="Comma 4 2 4 5 2 3" xfId="12229" xr:uid="{9C27CCE1-0534-4D1E-9287-E29590E58FA1}"/>
    <cellStyle name="Comma 4 2 4 5 3" xfId="5852" xr:uid="{00000000-0005-0000-0000-0000D8080000}"/>
    <cellStyle name="Comma 4 2 4 5 3 2" xfId="14302" xr:uid="{0B88BD75-8096-4265-9EB7-FF3F779F6598}"/>
    <cellStyle name="Comma 4 2 4 5 4" xfId="10084" xr:uid="{3DF0334A-DC5C-4D0F-A83E-91EE03A14E99}"/>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693CE1D7-2599-44A2-85EF-725D9501A711}"/>
    <cellStyle name="Comma 4 2 4 6 2 3" xfId="12642" xr:uid="{B3AF449B-D491-4BFF-838D-590960E0EB23}"/>
    <cellStyle name="Comma 4 2 4 6 3" xfId="6265" xr:uid="{00000000-0005-0000-0000-0000DC080000}"/>
    <cellStyle name="Comma 4 2 4 6 3 2" xfId="14715" xr:uid="{5514C879-F3CD-4D9E-A049-DE4571B4C6EB}"/>
    <cellStyle name="Comma 4 2 4 6 4" xfId="10497" xr:uid="{F8280CBC-4092-4BE8-9A69-26107058BFA3}"/>
    <cellStyle name="Comma 4 2 4 7" xfId="2394" xr:uid="{00000000-0005-0000-0000-0000DD080000}"/>
    <cellStyle name="Comma 4 2 4 7 2" xfId="6678" xr:uid="{00000000-0005-0000-0000-0000DE080000}"/>
    <cellStyle name="Comma 4 2 4 7 2 2" xfId="15128" xr:uid="{8E72FC38-6D6B-44C4-90D1-1F98D3DA6A1A}"/>
    <cellStyle name="Comma 4 2 4 7 3" xfId="10910" xr:uid="{167398F2-DF98-4156-8CCA-47DA1FFA10DC}"/>
    <cellStyle name="Comma 4 2 4 8" xfId="2369" xr:uid="{00000000-0005-0000-0000-0000DF080000}"/>
    <cellStyle name="Comma 4 2 4 9" xfId="2772" xr:uid="{00000000-0005-0000-0000-0000E0080000}"/>
    <cellStyle name="Comma 4 2 4 9 2" xfId="6995" xr:uid="{00000000-0005-0000-0000-0000E1080000}"/>
    <cellStyle name="Comma 4 2 4 9 2 2" xfId="15445" xr:uid="{6DE57782-B992-4A18-97DC-B89FCF0EC49E}"/>
    <cellStyle name="Comma 4 2 4 9 3" xfId="11227" xr:uid="{6709AF1D-7877-4EE0-A272-02EA350E6986}"/>
    <cellStyle name="Comma 4 2 5" xfId="142" xr:uid="{00000000-0005-0000-0000-0000E2080000}"/>
    <cellStyle name="Comma 4 2 5 10" xfId="8846" xr:uid="{904C1934-0205-4E09-843A-367F7609593A}"/>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51A673C8-54F8-41CD-AC65-A07F23EB16C5}"/>
    <cellStyle name="Comma 4 2 5 2 2 3" xfId="11405" xr:uid="{42485C23-9C15-45FB-95B1-4F8429B8D5D4}"/>
    <cellStyle name="Comma 4 2 5 2 3" xfId="5028" xr:uid="{00000000-0005-0000-0000-0000E6080000}"/>
    <cellStyle name="Comma 4 2 5 2 3 2" xfId="13478" xr:uid="{7BC8B121-6C87-436D-BF2E-A6C4C24612D4}"/>
    <cellStyle name="Comma 4 2 5 2 4" xfId="9260" xr:uid="{4AD66BB1-E6ED-48B9-9EC3-22046AC7263B}"/>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238BB7A5-3BAF-4C0E-8FD2-F29013C43E15}"/>
    <cellStyle name="Comma 4 2 5 3 2 3" xfId="11818" xr:uid="{C8A49DEE-75ED-4EF9-992D-33CFD7DDCDDF}"/>
    <cellStyle name="Comma 4 2 5 3 3" xfId="5441" xr:uid="{00000000-0005-0000-0000-0000EA080000}"/>
    <cellStyle name="Comma 4 2 5 3 3 2" xfId="13891" xr:uid="{8FD63E7D-442D-4E62-ADC4-349273723FA1}"/>
    <cellStyle name="Comma 4 2 5 3 4" xfId="9673" xr:uid="{4FE36705-A98D-4C71-B730-AD6F24824260}"/>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9D4F57B3-281B-41C4-9916-716448B3D0D6}"/>
    <cellStyle name="Comma 4 2 5 4 2 3" xfId="12231" xr:uid="{CA375E52-F39E-4709-B614-0DDA0E0DA1D2}"/>
    <cellStyle name="Comma 4 2 5 4 3" xfId="5854" xr:uid="{00000000-0005-0000-0000-0000EE080000}"/>
    <cellStyle name="Comma 4 2 5 4 3 2" xfId="14304" xr:uid="{B6213246-E766-4D95-AA4E-D414ACBB3200}"/>
    <cellStyle name="Comma 4 2 5 4 4" xfId="10086" xr:uid="{96C8DCEC-1E6B-453B-9478-6096F376EB3D}"/>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5EF35ECB-0475-40A5-807C-2FB0B3965886}"/>
    <cellStyle name="Comma 4 2 5 5 2 3" xfId="12644" xr:uid="{9340F7E9-22AE-45A2-B636-F272B3C588F1}"/>
    <cellStyle name="Comma 4 2 5 5 3" xfId="6267" xr:uid="{00000000-0005-0000-0000-0000F2080000}"/>
    <cellStyle name="Comma 4 2 5 5 3 2" xfId="14717" xr:uid="{420EA431-6582-4048-AE57-475619B013E8}"/>
    <cellStyle name="Comma 4 2 5 5 4" xfId="10499" xr:uid="{8BA19871-37DF-4F96-94D0-9167529B74F9}"/>
    <cellStyle name="Comma 4 2 5 6" xfId="2396" xr:uid="{00000000-0005-0000-0000-0000F3080000}"/>
    <cellStyle name="Comma 4 2 5 6 2" xfId="6680" xr:uid="{00000000-0005-0000-0000-0000F4080000}"/>
    <cellStyle name="Comma 4 2 5 6 2 2" xfId="15130" xr:uid="{B6B60B50-92B2-4E84-BF87-99EC35CF9C07}"/>
    <cellStyle name="Comma 4 2 5 6 3" xfId="10912" xr:uid="{FBEFFB20-4772-4E75-9EC4-13D5E453E45A}"/>
    <cellStyle name="Comma 4 2 5 7" xfId="2367" xr:uid="{00000000-0005-0000-0000-0000F5080000}"/>
    <cellStyle name="Comma 4 2 5 8" xfId="2774" xr:uid="{00000000-0005-0000-0000-0000F6080000}"/>
    <cellStyle name="Comma 4 2 5 8 2" xfId="6997" xr:uid="{00000000-0005-0000-0000-0000F7080000}"/>
    <cellStyle name="Comma 4 2 5 8 2 2" xfId="15447" xr:uid="{5E06497E-984D-4682-961D-116BA059B4C7}"/>
    <cellStyle name="Comma 4 2 5 8 3" xfId="11229" xr:uid="{EEABE3B8-DF46-4CB4-8D8C-B79302F9F6AD}"/>
    <cellStyle name="Comma 4 2 5 9" xfId="4614" xr:uid="{00000000-0005-0000-0000-0000F8080000}"/>
    <cellStyle name="Comma 4 2 5 9 2" xfId="13064" xr:uid="{BA5244F6-08F6-4D1D-91D5-343BD0D1BA62}"/>
    <cellStyle name="Comma 4 2 6" xfId="143" xr:uid="{00000000-0005-0000-0000-0000F9080000}"/>
    <cellStyle name="Comma 4 2 6 10" xfId="8847" xr:uid="{FB73075A-1182-414C-98D0-83A219447FC4}"/>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A25AD016-2E66-4F24-910C-E78C2BC930D1}"/>
    <cellStyle name="Comma 4 2 6 2 2 3" xfId="11406" xr:uid="{892B2536-222C-4F33-AF91-43F7B38CCCA8}"/>
    <cellStyle name="Comma 4 2 6 2 3" xfId="5029" xr:uid="{00000000-0005-0000-0000-0000FD080000}"/>
    <cellStyle name="Comma 4 2 6 2 3 2" xfId="13479" xr:uid="{7E14C2CE-534B-4800-AF1D-BDC3C345E91B}"/>
    <cellStyle name="Comma 4 2 6 2 4" xfId="9261" xr:uid="{70DF0B00-5935-4B5D-97F4-6A71CB11454C}"/>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FE46F202-9E3B-45BA-A859-EF211AF6ABAA}"/>
    <cellStyle name="Comma 4 2 6 3 2 3" xfId="11819" xr:uid="{9488E7C0-83EA-446F-BCBA-DD143B644DAB}"/>
    <cellStyle name="Comma 4 2 6 3 3" xfId="5442" xr:uid="{00000000-0005-0000-0000-000001090000}"/>
    <cellStyle name="Comma 4 2 6 3 3 2" xfId="13892" xr:uid="{B465D8D2-3136-4DD8-B80C-1628F95FE09A}"/>
    <cellStyle name="Comma 4 2 6 3 4" xfId="9674" xr:uid="{44937DB1-BFE7-4AC5-9A45-D1ADCCA9570D}"/>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3933EC7D-A3B4-45E5-8ED7-5950FB29A935}"/>
    <cellStyle name="Comma 4 2 6 4 2 3" xfId="12232" xr:uid="{AB4913E1-F38D-48A3-95C8-6814A9588557}"/>
    <cellStyle name="Comma 4 2 6 4 3" xfId="5855" xr:uid="{00000000-0005-0000-0000-000005090000}"/>
    <cellStyle name="Comma 4 2 6 4 3 2" xfId="14305" xr:uid="{530CBE21-AC6B-4905-809C-BE1E44BAB4FE}"/>
    <cellStyle name="Comma 4 2 6 4 4" xfId="10087" xr:uid="{4EE6CDFD-E9B7-43ED-8E0D-05502E97A013}"/>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FD26369C-0AE2-4411-A5C4-E4C4D3F1ED91}"/>
    <cellStyle name="Comma 4 2 6 5 2 3" xfId="12645" xr:uid="{514903D9-29C4-40F0-82EA-2BA139DB2F00}"/>
    <cellStyle name="Comma 4 2 6 5 3" xfId="6268" xr:uid="{00000000-0005-0000-0000-000009090000}"/>
    <cellStyle name="Comma 4 2 6 5 3 2" xfId="14718" xr:uid="{0DFF7052-CE1D-4A25-BEFF-BE8E0A29606B}"/>
    <cellStyle name="Comma 4 2 6 5 4" xfId="10500" xr:uid="{919FD493-0675-4198-BBD6-3D65FE6F1523}"/>
    <cellStyle name="Comma 4 2 6 6" xfId="2397" xr:uid="{00000000-0005-0000-0000-00000A090000}"/>
    <cellStyle name="Comma 4 2 6 6 2" xfId="6681" xr:uid="{00000000-0005-0000-0000-00000B090000}"/>
    <cellStyle name="Comma 4 2 6 6 2 2" xfId="15131" xr:uid="{F05BA9E7-9EE6-4651-8130-A08C7EA58DF0}"/>
    <cellStyle name="Comma 4 2 6 6 3" xfId="10913" xr:uid="{08879A00-4912-4B01-95D4-83D430763294}"/>
    <cellStyle name="Comma 4 2 6 7" xfId="2366" xr:uid="{00000000-0005-0000-0000-00000C090000}"/>
    <cellStyle name="Comma 4 2 6 8" xfId="2775" xr:uid="{00000000-0005-0000-0000-00000D090000}"/>
    <cellStyle name="Comma 4 2 6 8 2" xfId="6998" xr:uid="{00000000-0005-0000-0000-00000E090000}"/>
    <cellStyle name="Comma 4 2 6 8 2 2" xfId="15448" xr:uid="{D18E2EFE-68CB-4E97-A560-6F7A31ECB707}"/>
    <cellStyle name="Comma 4 2 6 8 3" xfId="11230" xr:uid="{0C0FF5B4-C3D3-4E6E-950A-0846BE769F35}"/>
    <cellStyle name="Comma 4 2 6 9" xfId="4615" xr:uid="{00000000-0005-0000-0000-00000F090000}"/>
    <cellStyle name="Comma 4 2 6 9 2" xfId="13065" xr:uid="{AF477147-C0E7-4D53-9596-EBA65CDD1AFC}"/>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F76A27EA-65EC-4F43-944C-9364EE4DB1F4}"/>
    <cellStyle name="Comma 4 3 2 10 3" xfId="11231" xr:uid="{44592BEB-54CA-47B4-8208-E132194735A2}"/>
    <cellStyle name="Comma 4 3 2 11" xfId="4616" xr:uid="{00000000-0005-0000-0000-000014090000}"/>
    <cellStyle name="Comma 4 3 2 11 2" xfId="13066" xr:uid="{39FA351D-1504-4C99-9125-32F6151F6D1C}"/>
    <cellStyle name="Comma 4 3 2 12" xfId="8848" xr:uid="{5D67FE76-B257-42C5-879A-D23CC6918605}"/>
    <cellStyle name="Comma 4 3 2 2" xfId="146" xr:uid="{00000000-0005-0000-0000-000015090000}"/>
    <cellStyle name="Comma 4 3 2 2 10" xfId="4617" xr:uid="{00000000-0005-0000-0000-000016090000}"/>
    <cellStyle name="Comma 4 3 2 2 10 2" xfId="13067" xr:uid="{220F204A-FA78-4591-A2A1-E6970DD7A2AD}"/>
    <cellStyle name="Comma 4 3 2 2 11" xfId="8849" xr:uid="{ED690A0B-CFCB-4EE9-A728-48793177F960}"/>
    <cellStyle name="Comma 4 3 2 2 2" xfId="147" xr:uid="{00000000-0005-0000-0000-000017090000}"/>
    <cellStyle name="Comma 4 3 2 2 2 10" xfId="8850" xr:uid="{A853F37D-B39E-4533-81C7-F3EBB7D6DFD8}"/>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9D1EC67E-4B01-4751-8159-E815BBF008E9}"/>
    <cellStyle name="Comma 4 3 2 2 2 2 2 3" xfId="11409" xr:uid="{0A7EFB86-EA4D-4334-828B-77675F27CB38}"/>
    <cellStyle name="Comma 4 3 2 2 2 2 3" xfId="5032" xr:uid="{00000000-0005-0000-0000-00001B090000}"/>
    <cellStyle name="Comma 4 3 2 2 2 2 3 2" xfId="13482" xr:uid="{625B26D1-0992-4566-BF7D-1C056AD329DB}"/>
    <cellStyle name="Comma 4 3 2 2 2 2 4" xfId="9264" xr:uid="{30B7F495-E7A9-462F-A980-E54D4DBB1E8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C2859909-2F25-4AAB-A867-0524E42DFA48}"/>
    <cellStyle name="Comma 4 3 2 2 2 3 2 3" xfId="11822" xr:uid="{BF96C50D-110F-470F-AFEB-5177AD2D4227}"/>
    <cellStyle name="Comma 4 3 2 2 2 3 3" xfId="5445" xr:uid="{00000000-0005-0000-0000-00001F090000}"/>
    <cellStyle name="Comma 4 3 2 2 2 3 3 2" xfId="13895" xr:uid="{9FDF5BF0-2609-48AB-99DA-8D968B5BC0A3}"/>
    <cellStyle name="Comma 4 3 2 2 2 3 4" xfId="9677" xr:uid="{660E3B08-46FA-475C-B77B-D76A65A26C51}"/>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46659D3E-5931-4166-BE82-0FF97E26CACD}"/>
    <cellStyle name="Comma 4 3 2 2 2 4 2 3" xfId="12235" xr:uid="{15FBC9FF-E448-41CC-B47D-868C8576BB65}"/>
    <cellStyle name="Comma 4 3 2 2 2 4 3" xfId="5858" xr:uid="{00000000-0005-0000-0000-000023090000}"/>
    <cellStyle name="Comma 4 3 2 2 2 4 3 2" xfId="14308" xr:uid="{135AEAA7-0FDB-4EFD-9508-D51B1C1E5A7C}"/>
    <cellStyle name="Comma 4 3 2 2 2 4 4" xfId="10090" xr:uid="{EF7EB676-0ACA-4620-8375-7D91043C15DD}"/>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78E7D5C0-5DB3-412B-B71C-5453E8344AD5}"/>
    <cellStyle name="Comma 4 3 2 2 2 5 2 3" xfId="12648" xr:uid="{D3A10395-B74C-42B5-9547-2722C3F457FF}"/>
    <cellStyle name="Comma 4 3 2 2 2 5 3" xfId="6271" xr:uid="{00000000-0005-0000-0000-000027090000}"/>
    <cellStyle name="Comma 4 3 2 2 2 5 3 2" xfId="14721" xr:uid="{D5610A68-218D-4232-B245-A0F83340E00D}"/>
    <cellStyle name="Comma 4 3 2 2 2 5 4" xfId="10503" xr:uid="{72A13A6E-08FD-45BC-A6AB-9B2DA0601851}"/>
    <cellStyle name="Comma 4 3 2 2 2 6" xfId="2400" xr:uid="{00000000-0005-0000-0000-000028090000}"/>
    <cellStyle name="Comma 4 3 2 2 2 6 2" xfId="6684" xr:uid="{00000000-0005-0000-0000-000029090000}"/>
    <cellStyle name="Comma 4 3 2 2 2 6 2 2" xfId="15134" xr:uid="{BCFD510A-A827-4BB0-B87C-65143B5B1C8B}"/>
    <cellStyle name="Comma 4 3 2 2 2 6 3" xfId="10916" xr:uid="{B5AAB06C-1322-40B3-87A2-213921773D6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2714BBE8-CD91-496D-9C33-164776065EB4}"/>
    <cellStyle name="Comma 4 3 2 2 2 8 3" xfId="11233" xr:uid="{004BBFE6-FC90-407B-807F-332CB96BE1FC}"/>
    <cellStyle name="Comma 4 3 2 2 2 9" xfId="4618" xr:uid="{00000000-0005-0000-0000-00002D090000}"/>
    <cellStyle name="Comma 4 3 2 2 2 9 2" xfId="13068" xr:uid="{9190B740-E676-4583-940E-9055735D1678}"/>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357D69B5-2FC2-4F18-A53F-B18BC4A936C5}"/>
    <cellStyle name="Comma 4 3 2 2 3 2 3" xfId="11408" xr:uid="{696E17BB-9DF2-4EFF-AD3A-EE9F027343BF}"/>
    <cellStyle name="Comma 4 3 2 2 3 3" xfId="5031" xr:uid="{00000000-0005-0000-0000-000031090000}"/>
    <cellStyle name="Comma 4 3 2 2 3 3 2" xfId="13481" xr:uid="{7E3DB25F-33A2-4F93-A9DE-65E768E2F027}"/>
    <cellStyle name="Comma 4 3 2 2 3 4" xfId="9263" xr:uid="{E1655F8E-81D8-42B5-A261-BEB47AB03007}"/>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D75DDA41-17D2-4C4A-9793-F47BAC3EE99C}"/>
    <cellStyle name="Comma 4 3 2 2 4 2 3" xfId="11821" xr:uid="{AC5585B7-B9CE-43C5-A619-64F7C48374F9}"/>
    <cellStyle name="Comma 4 3 2 2 4 3" xfId="5444" xr:uid="{00000000-0005-0000-0000-000035090000}"/>
    <cellStyle name="Comma 4 3 2 2 4 3 2" xfId="13894" xr:uid="{78584BE9-756A-439C-A136-358991781083}"/>
    <cellStyle name="Comma 4 3 2 2 4 4" xfId="9676" xr:uid="{9FCB550E-5553-401E-B09B-FCC488C1B223}"/>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4612D79F-7811-4CA1-A0EE-B28D69505D31}"/>
    <cellStyle name="Comma 4 3 2 2 5 2 3" xfId="12234" xr:uid="{E192C83F-D97D-49C1-9645-E0DB8243A95A}"/>
    <cellStyle name="Comma 4 3 2 2 5 3" xfId="5857" xr:uid="{00000000-0005-0000-0000-000039090000}"/>
    <cellStyle name="Comma 4 3 2 2 5 3 2" xfId="14307" xr:uid="{59632F3F-9151-4F12-BE56-5D513C321551}"/>
    <cellStyle name="Comma 4 3 2 2 5 4" xfId="10089" xr:uid="{AE065FEB-ABA6-45E6-B43A-4D26472C6D0E}"/>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CA05C37F-87EE-4DC1-BFB9-538C80DAD8ED}"/>
    <cellStyle name="Comma 4 3 2 2 6 2 3" xfId="12647" xr:uid="{16CBC450-6559-4D36-8E6C-4E4B60809C8C}"/>
    <cellStyle name="Comma 4 3 2 2 6 3" xfId="6270" xr:uid="{00000000-0005-0000-0000-00003D090000}"/>
    <cellStyle name="Comma 4 3 2 2 6 3 2" xfId="14720" xr:uid="{FCB0A4DF-4C57-4FF3-9519-03897511ACB7}"/>
    <cellStyle name="Comma 4 3 2 2 6 4" xfId="10502" xr:uid="{827BB73A-52A0-4E51-8937-3086666E6BEC}"/>
    <cellStyle name="Comma 4 3 2 2 7" xfId="2399" xr:uid="{00000000-0005-0000-0000-00003E090000}"/>
    <cellStyle name="Comma 4 3 2 2 7 2" xfId="6683" xr:uid="{00000000-0005-0000-0000-00003F090000}"/>
    <cellStyle name="Comma 4 3 2 2 7 2 2" xfId="15133" xr:uid="{C179C3EC-CD6C-4BE8-9F21-80BD368693AE}"/>
    <cellStyle name="Comma 4 3 2 2 7 3" xfId="10915" xr:uid="{11137CE8-E4C2-44FB-9131-C8384FF57D50}"/>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C6F4A2B8-B80E-42FF-BCC5-9FB109952B2B}"/>
    <cellStyle name="Comma 4 3 2 2 9 3" xfId="11232" xr:uid="{5C458D16-6164-42B0-B4A7-3A896A9E6151}"/>
    <cellStyle name="Comma 4 3 2 3" xfId="148" xr:uid="{00000000-0005-0000-0000-000043090000}"/>
    <cellStyle name="Comma 4 3 2 3 10" xfId="8851" xr:uid="{37629673-EAFC-4358-97A8-2D0381883322}"/>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600DDFB0-5CA9-4B62-ACB9-71282865BA95}"/>
    <cellStyle name="Comma 4 3 2 3 2 2 3" xfId="11410" xr:uid="{C762AF43-9B8A-4DD4-863C-C8D997AB4A5C}"/>
    <cellStyle name="Comma 4 3 2 3 2 3" xfId="5033" xr:uid="{00000000-0005-0000-0000-000047090000}"/>
    <cellStyle name="Comma 4 3 2 3 2 3 2" xfId="13483" xr:uid="{7D03F7F3-42A3-4C3D-911A-EC212C8DA525}"/>
    <cellStyle name="Comma 4 3 2 3 2 4" xfId="9265" xr:uid="{3AD301FC-03FD-4F1B-A730-D196F9408D12}"/>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135794FF-4DDB-4FA0-80A2-8617A838217A}"/>
    <cellStyle name="Comma 4 3 2 3 3 2 3" xfId="11823" xr:uid="{18461128-4664-4CA8-9B94-FF64CA5DDD8E}"/>
    <cellStyle name="Comma 4 3 2 3 3 3" xfId="5446" xr:uid="{00000000-0005-0000-0000-00004B090000}"/>
    <cellStyle name="Comma 4 3 2 3 3 3 2" xfId="13896" xr:uid="{E12E3296-EE3A-4785-BEC6-8637D5F52BD2}"/>
    <cellStyle name="Comma 4 3 2 3 3 4" xfId="9678" xr:uid="{9C20DBD8-0C08-4A16-B695-C07439379450}"/>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047398DC-CCD4-4814-8292-C3F74EAF8F0E}"/>
    <cellStyle name="Comma 4 3 2 3 4 2 3" xfId="12236" xr:uid="{6BF65248-A896-4271-836F-4826E46976A4}"/>
    <cellStyle name="Comma 4 3 2 3 4 3" xfId="5859" xr:uid="{00000000-0005-0000-0000-00004F090000}"/>
    <cellStyle name="Comma 4 3 2 3 4 3 2" xfId="14309" xr:uid="{C3CA5065-6F39-4C17-8AF3-F099BFEC3124}"/>
    <cellStyle name="Comma 4 3 2 3 4 4" xfId="10091" xr:uid="{A471671A-19D6-4765-B748-BC7E0144B22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996BF826-53DE-4E46-998A-1D95BA673A9A}"/>
    <cellStyle name="Comma 4 3 2 3 5 2 3" xfId="12649" xr:uid="{287FE1B5-AC45-4DA8-A27E-DB299C6FADAE}"/>
    <cellStyle name="Comma 4 3 2 3 5 3" xfId="6272" xr:uid="{00000000-0005-0000-0000-000053090000}"/>
    <cellStyle name="Comma 4 3 2 3 5 3 2" xfId="14722" xr:uid="{8B97183F-C796-418A-B4DB-D2763D9C11D6}"/>
    <cellStyle name="Comma 4 3 2 3 5 4" xfId="10504" xr:uid="{FD2B2A8B-CFDE-4190-B5F9-8419C10027DE}"/>
    <cellStyle name="Comma 4 3 2 3 6" xfId="2401" xr:uid="{00000000-0005-0000-0000-000054090000}"/>
    <cellStyle name="Comma 4 3 2 3 6 2" xfId="6685" xr:uid="{00000000-0005-0000-0000-000055090000}"/>
    <cellStyle name="Comma 4 3 2 3 6 2 2" xfId="15135" xr:uid="{023F4250-6817-4D1A-B236-16D9BD5300B2}"/>
    <cellStyle name="Comma 4 3 2 3 6 3" xfId="10917" xr:uid="{BAE86122-6E7F-424B-B8DB-603DA41216DC}"/>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41327D6E-D4D2-40BA-B305-8CFB6C696206}"/>
    <cellStyle name="Comma 4 3 2 3 8 3" xfId="11234" xr:uid="{704753BA-E3C5-4A95-97C3-03A93C947622}"/>
    <cellStyle name="Comma 4 3 2 3 9" xfId="4619" xr:uid="{00000000-0005-0000-0000-000059090000}"/>
    <cellStyle name="Comma 4 3 2 3 9 2" xfId="13069" xr:uid="{FB3ED9EF-862C-4B78-AD64-88DFE4ED0004}"/>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FDB2CE89-A385-4364-BA20-D23917B061B2}"/>
    <cellStyle name="Comma 4 3 2 4 2 3" xfId="11407" xr:uid="{F861EB88-B236-4E13-984D-6D2699134EEF}"/>
    <cellStyle name="Comma 4 3 2 4 3" xfId="5030" xr:uid="{00000000-0005-0000-0000-00005D090000}"/>
    <cellStyle name="Comma 4 3 2 4 3 2" xfId="13480" xr:uid="{5B8BCD73-127E-46F3-9F33-517908479128}"/>
    <cellStyle name="Comma 4 3 2 4 4" xfId="9262" xr:uid="{EEDE7E42-5BDD-44B0-B4DB-FF96149160C0}"/>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B3097D92-5BEE-4A00-9124-091D8CCFC6E1}"/>
    <cellStyle name="Comma 4 3 2 5 2 3" xfId="11820" xr:uid="{9DBFC6F5-0FC8-4A1A-9A7A-7A11F3AAD21D}"/>
    <cellStyle name="Comma 4 3 2 5 3" xfId="5443" xr:uid="{00000000-0005-0000-0000-000061090000}"/>
    <cellStyle name="Comma 4 3 2 5 3 2" xfId="13893" xr:uid="{1798252D-8AB0-4FCE-A1CA-B4482AD19ABB}"/>
    <cellStyle name="Comma 4 3 2 5 4" xfId="9675" xr:uid="{5B7C76D5-9A4C-445C-BC2E-80CA62281453}"/>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CDA219AA-A89E-4273-B6AC-DCD6631C480D}"/>
    <cellStyle name="Comma 4 3 2 6 2 3" xfId="12233" xr:uid="{C8B6B7D5-8F5E-4096-899E-60C746FACAB2}"/>
    <cellStyle name="Comma 4 3 2 6 3" xfId="5856" xr:uid="{00000000-0005-0000-0000-000065090000}"/>
    <cellStyle name="Comma 4 3 2 6 3 2" xfId="14306" xr:uid="{A356A190-3AAD-4738-83E2-3684ED59AF80}"/>
    <cellStyle name="Comma 4 3 2 6 4" xfId="10088" xr:uid="{D6951644-E132-4F46-9F3E-BC5A68E293B7}"/>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4F8C47C2-8EF7-4B2F-8945-DBFABC9AF45C}"/>
    <cellStyle name="Comma 4 3 2 7 2 3" xfId="12646" xr:uid="{84C748AE-3364-4BEC-BE9E-4284B14C4FDA}"/>
    <cellStyle name="Comma 4 3 2 7 3" xfId="6269" xr:uid="{00000000-0005-0000-0000-000069090000}"/>
    <cellStyle name="Comma 4 3 2 7 3 2" xfId="14719" xr:uid="{D44BF741-2539-4A0E-B9DA-FDC673B19847}"/>
    <cellStyle name="Comma 4 3 2 7 4" xfId="10501" xr:uid="{9F1661DA-490D-48F6-B379-71A6D0948CC5}"/>
    <cellStyle name="Comma 4 3 2 8" xfId="2398" xr:uid="{00000000-0005-0000-0000-00006A090000}"/>
    <cellStyle name="Comma 4 3 2 8 2" xfId="6682" xr:uid="{00000000-0005-0000-0000-00006B090000}"/>
    <cellStyle name="Comma 4 3 2 8 2 2" xfId="15132" xr:uid="{05128948-5B0A-48B9-8CDE-832AB0DC7E36}"/>
    <cellStyle name="Comma 4 3 2 8 3" xfId="10914" xr:uid="{2569ACB3-3AF0-42CA-9E04-3C74ADF6285F}"/>
    <cellStyle name="Comma 4 3 2 9" xfId="2365" xr:uid="{00000000-0005-0000-0000-00006C090000}"/>
    <cellStyle name="Comma 4 3 3" xfId="149" xr:uid="{00000000-0005-0000-0000-00006D090000}"/>
    <cellStyle name="Comma 4 3 3 10" xfId="4620" xr:uid="{00000000-0005-0000-0000-00006E090000}"/>
    <cellStyle name="Comma 4 3 3 10 2" xfId="13070" xr:uid="{4BA1D884-3D5C-4346-B63A-BF91D79623B7}"/>
    <cellStyle name="Comma 4 3 3 11" xfId="8852" xr:uid="{BA7CE714-BCB7-46AA-B31E-364B3C103276}"/>
    <cellStyle name="Comma 4 3 3 2" xfId="150" xr:uid="{00000000-0005-0000-0000-00006F090000}"/>
    <cellStyle name="Comma 4 3 3 2 10" xfId="8853" xr:uid="{375938C9-E0EB-4A59-863E-2F7A0530819E}"/>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15F75457-4BE8-4E5B-BA6B-B686A9AC4991}"/>
    <cellStyle name="Comma 4 3 3 2 2 2 3" xfId="11412" xr:uid="{6FB17DD8-9F07-4ABF-8EB4-EA8ADEA93B4C}"/>
    <cellStyle name="Comma 4 3 3 2 2 3" xfId="5035" xr:uid="{00000000-0005-0000-0000-000073090000}"/>
    <cellStyle name="Comma 4 3 3 2 2 3 2" xfId="13485" xr:uid="{7DF75981-18EC-46C1-BA60-B5D37A3D1E05}"/>
    <cellStyle name="Comma 4 3 3 2 2 4" xfId="9267" xr:uid="{72EC4BE3-B92E-422A-ABAA-F8919B5968B4}"/>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D8A7EA36-D36B-4D76-9AC0-D41EC47B7A61}"/>
    <cellStyle name="Comma 4 3 3 2 3 2 3" xfId="11825" xr:uid="{CFA0F8F4-5910-41E2-A4ED-E4ECF1DBA0BC}"/>
    <cellStyle name="Comma 4 3 3 2 3 3" xfId="5448" xr:uid="{00000000-0005-0000-0000-000077090000}"/>
    <cellStyle name="Comma 4 3 3 2 3 3 2" xfId="13898" xr:uid="{EA57D667-BC61-4344-AA72-111DC4594EF6}"/>
    <cellStyle name="Comma 4 3 3 2 3 4" xfId="9680" xr:uid="{5A1C692E-A33A-4580-A284-DFE4B2FA8D81}"/>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EF8B4ADD-B0BE-4F5E-8599-E08F8F4C3877}"/>
    <cellStyle name="Comma 4 3 3 2 4 2 3" xfId="12238" xr:uid="{F3B1AC02-1DC7-460F-8B45-35C9D37EDC86}"/>
    <cellStyle name="Comma 4 3 3 2 4 3" xfId="5861" xr:uid="{00000000-0005-0000-0000-00007B090000}"/>
    <cellStyle name="Comma 4 3 3 2 4 3 2" xfId="14311" xr:uid="{9FF4F886-C238-486A-A8A6-19B7BF4E056F}"/>
    <cellStyle name="Comma 4 3 3 2 4 4" xfId="10093" xr:uid="{3DE9A584-FD35-41DA-9AAA-EF68E1B9949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EBD7E760-A259-4FE6-BCCC-0A9F35B48E0D}"/>
    <cellStyle name="Comma 4 3 3 2 5 2 3" xfId="12651" xr:uid="{8E9DA781-50F0-4F0A-87F9-6AC383B3AB7B}"/>
    <cellStyle name="Comma 4 3 3 2 5 3" xfId="6274" xr:uid="{00000000-0005-0000-0000-00007F090000}"/>
    <cellStyle name="Comma 4 3 3 2 5 3 2" xfId="14724" xr:uid="{46432B85-AD74-42E1-BD5C-6495BDA58220}"/>
    <cellStyle name="Comma 4 3 3 2 5 4" xfId="10506" xr:uid="{9D794158-C508-483F-9D2F-7C039487A762}"/>
    <cellStyle name="Comma 4 3 3 2 6" xfId="2403" xr:uid="{00000000-0005-0000-0000-000080090000}"/>
    <cellStyle name="Comma 4 3 3 2 6 2" xfId="6687" xr:uid="{00000000-0005-0000-0000-000081090000}"/>
    <cellStyle name="Comma 4 3 3 2 6 2 2" xfId="15137" xr:uid="{3A1DB3B2-78EE-4DE4-AF4E-4159276B01D7}"/>
    <cellStyle name="Comma 4 3 3 2 6 3" xfId="10919" xr:uid="{24970D6B-E05C-453C-86D6-FEAB1ED91EAA}"/>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977370E9-DF86-4340-89BC-200DE00092FC}"/>
    <cellStyle name="Comma 4 3 3 2 8 3" xfId="11236" xr:uid="{2255391A-7A12-4441-8441-F5C9415BE97F}"/>
    <cellStyle name="Comma 4 3 3 2 9" xfId="4621" xr:uid="{00000000-0005-0000-0000-000085090000}"/>
    <cellStyle name="Comma 4 3 3 2 9 2" xfId="13071" xr:uid="{006DDF5F-8616-4377-B267-77BFAB337A38}"/>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BDB93F73-91B2-499E-9E6A-2D290FE29D56}"/>
    <cellStyle name="Comma 4 3 3 3 2 3" xfId="11411" xr:uid="{D841588C-634A-4632-A3F6-48952EA1CB28}"/>
    <cellStyle name="Comma 4 3 3 3 3" xfId="5034" xr:uid="{00000000-0005-0000-0000-000089090000}"/>
    <cellStyle name="Comma 4 3 3 3 3 2" xfId="13484" xr:uid="{79C5A91A-CDF7-4329-86F7-25DB7AFF9F86}"/>
    <cellStyle name="Comma 4 3 3 3 4" xfId="9266" xr:uid="{C0A84EF0-E831-4A42-A9F6-4744EBE4DCDD}"/>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ADA8ADCB-1D3B-49F4-87FC-5FFA45AA6733}"/>
    <cellStyle name="Comma 4 3 3 4 2 3" xfId="11824" xr:uid="{4584375F-B55F-4ABB-A045-0C9DBF7B0BFF}"/>
    <cellStyle name="Comma 4 3 3 4 3" xfId="5447" xr:uid="{00000000-0005-0000-0000-00008D090000}"/>
    <cellStyle name="Comma 4 3 3 4 3 2" xfId="13897" xr:uid="{C13699BD-A34B-485C-851E-DA6C64954CAA}"/>
    <cellStyle name="Comma 4 3 3 4 4" xfId="9679" xr:uid="{83B65257-0DC5-4643-8704-5321ACCB317B}"/>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9A46F016-C5DB-4F94-B1D9-036A4696BB6B}"/>
    <cellStyle name="Comma 4 3 3 5 2 3" xfId="12237" xr:uid="{A099D21F-320D-47A9-8D14-0F6F111A350D}"/>
    <cellStyle name="Comma 4 3 3 5 3" xfId="5860" xr:uid="{00000000-0005-0000-0000-000091090000}"/>
    <cellStyle name="Comma 4 3 3 5 3 2" xfId="14310" xr:uid="{118A8247-7BB8-4A31-AE9B-D21FAE5AB5D4}"/>
    <cellStyle name="Comma 4 3 3 5 4" xfId="10092" xr:uid="{DE3A796F-4770-43D3-A28C-FF0908A46B11}"/>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248EC3C9-31FC-4BEA-B75B-1EB17A15A6C8}"/>
    <cellStyle name="Comma 4 3 3 6 2 3" xfId="12650" xr:uid="{E5B40D6B-6784-4543-B5C0-015C2F061991}"/>
    <cellStyle name="Comma 4 3 3 6 3" xfId="6273" xr:uid="{00000000-0005-0000-0000-000095090000}"/>
    <cellStyle name="Comma 4 3 3 6 3 2" xfId="14723" xr:uid="{EDCFBEF7-F11E-441C-8B9A-338F3374C99D}"/>
    <cellStyle name="Comma 4 3 3 6 4" xfId="10505" xr:uid="{2E71792C-AF57-428D-8BAF-E8E0AEBEB34D}"/>
    <cellStyle name="Comma 4 3 3 7" xfId="2402" xr:uid="{00000000-0005-0000-0000-000096090000}"/>
    <cellStyle name="Comma 4 3 3 7 2" xfId="6686" xr:uid="{00000000-0005-0000-0000-000097090000}"/>
    <cellStyle name="Comma 4 3 3 7 2 2" xfId="15136" xr:uid="{77D86CD2-5541-45B7-9163-21B7DE9674AA}"/>
    <cellStyle name="Comma 4 3 3 7 3" xfId="10918" xr:uid="{D1CEA27E-3419-4D30-A5AB-465C5A52DFFE}"/>
    <cellStyle name="Comma 4 3 3 8" xfId="2361" xr:uid="{00000000-0005-0000-0000-000098090000}"/>
    <cellStyle name="Comma 4 3 3 9" xfId="2780" xr:uid="{00000000-0005-0000-0000-000099090000}"/>
    <cellStyle name="Comma 4 3 3 9 2" xfId="7003" xr:uid="{00000000-0005-0000-0000-00009A090000}"/>
    <cellStyle name="Comma 4 3 3 9 2 2" xfId="15453" xr:uid="{BB127406-F1FB-4D2F-969B-3DEB80D5F895}"/>
    <cellStyle name="Comma 4 3 3 9 3" xfId="11235" xr:uid="{3CFCB512-329D-48FF-BF07-C79E18A9BFD4}"/>
    <cellStyle name="Comma 4 3 4" xfId="151" xr:uid="{00000000-0005-0000-0000-00009B090000}"/>
    <cellStyle name="Comma 4 3 4 10" xfId="8854" xr:uid="{58D34BA4-607D-4122-8EFB-61D314D89AE6}"/>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528531B0-248A-4DEB-8B3B-3070918ACAED}"/>
    <cellStyle name="Comma 4 3 4 2 2 3" xfId="11413" xr:uid="{FC7F511F-CF3B-46EF-B0ED-B1408C0D1734}"/>
    <cellStyle name="Comma 4 3 4 2 3" xfId="5036" xr:uid="{00000000-0005-0000-0000-00009F090000}"/>
    <cellStyle name="Comma 4 3 4 2 3 2" xfId="13486" xr:uid="{A7C34636-DCDF-412D-BAAC-CD5B1D589E36}"/>
    <cellStyle name="Comma 4 3 4 2 4" xfId="9268" xr:uid="{966B6A03-B5F9-485D-8FCA-6924B3900678}"/>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F093D04F-E6DF-4C02-A9F7-5500ED556E30}"/>
    <cellStyle name="Comma 4 3 4 3 2 3" xfId="11826" xr:uid="{95623BD5-4401-4454-826A-6AC2E153B7E6}"/>
    <cellStyle name="Comma 4 3 4 3 3" xfId="5449" xr:uid="{00000000-0005-0000-0000-0000A3090000}"/>
    <cellStyle name="Comma 4 3 4 3 3 2" xfId="13899" xr:uid="{3B74B723-8B19-45D6-9DB7-45EEDB9AF908}"/>
    <cellStyle name="Comma 4 3 4 3 4" xfId="9681" xr:uid="{BC01ED5E-2C80-4C81-81EC-6A3CC30D389B}"/>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C980B346-6B20-4492-808A-FA2E02DE26A6}"/>
    <cellStyle name="Comma 4 3 4 4 2 3" xfId="12239" xr:uid="{F44C22F6-C962-49C9-A7AA-45B6BCBCFA0C}"/>
    <cellStyle name="Comma 4 3 4 4 3" xfId="5862" xr:uid="{00000000-0005-0000-0000-0000A7090000}"/>
    <cellStyle name="Comma 4 3 4 4 3 2" xfId="14312" xr:uid="{E0BF06B6-CE48-4E21-BEE0-0B3248E3B521}"/>
    <cellStyle name="Comma 4 3 4 4 4" xfId="10094" xr:uid="{E1AC8FA3-D3DA-42A9-A6D0-E879BCACA771}"/>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9175B303-C473-443E-8C73-D7F020170404}"/>
    <cellStyle name="Comma 4 3 4 5 2 3" xfId="12652" xr:uid="{38C198B0-53D8-41CB-8BEE-DCE94459A297}"/>
    <cellStyle name="Comma 4 3 4 5 3" xfId="6275" xr:uid="{00000000-0005-0000-0000-0000AB090000}"/>
    <cellStyle name="Comma 4 3 4 5 3 2" xfId="14725" xr:uid="{102D1602-8719-48B3-8854-4E3AB4304F0B}"/>
    <cellStyle name="Comma 4 3 4 5 4" xfId="10507" xr:uid="{3006BDD9-A986-4351-8EF9-9343FEC20CA1}"/>
    <cellStyle name="Comma 4 3 4 6" xfId="2404" xr:uid="{00000000-0005-0000-0000-0000AC090000}"/>
    <cellStyle name="Comma 4 3 4 6 2" xfId="6688" xr:uid="{00000000-0005-0000-0000-0000AD090000}"/>
    <cellStyle name="Comma 4 3 4 6 2 2" xfId="15138" xr:uid="{FB4D962C-8697-4AF8-A619-9AD78D4E276A}"/>
    <cellStyle name="Comma 4 3 4 6 3" xfId="10920" xr:uid="{AE390684-3579-49AA-9D9F-3DD8656D2856}"/>
    <cellStyle name="Comma 4 3 4 7" xfId="2700" xr:uid="{00000000-0005-0000-0000-0000AE090000}"/>
    <cellStyle name="Comma 4 3 4 8" xfId="2782" xr:uid="{00000000-0005-0000-0000-0000AF090000}"/>
    <cellStyle name="Comma 4 3 4 8 2" xfId="7005" xr:uid="{00000000-0005-0000-0000-0000B0090000}"/>
    <cellStyle name="Comma 4 3 4 8 2 2" xfId="15455" xr:uid="{8772E6A6-A893-461A-A9C8-CFA550965490}"/>
    <cellStyle name="Comma 4 3 4 8 3" xfId="11237" xr:uid="{7B38891C-FE55-441D-A66A-0F8B95599BEC}"/>
    <cellStyle name="Comma 4 3 4 9" xfId="4622" xr:uid="{00000000-0005-0000-0000-0000B1090000}"/>
    <cellStyle name="Comma 4 3 4 9 2" xfId="13072" xr:uid="{4BF07A61-C138-49C7-BAEB-09FC744C8080}"/>
    <cellStyle name="Comma 4 3 5" xfId="152" xr:uid="{00000000-0005-0000-0000-0000B2090000}"/>
    <cellStyle name="Comma 4 3 5 10" xfId="8855" xr:uid="{E892BDEA-46D1-4286-B6F2-7B9100127B05}"/>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37E305C-A0D6-4B3E-8F7B-F02AA6CF1CDF}"/>
    <cellStyle name="Comma 4 3 5 2 2 3" xfId="11414" xr:uid="{22EDF5CB-1D50-409B-AC24-3AF80F7C29A7}"/>
    <cellStyle name="Comma 4 3 5 2 3" xfId="5037" xr:uid="{00000000-0005-0000-0000-0000B6090000}"/>
    <cellStyle name="Comma 4 3 5 2 3 2" xfId="13487" xr:uid="{F850773E-1A0F-4463-87D6-58055F571AC6}"/>
    <cellStyle name="Comma 4 3 5 2 4" xfId="9269" xr:uid="{F07611E5-0D4F-48B4-8DEB-EE913D974263}"/>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23B13BE1-2F95-4A90-A548-BEBCEECCD7D9}"/>
    <cellStyle name="Comma 4 3 5 3 2 3" xfId="11827" xr:uid="{C37A3C05-05DD-4990-8B90-61FEFC5C3028}"/>
    <cellStyle name="Comma 4 3 5 3 3" xfId="5450" xr:uid="{00000000-0005-0000-0000-0000BA090000}"/>
    <cellStyle name="Comma 4 3 5 3 3 2" xfId="13900" xr:uid="{ECD6626F-FE99-44D1-96B5-B93BEBC65700}"/>
    <cellStyle name="Comma 4 3 5 3 4" xfId="9682" xr:uid="{A4A30DE7-5B0B-4F48-BA05-305EFF754B95}"/>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33AC6910-84B9-4CF5-9BAE-EF8F4BADEC40}"/>
    <cellStyle name="Comma 4 3 5 4 2 3" xfId="12240" xr:uid="{7B6CE4A1-2F1F-4068-B88B-C338DC68DD4A}"/>
    <cellStyle name="Comma 4 3 5 4 3" xfId="5863" xr:uid="{00000000-0005-0000-0000-0000BE090000}"/>
    <cellStyle name="Comma 4 3 5 4 3 2" xfId="14313" xr:uid="{57002171-0436-466A-94A0-B4DD3A5F726B}"/>
    <cellStyle name="Comma 4 3 5 4 4" xfId="10095" xr:uid="{E808BD0C-7F47-4B99-9D50-D30835FF9007}"/>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E06E9194-EA55-4261-AE88-EB8CDAD681AD}"/>
    <cellStyle name="Comma 4 3 5 5 2 3" xfId="12653" xr:uid="{D7DE1BE0-E3D0-4DA7-A1F9-C56EFF53DD91}"/>
    <cellStyle name="Comma 4 3 5 5 3" xfId="6276" xr:uid="{00000000-0005-0000-0000-0000C2090000}"/>
    <cellStyle name="Comma 4 3 5 5 3 2" xfId="14726" xr:uid="{B8EF3D4D-AA40-4C58-9D68-E9950C0DDCBA}"/>
    <cellStyle name="Comma 4 3 5 5 4" xfId="10508" xr:uid="{4644EE77-4033-4F56-B02D-8E39F1891461}"/>
    <cellStyle name="Comma 4 3 5 6" xfId="2405" xr:uid="{00000000-0005-0000-0000-0000C3090000}"/>
    <cellStyle name="Comma 4 3 5 6 2" xfId="6689" xr:uid="{00000000-0005-0000-0000-0000C4090000}"/>
    <cellStyle name="Comma 4 3 5 6 2 2" xfId="15139" xr:uid="{205E5BA0-E99C-4694-9222-7489399589C4}"/>
    <cellStyle name="Comma 4 3 5 6 3" xfId="10921" xr:uid="{5302F780-0D17-4C34-BAD0-68739AD50001}"/>
    <cellStyle name="Comma 4 3 5 7" xfId="2701" xr:uid="{00000000-0005-0000-0000-0000C5090000}"/>
    <cellStyle name="Comma 4 3 5 8" xfId="2783" xr:uid="{00000000-0005-0000-0000-0000C6090000}"/>
    <cellStyle name="Comma 4 3 5 8 2" xfId="7006" xr:uid="{00000000-0005-0000-0000-0000C7090000}"/>
    <cellStyle name="Comma 4 3 5 8 2 2" xfId="15456" xr:uid="{2B052641-4FFA-4355-8CB1-15D15524CE3D}"/>
    <cellStyle name="Comma 4 3 5 8 3" xfId="11238" xr:uid="{2F717380-FB79-4840-B40F-58C340D99701}"/>
    <cellStyle name="Comma 4 3 5 9" xfId="4623" xr:uid="{00000000-0005-0000-0000-0000C8090000}"/>
    <cellStyle name="Comma 4 3 5 9 2" xfId="13073" xr:uid="{E847A1D7-4BE9-4E48-9B56-2653E9CB560D}"/>
    <cellStyle name="Comma 4 4" xfId="153" xr:uid="{00000000-0005-0000-0000-0000C9090000}"/>
    <cellStyle name="Comma 4 4 10" xfId="2784" xr:uid="{00000000-0005-0000-0000-0000CA090000}"/>
    <cellStyle name="Comma 4 4 10 2" xfId="7007" xr:uid="{00000000-0005-0000-0000-0000CB090000}"/>
    <cellStyle name="Comma 4 4 10 2 2" xfId="15457" xr:uid="{A26AA0F3-BFA4-4DE5-960D-25ED740C99C0}"/>
    <cellStyle name="Comma 4 4 10 3" xfId="11239" xr:uid="{B611642A-CA3E-4502-AB72-1EF601B76593}"/>
    <cellStyle name="Comma 4 4 11" xfId="4624" xr:uid="{00000000-0005-0000-0000-0000CC090000}"/>
    <cellStyle name="Comma 4 4 11 2" xfId="13074" xr:uid="{7E5C4DDF-F60A-4187-8292-F80301BD86D9}"/>
    <cellStyle name="Comma 4 4 12" xfId="8856" xr:uid="{C289CB6E-7E9F-4FCD-BF96-A8D832978ADB}"/>
    <cellStyle name="Comma 4 4 2" xfId="154" xr:uid="{00000000-0005-0000-0000-0000CD090000}"/>
    <cellStyle name="Comma 4 4 2 10" xfId="4625" xr:uid="{00000000-0005-0000-0000-0000CE090000}"/>
    <cellStyle name="Comma 4 4 2 10 2" xfId="13075" xr:uid="{432D594D-B930-4DD2-A549-3CFE5DCF6C9F}"/>
    <cellStyle name="Comma 4 4 2 11" xfId="8857" xr:uid="{76C3CB3D-39B8-41B6-A7F5-2CC73B8975BD}"/>
    <cellStyle name="Comma 4 4 2 2" xfId="155" xr:uid="{00000000-0005-0000-0000-0000CF090000}"/>
    <cellStyle name="Comma 4 4 2 2 10" xfId="8858" xr:uid="{A900F49F-3666-4432-87BD-ADE6B275E8CB}"/>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42030889-97B3-4499-BD01-15664386D3E6}"/>
    <cellStyle name="Comma 4 4 2 2 2 2 3" xfId="11417" xr:uid="{7A66216A-6671-48C5-A8D1-DB3F996D9C08}"/>
    <cellStyle name="Comma 4 4 2 2 2 3" xfId="5040" xr:uid="{00000000-0005-0000-0000-0000D3090000}"/>
    <cellStyle name="Comma 4 4 2 2 2 3 2" xfId="13490" xr:uid="{95781CAA-156A-4DF4-AE97-08CACCBC2F8A}"/>
    <cellStyle name="Comma 4 4 2 2 2 4" xfId="9272" xr:uid="{323C8957-BF1F-49C4-861D-30D3B309BC1A}"/>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6E7526F8-3D85-4E0C-ACF9-4840BDB1D974}"/>
    <cellStyle name="Comma 4 4 2 2 3 2 3" xfId="11830" xr:uid="{5EB6E92F-4093-46A0-B412-F8E5EDF63146}"/>
    <cellStyle name="Comma 4 4 2 2 3 3" xfId="5453" xr:uid="{00000000-0005-0000-0000-0000D7090000}"/>
    <cellStyle name="Comma 4 4 2 2 3 3 2" xfId="13903" xr:uid="{A5E0B231-5578-4179-93B9-9562645FFBA9}"/>
    <cellStyle name="Comma 4 4 2 2 3 4" xfId="9685" xr:uid="{BCBD2A90-4AA5-4AD5-BE43-02B93EA8A1A6}"/>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F6551760-38AA-48B0-8398-AAACFC3AC216}"/>
    <cellStyle name="Comma 4 4 2 2 4 2 3" xfId="12243" xr:uid="{5BA19CDF-8C09-4109-A96C-016D55B3D77E}"/>
    <cellStyle name="Comma 4 4 2 2 4 3" xfId="5866" xr:uid="{00000000-0005-0000-0000-0000DB090000}"/>
    <cellStyle name="Comma 4 4 2 2 4 3 2" xfId="14316" xr:uid="{FF25454C-3A94-451E-AB5E-8F7EC7517E01}"/>
    <cellStyle name="Comma 4 4 2 2 4 4" xfId="10098" xr:uid="{182AE83E-BB71-4F52-8E96-F67A211C2431}"/>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9E5804D0-2933-4E5C-80DB-13E6DFC78F33}"/>
    <cellStyle name="Comma 4 4 2 2 5 2 3" xfId="12656" xr:uid="{49B9EB7C-1B06-4BB2-B84D-DBBD93E0ABAD}"/>
    <cellStyle name="Comma 4 4 2 2 5 3" xfId="6279" xr:uid="{00000000-0005-0000-0000-0000DF090000}"/>
    <cellStyle name="Comma 4 4 2 2 5 3 2" xfId="14729" xr:uid="{00213D6C-D65B-46C4-9CB5-02F83912483C}"/>
    <cellStyle name="Comma 4 4 2 2 5 4" xfId="10511" xr:uid="{C8825C95-A87F-4AC9-BEA2-8CFB354D0D04}"/>
    <cellStyle name="Comma 4 4 2 2 6" xfId="2408" xr:uid="{00000000-0005-0000-0000-0000E0090000}"/>
    <cellStyle name="Comma 4 4 2 2 6 2" xfId="6692" xr:uid="{00000000-0005-0000-0000-0000E1090000}"/>
    <cellStyle name="Comma 4 4 2 2 6 2 2" xfId="15142" xr:uid="{528CC135-C6DC-4F76-958F-781999C950E1}"/>
    <cellStyle name="Comma 4 4 2 2 6 3" xfId="10924" xr:uid="{9C52EA3C-2481-480F-8105-B2A4F0A52622}"/>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A1586049-E743-48A8-A810-9B60D55D923A}"/>
    <cellStyle name="Comma 4 4 2 2 8 3" xfId="11241" xr:uid="{19D8E939-4C9D-4A35-B9C6-163D7F5DB6CB}"/>
    <cellStyle name="Comma 4 4 2 2 9" xfId="4626" xr:uid="{00000000-0005-0000-0000-0000E5090000}"/>
    <cellStyle name="Comma 4 4 2 2 9 2" xfId="13076" xr:uid="{4D6DD0FE-6BA7-4F29-AFD0-8B460C5713BD}"/>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F0B5F008-4200-4902-8A9B-01CC1D333CE4}"/>
    <cellStyle name="Comma 4 4 2 3 2 3" xfId="11416" xr:uid="{DE4AC43B-E628-4B81-895B-198207CA0765}"/>
    <cellStyle name="Comma 4 4 2 3 3" xfId="5039" xr:uid="{00000000-0005-0000-0000-0000E9090000}"/>
    <cellStyle name="Comma 4 4 2 3 3 2" xfId="13489" xr:uid="{C18E9BAE-13FE-4C5F-B19A-5F1F0FBA9F54}"/>
    <cellStyle name="Comma 4 4 2 3 4" xfId="9271" xr:uid="{F9251080-C9EE-4DC3-B563-DC4DF67202BD}"/>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E7BB95BF-89E2-4661-86DA-D2BCE6A1C93D}"/>
    <cellStyle name="Comma 4 4 2 4 2 3" xfId="11829" xr:uid="{46EF2282-1540-417C-886A-936C7D8DC8B9}"/>
    <cellStyle name="Comma 4 4 2 4 3" xfId="5452" xr:uid="{00000000-0005-0000-0000-0000ED090000}"/>
    <cellStyle name="Comma 4 4 2 4 3 2" xfId="13902" xr:uid="{543F8C40-43C1-4682-9142-A47264157489}"/>
    <cellStyle name="Comma 4 4 2 4 4" xfId="9684" xr:uid="{0E563C5A-538B-4AA9-89DE-65B0B8835AE3}"/>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F05C82C2-932A-4496-8528-B7CB59D60A2F}"/>
    <cellStyle name="Comma 4 4 2 5 2 3" xfId="12242" xr:uid="{F3E2D7FF-F946-4F31-9ECD-7C2FBDB5F706}"/>
    <cellStyle name="Comma 4 4 2 5 3" xfId="5865" xr:uid="{00000000-0005-0000-0000-0000F1090000}"/>
    <cellStyle name="Comma 4 4 2 5 3 2" xfId="14315" xr:uid="{3F0014E1-244C-4D2F-8403-61ACB414F5D5}"/>
    <cellStyle name="Comma 4 4 2 5 4" xfId="10097" xr:uid="{385DF443-BD00-41E5-8609-66FA2F9F754B}"/>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AE3F0D20-F1E6-41BA-BBF1-A8A7A2E702A3}"/>
    <cellStyle name="Comma 4 4 2 6 2 3" xfId="12655" xr:uid="{A897A74A-A924-4955-B4E7-7502E7033A2A}"/>
    <cellStyle name="Comma 4 4 2 6 3" xfId="6278" xr:uid="{00000000-0005-0000-0000-0000F5090000}"/>
    <cellStyle name="Comma 4 4 2 6 3 2" xfId="14728" xr:uid="{44CE3656-AB17-4033-B5AA-B6A704161DE4}"/>
    <cellStyle name="Comma 4 4 2 6 4" xfId="10510" xr:uid="{56B6C2F6-987B-489B-938F-B6C9EF460A2D}"/>
    <cellStyle name="Comma 4 4 2 7" xfId="2407" xr:uid="{00000000-0005-0000-0000-0000F6090000}"/>
    <cellStyle name="Comma 4 4 2 7 2" xfId="6691" xr:uid="{00000000-0005-0000-0000-0000F7090000}"/>
    <cellStyle name="Comma 4 4 2 7 2 2" xfId="15141" xr:uid="{1D67A600-D096-49FA-91DE-EB5FB5994789}"/>
    <cellStyle name="Comma 4 4 2 7 3" xfId="10923" xr:uid="{EBE31B48-E025-4F64-ACBC-7DBD73A89715}"/>
    <cellStyle name="Comma 4 4 2 8" xfId="2703" xr:uid="{00000000-0005-0000-0000-0000F8090000}"/>
    <cellStyle name="Comma 4 4 2 9" xfId="2785" xr:uid="{00000000-0005-0000-0000-0000F9090000}"/>
    <cellStyle name="Comma 4 4 2 9 2" xfId="7008" xr:uid="{00000000-0005-0000-0000-0000FA090000}"/>
    <cellStyle name="Comma 4 4 2 9 2 2" xfId="15458" xr:uid="{0B3B6BCA-4A0A-4C2F-8E5A-C140F6F4FAA0}"/>
    <cellStyle name="Comma 4 4 2 9 3" xfId="11240" xr:uid="{2E43F854-3E1E-4974-97E8-981B62C9F659}"/>
    <cellStyle name="Comma 4 4 3" xfId="156" xr:uid="{00000000-0005-0000-0000-0000FB090000}"/>
    <cellStyle name="Comma 4 4 3 10" xfId="8859" xr:uid="{D4E5A2BE-831F-46AA-ADDF-B99F22336AA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B3166009-439B-4A30-8B72-F29DF8E09CCE}"/>
    <cellStyle name="Comma 4 4 3 2 2 3" xfId="11418" xr:uid="{641C7E2C-0114-4278-A81D-61A7B3DB18DA}"/>
    <cellStyle name="Comma 4 4 3 2 3" xfId="5041" xr:uid="{00000000-0005-0000-0000-0000FF090000}"/>
    <cellStyle name="Comma 4 4 3 2 3 2" xfId="13491" xr:uid="{F2847D8C-65B5-402D-A81F-B72E3894AFAB}"/>
    <cellStyle name="Comma 4 4 3 2 4" xfId="9273" xr:uid="{A3D306B9-F6DB-4653-A5D9-A324F9E3C4D1}"/>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D425EAF9-EE1B-46AA-89AC-73AB2C4138F2}"/>
    <cellStyle name="Comma 4 4 3 3 2 3" xfId="11831" xr:uid="{95FEAF9C-5949-4275-AFF9-0D53F124B879}"/>
    <cellStyle name="Comma 4 4 3 3 3" xfId="5454" xr:uid="{00000000-0005-0000-0000-0000030A0000}"/>
    <cellStyle name="Comma 4 4 3 3 3 2" xfId="13904" xr:uid="{3B87D7E3-CDC2-4D43-950D-DA1079B6EC54}"/>
    <cellStyle name="Comma 4 4 3 3 4" xfId="9686" xr:uid="{7E2B3354-777E-47CA-98DF-C3ACB95B14DF}"/>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CF6B532E-8F32-4C47-9F05-EB93A630F945}"/>
    <cellStyle name="Comma 4 4 3 4 2 3" xfId="12244" xr:uid="{798A2151-1EDC-4761-ADE6-ABC94C13F4D1}"/>
    <cellStyle name="Comma 4 4 3 4 3" xfId="5867" xr:uid="{00000000-0005-0000-0000-0000070A0000}"/>
    <cellStyle name="Comma 4 4 3 4 3 2" xfId="14317" xr:uid="{66D144C3-BC80-4C17-80AA-2FAF5340A7B4}"/>
    <cellStyle name="Comma 4 4 3 4 4" xfId="10099" xr:uid="{F26EEEA3-8215-450C-B051-A1E8584E2A19}"/>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CF63ABCA-FBAA-462D-A640-B779894C5345}"/>
    <cellStyle name="Comma 4 4 3 5 2 3" xfId="12657" xr:uid="{3EF97D33-D800-4A33-9BE4-5C46EEF67C1A}"/>
    <cellStyle name="Comma 4 4 3 5 3" xfId="6280" xr:uid="{00000000-0005-0000-0000-00000B0A0000}"/>
    <cellStyle name="Comma 4 4 3 5 3 2" xfId="14730" xr:uid="{A2BB3571-053B-466A-B572-37C33FC50FC8}"/>
    <cellStyle name="Comma 4 4 3 5 4" xfId="10512" xr:uid="{B4260AAE-5A75-4A33-B1FD-8ED2A4F9D58A}"/>
    <cellStyle name="Comma 4 4 3 6" xfId="2409" xr:uid="{00000000-0005-0000-0000-00000C0A0000}"/>
    <cellStyle name="Comma 4 4 3 6 2" xfId="6693" xr:uid="{00000000-0005-0000-0000-00000D0A0000}"/>
    <cellStyle name="Comma 4 4 3 6 2 2" xfId="15143" xr:uid="{2309D153-BBB1-4030-BCC0-38FA767E10D8}"/>
    <cellStyle name="Comma 4 4 3 6 3" xfId="10925" xr:uid="{530AC177-F312-4AFF-ACD1-822CA67F8E61}"/>
    <cellStyle name="Comma 4 4 3 7" xfId="2705" xr:uid="{00000000-0005-0000-0000-00000E0A0000}"/>
    <cellStyle name="Comma 4 4 3 8" xfId="2787" xr:uid="{00000000-0005-0000-0000-00000F0A0000}"/>
    <cellStyle name="Comma 4 4 3 8 2" xfId="7010" xr:uid="{00000000-0005-0000-0000-0000100A0000}"/>
    <cellStyle name="Comma 4 4 3 8 2 2" xfId="15460" xr:uid="{00F67598-8E75-49A9-A448-B7AFEA547644}"/>
    <cellStyle name="Comma 4 4 3 8 3" xfId="11242" xr:uid="{ABE59B0B-FAEA-4761-8DCB-9820E9B74E94}"/>
    <cellStyle name="Comma 4 4 3 9" xfId="4627" xr:uid="{00000000-0005-0000-0000-0000110A0000}"/>
    <cellStyle name="Comma 4 4 3 9 2" xfId="13077" xr:uid="{07493D8A-7B1E-4E43-B6C5-0AED7A181EA2}"/>
    <cellStyle name="Comma 4 4 4" xfId="690" xr:uid="{00000000-0005-0000-0000-0000120A0000}"/>
    <cellStyle name="Comma 4 4 4 2" xfId="2961" xr:uid="{00000000-0005-0000-0000-0000130A0000}"/>
    <cellStyle name="Comma 4 4 4 2 2" xfId="7183" xr:uid="{00000000-0005-0000-0000-0000140A0000}"/>
    <cellStyle name="Comma 4 4 4 2 2 2" xfId="15633" xr:uid="{55B7AB58-4E01-462F-8DF7-6CA99F4BD9AE}"/>
    <cellStyle name="Comma 4 4 4 2 3" xfId="11415" xr:uid="{5CC84FF5-B65D-4DBB-9871-C7B9572323AB}"/>
    <cellStyle name="Comma 4 4 4 3" xfId="5038" xr:uid="{00000000-0005-0000-0000-0000150A0000}"/>
    <cellStyle name="Comma 4 4 4 3 2" xfId="13488" xr:uid="{CF1C143A-E389-4CA4-8169-4AD2C800B5A6}"/>
    <cellStyle name="Comma 4 4 4 4" xfId="9270" xr:uid="{898EF257-053A-49FD-AA63-11A776900C68}"/>
    <cellStyle name="Comma 4 4 5" xfId="1143" xr:uid="{00000000-0005-0000-0000-0000160A0000}"/>
    <cellStyle name="Comma 4 4 5 2" xfId="3374" xr:uid="{00000000-0005-0000-0000-0000170A0000}"/>
    <cellStyle name="Comma 4 4 5 2 2" xfId="7596" xr:uid="{00000000-0005-0000-0000-0000180A0000}"/>
    <cellStyle name="Comma 4 4 5 2 2 2" xfId="16046" xr:uid="{20A51948-46B5-4D06-A398-6EE64761ECB2}"/>
    <cellStyle name="Comma 4 4 5 2 3" xfId="11828" xr:uid="{AA963D76-114B-4E3A-B9FD-A2094F453773}"/>
    <cellStyle name="Comma 4 4 5 3" xfId="5451" xr:uid="{00000000-0005-0000-0000-0000190A0000}"/>
    <cellStyle name="Comma 4 4 5 3 2" xfId="13901" xr:uid="{CB69E9B4-B986-4ACA-8A6E-C1AB0B249187}"/>
    <cellStyle name="Comma 4 4 5 4" xfId="9683" xr:uid="{0588B306-CB05-4A96-9F0E-4BF8DDE21B98}"/>
    <cellStyle name="Comma 4 4 6" xfId="1557" xr:uid="{00000000-0005-0000-0000-00001A0A0000}"/>
    <cellStyle name="Comma 4 4 6 2" xfId="3787" xr:uid="{00000000-0005-0000-0000-00001B0A0000}"/>
    <cellStyle name="Comma 4 4 6 2 2" xfId="8009" xr:uid="{00000000-0005-0000-0000-00001C0A0000}"/>
    <cellStyle name="Comma 4 4 6 2 2 2" xfId="16459" xr:uid="{BE89B922-33D4-4E04-A1C9-76BFED1558AD}"/>
    <cellStyle name="Comma 4 4 6 2 3" xfId="12241" xr:uid="{DAD998F2-4526-4EAC-8193-8DB8FAE9E883}"/>
    <cellStyle name="Comma 4 4 6 3" xfId="5864" xr:uid="{00000000-0005-0000-0000-00001D0A0000}"/>
    <cellStyle name="Comma 4 4 6 3 2" xfId="14314" xr:uid="{F538DAD2-FE07-44F3-8A7B-8FE27D416730}"/>
    <cellStyle name="Comma 4 4 6 4" xfId="10096" xr:uid="{0A7D56BF-1DDD-4898-85F2-2FAA3ED99DBD}"/>
    <cellStyle name="Comma 4 4 7" xfId="1971" xr:uid="{00000000-0005-0000-0000-00001E0A0000}"/>
    <cellStyle name="Comma 4 4 7 2" xfId="4200" xr:uid="{00000000-0005-0000-0000-00001F0A0000}"/>
    <cellStyle name="Comma 4 4 7 2 2" xfId="8422" xr:uid="{00000000-0005-0000-0000-0000200A0000}"/>
    <cellStyle name="Comma 4 4 7 2 2 2" xfId="16872" xr:uid="{8C2D236D-7071-40E4-95EF-54522F75A2FD}"/>
    <cellStyle name="Comma 4 4 7 2 3" xfId="12654" xr:uid="{07944F4E-8AAF-4BE4-9FAB-B6BF74940A3D}"/>
    <cellStyle name="Comma 4 4 7 3" xfId="6277" xr:uid="{00000000-0005-0000-0000-0000210A0000}"/>
    <cellStyle name="Comma 4 4 7 3 2" xfId="14727" xr:uid="{4426960B-6DE2-4349-AC41-D4D531F8D3F2}"/>
    <cellStyle name="Comma 4 4 7 4" xfId="10509" xr:uid="{1BBBB322-186C-4786-806A-57AF5ABC8B0C}"/>
    <cellStyle name="Comma 4 4 8" xfId="2406" xr:uid="{00000000-0005-0000-0000-0000220A0000}"/>
    <cellStyle name="Comma 4 4 8 2" xfId="6690" xr:uid="{00000000-0005-0000-0000-0000230A0000}"/>
    <cellStyle name="Comma 4 4 8 2 2" xfId="15140" xr:uid="{18C9001E-6F16-450E-BAF3-2DC2A6E0C3B2}"/>
    <cellStyle name="Comma 4 4 8 3" xfId="10922" xr:uid="{3D16DE07-5FE9-4036-AA59-63D830F29868}"/>
    <cellStyle name="Comma 4 4 9" xfId="2702" xr:uid="{00000000-0005-0000-0000-0000240A0000}"/>
    <cellStyle name="Comma 4 5" xfId="157" xr:uid="{00000000-0005-0000-0000-0000250A0000}"/>
    <cellStyle name="Comma 4 5 10" xfId="4628" xr:uid="{00000000-0005-0000-0000-0000260A0000}"/>
    <cellStyle name="Comma 4 5 10 2" xfId="13078" xr:uid="{1237972D-DC0B-4CF2-AD84-AE784FB790CA}"/>
    <cellStyle name="Comma 4 5 11" xfId="8860" xr:uid="{7C10555D-701A-480E-968F-52A9C24C5BC3}"/>
    <cellStyle name="Comma 4 5 2" xfId="158" xr:uid="{00000000-0005-0000-0000-0000270A0000}"/>
    <cellStyle name="Comma 4 5 2 10" xfId="8861" xr:uid="{8F9050B6-512E-42F8-9FB9-186C4BA922AC}"/>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95042F33-35EF-4262-9E7B-EDC6B49929D4}"/>
    <cellStyle name="Comma 4 5 2 2 2 3" xfId="11420" xr:uid="{64FF9E09-E1C0-4FC1-A743-EABAB71D4F51}"/>
    <cellStyle name="Comma 4 5 2 2 3" xfId="5043" xr:uid="{00000000-0005-0000-0000-00002B0A0000}"/>
    <cellStyle name="Comma 4 5 2 2 3 2" xfId="13493" xr:uid="{1A0F0357-FB5A-4911-96AD-A3B6BFBE3DB0}"/>
    <cellStyle name="Comma 4 5 2 2 4" xfId="9275" xr:uid="{590790E3-4C8B-4CF1-A453-D6D761D11DDB}"/>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43C3CAFA-A798-455D-BDCC-840757713EA3}"/>
    <cellStyle name="Comma 4 5 2 3 2 3" xfId="11833" xr:uid="{A7C1622A-678D-4EC6-9105-33A4A8AA4704}"/>
    <cellStyle name="Comma 4 5 2 3 3" xfId="5456" xr:uid="{00000000-0005-0000-0000-00002F0A0000}"/>
    <cellStyle name="Comma 4 5 2 3 3 2" xfId="13906" xr:uid="{907FD720-0F25-46E1-8138-FE9A159C3D85}"/>
    <cellStyle name="Comma 4 5 2 3 4" xfId="9688" xr:uid="{7245F46E-3198-453A-A5A8-D3AA7D5C1392}"/>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0687BE93-EFBB-4139-93F5-DC4E1CFEAAE5}"/>
    <cellStyle name="Comma 4 5 2 4 2 3" xfId="12246" xr:uid="{910B99CA-F8C1-434A-94D4-B8CC728299A6}"/>
    <cellStyle name="Comma 4 5 2 4 3" xfId="5869" xr:uid="{00000000-0005-0000-0000-0000330A0000}"/>
    <cellStyle name="Comma 4 5 2 4 3 2" xfId="14319" xr:uid="{A8DFAE4E-30D0-4526-B2E3-561DBC078192}"/>
    <cellStyle name="Comma 4 5 2 4 4" xfId="10101" xr:uid="{57BF6B04-B8D4-4673-A066-5FF2DFF37245}"/>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F256E9D6-604B-44BE-86C9-1313261EA6C1}"/>
    <cellStyle name="Comma 4 5 2 5 2 3" xfId="12659" xr:uid="{7E817E16-B9DA-44BA-8C42-EAB73FC336F4}"/>
    <cellStyle name="Comma 4 5 2 5 3" xfId="6282" xr:uid="{00000000-0005-0000-0000-0000370A0000}"/>
    <cellStyle name="Comma 4 5 2 5 3 2" xfId="14732" xr:uid="{83A7DD11-3803-4B71-9733-EACEA92F607D}"/>
    <cellStyle name="Comma 4 5 2 5 4" xfId="10514" xr:uid="{31525ED4-EE21-47F4-98A8-2268DE47D8B0}"/>
    <cellStyle name="Comma 4 5 2 6" xfId="2411" xr:uid="{00000000-0005-0000-0000-0000380A0000}"/>
    <cellStyle name="Comma 4 5 2 6 2" xfId="6695" xr:uid="{00000000-0005-0000-0000-0000390A0000}"/>
    <cellStyle name="Comma 4 5 2 6 2 2" xfId="15145" xr:uid="{C10CF015-110A-4AB5-8929-B87D113F83C0}"/>
    <cellStyle name="Comma 4 5 2 6 3" xfId="10927" xr:uid="{5B11ED07-1B82-410E-9CFF-22E45E667CCE}"/>
    <cellStyle name="Comma 4 5 2 7" xfId="2707" xr:uid="{00000000-0005-0000-0000-00003A0A0000}"/>
    <cellStyle name="Comma 4 5 2 8" xfId="2789" xr:uid="{00000000-0005-0000-0000-00003B0A0000}"/>
    <cellStyle name="Comma 4 5 2 8 2" xfId="7012" xr:uid="{00000000-0005-0000-0000-00003C0A0000}"/>
    <cellStyle name="Comma 4 5 2 8 2 2" xfId="15462" xr:uid="{59E0FED1-1648-49C7-AEBB-7E4E9AC6B646}"/>
    <cellStyle name="Comma 4 5 2 8 3" xfId="11244" xr:uid="{7E8A37E9-B46C-497C-AAE9-1C8B28F18392}"/>
    <cellStyle name="Comma 4 5 2 9" xfId="4629" xr:uid="{00000000-0005-0000-0000-00003D0A0000}"/>
    <cellStyle name="Comma 4 5 2 9 2" xfId="13079" xr:uid="{E7C84818-BE35-46CD-B71E-AA8C155E3355}"/>
    <cellStyle name="Comma 4 5 3" xfId="694" xr:uid="{00000000-0005-0000-0000-00003E0A0000}"/>
    <cellStyle name="Comma 4 5 3 2" xfId="2965" xr:uid="{00000000-0005-0000-0000-00003F0A0000}"/>
    <cellStyle name="Comma 4 5 3 2 2" xfId="7187" xr:uid="{00000000-0005-0000-0000-0000400A0000}"/>
    <cellStyle name="Comma 4 5 3 2 2 2" xfId="15637" xr:uid="{B74D94E1-E91B-46C0-8377-DFF180D9E56B}"/>
    <cellStyle name="Comma 4 5 3 2 3" xfId="11419" xr:uid="{EEE5D22D-BF51-4C7B-BDD0-4F9B531715CA}"/>
    <cellStyle name="Comma 4 5 3 3" xfId="5042" xr:uid="{00000000-0005-0000-0000-0000410A0000}"/>
    <cellStyle name="Comma 4 5 3 3 2" xfId="13492" xr:uid="{8655585E-9C24-45C1-B36D-DA1A63C880AE}"/>
    <cellStyle name="Comma 4 5 3 4" xfId="9274" xr:uid="{6303F115-EDB0-45EF-AE79-A1125BF645BE}"/>
    <cellStyle name="Comma 4 5 4" xfId="1147" xr:uid="{00000000-0005-0000-0000-0000420A0000}"/>
    <cellStyle name="Comma 4 5 4 2" xfId="3378" xr:uid="{00000000-0005-0000-0000-0000430A0000}"/>
    <cellStyle name="Comma 4 5 4 2 2" xfId="7600" xr:uid="{00000000-0005-0000-0000-0000440A0000}"/>
    <cellStyle name="Comma 4 5 4 2 2 2" xfId="16050" xr:uid="{8DD96856-1F89-4C90-87FE-A96A52D8F6C9}"/>
    <cellStyle name="Comma 4 5 4 2 3" xfId="11832" xr:uid="{8679A1AB-578B-4402-B691-F720415C4F5E}"/>
    <cellStyle name="Comma 4 5 4 3" xfId="5455" xr:uid="{00000000-0005-0000-0000-0000450A0000}"/>
    <cellStyle name="Comma 4 5 4 3 2" xfId="13905" xr:uid="{B337ABF4-4AAA-4427-9B3F-E78B44B60237}"/>
    <cellStyle name="Comma 4 5 4 4" xfId="9687" xr:uid="{2A1DBB25-2A2F-44E1-A91B-3CC5D592644B}"/>
    <cellStyle name="Comma 4 5 5" xfId="1561" xr:uid="{00000000-0005-0000-0000-0000460A0000}"/>
    <cellStyle name="Comma 4 5 5 2" xfId="3791" xr:uid="{00000000-0005-0000-0000-0000470A0000}"/>
    <cellStyle name="Comma 4 5 5 2 2" xfId="8013" xr:uid="{00000000-0005-0000-0000-0000480A0000}"/>
    <cellStyle name="Comma 4 5 5 2 2 2" xfId="16463" xr:uid="{8A7CE9DA-8DD5-4446-83D0-DCFF41CF9D89}"/>
    <cellStyle name="Comma 4 5 5 2 3" xfId="12245" xr:uid="{669177B0-A93C-4290-A62A-B2F3E85B580C}"/>
    <cellStyle name="Comma 4 5 5 3" xfId="5868" xr:uid="{00000000-0005-0000-0000-0000490A0000}"/>
    <cellStyle name="Comma 4 5 5 3 2" xfId="14318" xr:uid="{F2EBA58E-5F3D-42F5-B864-55902CADED3F}"/>
    <cellStyle name="Comma 4 5 5 4" xfId="10100" xr:uid="{55AC90EE-5ED2-4DBC-8B09-32BFC9C8D1BB}"/>
    <cellStyle name="Comma 4 5 6" xfId="1975" xr:uid="{00000000-0005-0000-0000-00004A0A0000}"/>
    <cellStyle name="Comma 4 5 6 2" xfId="4204" xr:uid="{00000000-0005-0000-0000-00004B0A0000}"/>
    <cellStyle name="Comma 4 5 6 2 2" xfId="8426" xr:uid="{00000000-0005-0000-0000-00004C0A0000}"/>
    <cellStyle name="Comma 4 5 6 2 2 2" xfId="16876" xr:uid="{3F99D594-0B1D-4256-8065-2C9D11086554}"/>
    <cellStyle name="Comma 4 5 6 2 3" xfId="12658" xr:uid="{5BCDC777-7CFC-4F21-821C-08FA6E8F86D7}"/>
    <cellStyle name="Comma 4 5 6 3" xfId="6281" xr:uid="{00000000-0005-0000-0000-00004D0A0000}"/>
    <cellStyle name="Comma 4 5 6 3 2" xfId="14731" xr:uid="{859A24DF-3798-47D5-AB28-0F05F2C10788}"/>
    <cellStyle name="Comma 4 5 6 4" xfId="10513" xr:uid="{2245874D-37BD-4C4D-8906-71782002CC4B}"/>
    <cellStyle name="Comma 4 5 7" xfId="2410" xr:uid="{00000000-0005-0000-0000-00004E0A0000}"/>
    <cellStyle name="Comma 4 5 7 2" xfId="6694" xr:uid="{00000000-0005-0000-0000-00004F0A0000}"/>
    <cellStyle name="Comma 4 5 7 2 2" xfId="15144" xr:uid="{DA116CEF-3FF5-4037-8FD0-2069A71B3DC6}"/>
    <cellStyle name="Comma 4 5 7 3" xfId="10926" xr:uid="{270EB1A9-BECC-4130-B940-FBAA4916EC55}"/>
    <cellStyle name="Comma 4 5 8" xfId="2706" xr:uid="{00000000-0005-0000-0000-0000500A0000}"/>
    <cellStyle name="Comma 4 5 9" xfId="2788" xr:uid="{00000000-0005-0000-0000-0000510A0000}"/>
    <cellStyle name="Comma 4 5 9 2" xfId="7011" xr:uid="{00000000-0005-0000-0000-0000520A0000}"/>
    <cellStyle name="Comma 4 5 9 2 2" xfId="15461" xr:uid="{B1F3894C-1AF2-49A9-800B-BD1E07E6EE6C}"/>
    <cellStyle name="Comma 4 5 9 3" xfId="11243" xr:uid="{E03C31E7-BB20-421A-9A37-983B9246C18E}"/>
    <cellStyle name="Comma 4 6" xfId="159" xr:uid="{00000000-0005-0000-0000-0000530A0000}"/>
    <cellStyle name="Comma 4 6 10" xfId="8862" xr:uid="{6ADC2BB9-7B4A-4C23-9F81-E966E68B5E5D}"/>
    <cellStyle name="Comma 4 6 2" xfId="696" xr:uid="{00000000-0005-0000-0000-0000540A0000}"/>
    <cellStyle name="Comma 4 6 2 2" xfId="2967" xr:uid="{00000000-0005-0000-0000-0000550A0000}"/>
    <cellStyle name="Comma 4 6 2 2 2" xfId="7189" xr:uid="{00000000-0005-0000-0000-0000560A0000}"/>
    <cellStyle name="Comma 4 6 2 2 2 2" xfId="15639" xr:uid="{70DCF411-608A-45C0-B054-C37E59759CC9}"/>
    <cellStyle name="Comma 4 6 2 2 3" xfId="11421" xr:uid="{6EB28B0C-3943-4B1F-A87D-2C9E922E8DB1}"/>
    <cellStyle name="Comma 4 6 2 3" xfId="5044" xr:uid="{00000000-0005-0000-0000-0000570A0000}"/>
    <cellStyle name="Comma 4 6 2 3 2" xfId="13494" xr:uid="{FE809035-B928-4F04-951C-AFF3325FA6D6}"/>
    <cellStyle name="Comma 4 6 2 4" xfId="9276" xr:uid="{EC7F6E19-C4B1-473C-BBBF-1EF1A5956CFA}"/>
    <cellStyle name="Comma 4 6 3" xfId="1149" xr:uid="{00000000-0005-0000-0000-0000580A0000}"/>
    <cellStyle name="Comma 4 6 3 2" xfId="3380" xr:uid="{00000000-0005-0000-0000-0000590A0000}"/>
    <cellStyle name="Comma 4 6 3 2 2" xfId="7602" xr:uid="{00000000-0005-0000-0000-00005A0A0000}"/>
    <cellStyle name="Comma 4 6 3 2 2 2" xfId="16052" xr:uid="{492A7B17-9E88-4709-896D-0FE8116DF1A2}"/>
    <cellStyle name="Comma 4 6 3 2 3" xfId="11834" xr:uid="{987326D4-834F-402C-A941-4895C9233EB4}"/>
    <cellStyle name="Comma 4 6 3 3" xfId="5457" xr:uid="{00000000-0005-0000-0000-00005B0A0000}"/>
    <cellStyle name="Comma 4 6 3 3 2" xfId="13907" xr:uid="{54A056F2-8D36-447C-BB02-1F5EA98D8D9C}"/>
    <cellStyle name="Comma 4 6 3 4" xfId="9689" xr:uid="{5E2AFFAF-89EE-45C1-BADD-1A35DBCBFDE5}"/>
    <cellStyle name="Comma 4 6 4" xfId="1563" xr:uid="{00000000-0005-0000-0000-00005C0A0000}"/>
    <cellStyle name="Comma 4 6 4 2" xfId="3793" xr:uid="{00000000-0005-0000-0000-00005D0A0000}"/>
    <cellStyle name="Comma 4 6 4 2 2" xfId="8015" xr:uid="{00000000-0005-0000-0000-00005E0A0000}"/>
    <cellStyle name="Comma 4 6 4 2 2 2" xfId="16465" xr:uid="{9D9EB300-2CCF-46E2-BC85-C08C1C102C4C}"/>
    <cellStyle name="Comma 4 6 4 2 3" xfId="12247" xr:uid="{3B440454-6B8D-44E7-BAD5-FEE541447224}"/>
    <cellStyle name="Comma 4 6 4 3" xfId="5870" xr:uid="{00000000-0005-0000-0000-00005F0A0000}"/>
    <cellStyle name="Comma 4 6 4 3 2" xfId="14320" xr:uid="{788892E5-0374-408D-A89E-BA7CF2A650D9}"/>
    <cellStyle name="Comma 4 6 4 4" xfId="10102" xr:uid="{0F970EA9-ECD5-4C89-B3E5-CD53BB975B77}"/>
    <cellStyle name="Comma 4 6 5" xfId="1977" xr:uid="{00000000-0005-0000-0000-0000600A0000}"/>
    <cellStyle name="Comma 4 6 5 2" xfId="4206" xr:uid="{00000000-0005-0000-0000-0000610A0000}"/>
    <cellStyle name="Comma 4 6 5 2 2" xfId="8428" xr:uid="{00000000-0005-0000-0000-0000620A0000}"/>
    <cellStyle name="Comma 4 6 5 2 2 2" xfId="16878" xr:uid="{2BAB23D3-3E89-4B96-8215-3752D62B828C}"/>
    <cellStyle name="Comma 4 6 5 2 3" xfId="12660" xr:uid="{25BA6BEE-FC26-4F1D-AC6B-573633BB790F}"/>
    <cellStyle name="Comma 4 6 5 3" xfId="6283" xr:uid="{00000000-0005-0000-0000-0000630A0000}"/>
    <cellStyle name="Comma 4 6 5 3 2" xfId="14733" xr:uid="{A1FC7314-7C98-4AAB-9F11-0A13C296E9A2}"/>
    <cellStyle name="Comma 4 6 5 4" xfId="10515" xr:uid="{40935830-7308-4DF6-85E9-BF1D49A99010}"/>
    <cellStyle name="Comma 4 6 6" xfId="2412" xr:uid="{00000000-0005-0000-0000-0000640A0000}"/>
    <cellStyle name="Comma 4 6 6 2" xfId="6696" xr:uid="{00000000-0005-0000-0000-0000650A0000}"/>
    <cellStyle name="Comma 4 6 6 2 2" xfId="15146" xr:uid="{D9A07869-DA27-4334-AB06-FAF325982E02}"/>
    <cellStyle name="Comma 4 6 6 3" xfId="10928" xr:uid="{64B765DD-9EF6-405B-9B4A-6DEF4BB6F5D6}"/>
    <cellStyle name="Comma 4 6 7" xfId="2708" xr:uid="{00000000-0005-0000-0000-0000660A0000}"/>
    <cellStyle name="Comma 4 6 8" xfId="2790" xr:uid="{00000000-0005-0000-0000-0000670A0000}"/>
    <cellStyle name="Comma 4 6 8 2" xfId="7013" xr:uid="{00000000-0005-0000-0000-0000680A0000}"/>
    <cellStyle name="Comma 4 6 8 2 2" xfId="15463" xr:uid="{EA341102-8B69-4FE3-BB22-01663FBC705E}"/>
    <cellStyle name="Comma 4 6 8 3" xfId="11245" xr:uid="{B73E85F9-FFD3-47F8-8C01-F3C2ABBB0D03}"/>
    <cellStyle name="Comma 4 6 9" xfId="4630" xr:uid="{00000000-0005-0000-0000-0000690A0000}"/>
    <cellStyle name="Comma 4 6 9 2" xfId="13080" xr:uid="{F2B21A37-B68F-4695-9444-610FA3233050}"/>
    <cellStyle name="Comma 4 7" xfId="160" xr:uid="{00000000-0005-0000-0000-00006A0A0000}"/>
    <cellStyle name="Comma 4 7 10" xfId="8863" xr:uid="{D92B9768-CE87-42EE-93EA-403A64532E63}"/>
    <cellStyle name="Comma 4 7 2" xfId="697" xr:uid="{00000000-0005-0000-0000-00006B0A0000}"/>
    <cellStyle name="Comma 4 7 2 2" xfId="2968" xr:uid="{00000000-0005-0000-0000-00006C0A0000}"/>
    <cellStyle name="Comma 4 7 2 2 2" xfId="7190" xr:uid="{00000000-0005-0000-0000-00006D0A0000}"/>
    <cellStyle name="Comma 4 7 2 2 2 2" xfId="15640" xr:uid="{DB5A77E4-3CE7-4EE3-80F6-EFBD4C3ADC1D}"/>
    <cellStyle name="Comma 4 7 2 2 3" xfId="11422" xr:uid="{9DAA2E95-2019-4177-A495-D36424C25382}"/>
    <cellStyle name="Comma 4 7 2 3" xfId="5045" xr:uid="{00000000-0005-0000-0000-00006E0A0000}"/>
    <cellStyle name="Comma 4 7 2 3 2" xfId="13495" xr:uid="{4A3EF15F-3E59-40E9-9ED6-AF55771726AA}"/>
    <cellStyle name="Comma 4 7 2 4" xfId="9277" xr:uid="{42273688-3F09-46EF-BD8A-23975E5C164A}"/>
    <cellStyle name="Comma 4 7 3" xfId="1150" xr:uid="{00000000-0005-0000-0000-00006F0A0000}"/>
    <cellStyle name="Comma 4 7 3 2" xfId="3381" xr:uid="{00000000-0005-0000-0000-0000700A0000}"/>
    <cellStyle name="Comma 4 7 3 2 2" xfId="7603" xr:uid="{00000000-0005-0000-0000-0000710A0000}"/>
    <cellStyle name="Comma 4 7 3 2 2 2" xfId="16053" xr:uid="{7A42B7DC-C73E-4923-9EBE-051CD52CEDE1}"/>
    <cellStyle name="Comma 4 7 3 2 3" xfId="11835" xr:uid="{7E82B9ED-6248-4FE4-AC32-DEB6A8127BC9}"/>
    <cellStyle name="Comma 4 7 3 3" xfId="5458" xr:uid="{00000000-0005-0000-0000-0000720A0000}"/>
    <cellStyle name="Comma 4 7 3 3 2" xfId="13908" xr:uid="{0E6AE2A9-A289-4443-8BBB-29A27DD6AAAD}"/>
    <cellStyle name="Comma 4 7 3 4" xfId="9690" xr:uid="{0BAED608-1E39-4881-8BC9-15BF690BB19C}"/>
    <cellStyle name="Comma 4 7 4" xfId="1564" xr:uid="{00000000-0005-0000-0000-0000730A0000}"/>
    <cellStyle name="Comma 4 7 4 2" xfId="3794" xr:uid="{00000000-0005-0000-0000-0000740A0000}"/>
    <cellStyle name="Comma 4 7 4 2 2" xfId="8016" xr:uid="{00000000-0005-0000-0000-0000750A0000}"/>
    <cellStyle name="Comma 4 7 4 2 2 2" xfId="16466" xr:uid="{4A560B17-741D-49CF-BF92-9DA599EC8B7B}"/>
    <cellStyle name="Comma 4 7 4 2 3" xfId="12248" xr:uid="{CA3DF81C-06C3-40C2-A720-F72AD82CCA3C}"/>
    <cellStyle name="Comma 4 7 4 3" xfId="5871" xr:uid="{00000000-0005-0000-0000-0000760A0000}"/>
    <cellStyle name="Comma 4 7 4 3 2" xfId="14321" xr:uid="{89D40D57-4B75-4CE0-A9E2-46140B5C18D9}"/>
    <cellStyle name="Comma 4 7 4 4" xfId="10103" xr:uid="{196748B5-F154-4143-84B4-34026B294913}"/>
    <cellStyle name="Comma 4 7 5" xfId="1978" xr:uid="{00000000-0005-0000-0000-0000770A0000}"/>
    <cellStyle name="Comma 4 7 5 2" xfId="4207" xr:uid="{00000000-0005-0000-0000-0000780A0000}"/>
    <cellStyle name="Comma 4 7 5 2 2" xfId="8429" xr:uid="{00000000-0005-0000-0000-0000790A0000}"/>
    <cellStyle name="Comma 4 7 5 2 2 2" xfId="16879" xr:uid="{F801B267-6D2E-4E86-98AF-E540865F8D7A}"/>
    <cellStyle name="Comma 4 7 5 2 3" xfId="12661" xr:uid="{A9DBA1EC-CBAE-4A14-BB91-67E421177133}"/>
    <cellStyle name="Comma 4 7 5 3" xfId="6284" xr:uid="{00000000-0005-0000-0000-00007A0A0000}"/>
    <cellStyle name="Comma 4 7 5 3 2" xfId="14734" xr:uid="{B072BEA1-DF01-4FFD-94C4-3AF7283C4F32}"/>
    <cellStyle name="Comma 4 7 5 4" xfId="10516" xr:uid="{073F1E5B-970E-4495-B8F8-BCB51BC4A2CB}"/>
    <cellStyle name="Comma 4 7 6" xfId="2413" xr:uid="{00000000-0005-0000-0000-00007B0A0000}"/>
    <cellStyle name="Comma 4 7 6 2" xfId="6697" xr:uid="{00000000-0005-0000-0000-00007C0A0000}"/>
    <cellStyle name="Comma 4 7 6 2 2" xfId="15147" xr:uid="{84CBC5FF-D9F8-4F1B-B9DD-0965562B72AB}"/>
    <cellStyle name="Comma 4 7 6 3" xfId="10929" xr:uid="{A6BD0F77-61FC-4740-BF5D-6EF4F7B5433E}"/>
    <cellStyle name="Comma 4 7 7" xfId="2709" xr:uid="{00000000-0005-0000-0000-00007D0A0000}"/>
    <cellStyle name="Comma 4 7 8" xfId="2791" xr:uid="{00000000-0005-0000-0000-00007E0A0000}"/>
    <cellStyle name="Comma 4 7 8 2" xfId="7014" xr:uid="{00000000-0005-0000-0000-00007F0A0000}"/>
    <cellStyle name="Comma 4 7 8 2 2" xfId="15464" xr:uid="{7B381882-552B-4CC9-BE8E-75505B140AC4}"/>
    <cellStyle name="Comma 4 7 8 3" xfId="11246" xr:uid="{8E891E55-7565-49C4-A8B9-75AB5440AB52}"/>
    <cellStyle name="Comma 4 7 9" xfId="4631" xr:uid="{00000000-0005-0000-0000-0000800A0000}"/>
    <cellStyle name="Comma 4 7 9 2" xfId="13081" xr:uid="{75EAB75D-F0E8-4A8F-B5C9-658A5A348E6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1866B4FA-FBB2-4A3E-90D2-EBE9D5D3B37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4961EBC2-2606-4093-85CB-1E6A594E7F5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AF81C3A0-9B97-4BA3-A3D7-7E146E5A2E30}"/>
    <cellStyle name="Currency 14 3 2 2 2 3" xfId="17179" xr:uid="{C2B46476-04B4-477A-8D6E-ACAD5C33D8FB}"/>
    <cellStyle name="Currency 14 3 2 2 3" xfId="17175" xr:uid="{1E568E26-BD87-4F7C-B014-55D90E1AB9BE}"/>
    <cellStyle name="Currency 14 3 2 3" xfId="17172" xr:uid="{C04E5D5F-6D6B-4812-B77B-9AEB82629669}"/>
    <cellStyle name="Currency 14 3 3" xfId="17169" xr:uid="{7AED3C5E-04AC-41A5-A911-0AA2A090F0F2}"/>
    <cellStyle name="Currency 14 4" xfId="12952" xr:uid="{65FD730D-C552-4606-828D-0118F97752C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8B7204F9-C37A-4810-9DCD-41E4DF5C8C02}"/>
    <cellStyle name="Currency 3 2 2 10 3" xfId="11247" xr:uid="{D1008205-3101-4949-A674-1F6F3F9B2AED}"/>
    <cellStyle name="Currency 3 2 2 11" xfId="4632" xr:uid="{00000000-0005-0000-0000-0000A50A0000}"/>
    <cellStyle name="Currency 3 2 2 11 2" xfId="13082" xr:uid="{7ECDFDF2-2AE5-49D7-B841-27EE0B2EB14B}"/>
    <cellStyle name="Currency 3 2 2 12" xfId="8864" xr:uid="{00B99BB5-F1FC-4318-BA35-8535F6DC32F3}"/>
    <cellStyle name="Currency 3 2 2 2" xfId="179" xr:uid="{00000000-0005-0000-0000-0000A60A0000}"/>
    <cellStyle name="Currency 3 2 2 2 10" xfId="4633" xr:uid="{00000000-0005-0000-0000-0000A70A0000}"/>
    <cellStyle name="Currency 3 2 2 2 10 2" xfId="13083" xr:uid="{2ACD59EE-5154-48BF-AB59-99F070AABE55}"/>
    <cellStyle name="Currency 3 2 2 2 11" xfId="8865" xr:uid="{D3EEC537-439C-4F15-A9E4-D1865F15F518}"/>
    <cellStyle name="Currency 3 2 2 2 2" xfId="180" xr:uid="{00000000-0005-0000-0000-0000A80A0000}"/>
    <cellStyle name="Currency 3 2 2 2 2 10" xfId="8866" xr:uid="{F8D52936-8E89-4852-90D8-7EF87BE62FD2}"/>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D752A346-CF22-495D-92D1-1B5CD98A7D4C}"/>
    <cellStyle name="Currency 3 2 2 2 2 2 2 3" xfId="11425" xr:uid="{66C485AA-7A7A-4C77-8BB0-C39BFFAA4987}"/>
    <cellStyle name="Currency 3 2 2 2 2 2 3" xfId="5048" xr:uid="{00000000-0005-0000-0000-0000AC0A0000}"/>
    <cellStyle name="Currency 3 2 2 2 2 2 3 2" xfId="13498" xr:uid="{A4C3D5CA-35D7-4689-9E3A-7E276FB4F8E6}"/>
    <cellStyle name="Currency 3 2 2 2 2 2 4" xfId="9280" xr:uid="{BA6AA36F-9E34-428D-BA6A-7EFEAF905AAB}"/>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A1D7B947-A223-4AD3-B832-5994E7D3BC7B}"/>
    <cellStyle name="Currency 3 2 2 2 2 3 2 3" xfId="11838" xr:uid="{46E0E1A7-DB13-4F7D-869B-99BD61E4D0C7}"/>
    <cellStyle name="Currency 3 2 2 2 2 3 3" xfId="5461" xr:uid="{00000000-0005-0000-0000-0000B00A0000}"/>
    <cellStyle name="Currency 3 2 2 2 2 3 3 2" xfId="13911" xr:uid="{DD85C253-8F7C-4C69-B071-25322662C5F1}"/>
    <cellStyle name="Currency 3 2 2 2 2 3 4" xfId="9693" xr:uid="{0384A852-B99F-44F6-8B5C-4F3F88D99C06}"/>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5864E155-3A5C-404A-B5F4-64C2B5890F25}"/>
    <cellStyle name="Currency 3 2 2 2 2 4 2 3" xfId="12251" xr:uid="{380DAC42-74D4-421F-93CB-F9018A593250}"/>
    <cellStyle name="Currency 3 2 2 2 2 4 3" xfId="5874" xr:uid="{00000000-0005-0000-0000-0000B40A0000}"/>
    <cellStyle name="Currency 3 2 2 2 2 4 3 2" xfId="14324" xr:uid="{30FCA74E-70BB-45F9-98EC-3A5DEF37C50D}"/>
    <cellStyle name="Currency 3 2 2 2 2 4 4" xfId="10106" xr:uid="{65858029-BD42-4AF4-8D90-A0F03411A1E2}"/>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CE1A4926-B7E3-4323-8FE9-20E1EFFCDD93}"/>
    <cellStyle name="Currency 3 2 2 2 2 5 2 3" xfId="12664" xr:uid="{E1B0BD29-93AD-467B-9D34-A46982FBCE2C}"/>
    <cellStyle name="Currency 3 2 2 2 2 5 3" xfId="6287" xr:uid="{00000000-0005-0000-0000-0000B80A0000}"/>
    <cellStyle name="Currency 3 2 2 2 2 5 3 2" xfId="14737" xr:uid="{1B2C4EC7-27D6-4DDE-9D1F-E272C299B8E3}"/>
    <cellStyle name="Currency 3 2 2 2 2 5 4" xfId="10519" xr:uid="{B47870EB-73C9-42B7-8326-7351352A072C}"/>
    <cellStyle name="Currency 3 2 2 2 2 6" xfId="2416" xr:uid="{00000000-0005-0000-0000-0000B90A0000}"/>
    <cellStyle name="Currency 3 2 2 2 2 6 2" xfId="6700" xr:uid="{00000000-0005-0000-0000-0000BA0A0000}"/>
    <cellStyle name="Currency 3 2 2 2 2 6 2 2" xfId="15150" xr:uid="{49003EF2-F19C-40A9-BF1B-0D4FAA07AA85}"/>
    <cellStyle name="Currency 3 2 2 2 2 6 3" xfId="10932" xr:uid="{0C35A58B-CEDD-4595-B907-3E84B4770BB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437BE3E6-ABD5-458B-BEE2-126567263A96}"/>
    <cellStyle name="Currency 3 2 2 2 2 8 3" xfId="11249" xr:uid="{77623FAA-7F94-41EE-837D-D8C906758AE9}"/>
    <cellStyle name="Currency 3 2 2 2 2 9" xfId="4634" xr:uid="{00000000-0005-0000-0000-0000BE0A0000}"/>
    <cellStyle name="Currency 3 2 2 2 2 9 2" xfId="13084" xr:uid="{4017DD94-7DE1-47E8-B1F5-D7AB4CB9E01F}"/>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D3FE1B8E-83BC-45A7-925A-11353947DD01}"/>
    <cellStyle name="Currency 3 2 2 2 3 2 3" xfId="11424" xr:uid="{C18DF90A-520A-4221-844B-D5C248DA1606}"/>
    <cellStyle name="Currency 3 2 2 2 3 3" xfId="5047" xr:uid="{00000000-0005-0000-0000-0000C20A0000}"/>
    <cellStyle name="Currency 3 2 2 2 3 3 2" xfId="13497" xr:uid="{551DDFC5-E854-4D22-9C1B-FB760ACEE69C}"/>
    <cellStyle name="Currency 3 2 2 2 3 4" xfId="9279" xr:uid="{129C3004-F408-41C2-8652-5D260D34B4CA}"/>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EDEBA03B-84BA-4C98-BFB3-B026FD939AC4}"/>
    <cellStyle name="Currency 3 2 2 2 4 2 3" xfId="11837" xr:uid="{A595AEC8-3359-44C9-9461-BB343F9451A2}"/>
    <cellStyle name="Currency 3 2 2 2 4 3" xfId="5460" xr:uid="{00000000-0005-0000-0000-0000C60A0000}"/>
    <cellStyle name="Currency 3 2 2 2 4 3 2" xfId="13910" xr:uid="{94A7E65D-C988-4996-A2ED-179EDA6779F5}"/>
    <cellStyle name="Currency 3 2 2 2 4 4" xfId="9692" xr:uid="{17A5CF26-833F-4C0E-A130-CF6F9976657F}"/>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CE1C9477-ECE1-4091-B421-09D2FF8272F9}"/>
    <cellStyle name="Currency 3 2 2 2 5 2 3" xfId="12250" xr:uid="{BE6140FC-2FF8-4C0B-A087-8D95FFC94E02}"/>
    <cellStyle name="Currency 3 2 2 2 5 3" xfId="5873" xr:uid="{00000000-0005-0000-0000-0000CA0A0000}"/>
    <cellStyle name="Currency 3 2 2 2 5 3 2" xfId="14323" xr:uid="{5DECF93F-8D0C-482E-986D-9A7EC7DFFA31}"/>
    <cellStyle name="Currency 3 2 2 2 5 4" xfId="10105" xr:uid="{3D4F464D-B51D-4360-8AD2-4975F453DBF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D143BA84-4871-43B2-974B-9EBAD067303F}"/>
    <cellStyle name="Currency 3 2 2 2 6 2 3" xfId="12663" xr:uid="{2FDEF54E-E6B8-4A0C-A61E-9A2FA30EB9F3}"/>
    <cellStyle name="Currency 3 2 2 2 6 3" xfId="6286" xr:uid="{00000000-0005-0000-0000-0000CE0A0000}"/>
    <cellStyle name="Currency 3 2 2 2 6 3 2" xfId="14736" xr:uid="{77A68278-2B00-429E-89D0-D3CC4ECC17E5}"/>
    <cellStyle name="Currency 3 2 2 2 6 4" xfId="10518" xr:uid="{AF91051C-C247-4822-B5B8-DBFEDC40F954}"/>
    <cellStyle name="Currency 3 2 2 2 7" xfId="2415" xr:uid="{00000000-0005-0000-0000-0000CF0A0000}"/>
    <cellStyle name="Currency 3 2 2 2 7 2" xfId="6699" xr:uid="{00000000-0005-0000-0000-0000D00A0000}"/>
    <cellStyle name="Currency 3 2 2 2 7 2 2" xfId="15149" xr:uid="{DFF60308-65EA-4553-92F3-D3D25EF91969}"/>
    <cellStyle name="Currency 3 2 2 2 7 3" xfId="10931" xr:uid="{E22F3A79-9139-40E3-AAD9-3D9B35575C34}"/>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505769B4-5777-4502-B715-7C3213582F90}"/>
    <cellStyle name="Currency 3 2 2 2 9 3" xfId="11248" xr:uid="{DC1ED3A1-8392-4313-85ED-572331F51CF8}"/>
    <cellStyle name="Currency 3 2 2 3" xfId="181" xr:uid="{00000000-0005-0000-0000-0000D40A0000}"/>
    <cellStyle name="Currency 3 2 2 3 10" xfId="8867" xr:uid="{E9D38867-F9D0-40BD-A8FE-0FF701BA344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82FEE4A8-E810-438D-9052-5BA018909AE0}"/>
    <cellStyle name="Currency 3 2 2 3 2 2 3" xfId="11426" xr:uid="{E5E19AB2-00FE-4BC1-B5B3-BF3162D7E79D}"/>
    <cellStyle name="Currency 3 2 2 3 2 3" xfId="5049" xr:uid="{00000000-0005-0000-0000-0000D80A0000}"/>
    <cellStyle name="Currency 3 2 2 3 2 3 2" xfId="13499" xr:uid="{9854A8A3-B4B4-4D70-A87E-AA6D790FD304}"/>
    <cellStyle name="Currency 3 2 2 3 2 4" xfId="9281" xr:uid="{CD981127-7264-4DA1-A8FA-7252B2E74FB4}"/>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9DC29B89-2805-47DE-B1AD-4BF3CC9C1B0E}"/>
    <cellStyle name="Currency 3 2 2 3 3 2 3" xfId="11839" xr:uid="{64934D5B-55E6-45D3-82F3-81E7708A5692}"/>
    <cellStyle name="Currency 3 2 2 3 3 3" xfId="5462" xr:uid="{00000000-0005-0000-0000-0000DC0A0000}"/>
    <cellStyle name="Currency 3 2 2 3 3 3 2" xfId="13912" xr:uid="{59DB9EC0-6BDE-40DC-811E-156B10FEC5FB}"/>
    <cellStyle name="Currency 3 2 2 3 3 4" xfId="9694" xr:uid="{54620A20-4E87-40E6-8C4C-12013D0C608D}"/>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D20DA232-D993-41C8-891A-1D55A887D3E5}"/>
    <cellStyle name="Currency 3 2 2 3 4 2 3" xfId="12252" xr:uid="{E4F4E51E-8792-4FB0-932F-A39CD686603E}"/>
    <cellStyle name="Currency 3 2 2 3 4 3" xfId="5875" xr:uid="{00000000-0005-0000-0000-0000E00A0000}"/>
    <cellStyle name="Currency 3 2 2 3 4 3 2" xfId="14325" xr:uid="{2541D0D0-C915-4331-824B-3F01B6549341}"/>
    <cellStyle name="Currency 3 2 2 3 4 4" xfId="10107" xr:uid="{0CC1A86B-F4E8-425F-8B0B-3D1A771F9497}"/>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E42F9E3E-F5C5-4895-9882-1509A8EE040A}"/>
    <cellStyle name="Currency 3 2 2 3 5 2 3" xfId="12665" xr:uid="{904CDF54-71E8-4A04-9F8E-1A33E36A7D08}"/>
    <cellStyle name="Currency 3 2 2 3 5 3" xfId="6288" xr:uid="{00000000-0005-0000-0000-0000E40A0000}"/>
    <cellStyle name="Currency 3 2 2 3 5 3 2" xfId="14738" xr:uid="{C2356CDA-9C5B-4604-A752-CB02F929FC34}"/>
    <cellStyle name="Currency 3 2 2 3 5 4" xfId="10520" xr:uid="{515C5F54-97EC-4173-B73B-894B83685FAD}"/>
    <cellStyle name="Currency 3 2 2 3 6" xfId="2417" xr:uid="{00000000-0005-0000-0000-0000E50A0000}"/>
    <cellStyle name="Currency 3 2 2 3 6 2" xfId="6701" xr:uid="{00000000-0005-0000-0000-0000E60A0000}"/>
    <cellStyle name="Currency 3 2 2 3 6 2 2" xfId="15151" xr:uid="{09B17DA2-E0CF-4D65-BD20-FF15483E512D}"/>
    <cellStyle name="Currency 3 2 2 3 6 3" xfId="10933" xr:uid="{8B3F71AA-D813-4CBE-9B68-D66ACFD954CE}"/>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30D99DA8-514C-46E9-827F-2100B1F4639D}"/>
    <cellStyle name="Currency 3 2 2 3 8 3" xfId="11250" xr:uid="{5A4D5297-6740-4123-82CB-08F196D9683B}"/>
    <cellStyle name="Currency 3 2 2 3 9" xfId="4635" xr:uid="{00000000-0005-0000-0000-0000EA0A0000}"/>
    <cellStyle name="Currency 3 2 2 3 9 2" xfId="13085" xr:uid="{A3FBFA11-C2A8-4875-BDAD-3AAC3A83D148}"/>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DCAF1923-CE08-445F-9FB4-F367DC6FE871}"/>
    <cellStyle name="Currency 3 2 2 4 2 3" xfId="11423" xr:uid="{9B5A6D25-7FFB-4B49-87F1-388283C2583F}"/>
    <cellStyle name="Currency 3 2 2 4 3" xfId="5046" xr:uid="{00000000-0005-0000-0000-0000EE0A0000}"/>
    <cellStyle name="Currency 3 2 2 4 3 2" xfId="13496" xr:uid="{FB53273E-7C03-4743-87F0-648C206A8BD4}"/>
    <cellStyle name="Currency 3 2 2 4 4" xfId="9278" xr:uid="{0DD57DBD-B58B-4721-B637-22289335302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A5D250B8-33AD-48BC-89F5-7387EFA58180}"/>
    <cellStyle name="Currency 3 2 2 5 2 3" xfId="11836" xr:uid="{620A4AF0-9B73-4CD8-8002-DAC98FEEBB54}"/>
    <cellStyle name="Currency 3 2 2 5 3" xfId="5459" xr:uid="{00000000-0005-0000-0000-0000F20A0000}"/>
    <cellStyle name="Currency 3 2 2 5 3 2" xfId="13909" xr:uid="{09785F2A-DE58-48ED-8B32-ADF5713720A8}"/>
    <cellStyle name="Currency 3 2 2 5 4" xfId="9691" xr:uid="{B9D78EA2-D432-4DF4-A14A-9E19A5A42B6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18AF2270-1EEE-4AAE-82D4-A8A2B0FE4994}"/>
    <cellStyle name="Currency 3 2 2 6 2 3" xfId="12249" xr:uid="{EDC4CEA8-3C60-4D95-91F9-AECCCEC2111D}"/>
    <cellStyle name="Currency 3 2 2 6 3" xfId="5872" xr:uid="{00000000-0005-0000-0000-0000F60A0000}"/>
    <cellStyle name="Currency 3 2 2 6 3 2" xfId="14322" xr:uid="{CDFDE734-C872-452F-A398-352E47B7354E}"/>
    <cellStyle name="Currency 3 2 2 6 4" xfId="10104" xr:uid="{E8B47A1F-FCF2-4AA0-8AFA-966B51E2119B}"/>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25DDF2A6-B903-4BF3-8197-D56D1176CF9E}"/>
    <cellStyle name="Currency 3 2 2 7 2 3" xfId="12662" xr:uid="{F3195316-3B9C-4DEE-980D-6F2D2E33FAD9}"/>
    <cellStyle name="Currency 3 2 2 7 3" xfId="6285" xr:uid="{00000000-0005-0000-0000-0000FA0A0000}"/>
    <cellStyle name="Currency 3 2 2 7 3 2" xfId="14735" xr:uid="{5D1C3C68-6280-48D6-B369-6DC5492D1064}"/>
    <cellStyle name="Currency 3 2 2 7 4" xfId="10517" xr:uid="{55E9F9EA-A314-465E-B4BC-BA93F833AD02}"/>
    <cellStyle name="Currency 3 2 2 8" xfId="2414" xr:uid="{00000000-0005-0000-0000-0000FB0A0000}"/>
    <cellStyle name="Currency 3 2 2 8 2" xfId="6698" xr:uid="{00000000-0005-0000-0000-0000FC0A0000}"/>
    <cellStyle name="Currency 3 2 2 8 2 2" xfId="15148" xr:uid="{DA39B540-68B3-4F3F-B986-C3DDB926840A}"/>
    <cellStyle name="Currency 3 2 2 8 3" xfId="10930" xr:uid="{BF97D3F8-2F2C-4E99-82A2-08A82C418BC4}"/>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DFDBBD41-6850-464B-8AB9-8B012B548911}"/>
    <cellStyle name="Currency 3 2 3 11" xfId="8868" xr:uid="{2F282B4C-A548-4ECC-A58A-265179B62D0A}"/>
    <cellStyle name="Currency 3 2 3 2" xfId="183" xr:uid="{00000000-0005-0000-0000-0000000B0000}"/>
    <cellStyle name="Currency 3 2 3 2 10" xfId="8869" xr:uid="{DE0D2D4A-B19C-4498-89B9-EA339A378FE7}"/>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D00752DD-BCB9-4A11-AF0D-C7F3C9462B48}"/>
    <cellStyle name="Currency 3 2 3 2 2 2 3" xfId="11428" xr:uid="{D7512517-5539-4920-B283-242D3D9A3CC7}"/>
    <cellStyle name="Currency 3 2 3 2 2 3" xfId="5051" xr:uid="{00000000-0005-0000-0000-0000040B0000}"/>
    <cellStyle name="Currency 3 2 3 2 2 3 2" xfId="13501" xr:uid="{7A8B9709-DC80-411B-AE0D-FA9E401487A0}"/>
    <cellStyle name="Currency 3 2 3 2 2 4" xfId="9283" xr:uid="{7829D68D-A257-4D89-ABB5-690A0A3EEC8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D9457B61-A9AF-4F9B-A96E-EF8A9083929D}"/>
    <cellStyle name="Currency 3 2 3 2 3 2 3" xfId="11841" xr:uid="{B2478005-F1F2-48DE-97FC-7F41C1B0CB0F}"/>
    <cellStyle name="Currency 3 2 3 2 3 3" xfId="5464" xr:uid="{00000000-0005-0000-0000-0000080B0000}"/>
    <cellStyle name="Currency 3 2 3 2 3 3 2" xfId="13914" xr:uid="{43129D0B-E067-445C-BFBA-7E4521358741}"/>
    <cellStyle name="Currency 3 2 3 2 3 4" xfId="9696" xr:uid="{3269BE98-9C63-4F84-A2D2-0D07931C128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07DF29FA-3899-4E6C-A93D-99447391590C}"/>
    <cellStyle name="Currency 3 2 3 2 4 2 3" xfId="12254" xr:uid="{84A2B564-B606-4942-9753-2FDA0659CEF7}"/>
    <cellStyle name="Currency 3 2 3 2 4 3" xfId="5877" xr:uid="{00000000-0005-0000-0000-00000C0B0000}"/>
    <cellStyle name="Currency 3 2 3 2 4 3 2" xfId="14327" xr:uid="{92601AB7-06E4-48D3-A8DC-0464142C60C7}"/>
    <cellStyle name="Currency 3 2 3 2 4 4" xfId="10109" xr:uid="{4F3907EC-540A-41A3-810A-8A43CA3EB1C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E0312405-4086-44FE-86E9-C7937FF3E998}"/>
    <cellStyle name="Currency 3 2 3 2 5 2 3" xfId="12667" xr:uid="{0877656C-3F6B-4618-9EDA-FC29D952976E}"/>
    <cellStyle name="Currency 3 2 3 2 5 3" xfId="6290" xr:uid="{00000000-0005-0000-0000-0000100B0000}"/>
    <cellStyle name="Currency 3 2 3 2 5 3 2" xfId="14740" xr:uid="{675040B1-E1BA-4C4C-A0DE-E62613224EC7}"/>
    <cellStyle name="Currency 3 2 3 2 5 4" xfId="10522" xr:uid="{14A43E44-541C-4DBD-ABFC-B69A401AB30B}"/>
    <cellStyle name="Currency 3 2 3 2 6" xfId="2419" xr:uid="{00000000-0005-0000-0000-0000110B0000}"/>
    <cellStyle name="Currency 3 2 3 2 6 2" xfId="6703" xr:uid="{00000000-0005-0000-0000-0000120B0000}"/>
    <cellStyle name="Currency 3 2 3 2 6 2 2" xfId="15153" xr:uid="{64940B90-D684-499D-A2FD-8676EC948E3B}"/>
    <cellStyle name="Currency 3 2 3 2 6 3" xfId="10935" xr:uid="{2980BC61-8FD5-4D22-B6C9-64DC7E3FEFAC}"/>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3A46F38B-23F8-4FBE-BA18-1DFB322B06F7}"/>
    <cellStyle name="Currency 3 2 3 2 8 3" xfId="11252" xr:uid="{008CB7BB-0402-4EF8-BF35-770DB2B55670}"/>
    <cellStyle name="Currency 3 2 3 2 9" xfId="4637" xr:uid="{00000000-0005-0000-0000-0000160B0000}"/>
    <cellStyle name="Currency 3 2 3 2 9 2" xfId="13087" xr:uid="{3DB9CF33-13F9-4CEE-B5AA-1DCDA24662C5}"/>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F2277CF1-8308-49AD-8406-2403BE550FF1}"/>
    <cellStyle name="Currency 3 2 3 3 2 3" xfId="11427" xr:uid="{AD1D9213-BCF8-418F-A25C-3B496FADD9E1}"/>
    <cellStyle name="Currency 3 2 3 3 3" xfId="5050" xr:uid="{00000000-0005-0000-0000-00001A0B0000}"/>
    <cellStyle name="Currency 3 2 3 3 3 2" xfId="13500" xr:uid="{0D5B7A25-FC97-44AD-921D-ADD369FDEDF8}"/>
    <cellStyle name="Currency 3 2 3 3 4" xfId="9282" xr:uid="{87CABE5B-038D-4E05-ACAA-DA36C513FEF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66C9ABDD-51AB-44F8-B3D7-7B57C665B58F}"/>
    <cellStyle name="Currency 3 2 3 4 2 3" xfId="11840" xr:uid="{BCBE85DF-715C-4B6B-BBF4-6183C50E6A4D}"/>
    <cellStyle name="Currency 3 2 3 4 3" xfId="5463" xr:uid="{00000000-0005-0000-0000-00001E0B0000}"/>
    <cellStyle name="Currency 3 2 3 4 3 2" xfId="13913" xr:uid="{E368BF9B-A5E9-480F-AA51-11B700F9782B}"/>
    <cellStyle name="Currency 3 2 3 4 4" xfId="9695" xr:uid="{9126844B-B9A4-41B6-93FC-4C240C40D62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65736ADF-3081-44B2-8A77-1744D2088689}"/>
    <cellStyle name="Currency 3 2 3 5 2 3" xfId="12253" xr:uid="{CA0D1911-C30C-4AAC-9F23-79A49D4DA479}"/>
    <cellStyle name="Currency 3 2 3 5 3" xfId="5876" xr:uid="{00000000-0005-0000-0000-0000220B0000}"/>
    <cellStyle name="Currency 3 2 3 5 3 2" xfId="14326" xr:uid="{24D1CE21-6D17-4493-935B-F70E5B065F22}"/>
    <cellStyle name="Currency 3 2 3 5 4" xfId="10108" xr:uid="{1AFC60B7-40AA-4271-948D-DD465F8C98A3}"/>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811CF646-3AA7-4BF4-9AC5-C6F030562569}"/>
    <cellStyle name="Currency 3 2 3 6 2 3" xfId="12666" xr:uid="{AB11CA39-F207-49A0-9D0F-DBFBCDBAFA26}"/>
    <cellStyle name="Currency 3 2 3 6 3" xfId="6289" xr:uid="{00000000-0005-0000-0000-0000260B0000}"/>
    <cellStyle name="Currency 3 2 3 6 3 2" xfId="14739" xr:uid="{10E56E5D-55A2-4CE9-8DFF-6F416E523DBE}"/>
    <cellStyle name="Currency 3 2 3 6 4" xfId="10521" xr:uid="{ADACD31F-7060-4682-B113-638C146BE5CA}"/>
    <cellStyle name="Currency 3 2 3 7" xfId="2418" xr:uid="{00000000-0005-0000-0000-0000270B0000}"/>
    <cellStyle name="Currency 3 2 3 7 2" xfId="6702" xr:uid="{00000000-0005-0000-0000-0000280B0000}"/>
    <cellStyle name="Currency 3 2 3 7 2 2" xfId="15152" xr:uid="{0F605CDE-4BEE-453B-96B6-AA805C6B3684}"/>
    <cellStyle name="Currency 3 2 3 7 3" xfId="10934" xr:uid="{737DE244-BE1B-4EE7-816A-E33022D885E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BE5A5FEE-0191-43A1-A5CF-68E28850AC65}"/>
    <cellStyle name="Currency 3 2 3 9 3" xfId="11251" xr:uid="{C0A62345-98CF-427F-8B20-0301646E4793}"/>
    <cellStyle name="Currency 3 2 4" xfId="184" xr:uid="{00000000-0005-0000-0000-00002C0B0000}"/>
    <cellStyle name="Currency 3 2 4 10" xfId="8870" xr:uid="{54635C5E-50CC-4EE8-8CC8-2EABE7B9068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1AE3F69D-761E-4B8F-9887-D75FD77219B9}"/>
    <cellStyle name="Currency 3 2 4 2 2 3" xfId="11429" xr:uid="{B1F1E855-0193-43D2-82FB-F4AE61CEA451}"/>
    <cellStyle name="Currency 3 2 4 2 3" xfId="5052" xr:uid="{00000000-0005-0000-0000-0000300B0000}"/>
    <cellStyle name="Currency 3 2 4 2 3 2" xfId="13502" xr:uid="{33C02E3D-ECAC-44EF-91AE-6DAE11021494}"/>
    <cellStyle name="Currency 3 2 4 2 4" xfId="9284" xr:uid="{A485D8C0-AA68-42F1-99C2-4489CB29334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5A44493C-0AB5-4991-BBAF-73289769B894}"/>
    <cellStyle name="Currency 3 2 4 3 2 3" xfId="11842" xr:uid="{0B522061-3A00-4EA1-83E9-52D8C50C5125}"/>
    <cellStyle name="Currency 3 2 4 3 3" xfId="5465" xr:uid="{00000000-0005-0000-0000-0000340B0000}"/>
    <cellStyle name="Currency 3 2 4 3 3 2" xfId="13915" xr:uid="{4F5C47D6-406F-4F31-B40F-9E9E495AE95D}"/>
    <cellStyle name="Currency 3 2 4 3 4" xfId="9697" xr:uid="{A819C2D0-2746-449B-A3D3-36DD2EBB3A1C}"/>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50AAD15D-BC98-4890-816B-79A79226D096}"/>
    <cellStyle name="Currency 3 2 4 4 2 3" xfId="12255" xr:uid="{7E9769D5-98AA-46F3-97BF-A2117EAF8587}"/>
    <cellStyle name="Currency 3 2 4 4 3" xfId="5878" xr:uid="{00000000-0005-0000-0000-0000380B0000}"/>
    <cellStyle name="Currency 3 2 4 4 3 2" xfId="14328" xr:uid="{06166B03-2519-4B40-A26A-C36C01DF0284}"/>
    <cellStyle name="Currency 3 2 4 4 4" xfId="10110" xr:uid="{3988774B-9DD3-4E91-A156-0802F3C59A7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CC1BAC40-CAB3-45E4-BB01-224C62732B42}"/>
    <cellStyle name="Currency 3 2 4 5 2 3" xfId="12668" xr:uid="{3A51F5DD-2981-45D6-A24F-8545CB4EE999}"/>
    <cellStyle name="Currency 3 2 4 5 3" xfId="6291" xr:uid="{00000000-0005-0000-0000-00003C0B0000}"/>
    <cellStyle name="Currency 3 2 4 5 3 2" xfId="14741" xr:uid="{CD426A54-FE99-47CA-9D47-08EC07105E89}"/>
    <cellStyle name="Currency 3 2 4 5 4" xfId="10523" xr:uid="{726F4DB8-4211-42CB-9C07-AC494F3D0AEE}"/>
    <cellStyle name="Currency 3 2 4 6" xfId="2420" xr:uid="{00000000-0005-0000-0000-00003D0B0000}"/>
    <cellStyle name="Currency 3 2 4 6 2" xfId="6704" xr:uid="{00000000-0005-0000-0000-00003E0B0000}"/>
    <cellStyle name="Currency 3 2 4 6 2 2" xfId="15154" xr:uid="{8832B1FD-7E20-468D-9D99-CA0D568EAA1D}"/>
    <cellStyle name="Currency 3 2 4 6 3" xfId="10936" xr:uid="{B11B3972-93C7-4D41-920F-8BFF57E6859F}"/>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406A9927-D53A-48C3-9EB6-868012F4F2CA}"/>
    <cellStyle name="Currency 3 2 4 8 3" xfId="11253" xr:uid="{75D7482E-E70D-4F00-A462-E9E75904E98D}"/>
    <cellStyle name="Currency 3 2 4 9" xfId="4638" xr:uid="{00000000-0005-0000-0000-0000420B0000}"/>
    <cellStyle name="Currency 3 2 4 9 2" xfId="13088" xr:uid="{9D90D671-D555-4799-8100-AF62B29FDF8F}"/>
    <cellStyle name="Currency 3 2 5" xfId="185" xr:uid="{00000000-0005-0000-0000-0000430B0000}"/>
    <cellStyle name="Currency 3 2 5 10" xfId="8871" xr:uid="{5080A473-9966-4E98-A435-0AE05090D62A}"/>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C066BA30-E94D-463D-A13B-607ACF96BF65}"/>
    <cellStyle name="Currency 3 2 5 2 2 3" xfId="11430" xr:uid="{F840DEA1-F9A0-4BA0-A08F-AB27FBCB09DA}"/>
    <cellStyle name="Currency 3 2 5 2 3" xfId="5053" xr:uid="{00000000-0005-0000-0000-0000470B0000}"/>
    <cellStyle name="Currency 3 2 5 2 3 2" xfId="13503" xr:uid="{C8235D80-85CA-48B1-8D34-6B920092C096}"/>
    <cellStyle name="Currency 3 2 5 2 4" xfId="9285" xr:uid="{F26E1B59-458D-4627-8FEF-61D4315AD6FA}"/>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68C6CD37-4910-4A7F-927C-09AE98E0C1BD}"/>
    <cellStyle name="Currency 3 2 5 3 2 3" xfId="11843" xr:uid="{F6FB1C7B-460C-4FBA-BA79-A419F6F624C0}"/>
    <cellStyle name="Currency 3 2 5 3 3" xfId="5466" xr:uid="{00000000-0005-0000-0000-00004B0B0000}"/>
    <cellStyle name="Currency 3 2 5 3 3 2" xfId="13916" xr:uid="{F8F194DA-1796-42CB-9495-4BA1B0272562}"/>
    <cellStyle name="Currency 3 2 5 3 4" xfId="9698" xr:uid="{FDCF1B5E-A1D3-4882-A56B-E001D47F074C}"/>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FA1FE856-E9FE-49DF-B746-CD635C3C6DDD}"/>
    <cellStyle name="Currency 3 2 5 4 2 3" xfId="12256" xr:uid="{40875D4F-FD6D-49F8-A2FA-61AE5E90C47F}"/>
    <cellStyle name="Currency 3 2 5 4 3" xfId="5879" xr:uid="{00000000-0005-0000-0000-00004F0B0000}"/>
    <cellStyle name="Currency 3 2 5 4 3 2" xfId="14329" xr:uid="{07D9AFF0-AD7C-49D1-B385-64DBD67B9435}"/>
    <cellStyle name="Currency 3 2 5 4 4" xfId="10111" xr:uid="{35BE3BCA-D079-471D-A0BD-456231D3D2D6}"/>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4B48BAFF-097F-4E44-AB77-81E94177B37B}"/>
    <cellStyle name="Currency 3 2 5 5 2 3" xfId="12669" xr:uid="{8B2FC070-B8BA-49AE-AD45-62C7AC591427}"/>
    <cellStyle name="Currency 3 2 5 5 3" xfId="6292" xr:uid="{00000000-0005-0000-0000-0000530B0000}"/>
    <cellStyle name="Currency 3 2 5 5 3 2" xfId="14742" xr:uid="{D3B2B5E9-3DDA-4B69-8AAC-0D99DF1D8B7A}"/>
    <cellStyle name="Currency 3 2 5 5 4" xfId="10524" xr:uid="{A3DB998B-C949-45D2-AB21-F5280218E5B3}"/>
    <cellStyle name="Currency 3 2 5 6" xfId="2421" xr:uid="{00000000-0005-0000-0000-0000540B0000}"/>
    <cellStyle name="Currency 3 2 5 6 2" xfId="6705" xr:uid="{00000000-0005-0000-0000-0000550B0000}"/>
    <cellStyle name="Currency 3 2 5 6 2 2" xfId="15155" xr:uid="{5FBAD17A-942F-41B4-8637-EF307D308DA8}"/>
    <cellStyle name="Currency 3 2 5 6 3" xfId="10937" xr:uid="{EB6F9BC5-7A59-4DB4-BFD6-372DD0D2A11B}"/>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FC070A13-F100-40B6-A74F-B186047FC8DE}"/>
    <cellStyle name="Currency 3 2 5 8 3" xfId="11254" xr:uid="{6898B4AA-D0B8-401A-881E-1CD213F234D4}"/>
    <cellStyle name="Currency 3 2 5 9" xfId="4639" xr:uid="{00000000-0005-0000-0000-0000590B0000}"/>
    <cellStyle name="Currency 3 2 5 9 2" xfId="13089" xr:uid="{CC424CF7-3E82-4A6B-A4BE-663FCE26A66C}"/>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88F174A0-6B1C-4865-A055-8E78E7407C8F}"/>
    <cellStyle name="Currency 5 2 2 2 10 3" xfId="11255" xr:uid="{090E6449-764D-44AE-97F8-9F12737DB2EB}"/>
    <cellStyle name="Currency 5 2 2 2 11" xfId="4640" xr:uid="{00000000-0005-0000-0000-00006C0B0000}"/>
    <cellStyle name="Currency 5 2 2 2 11 2" xfId="13090" xr:uid="{29BAF718-82DD-4C96-B61E-58D4B1AFC0C2}"/>
    <cellStyle name="Currency 5 2 2 2 12" xfId="8872" xr:uid="{EFDD6134-CA3B-4BAD-B184-EB2EDE476DFD}"/>
    <cellStyle name="Currency 5 2 2 2 2" xfId="197" xr:uid="{00000000-0005-0000-0000-00006D0B0000}"/>
    <cellStyle name="Currency 5 2 2 2 2 10" xfId="4641" xr:uid="{00000000-0005-0000-0000-00006E0B0000}"/>
    <cellStyle name="Currency 5 2 2 2 2 10 2" xfId="13091" xr:uid="{1616748E-CF5E-4EC8-BD38-E9C97964312E}"/>
    <cellStyle name="Currency 5 2 2 2 2 11" xfId="8873" xr:uid="{1183E486-E83B-495C-9DB3-5A3045677AC4}"/>
    <cellStyle name="Currency 5 2 2 2 2 2" xfId="198" xr:uid="{00000000-0005-0000-0000-00006F0B0000}"/>
    <cellStyle name="Currency 5 2 2 2 2 2 10" xfId="8874" xr:uid="{47C9207A-B5C3-439A-951C-E37F6003BD56}"/>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14E6E7C2-CA3A-41F5-9935-B4BC1DB83120}"/>
    <cellStyle name="Currency 5 2 2 2 2 2 2 2 3" xfId="11433" xr:uid="{220CFFE7-0CAF-48F8-84EB-24FA2BDA0881}"/>
    <cellStyle name="Currency 5 2 2 2 2 2 2 3" xfId="5056" xr:uid="{00000000-0005-0000-0000-0000730B0000}"/>
    <cellStyle name="Currency 5 2 2 2 2 2 2 3 2" xfId="13506" xr:uid="{83B9E669-7342-4A72-9145-23D740E9D9CD}"/>
    <cellStyle name="Currency 5 2 2 2 2 2 2 4" xfId="9288" xr:uid="{26B1D3A8-CB83-436A-BDD1-5562454D343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C867BFCA-94CE-45EC-AFB7-3CED8C509354}"/>
    <cellStyle name="Currency 5 2 2 2 2 2 3 2 3" xfId="11846" xr:uid="{D8DE7061-D747-4CBE-A3B5-9EED77C386B6}"/>
    <cellStyle name="Currency 5 2 2 2 2 2 3 3" xfId="5469" xr:uid="{00000000-0005-0000-0000-0000770B0000}"/>
    <cellStyle name="Currency 5 2 2 2 2 2 3 3 2" xfId="13919" xr:uid="{F808B9AE-4E7D-453E-8586-65101CEAEB40}"/>
    <cellStyle name="Currency 5 2 2 2 2 2 3 4" xfId="9701" xr:uid="{3689BA41-804E-4626-A1DF-763B67B9B2ED}"/>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BD9AA7B6-8722-46F5-8565-803475305104}"/>
    <cellStyle name="Currency 5 2 2 2 2 2 4 2 3" xfId="12259" xr:uid="{198C205E-3C5B-4445-943F-9322AA28B5CF}"/>
    <cellStyle name="Currency 5 2 2 2 2 2 4 3" xfId="5882" xr:uid="{00000000-0005-0000-0000-00007B0B0000}"/>
    <cellStyle name="Currency 5 2 2 2 2 2 4 3 2" xfId="14332" xr:uid="{41030687-0416-4184-917A-E77EA5E9281D}"/>
    <cellStyle name="Currency 5 2 2 2 2 2 4 4" xfId="10114" xr:uid="{BB80F985-9874-4479-9FCF-6E7C38FE3F79}"/>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C21158AB-7C6C-4331-91D8-71C67868267C}"/>
    <cellStyle name="Currency 5 2 2 2 2 2 5 2 3" xfId="12672" xr:uid="{AEA7906D-111F-42C8-AAD3-65F2E1744F35}"/>
    <cellStyle name="Currency 5 2 2 2 2 2 5 3" xfId="6295" xr:uid="{00000000-0005-0000-0000-00007F0B0000}"/>
    <cellStyle name="Currency 5 2 2 2 2 2 5 3 2" xfId="14745" xr:uid="{CBF1D22C-BD38-4C5E-AC98-081C50D90CC7}"/>
    <cellStyle name="Currency 5 2 2 2 2 2 5 4" xfId="10527" xr:uid="{4A99AF51-D520-444C-A107-B85BD2F7FBC2}"/>
    <cellStyle name="Currency 5 2 2 2 2 2 6" xfId="2424" xr:uid="{00000000-0005-0000-0000-0000800B0000}"/>
    <cellStyle name="Currency 5 2 2 2 2 2 6 2" xfId="6708" xr:uid="{00000000-0005-0000-0000-0000810B0000}"/>
    <cellStyle name="Currency 5 2 2 2 2 2 6 2 2" xfId="15158" xr:uid="{A418942F-D31E-449B-9C03-641936ACDD6D}"/>
    <cellStyle name="Currency 5 2 2 2 2 2 6 3" xfId="10940" xr:uid="{881135B2-F5B8-46CC-BAA4-4D888CE86EE1}"/>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00BF794C-3F55-44F4-A4D5-626F2A15A41D}"/>
    <cellStyle name="Currency 5 2 2 2 2 2 8 3" xfId="11257" xr:uid="{5B5F6374-9413-4B03-964B-EB1035C03C7B}"/>
    <cellStyle name="Currency 5 2 2 2 2 2 9" xfId="4642" xr:uid="{00000000-0005-0000-0000-0000850B0000}"/>
    <cellStyle name="Currency 5 2 2 2 2 2 9 2" xfId="13092" xr:uid="{65BB924A-0F68-4E95-9A72-86AFE261D00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8079CFCD-1DDE-4182-99F3-118C1C59E186}"/>
    <cellStyle name="Currency 5 2 2 2 2 3 2 3" xfId="11432" xr:uid="{6949DC7C-98C7-4F8F-A079-7B0085FDA8F0}"/>
    <cellStyle name="Currency 5 2 2 2 2 3 3" xfId="5055" xr:uid="{00000000-0005-0000-0000-0000890B0000}"/>
    <cellStyle name="Currency 5 2 2 2 2 3 3 2" xfId="13505" xr:uid="{74FFFB6A-E6E6-4AFE-8995-1304D5719548}"/>
    <cellStyle name="Currency 5 2 2 2 2 3 4" xfId="9287" xr:uid="{746E0B82-E542-4141-9684-BDF605638BC5}"/>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E9FD7823-224A-4A6B-948C-B07072749979}"/>
    <cellStyle name="Currency 5 2 2 2 2 4 2 3" xfId="11845" xr:uid="{A093DF17-B2C6-4B8A-B5ED-4137CABBAE88}"/>
    <cellStyle name="Currency 5 2 2 2 2 4 3" xfId="5468" xr:uid="{00000000-0005-0000-0000-00008D0B0000}"/>
    <cellStyle name="Currency 5 2 2 2 2 4 3 2" xfId="13918" xr:uid="{B6CAC01A-BA70-4FCE-B235-1B6FAFC5C4DE}"/>
    <cellStyle name="Currency 5 2 2 2 2 4 4" xfId="9700" xr:uid="{97B92410-1697-4253-BCDB-EDD91D1A764D}"/>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9C553B8B-325E-4922-8C14-67858C6555D7}"/>
    <cellStyle name="Currency 5 2 2 2 2 5 2 3" xfId="12258" xr:uid="{9138A52C-7A18-4730-889F-686C72F8A444}"/>
    <cellStyle name="Currency 5 2 2 2 2 5 3" xfId="5881" xr:uid="{00000000-0005-0000-0000-0000910B0000}"/>
    <cellStyle name="Currency 5 2 2 2 2 5 3 2" xfId="14331" xr:uid="{E21D31D7-015B-4D1F-8C0A-EB9564011B22}"/>
    <cellStyle name="Currency 5 2 2 2 2 5 4" xfId="10113" xr:uid="{D205D786-FD1C-49A1-9DCD-45D0C7D6C0B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5FA91FB3-EB38-48F6-8C72-02235CDE37A6}"/>
    <cellStyle name="Currency 5 2 2 2 2 6 2 3" xfId="12671" xr:uid="{3AD72EFB-ED26-4B7B-BD38-6A4A3153999D}"/>
    <cellStyle name="Currency 5 2 2 2 2 6 3" xfId="6294" xr:uid="{00000000-0005-0000-0000-0000950B0000}"/>
    <cellStyle name="Currency 5 2 2 2 2 6 3 2" xfId="14744" xr:uid="{32ABDAC2-6A61-427E-ABD3-89594C4F0847}"/>
    <cellStyle name="Currency 5 2 2 2 2 6 4" xfId="10526" xr:uid="{97B0EBF1-1E3A-4099-B2B0-455DF3B34664}"/>
    <cellStyle name="Currency 5 2 2 2 2 7" xfId="2423" xr:uid="{00000000-0005-0000-0000-0000960B0000}"/>
    <cellStyle name="Currency 5 2 2 2 2 7 2" xfId="6707" xr:uid="{00000000-0005-0000-0000-0000970B0000}"/>
    <cellStyle name="Currency 5 2 2 2 2 7 2 2" xfId="15157" xr:uid="{57E90752-910F-4597-9FA4-CEE3017D4952}"/>
    <cellStyle name="Currency 5 2 2 2 2 7 3" xfId="10939" xr:uid="{3B9317F1-11CF-4E13-8545-227A1C555714}"/>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501388CA-4219-41AD-9FBC-85021D2360E9}"/>
    <cellStyle name="Currency 5 2 2 2 2 9 3" xfId="11256" xr:uid="{8617039B-FB75-4C30-B319-659A05B955D8}"/>
    <cellStyle name="Currency 5 2 2 2 3" xfId="199" xr:uid="{00000000-0005-0000-0000-00009B0B0000}"/>
    <cellStyle name="Currency 5 2 2 2 3 10" xfId="8875" xr:uid="{6E51EFDF-A3F3-416D-A76A-D77B5E7745E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205A54AF-7A45-44D4-AC57-5E95BAB52DAB}"/>
    <cellStyle name="Currency 5 2 2 2 3 2 2 3" xfId="11434" xr:uid="{1C901BA5-4D50-4DF1-B53F-AB0E1FE1F32C}"/>
    <cellStyle name="Currency 5 2 2 2 3 2 3" xfId="5057" xr:uid="{00000000-0005-0000-0000-00009F0B0000}"/>
    <cellStyle name="Currency 5 2 2 2 3 2 3 2" xfId="13507" xr:uid="{40BDCB63-0DFD-4BD8-A2F9-4BDABAD87C10}"/>
    <cellStyle name="Currency 5 2 2 2 3 2 4" xfId="9289" xr:uid="{861B131D-CF3B-439D-8EE2-6B33544E210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A16F09C3-F843-46F2-8E70-471A919CAA94}"/>
    <cellStyle name="Currency 5 2 2 2 3 3 2 3" xfId="11847" xr:uid="{1845CD1A-062C-45EB-A38D-3D0A3CD5D2AF}"/>
    <cellStyle name="Currency 5 2 2 2 3 3 3" xfId="5470" xr:uid="{00000000-0005-0000-0000-0000A30B0000}"/>
    <cellStyle name="Currency 5 2 2 2 3 3 3 2" xfId="13920" xr:uid="{2DDD6A50-7E36-4E9E-B4BF-CC3EBE7B8EDE}"/>
    <cellStyle name="Currency 5 2 2 2 3 3 4" xfId="9702" xr:uid="{8C2C5D07-4948-45F1-A5E8-68CCA1C3CBC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464C21EA-E557-4F0C-A430-BCE3539535B2}"/>
    <cellStyle name="Currency 5 2 2 2 3 4 2 3" xfId="12260" xr:uid="{34734BE0-A9F1-466A-8209-86B455AB9B1D}"/>
    <cellStyle name="Currency 5 2 2 2 3 4 3" xfId="5883" xr:uid="{00000000-0005-0000-0000-0000A70B0000}"/>
    <cellStyle name="Currency 5 2 2 2 3 4 3 2" xfId="14333" xr:uid="{ACAFAE2C-58E2-4614-8A5E-83B4649C4651}"/>
    <cellStyle name="Currency 5 2 2 2 3 4 4" xfId="10115" xr:uid="{559775D4-705B-4521-A9A8-C8CB56249669}"/>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F12820E7-1201-417E-8A46-9D2981ECFE9D}"/>
    <cellStyle name="Currency 5 2 2 2 3 5 2 3" xfId="12673" xr:uid="{5C7308B8-0E43-47E9-9A47-0DB0582EAA7E}"/>
    <cellStyle name="Currency 5 2 2 2 3 5 3" xfId="6296" xr:uid="{00000000-0005-0000-0000-0000AB0B0000}"/>
    <cellStyle name="Currency 5 2 2 2 3 5 3 2" xfId="14746" xr:uid="{BADA6ABF-C98B-4E7F-9319-CDB2A1F00256}"/>
    <cellStyle name="Currency 5 2 2 2 3 5 4" xfId="10528" xr:uid="{CA1E47F5-6A09-4B41-9268-DF87F437C00F}"/>
    <cellStyle name="Currency 5 2 2 2 3 6" xfId="2425" xr:uid="{00000000-0005-0000-0000-0000AC0B0000}"/>
    <cellStyle name="Currency 5 2 2 2 3 6 2" xfId="6709" xr:uid="{00000000-0005-0000-0000-0000AD0B0000}"/>
    <cellStyle name="Currency 5 2 2 2 3 6 2 2" xfId="15159" xr:uid="{C67AF498-ED06-4175-BF30-9AE644D86C46}"/>
    <cellStyle name="Currency 5 2 2 2 3 6 3" xfId="10941" xr:uid="{855DDAE9-01B5-4FC0-B52D-4A9985299155}"/>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C42ABC7-1C4F-47E5-8BF8-CABD8D3B111C}"/>
    <cellStyle name="Currency 5 2 2 2 3 8 3" xfId="11258" xr:uid="{411225A3-C2E0-49AA-B092-ADB540E61216}"/>
    <cellStyle name="Currency 5 2 2 2 3 9" xfId="4643" xr:uid="{00000000-0005-0000-0000-0000B10B0000}"/>
    <cellStyle name="Currency 5 2 2 2 3 9 2" xfId="13093" xr:uid="{F2AAED71-AF19-4BFD-BDEA-4F752452A4C2}"/>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8DA784AF-E2BB-4DA0-A745-3801DBB05F22}"/>
    <cellStyle name="Currency 5 2 2 2 4 2 3" xfId="11431" xr:uid="{1FA330B5-7E6B-4172-A79B-4B14A77EC5F1}"/>
    <cellStyle name="Currency 5 2 2 2 4 3" xfId="5054" xr:uid="{00000000-0005-0000-0000-0000B50B0000}"/>
    <cellStyle name="Currency 5 2 2 2 4 3 2" xfId="13504" xr:uid="{F3AE701A-C4BE-4D06-95D0-C8719AB107BB}"/>
    <cellStyle name="Currency 5 2 2 2 4 4" xfId="9286" xr:uid="{37C58B66-6CED-49D4-9660-9184F6994139}"/>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12ADEC68-E2C0-4B34-B0D0-76C44B0BB387}"/>
    <cellStyle name="Currency 5 2 2 2 5 2 3" xfId="11844" xr:uid="{F10EEFC4-536B-477E-8293-3D3EF0D10CD7}"/>
    <cellStyle name="Currency 5 2 2 2 5 3" xfId="5467" xr:uid="{00000000-0005-0000-0000-0000B90B0000}"/>
    <cellStyle name="Currency 5 2 2 2 5 3 2" xfId="13917" xr:uid="{297A2F5A-7D7E-40E3-933D-E4E740BBA67A}"/>
    <cellStyle name="Currency 5 2 2 2 5 4" xfId="9699" xr:uid="{97DBE0BB-2E9B-4E6F-878F-153288B42A03}"/>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E5117C10-8510-4301-A83E-07D98D92FC44}"/>
    <cellStyle name="Currency 5 2 2 2 6 2 3" xfId="12257" xr:uid="{C8313C27-99DA-4CCA-B02B-5DA7919824EE}"/>
    <cellStyle name="Currency 5 2 2 2 6 3" xfId="5880" xr:uid="{00000000-0005-0000-0000-0000BD0B0000}"/>
    <cellStyle name="Currency 5 2 2 2 6 3 2" xfId="14330" xr:uid="{E6F9A6AC-3739-431C-90A7-1B9FD52AD2C3}"/>
    <cellStyle name="Currency 5 2 2 2 6 4" xfId="10112" xr:uid="{851CD1FE-14C3-4DB6-9228-8D3BD2412F1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A8826BDB-46AC-4DEF-8DF7-944D37B24C94}"/>
    <cellStyle name="Currency 5 2 2 2 7 2 3" xfId="12670" xr:uid="{A0E6B457-6262-45A6-93A0-79873937C802}"/>
    <cellStyle name="Currency 5 2 2 2 7 3" xfId="6293" xr:uid="{00000000-0005-0000-0000-0000C10B0000}"/>
    <cellStyle name="Currency 5 2 2 2 7 3 2" xfId="14743" xr:uid="{DD4F6B21-2D50-4830-BEAA-D1389BFA35D3}"/>
    <cellStyle name="Currency 5 2 2 2 7 4" xfId="10525" xr:uid="{7D8CAFEE-6611-454C-9A61-152058B33834}"/>
    <cellStyle name="Currency 5 2 2 2 8" xfId="2422" xr:uid="{00000000-0005-0000-0000-0000C20B0000}"/>
    <cellStyle name="Currency 5 2 2 2 8 2" xfId="6706" xr:uid="{00000000-0005-0000-0000-0000C30B0000}"/>
    <cellStyle name="Currency 5 2 2 2 8 2 2" xfId="15156" xr:uid="{8B1936FF-71F7-42FD-BCEF-C246301C6EC4}"/>
    <cellStyle name="Currency 5 2 2 2 8 3" xfId="10938" xr:uid="{82E34062-2E7E-4007-BF72-9AD8EBF0A820}"/>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2F299EFB-5D53-41FC-B644-1F86E9F8BCB7}"/>
    <cellStyle name="Currency 5 2 2 3 11" xfId="8876" xr:uid="{C31DC69F-D498-4005-8C82-831697AD2FC7}"/>
    <cellStyle name="Currency 5 2 2 3 2" xfId="201" xr:uid="{00000000-0005-0000-0000-0000C70B0000}"/>
    <cellStyle name="Currency 5 2 2 3 2 10" xfId="8877" xr:uid="{AF5B6211-2718-44E3-9855-2C8A90B7CBAF}"/>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F40F6BF3-0752-4145-B2C9-E31E1DC2C910}"/>
    <cellStyle name="Currency 5 2 2 3 2 2 2 3" xfId="11436" xr:uid="{6DD9F9E1-474F-40C6-AD06-593B359633BE}"/>
    <cellStyle name="Currency 5 2 2 3 2 2 3" xfId="5059" xr:uid="{00000000-0005-0000-0000-0000CB0B0000}"/>
    <cellStyle name="Currency 5 2 2 3 2 2 3 2" xfId="13509" xr:uid="{4061C44C-54E2-4D8E-98DC-D8D79EEC1E66}"/>
    <cellStyle name="Currency 5 2 2 3 2 2 4" xfId="9291" xr:uid="{601B3152-E029-4C09-8E4A-D942CA139E2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E816F8C2-00EB-4F84-8C14-D4E942884E63}"/>
    <cellStyle name="Currency 5 2 2 3 2 3 2 3" xfId="11849" xr:uid="{64256169-5940-4916-8531-D222940FA21B}"/>
    <cellStyle name="Currency 5 2 2 3 2 3 3" xfId="5472" xr:uid="{00000000-0005-0000-0000-0000CF0B0000}"/>
    <cellStyle name="Currency 5 2 2 3 2 3 3 2" xfId="13922" xr:uid="{CAA0B356-17A6-4AD6-B0B6-0F8086467169}"/>
    <cellStyle name="Currency 5 2 2 3 2 3 4" xfId="9704" xr:uid="{8F18F8BD-8813-4DFD-9BC8-EBC02547D504}"/>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4AADEE96-EBD2-4CA5-9E24-C198D185E758}"/>
    <cellStyle name="Currency 5 2 2 3 2 4 2 3" xfId="12262" xr:uid="{1276FBAE-D02E-4B48-BCC6-8F43ADEFFF9F}"/>
    <cellStyle name="Currency 5 2 2 3 2 4 3" xfId="5885" xr:uid="{00000000-0005-0000-0000-0000D30B0000}"/>
    <cellStyle name="Currency 5 2 2 3 2 4 3 2" xfId="14335" xr:uid="{3F5E7AA3-FF8F-436C-866C-89F7FA59E6A8}"/>
    <cellStyle name="Currency 5 2 2 3 2 4 4" xfId="10117" xr:uid="{479D60CA-C160-4B22-B3B4-D1D8AB03649A}"/>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69077610-5AAB-4D9C-9C71-95676A1A5106}"/>
    <cellStyle name="Currency 5 2 2 3 2 5 2 3" xfId="12675" xr:uid="{B8D1800C-5FC8-4F69-8DEA-AEF66C8F2ECF}"/>
    <cellStyle name="Currency 5 2 2 3 2 5 3" xfId="6298" xr:uid="{00000000-0005-0000-0000-0000D70B0000}"/>
    <cellStyle name="Currency 5 2 2 3 2 5 3 2" xfId="14748" xr:uid="{1F859039-9C1A-45C8-A8C9-A57B9DD4D613}"/>
    <cellStyle name="Currency 5 2 2 3 2 5 4" xfId="10530" xr:uid="{A8D68D40-B012-4DA0-9105-E96FBF386DBA}"/>
    <cellStyle name="Currency 5 2 2 3 2 6" xfId="2427" xr:uid="{00000000-0005-0000-0000-0000D80B0000}"/>
    <cellStyle name="Currency 5 2 2 3 2 6 2" xfId="6711" xr:uid="{00000000-0005-0000-0000-0000D90B0000}"/>
    <cellStyle name="Currency 5 2 2 3 2 6 2 2" xfId="15161" xr:uid="{97ACF64F-8EAD-4E55-8FDE-CF477CACA322}"/>
    <cellStyle name="Currency 5 2 2 3 2 6 3" xfId="10943" xr:uid="{A8F606E1-18DE-4B28-8425-CC5554ACDA2E}"/>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7989A6C4-C0A7-4DF9-B4BE-DB7F60C33EA7}"/>
    <cellStyle name="Currency 5 2 2 3 2 8 3" xfId="11260" xr:uid="{49D791CD-735E-4546-8A83-677359A2E5B9}"/>
    <cellStyle name="Currency 5 2 2 3 2 9" xfId="4645" xr:uid="{00000000-0005-0000-0000-0000DD0B0000}"/>
    <cellStyle name="Currency 5 2 2 3 2 9 2" xfId="13095" xr:uid="{AB0DDFFF-0F33-49BE-9B18-5347AB583A9F}"/>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71A6709E-693C-4A87-BEEE-4355064A87F9}"/>
    <cellStyle name="Currency 5 2 2 3 3 2 3" xfId="11435" xr:uid="{15F29671-6547-43BF-9A3B-C01894D309B0}"/>
    <cellStyle name="Currency 5 2 2 3 3 3" xfId="5058" xr:uid="{00000000-0005-0000-0000-0000E10B0000}"/>
    <cellStyle name="Currency 5 2 2 3 3 3 2" xfId="13508" xr:uid="{A020615C-E567-4ABC-BCAD-F04A8B7CE7DC}"/>
    <cellStyle name="Currency 5 2 2 3 3 4" xfId="9290" xr:uid="{DFEE000E-81E6-44DA-AECD-213819A8861D}"/>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FC5D8ACE-1360-45DD-8FD5-BCD738232D83}"/>
    <cellStyle name="Currency 5 2 2 3 4 2 3" xfId="11848" xr:uid="{223E8E4F-079E-4A15-8A5A-BBC78899C2C1}"/>
    <cellStyle name="Currency 5 2 2 3 4 3" xfId="5471" xr:uid="{00000000-0005-0000-0000-0000E50B0000}"/>
    <cellStyle name="Currency 5 2 2 3 4 3 2" xfId="13921" xr:uid="{F4B3FC3A-F313-4F5E-B6F9-027CFD2D19DD}"/>
    <cellStyle name="Currency 5 2 2 3 4 4" xfId="9703" xr:uid="{5AD767CB-0F94-41E9-875F-7F11E0AA1EC3}"/>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8F67CF33-53A6-463A-B6EA-D1742764C5BF}"/>
    <cellStyle name="Currency 5 2 2 3 5 2 3" xfId="12261" xr:uid="{BA77F839-7D5E-4B37-BD61-FF9C9E1DC8D6}"/>
    <cellStyle name="Currency 5 2 2 3 5 3" xfId="5884" xr:uid="{00000000-0005-0000-0000-0000E90B0000}"/>
    <cellStyle name="Currency 5 2 2 3 5 3 2" xfId="14334" xr:uid="{3EB3DBCB-F01A-4198-A5E7-36449115C2B1}"/>
    <cellStyle name="Currency 5 2 2 3 5 4" xfId="10116" xr:uid="{F83C1353-0BF0-48E2-97CF-EB510ABB6E22}"/>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C11783BF-C804-4DDD-8BFC-034598E29717}"/>
    <cellStyle name="Currency 5 2 2 3 6 2 3" xfId="12674" xr:uid="{7C6E3CB7-1808-4361-937E-E57118BFDF94}"/>
    <cellStyle name="Currency 5 2 2 3 6 3" xfId="6297" xr:uid="{00000000-0005-0000-0000-0000ED0B0000}"/>
    <cellStyle name="Currency 5 2 2 3 6 3 2" xfId="14747" xr:uid="{D50903A5-100C-44B3-B8AD-9BFB204E2738}"/>
    <cellStyle name="Currency 5 2 2 3 6 4" xfId="10529" xr:uid="{3CD43C5F-110C-4BEF-BD74-C208F5AE3851}"/>
    <cellStyle name="Currency 5 2 2 3 7" xfId="2426" xr:uid="{00000000-0005-0000-0000-0000EE0B0000}"/>
    <cellStyle name="Currency 5 2 2 3 7 2" xfId="6710" xr:uid="{00000000-0005-0000-0000-0000EF0B0000}"/>
    <cellStyle name="Currency 5 2 2 3 7 2 2" xfId="15160" xr:uid="{F7227FB8-8BB5-4319-9921-04A9A3081B7E}"/>
    <cellStyle name="Currency 5 2 2 3 7 3" xfId="10942" xr:uid="{FDBCB273-31B6-4915-AABB-608EBBFF1133}"/>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28DFA221-8320-42E1-9BFB-9E7896807295}"/>
    <cellStyle name="Currency 5 2 2 3 9 3" xfId="11259" xr:uid="{6347676B-9E16-4ADB-8F6E-4B26F4D662D2}"/>
    <cellStyle name="Currency 5 2 2 4" xfId="202" xr:uid="{00000000-0005-0000-0000-0000F30B0000}"/>
    <cellStyle name="Currency 5 2 2 4 10" xfId="8878" xr:uid="{B7154F4F-AFCF-497E-8215-E2ED5D826A3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FC9C86DB-F64A-4607-9925-B51D94C5A1DE}"/>
    <cellStyle name="Currency 5 2 2 4 2 2 3" xfId="11437" xr:uid="{E10A24DC-F75D-4232-82DA-1DDCD53B3EDE}"/>
    <cellStyle name="Currency 5 2 2 4 2 3" xfId="5060" xr:uid="{00000000-0005-0000-0000-0000F70B0000}"/>
    <cellStyle name="Currency 5 2 2 4 2 3 2" xfId="13510" xr:uid="{AB3643B8-2CCF-4145-AC7D-D19F5C1B801E}"/>
    <cellStyle name="Currency 5 2 2 4 2 4" xfId="9292" xr:uid="{D03F1710-DC7C-4F7D-86CD-518094AB5FF3}"/>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64C8D201-6CD7-495A-A725-F104D0E80BB9}"/>
    <cellStyle name="Currency 5 2 2 4 3 2 3" xfId="11850" xr:uid="{FC4F2BB7-E9F1-4487-B8C3-D9AA08034659}"/>
    <cellStyle name="Currency 5 2 2 4 3 3" xfId="5473" xr:uid="{00000000-0005-0000-0000-0000FB0B0000}"/>
    <cellStyle name="Currency 5 2 2 4 3 3 2" xfId="13923" xr:uid="{600A4AC8-D350-43E9-BE30-908DDC77A70B}"/>
    <cellStyle name="Currency 5 2 2 4 3 4" xfId="9705" xr:uid="{98E8018F-D376-4A9B-ABA8-F7119B3C3BCE}"/>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A16416A9-D141-4481-817F-B585B8B760B7}"/>
    <cellStyle name="Currency 5 2 2 4 4 2 3" xfId="12263" xr:uid="{EB04A682-E81A-4466-9E83-B24354ED207F}"/>
    <cellStyle name="Currency 5 2 2 4 4 3" xfId="5886" xr:uid="{00000000-0005-0000-0000-0000FF0B0000}"/>
    <cellStyle name="Currency 5 2 2 4 4 3 2" xfId="14336" xr:uid="{98031331-2092-49D2-A44B-BBAEB843D5AD}"/>
    <cellStyle name="Currency 5 2 2 4 4 4" xfId="10118" xr:uid="{DA595F76-0E9F-48D7-96C8-A4017B3DFED8}"/>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9B76E274-F441-49BA-A50E-B33459C52957}"/>
    <cellStyle name="Currency 5 2 2 4 5 2 3" xfId="12676" xr:uid="{31B28FC7-D11C-4768-AEAC-DCAA3E360BD2}"/>
    <cellStyle name="Currency 5 2 2 4 5 3" xfId="6299" xr:uid="{00000000-0005-0000-0000-0000030C0000}"/>
    <cellStyle name="Currency 5 2 2 4 5 3 2" xfId="14749" xr:uid="{DCEAB775-40F4-4E35-AA8E-25C5ECDBBE2A}"/>
    <cellStyle name="Currency 5 2 2 4 5 4" xfId="10531" xr:uid="{7FB2BC25-2D41-4E03-9874-28663D131A3B}"/>
    <cellStyle name="Currency 5 2 2 4 6" xfId="2428" xr:uid="{00000000-0005-0000-0000-0000040C0000}"/>
    <cellStyle name="Currency 5 2 2 4 6 2" xfId="6712" xr:uid="{00000000-0005-0000-0000-0000050C0000}"/>
    <cellStyle name="Currency 5 2 2 4 6 2 2" xfId="15162" xr:uid="{E7ED0567-709E-43DB-B1E4-4E499C7E3708}"/>
    <cellStyle name="Currency 5 2 2 4 6 3" xfId="10944" xr:uid="{989EC7BD-CB0A-43E5-BCFE-3FDE00D66C54}"/>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6CC84BC0-AF4D-48F1-97D9-FE44DDF2A1C7}"/>
    <cellStyle name="Currency 5 2 2 4 8 3" xfId="11261" xr:uid="{D5E90154-9FF5-42BA-971E-17910D5C484B}"/>
    <cellStyle name="Currency 5 2 2 4 9" xfId="4646" xr:uid="{00000000-0005-0000-0000-0000090C0000}"/>
    <cellStyle name="Currency 5 2 2 4 9 2" xfId="13096" xr:uid="{7B0DB2D9-742A-4D11-8A38-C7144CC99249}"/>
    <cellStyle name="Currency 5 2 2 5" xfId="203" xr:uid="{00000000-0005-0000-0000-00000A0C0000}"/>
    <cellStyle name="Currency 5 2 2 5 10" xfId="8879" xr:uid="{561E6CCD-5200-452F-9AD2-142261A0842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78470A15-AB8E-456B-9BD4-644D21EE6DAA}"/>
    <cellStyle name="Currency 5 2 2 5 2 2 3" xfId="11438" xr:uid="{5DF464E5-EFB1-4C70-B3B0-3C10AE70EC13}"/>
    <cellStyle name="Currency 5 2 2 5 2 3" xfId="5061" xr:uid="{00000000-0005-0000-0000-00000E0C0000}"/>
    <cellStyle name="Currency 5 2 2 5 2 3 2" xfId="13511" xr:uid="{C5B5983E-926F-4D72-BDB2-E3DE178DA751}"/>
    <cellStyle name="Currency 5 2 2 5 2 4" xfId="9293" xr:uid="{045BEC06-3CB5-46EA-89B8-E4BF555E2CF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8F18FD4A-3AC0-4FE2-ADF2-0F1965F5EC49}"/>
    <cellStyle name="Currency 5 2 2 5 3 2 3" xfId="11851" xr:uid="{B4C73E39-89F9-4999-B53A-4CB23B822B2D}"/>
    <cellStyle name="Currency 5 2 2 5 3 3" xfId="5474" xr:uid="{00000000-0005-0000-0000-0000120C0000}"/>
    <cellStyle name="Currency 5 2 2 5 3 3 2" xfId="13924" xr:uid="{01B5A4EB-14DD-40C8-8928-1DED1028547E}"/>
    <cellStyle name="Currency 5 2 2 5 3 4" xfId="9706" xr:uid="{7F8C0486-7EF3-422F-BBB8-07EFDBAB1B55}"/>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DB23A523-1CEC-4849-A530-C4E4392E1862}"/>
    <cellStyle name="Currency 5 2 2 5 4 2 3" xfId="12264" xr:uid="{88A24888-F4CD-4ED8-B65E-16C1E31472D4}"/>
    <cellStyle name="Currency 5 2 2 5 4 3" xfId="5887" xr:uid="{00000000-0005-0000-0000-0000160C0000}"/>
    <cellStyle name="Currency 5 2 2 5 4 3 2" xfId="14337" xr:uid="{84CCFE74-194E-4595-9CB4-44F79E508BDC}"/>
    <cellStyle name="Currency 5 2 2 5 4 4" xfId="10119" xr:uid="{8FEE3198-BDAC-49BD-ACD7-58753965472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30C6C794-C124-4871-BA4B-2582CEEBB947}"/>
    <cellStyle name="Currency 5 2 2 5 5 2 3" xfId="12677" xr:uid="{EB674D49-5530-4500-BB0E-D52437F2F02E}"/>
    <cellStyle name="Currency 5 2 2 5 5 3" xfId="6300" xr:uid="{00000000-0005-0000-0000-00001A0C0000}"/>
    <cellStyle name="Currency 5 2 2 5 5 3 2" xfId="14750" xr:uid="{45170CE1-D424-423D-823C-49AD56E701F2}"/>
    <cellStyle name="Currency 5 2 2 5 5 4" xfId="10532" xr:uid="{5E271800-9BE8-431E-96C1-1159518F9C93}"/>
    <cellStyle name="Currency 5 2 2 5 6" xfId="2429" xr:uid="{00000000-0005-0000-0000-00001B0C0000}"/>
    <cellStyle name="Currency 5 2 2 5 6 2" xfId="6713" xr:uid="{00000000-0005-0000-0000-00001C0C0000}"/>
    <cellStyle name="Currency 5 2 2 5 6 2 2" xfId="15163" xr:uid="{4E4FC107-2C79-4C8B-A31B-F94561A98277}"/>
    <cellStyle name="Currency 5 2 2 5 6 3" xfId="10945" xr:uid="{A5536440-726C-42BD-AC2D-61A13B98A9BC}"/>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7C1DD9D8-274D-4EEB-96EF-4B6B2759ED94}"/>
    <cellStyle name="Currency 5 2 2 5 8 3" xfId="11262" xr:uid="{D6EA40DA-A715-4CDC-9D3E-62282291CAA0}"/>
    <cellStyle name="Currency 5 2 2 5 9" xfId="4647" xr:uid="{00000000-0005-0000-0000-0000200C0000}"/>
    <cellStyle name="Currency 5 2 2 5 9 2" xfId="13097" xr:uid="{5DA50688-2ACD-4E97-AF0F-0176BA6A641B}"/>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7099467A-BE5A-4885-93C5-DFE005285E25}"/>
    <cellStyle name="Currency 5 2 4 11" xfId="8880" xr:uid="{053D01F2-1E58-41E1-8E6C-4E5BC09BDFDD}"/>
    <cellStyle name="Currency 5 2 4 2" xfId="206" xr:uid="{00000000-0005-0000-0000-0000250C0000}"/>
    <cellStyle name="Currency 5 2 4 2 10" xfId="8881" xr:uid="{CEBDB3CF-885E-4486-86F5-6860F410650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FDA3D52F-88D4-4052-B288-648DBCBC6703}"/>
    <cellStyle name="Currency 5 2 4 2 2 2 3" xfId="11440" xr:uid="{DD7CDC96-ECC3-49B1-9362-44717ACC07AB}"/>
    <cellStyle name="Currency 5 2 4 2 2 3" xfId="5063" xr:uid="{00000000-0005-0000-0000-0000290C0000}"/>
    <cellStyle name="Currency 5 2 4 2 2 3 2" xfId="13513" xr:uid="{595A5CA6-4AA2-4D38-B808-D597E5F7A41A}"/>
    <cellStyle name="Currency 5 2 4 2 2 4" xfId="9295" xr:uid="{F80FF691-4B09-4377-B373-8AE5FA11825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F48E66CD-19B9-48E2-A042-D38424B98B33}"/>
    <cellStyle name="Currency 5 2 4 2 3 2 3" xfId="11853" xr:uid="{027B3116-26F8-4A53-A790-FF77790F0266}"/>
    <cellStyle name="Currency 5 2 4 2 3 3" xfId="5476" xr:uid="{00000000-0005-0000-0000-00002D0C0000}"/>
    <cellStyle name="Currency 5 2 4 2 3 3 2" xfId="13926" xr:uid="{DE9DC6FF-626C-4252-9375-F437779137F8}"/>
    <cellStyle name="Currency 5 2 4 2 3 4" xfId="9708" xr:uid="{708DA7C6-33EB-4E78-9D4A-DE2456CF9972}"/>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62A120AD-5BD7-425E-A5DB-C640E8E300F4}"/>
    <cellStyle name="Currency 5 2 4 2 4 2 3" xfId="12266" xr:uid="{49C660B3-1B86-43BB-8F68-4DF4BCB9F296}"/>
    <cellStyle name="Currency 5 2 4 2 4 3" xfId="5889" xr:uid="{00000000-0005-0000-0000-0000310C0000}"/>
    <cellStyle name="Currency 5 2 4 2 4 3 2" xfId="14339" xr:uid="{D48D68DA-B8C6-4CDB-9C78-60B86F9D6530}"/>
    <cellStyle name="Currency 5 2 4 2 4 4" xfId="10121" xr:uid="{5790A1C0-2829-4C9B-BB7E-58D1C7CFC12E}"/>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79002789-9885-4948-87F5-70489E59C5E7}"/>
    <cellStyle name="Currency 5 2 4 2 5 2 3" xfId="12679" xr:uid="{E7AC4383-1680-4AE5-8860-81D6B661B009}"/>
    <cellStyle name="Currency 5 2 4 2 5 3" xfId="6302" xr:uid="{00000000-0005-0000-0000-0000350C0000}"/>
    <cellStyle name="Currency 5 2 4 2 5 3 2" xfId="14752" xr:uid="{55D322A3-7171-43A7-AE44-16C0C5299FEA}"/>
    <cellStyle name="Currency 5 2 4 2 5 4" xfId="10534" xr:uid="{DE59E117-B1DD-4BB6-972F-D76828A8F1CE}"/>
    <cellStyle name="Currency 5 2 4 2 6" xfId="2431" xr:uid="{00000000-0005-0000-0000-0000360C0000}"/>
    <cellStyle name="Currency 5 2 4 2 6 2" xfId="6715" xr:uid="{00000000-0005-0000-0000-0000370C0000}"/>
    <cellStyle name="Currency 5 2 4 2 6 2 2" xfId="15165" xr:uid="{4AE1AB9D-30B3-4B62-8F14-D4FA0CD20BD0}"/>
    <cellStyle name="Currency 5 2 4 2 6 3" xfId="10947" xr:uid="{82BB1E76-9EA3-4EB0-91D0-3DCFE242A393}"/>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FA1AF928-3EAD-4B7B-A753-2019008AEE23}"/>
    <cellStyle name="Currency 5 2 4 2 8 3" xfId="11264" xr:uid="{444DA221-8921-4350-B484-26544522906C}"/>
    <cellStyle name="Currency 5 2 4 2 9" xfId="4649" xr:uid="{00000000-0005-0000-0000-00003B0C0000}"/>
    <cellStyle name="Currency 5 2 4 2 9 2" xfId="13099" xr:uid="{7F6AC5EA-85C8-44FA-8917-D0F6185601B8}"/>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88167A34-6D69-44E4-9D45-3545B567F0F6}"/>
    <cellStyle name="Currency 5 2 4 3 2 3" xfId="11439" xr:uid="{DC940376-B145-44E1-9654-A5917FA8CF2A}"/>
    <cellStyle name="Currency 5 2 4 3 3" xfId="5062" xr:uid="{00000000-0005-0000-0000-00003F0C0000}"/>
    <cellStyle name="Currency 5 2 4 3 3 2" xfId="13512" xr:uid="{AE04CD9A-D2E5-4266-86F0-0C3B64B56390}"/>
    <cellStyle name="Currency 5 2 4 3 4" xfId="9294" xr:uid="{74F32BD5-41D5-4F82-8B1B-741E86F4C15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4421F1B5-0A5A-4249-A8B6-E38B635AE653}"/>
    <cellStyle name="Currency 5 2 4 4 2 3" xfId="11852" xr:uid="{5F189607-1764-4DE5-ADCF-641E5F524B46}"/>
    <cellStyle name="Currency 5 2 4 4 3" xfId="5475" xr:uid="{00000000-0005-0000-0000-0000430C0000}"/>
    <cellStyle name="Currency 5 2 4 4 3 2" xfId="13925" xr:uid="{74FBB1CF-39F8-45A7-98CE-D54C852953E9}"/>
    <cellStyle name="Currency 5 2 4 4 4" xfId="9707" xr:uid="{7882BACC-417F-4489-9959-EC00E91AB86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5B43A319-1B8C-4DEB-A473-F3522DDB6972}"/>
    <cellStyle name="Currency 5 2 4 5 2 3" xfId="12265" xr:uid="{9D80015B-0CEF-49F2-B956-98A6820B5560}"/>
    <cellStyle name="Currency 5 2 4 5 3" xfId="5888" xr:uid="{00000000-0005-0000-0000-0000470C0000}"/>
    <cellStyle name="Currency 5 2 4 5 3 2" xfId="14338" xr:uid="{BC2EB56D-78C6-4379-917E-66E6B82E550C}"/>
    <cellStyle name="Currency 5 2 4 5 4" xfId="10120" xr:uid="{D71EFD5C-20BA-4190-A472-C642F7D7F4E9}"/>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27F79230-C4E8-4A36-8CD5-C727A26A6DD4}"/>
    <cellStyle name="Currency 5 2 4 6 2 3" xfId="12678" xr:uid="{96F77B5F-72B0-4408-BF88-B2DA79B7AF58}"/>
    <cellStyle name="Currency 5 2 4 6 3" xfId="6301" xr:uid="{00000000-0005-0000-0000-00004B0C0000}"/>
    <cellStyle name="Currency 5 2 4 6 3 2" xfId="14751" xr:uid="{930B59F2-68D4-42C7-9F3E-B0CFE78E0632}"/>
    <cellStyle name="Currency 5 2 4 6 4" xfId="10533" xr:uid="{1EF00F9F-8C4F-4078-B65A-96C98068C53D}"/>
    <cellStyle name="Currency 5 2 4 7" xfId="2430" xr:uid="{00000000-0005-0000-0000-00004C0C0000}"/>
    <cellStyle name="Currency 5 2 4 7 2" xfId="6714" xr:uid="{00000000-0005-0000-0000-00004D0C0000}"/>
    <cellStyle name="Currency 5 2 4 7 2 2" xfId="15164" xr:uid="{79E50117-09FE-4863-ADE5-696C82FC36B2}"/>
    <cellStyle name="Currency 5 2 4 7 3" xfId="10946" xr:uid="{BEC6180E-FED2-4EC5-BE34-942B6DCDE06B}"/>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6CE36659-D321-48C4-B499-2DC49B200F7F}"/>
    <cellStyle name="Currency 5 2 4 9 3" xfId="11263" xr:uid="{658CB31F-B8D3-4A2A-A3E9-613863FBDEC4}"/>
    <cellStyle name="Currency 5 2 5" xfId="207" xr:uid="{00000000-0005-0000-0000-0000510C0000}"/>
    <cellStyle name="Currency 5 2 5 10" xfId="8882" xr:uid="{DA8FA623-1CF2-45F9-8517-34A7AD3B574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1D892CA3-B192-4533-808F-89789721F1D2}"/>
    <cellStyle name="Currency 5 2 5 2 2 3" xfId="11441" xr:uid="{1548DC4B-47E8-4A4B-803D-CF51B8CF292E}"/>
    <cellStyle name="Currency 5 2 5 2 3" xfId="5064" xr:uid="{00000000-0005-0000-0000-0000550C0000}"/>
    <cellStyle name="Currency 5 2 5 2 3 2" xfId="13514" xr:uid="{0048D9CA-6D9C-49A4-BAA2-5254698A5EAB}"/>
    <cellStyle name="Currency 5 2 5 2 4" xfId="9296" xr:uid="{E15D294A-09B1-4FF7-AB1B-6F1D1F0E5768}"/>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A8A989D8-36AB-4CCA-AD6F-2BA1E19F2F7E}"/>
    <cellStyle name="Currency 5 2 5 3 2 3" xfId="11854" xr:uid="{F790E2E1-ED78-47D2-999F-C214C6780DB0}"/>
    <cellStyle name="Currency 5 2 5 3 3" xfId="5477" xr:uid="{00000000-0005-0000-0000-0000590C0000}"/>
    <cellStyle name="Currency 5 2 5 3 3 2" xfId="13927" xr:uid="{01B77A1A-995D-4761-8590-8D10C33F42E6}"/>
    <cellStyle name="Currency 5 2 5 3 4" xfId="9709" xr:uid="{0E5F6F9F-0B4E-4CFB-B0C8-47C96B3B56DE}"/>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9D4F976F-9770-432C-82D2-36BA5B46E542}"/>
    <cellStyle name="Currency 5 2 5 4 2 3" xfId="12267" xr:uid="{6EC3F184-A461-4775-BAFE-CA3374228B20}"/>
    <cellStyle name="Currency 5 2 5 4 3" xfId="5890" xr:uid="{00000000-0005-0000-0000-00005D0C0000}"/>
    <cellStyle name="Currency 5 2 5 4 3 2" xfId="14340" xr:uid="{2E9BEB82-B91C-4588-A421-9F61E25D105F}"/>
    <cellStyle name="Currency 5 2 5 4 4" xfId="10122" xr:uid="{61F6A96B-F221-40C9-B7DE-50229CBD2B1A}"/>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C3877F0D-8321-41AE-A4E9-88DA53D29BC8}"/>
    <cellStyle name="Currency 5 2 5 5 2 3" xfId="12680" xr:uid="{C7D1818A-77B9-4875-974F-0F8A05FBC317}"/>
    <cellStyle name="Currency 5 2 5 5 3" xfId="6303" xr:uid="{00000000-0005-0000-0000-0000610C0000}"/>
    <cellStyle name="Currency 5 2 5 5 3 2" xfId="14753" xr:uid="{4892975D-9AA8-4E56-BF95-C42613C5190F}"/>
    <cellStyle name="Currency 5 2 5 5 4" xfId="10535" xr:uid="{DC142C26-146D-4991-A71D-4543451FC4A9}"/>
    <cellStyle name="Currency 5 2 5 6" xfId="2432" xr:uid="{00000000-0005-0000-0000-0000620C0000}"/>
    <cellStyle name="Currency 5 2 5 6 2" xfId="6716" xr:uid="{00000000-0005-0000-0000-0000630C0000}"/>
    <cellStyle name="Currency 5 2 5 6 2 2" xfId="15166" xr:uid="{35583428-FCA4-4D83-99AE-23DFBB16C15F}"/>
    <cellStyle name="Currency 5 2 5 6 3" xfId="10948" xr:uid="{DB9D04BA-69D8-41BA-BF49-6F8DC20C06FC}"/>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72192BAC-370D-48F3-B988-308E0467C4FF}"/>
    <cellStyle name="Currency 5 2 5 8 3" xfId="11265" xr:uid="{C71F8166-A03C-44AD-867E-A2579200A4E9}"/>
    <cellStyle name="Currency 5 2 5 9" xfId="4650" xr:uid="{00000000-0005-0000-0000-0000670C0000}"/>
    <cellStyle name="Currency 5 2 5 9 2" xfId="13100" xr:uid="{6164F190-49E1-4CE7-9F83-4C512599289C}"/>
    <cellStyle name="Currency 5 2 6" xfId="208" xr:uid="{00000000-0005-0000-0000-0000680C0000}"/>
    <cellStyle name="Currency 5 2 6 10" xfId="8883" xr:uid="{318A24D9-3D38-4408-AC14-08761D715E64}"/>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AE87E18D-2CD6-400C-8538-07A22EC8BD9E}"/>
    <cellStyle name="Currency 5 2 6 2 2 3" xfId="11442" xr:uid="{1A5839BA-15F9-46E3-849D-C412164A8EA0}"/>
    <cellStyle name="Currency 5 2 6 2 3" xfId="5065" xr:uid="{00000000-0005-0000-0000-00006C0C0000}"/>
    <cellStyle name="Currency 5 2 6 2 3 2" xfId="13515" xr:uid="{FBB496F6-6968-4608-AED8-A66C61250487}"/>
    <cellStyle name="Currency 5 2 6 2 4" xfId="9297" xr:uid="{65516BA2-9BB7-4BE7-8804-DF5A7870D40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66BCCFCA-2AF9-4E89-8D10-D573550A4A5F}"/>
    <cellStyle name="Currency 5 2 6 3 2 3" xfId="11855" xr:uid="{2E3DAFBC-19F1-4C58-A36F-7C2C355D87A0}"/>
    <cellStyle name="Currency 5 2 6 3 3" xfId="5478" xr:uid="{00000000-0005-0000-0000-0000700C0000}"/>
    <cellStyle name="Currency 5 2 6 3 3 2" xfId="13928" xr:uid="{700D774D-731A-4E0D-B0DE-55AA666A6A23}"/>
    <cellStyle name="Currency 5 2 6 3 4" xfId="9710" xr:uid="{9B820CA7-5A73-4FF8-B7B9-0EE7920A4790}"/>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77C10589-59A6-4664-B6D1-5A87F5977F29}"/>
    <cellStyle name="Currency 5 2 6 4 2 3" xfId="12268" xr:uid="{01769740-5C95-4822-AC34-AA5B1AFABAC4}"/>
    <cellStyle name="Currency 5 2 6 4 3" xfId="5891" xr:uid="{00000000-0005-0000-0000-0000740C0000}"/>
    <cellStyle name="Currency 5 2 6 4 3 2" xfId="14341" xr:uid="{81C85536-F096-4A2D-86EC-53E6A1149B37}"/>
    <cellStyle name="Currency 5 2 6 4 4" xfId="10123" xr:uid="{33D57C87-4C7C-4741-B480-2DC36853D152}"/>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2DDAFCDE-0938-482E-8362-0C55765C8ACF}"/>
    <cellStyle name="Currency 5 2 6 5 2 3" xfId="12681" xr:uid="{1349A711-BCF4-4D1F-AF1A-E816E1F25A87}"/>
    <cellStyle name="Currency 5 2 6 5 3" xfId="6304" xr:uid="{00000000-0005-0000-0000-0000780C0000}"/>
    <cellStyle name="Currency 5 2 6 5 3 2" xfId="14754" xr:uid="{673BBD4B-795B-4396-8461-118B8FBE5323}"/>
    <cellStyle name="Currency 5 2 6 5 4" xfId="10536" xr:uid="{A902BD56-1080-49A0-8C76-FEB51D8688FA}"/>
    <cellStyle name="Currency 5 2 6 6" xfId="2433" xr:uid="{00000000-0005-0000-0000-0000790C0000}"/>
    <cellStyle name="Currency 5 2 6 6 2" xfId="6717" xr:uid="{00000000-0005-0000-0000-00007A0C0000}"/>
    <cellStyle name="Currency 5 2 6 6 2 2" xfId="15167" xr:uid="{BCEA88F2-A366-492A-BAB2-30EB60092021}"/>
    <cellStyle name="Currency 5 2 6 6 3" xfId="10949" xr:uid="{1285F39F-2465-490A-AD9A-34A52038B639}"/>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C713C3A7-CEC7-4DBF-9733-0A07C87D34CA}"/>
    <cellStyle name="Currency 5 2 6 8 3" xfId="11266" xr:uid="{689008F6-3756-427B-881B-4FDFE0EAE20C}"/>
    <cellStyle name="Currency 5 2 6 9" xfId="4651" xr:uid="{00000000-0005-0000-0000-00007E0C0000}"/>
    <cellStyle name="Currency 5 2 6 9 2" xfId="13101" xr:uid="{5E0695FE-2A68-420D-A059-B25362247E18}"/>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14725804-1C91-4DFB-B881-8DDCACE9397D}"/>
    <cellStyle name="Currency 5 3 2 10 3" xfId="11267" xr:uid="{12258A1C-306D-404A-B7A1-D3C1EB138625}"/>
    <cellStyle name="Currency 5 3 2 11" xfId="4652" xr:uid="{00000000-0005-0000-0000-0000840C0000}"/>
    <cellStyle name="Currency 5 3 2 11 2" xfId="13102" xr:uid="{4BAE2EF5-F5CF-4AB3-903E-BC2F3493399F}"/>
    <cellStyle name="Currency 5 3 2 12" xfId="8884" xr:uid="{611E051D-6286-40DC-B5F2-2834C67E3828}"/>
    <cellStyle name="Currency 5 3 2 2" xfId="211" xr:uid="{00000000-0005-0000-0000-0000850C0000}"/>
    <cellStyle name="Currency 5 3 2 2 10" xfId="4653" xr:uid="{00000000-0005-0000-0000-0000860C0000}"/>
    <cellStyle name="Currency 5 3 2 2 10 2" xfId="13103" xr:uid="{65668D7D-DE33-4A43-8959-EF1C6AF34799}"/>
    <cellStyle name="Currency 5 3 2 2 11" xfId="8885" xr:uid="{14016F86-55D0-49D2-840C-23B9BAE2EF68}"/>
    <cellStyle name="Currency 5 3 2 2 2" xfId="212" xr:uid="{00000000-0005-0000-0000-0000870C0000}"/>
    <cellStyle name="Currency 5 3 2 2 2 10" xfId="8886" xr:uid="{77890558-D284-4685-9154-D6ECDC02B4D6}"/>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E02B70C3-BE52-46B9-A1D8-CE997017121C}"/>
    <cellStyle name="Currency 5 3 2 2 2 2 2 3" xfId="11445" xr:uid="{1F86C98E-1F37-46A3-BD2E-56887FA3B8FF}"/>
    <cellStyle name="Currency 5 3 2 2 2 2 3" xfId="5068" xr:uid="{00000000-0005-0000-0000-00008B0C0000}"/>
    <cellStyle name="Currency 5 3 2 2 2 2 3 2" xfId="13518" xr:uid="{4BC2E278-6440-4256-8391-19DC18891B8E}"/>
    <cellStyle name="Currency 5 3 2 2 2 2 4" xfId="9300" xr:uid="{FA485E22-C956-4F9A-B452-4B8E3A7BE396}"/>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16BF06AB-2402-4381-B076-766B1CA34AF4}"/>
    <cellStyle name="Currency 5 3 2 2 2 3 2 3" xfId="11858" xr:uid="{1DDBCC41-7BA2-4319-BA25-75150F979903}"/>
    <cellStyle name="Currency 5 3 2 2 2 3 3" xfId="5481" xr:uid="{00000000-0005-0000-0000-00008F0C0000}"/>
    <cellStyle name="Currency 5 3 2 2 2 3 3 2" xfId="13931" xr:uid="{648135C4-552C-465B-A3EB-058F596D7BED}"/>
    <cellStyle name="Currency 5 3 2 2 2 3 4" xfId="9713" xr:uid="{55599ECE-7506-4D8F-8AED-E8BC4E8C47F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5B9FD732-4BCF-4A56-8194-F09B2C953902}"/>
    <cellStyle name="Currency 5 3 2 2 2 4 2 3" xfId="12271" xr:uid="{43E82D4D-1D01-4285-9383-EC2C989C35B5}"/>
    <cellStyle name="Currency 5 3 2 2 2 4 3" xfId="5894" xr:uid="{00000000-0005-0000-0000-0000930C0000}"/>
    <cellStyle name="Currency 5 3 2 2 2 4 3 2" xfId="14344" xr:uid="{6B7406F3-F334-4E08-99D9-87010157D92B}"/>
    <cellStyle name="Currency 5 3 2 2 2 4 4" xfId="10126" xr:uid="{4794BB22-26A6-4E12-BEB8-13E5FAC5E45C}"/>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331F1CC2-5B54-41C2-98DD-1400FA7F6ABF}"/>
    <cellStyle name="Currency 5 3 2 2 2 5 2 3" xfId="12684" xr:uid="{5F5668B2-F52A-41A1-ABF6-276F7B1467C1}"/>
    <cellStyle name="Currency 5 3 2 2 2 5 3" xfId="6307" xr:uid="{00000000-0005-0000-0000-0000970C0000}"/>
    <cellStyle name="Currency 5 3 2 2 2 5 3 2" xfId="14757" xr:uid="{8563B569-8AA7-4CAF-9A93-83C5DEE24096}"/>
    <cellStyle name="Currency 5 3 2 2 2 5 4" xfId="10539" xr:uid="{0BA1CB41-83CF-4404-8B7A-2243A41E89E9}"/>
    <cellStyle name="Currency 5 3 2 2 2 6" xfId="2436" xr:uid="{00000000-0005-0000-0000-0000980C0000}"/>
    <cellStyle name="Currency 5 3 2 2 2 6 2" xfId="6720" xr:uid="{00000000-0005-0000-0000-0000990C0000}"/>
    <cellStyle name="Currency 5 3 2 2 2 6 2 2" xfId="15170" xr:uid="{5F7D91E8-6364-4321-B0D1-A5EFB05518A1}"/>
    <cellStyle name="Currency 5 3 2 2 2 6 3" xfId="10952" xr:uid="{4CB75DF9-49C6-45E7-B09E-0C396C41A88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D1954A86-430F-4041-B572-85E2BD9B9187}"/>
    <cellStyle name="Currency 5 3 2 2 2 8 3" xfId="11269" xr:uid="{A6611827-E12C-4748-A8B3-A4E956DE7FD3}"/>
    <cellStyle name="Currency 5 3 2 2 2 9" xfId="4654" xr:uid="{00000000-0005-0000-0000-00009D0C0000}"/>
    <cellStyle name="Currency 5 3 2 2 2 9 2" xfId="13104" xr:uid="{12D5187A-7834-4E78-8BED-69F8DB349492}"/>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E8EBE8DA-E8C7-4E00-851A-DF89BB19D94B}"/>
    <cellStyle name="Currency 5 3 2 2 3 2 3" xfId="11444" xr:uid="{052A6EEF-DF9E-4A4C-9AFC-51ADA5A54087}"/>
    <cellStyle name="Currency 5 3 2 2 3 3" xfId="5067" xr:uid="{00000000-0005-0000-0000-0000A10C0000}"/>
    <cellStyle name="Currency 5 3 2 2 3 3 2" xfId="13517" xr:uid="{43C6D53A-0D45-415C-BCAC-617C756D1BEE}"/>
    <cellStyle name="Currency 5 3 2 2 3 4" xfId="9299" xr:uid="{9492606C-B41B-4F1D-B7D6-09B6F61810F5}"/>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6B08D321-70BF-48FF-BB76-708520F03A57}"/>
    <cellStyle name="Currency 5 3 2 2 4 2 3" xfId="11857" xr:uid="{1291989E-1CCC-4CEF-BE16-E1BBCDC770EB}"/>
    <cellStyle name="Currency 5 3 2 2 4 3" xfId="5480" xr:uid="{00000000-0005-0000-0000-0000A50C0000}"/>
    <cellStyle name="Currency 5 3 2 2 4 3 2" xfId="13930" xr:uid="{87589F90-728E-447A-98AF-4ED7C8F409AD}"/>
    <cellStyle name="Currency 5 3 2 2 4 4" xfId="9712" xr:uid="{67C94023-DC3C-4412-B047-B6643CDDFF8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F7977DAD-BE58-430B-BD53-998DCFCC1545}"/>
    <cellStyle name="Currency 5 3 2 2 5 2 3" xfId="12270" xr:uid="{8E7A7CA4-1032-42DA-B277-076A87C99DC9}"/>
    <cellStyle name="Currency 5 3 2 2 5 3" xfId="5893" xr:uid="{00000000-0005-0000-0000-0000A90C0000}"/>
    <cellStyle name="Currency 5 3 2 2 5 3 2" xfId="14343" xr:uid="{4C3EF927-3786-4E4B-8225-0F0FD7A9388F}"/>
    <cellStyle name="Currency 5 3 2 2 5 4" xfId="10125" xr:uid="{CC58678A-1E49-4861-9F84-9D13F3BA08FD}"/>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7657BC3B-8EBD-49BE-A9F8-780962D05A17}"/>
    <cellStyle name="Currency 5 3 2 2 6 2 3" xfId="12683" xr:uid="{2BB4440D-1CE4-4CEA-9BE0-1E29EDEB05A8}"/>
    <cellStyle name="Currency 5 3 2 2 6 3" xfId="6306" xr:uid="{00000000-0005-0000-0000-0000AD0C0000}"/>
    <cellStyle name="Currency 5 3 2 2 6 3 2" xfId="14756" xr:uid="{533034AF-9A74-4C6F-8B4C-E1416A306900}"/>
    <cellStyle name="Currency 5 3 2 2 6 4" xfId="10538" xr:uid="{8A2F0A00-0274-4CC9-8015-E47C565C57AD}"/>
    <cellStyle name="Currency 5 3 2 2 7" xfId="2435" xr:uid="{00000000-0005-0000-0000-0000AE0C0000}"/>
    <cellStyle name="Currency 5 3 2 2 7 2" xfId="6719" xr:uid="{00000000-0005-0000-0000-0000AF0C0000}"/>
    <cellStyle name="Currency 5 3 2 2 7 2 2" xfId="15169" xr:uid="{4D012732-733B-496A-BB2D-FB783FF5A721}"/>
    <cellStyle name="Currency 5 3 2 2 7 3" xfId="10951" xr:uid="{CD1F1705-FE6F-4E0C-B459-2B90B3FC1786}"/>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85EC7E97-AD9A-42CD-8D2F-34348AC7038A}"/>
    <cellStyle name="Currency 5 3 2 2 9 3" xfId="11268" xr:uid="{08557372-CC5F-4221-9062-7586FE282801}"/>
    <cellStyle name="Currency 5 3 2 3" xfId="213" xr:uid="{00000000-0005-0000-0000-0000B30C0000}"/>
    <cellStyle name="Currency 5 3 2 3 10" xfId="8887" xr:uid="{ABE65D74-AC86-43C9-88DF-91FE58D262F1}"/>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110164BB-EF67-46AA-B224-7187E6EB0389}"/>
    <cellStyle name="Currency 5 3 2 3 2 2 3" xfId="11446" xr:uid="{8D107672-1664-4776-BDF1-3EFB7C13D288}"/>
    <cellStyle name="Currency 5 3 2 3 2 3" xfId="5069" xr:uid="{00000000-0005-0000-0000-0000B70C0000}"/>
    <cellStyle name="Currency 5 3 2 3 2 3 2" xfId="13519" xr:uid="{9E0E2ABC-7959-4F53-BAA4-7C73FE3ACC46}"/>
    <cellStyle name="Currency 5 3 2 3 2 4" xfId="9301" xr:uid="{F9396278-DBA0-434A-9313-68182BC47AC8}"/>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762D0BF2-C83C-469D-B294-5D60F76F9BBE}"/>
    <cellStyle name="Currency 5 3 2 3 3 2 3" xfId="11859" xr:uid="{0EB58810-B8E9-4641-B38F-D99DF5B100AF}"/>
    <cellStyle name="Currency 5 3 2 3 3 3" xfId="5482" xr:uid="{00000000-0005-0000-0000-0000BB0C0000}"/>
    <cellStyle name="Currency 5 3 2 3 3 3 2" xfId="13932" xr:uid="{423F9889-CC4A-493F-8F8F-9F548353512F}"/>
    <cellStyle name="Currency 5 3 2 3 3 4" xfId="9714" xr:uid="{3769882C-68C8-4019-B6D0-D1F72855940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F9005E0A-B122-4BB2-A722-467B2D25B3C0}"/>
    <cellStyle name="Currency 5 3 2 3 4 2 3" xfId="12272" xr:uid="{6BD1DB62-9C6C-46A5-8709-1A697D9FAF12}"/>
    <cellStyle name="Currency 5 3 2 3 4 3" xfId="5895" xr:uid="{00000000-0005-0000-0000-0000BF0C0000}"/>
    <cellStyle name="Currency 5 3 2 3 4 3 2" xfId="14345" xr:uid="{423F870E-7C6F-446B-9898-00BEE3E56367}"/>
    <cellStyle name="Currency 5 3 2 3 4 4" xfId="10127" xr:uid="{CDD1F6F8-7D76-4ADD-91D4-30A23C1D67B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9BE6C41A-2B23-4BBA-8AE7-B205B479CBA4}"/>
    <cellStyle name="Currency 5 3 2 3 5 2 3" xfId="12685" xr:uid="{83884052-B131-492F-8955-2B57FFC32900}"/>
    <cellStyle name="Currency 5 3 2 3 5 3" xfId="6308" xr:uid="{00000000-0005-0000-0000-0000C30C0000}"/>
    <cellStyle name="Currency 5 3 2 3 5 3 2" xfId="14758" xr:uid="{AA4C3997-D243-4A43-9D4D-F32216D0BD07}"/>
    <cellStyle name="Currency 5 3 2 3 5 4" xfId="10540" xr:uid="{01B4221B-8778-4279-9F66-F3B02C5F8AE3}"/>
    <cellStyle name="Currency 5 3 2 3 6" xfId="2437" xr:uid="{00000000-0005-0000-0000-0000C40C0000}"/>
    <cellStyle name="Currency 5 3 2 3 6 2" xfId="6721" xr:uid="{00000000-0005-0000-0000-0000C50C0000}"/>
    <cellStyle name="Currency 5 3 2 3 6 2 2" xfId="15171" xr:uid="{DAA15D57-1787-467E-A619-DF9B2E669618}"/>
    <cellStyle name="Currency 5 3 2 3 6 3" xfId="10953" xr:uid="{47D078BF-F9DD-483E-8F87-427B4F92EFE2}"/>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FE01A298-2C70-4133-A349-255024C68023}"/>
    <cellStyle name="Currency 5 3 2 3 8 3" xfId="11270" xr:uid="{72242957-CAFB-4D23-B149-579967E17B9A}"/>
    <cellStyle name="Currency 5 3 2 3 9" xfId="4655" xr:uid="{00000000-0005-0000-0000-0000C90C0000}"/>
    <cellStyle name="Currency 5 3 2 3 9 2" xfId="13105" xr:uid="{5608BDD5-8219-4FA0-8A2F-78D8BC05D4B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932A858B-B53F-4A6A-BCA3-90CD5654F3D6}"/>
    <cellStyle name="Currency 5 3 2 4 2 3" xfId="11443" xr:uid="{017D08C0-1620-48EA-A2A0-1D3F0BBA09D2}"/>
    <cellStyle name="Currency 5 3 2 4 3" xfId="5066" xr:uid="{00000000-0005-0000-0000-0000CD0C0000}"/>
    <cellStyle name="Currency 5 3 2 4 3 2" xfId="13516" xr:uid="{095790E3-8821-450F-B6DD-5F17833CD1F7}"/>
    <cellStyle name="Currency 5 3 2 4 4" xfId="9298" xr:uid="{3759C308-A2B7-4983-99BB-9280AEF75A6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BF06D6CA-D675-4FEA-B82B-60C317CC2759}"/>
    <cellStyle name="Currency 5 3 2 5 2 3" xfId="11856" xr:uid="{66D11A38-6EEB-4733-85F9-F8094D7B9BBC}"/>
    <cellStyle name="Currency 5 3 2 5 3" xfId="5479" xr:uid="{00000000-0005-0000-0000-0000D10C0000}"/>
    <cellStyle name="Currency 5 3 2 5 3 2" xfId="13929" xr:uid="{496004F4-3532-4C02-950B-E44E47DFE81E}"/>
    <cellStyle name="Currency 5 3 2 5 4" xfId="9711" xr:uid="{6C4B2F1A-BA04-44CE-93E0-B795E02BCE20}"/>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0843554F-9A28-459E-A033-F0C5AFA4D6CC}"/>
    <cellStyle name="Currency 5 3 2 6 2 3" xfId="12269" xr:uid="{B931B429-C2B9-4919-99F5-2BFF05D40375}"/>
    <cellStyle name="Currency 5 3 2 6 3" xfId="5892" xr:uid="{00000000-0005-0000-0000-0000D50C0000}"/>
    <cellStyle name="Currency 5 3 2 6 3 2" xfId="14342" xr:uid="{8EF55405-86FA-4B21-BEE8-20BDFDA7D827}"/>
    <cellStyle name="Currency 5 3 2 6 4" xfId="10124" xr:uid="{7B20A212-E7CB-410F-AC38-84B660D70979}"/>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6CF25193-90D0-4E96-9328-7700B4865F21}"/>
    <cellStyle name="Currency 5 3 2 7 2 3" xfId="12682" xr:uid="{5CDF3D21-EB22-4FB3-A69C-F1A3435E375C}"/>
    <cellStyle name="Currency 5 3 2 7 3" xfId="6305" xr:uid="{00000000-0005-0000-0000-0000D90C0000}"/>
    <cellStyle name="Currency 5 3 2 7 3 2" xfId="14755" xr:uid="{709B17A2-D875-49C0-800F-71150073DD94}"/>
    <cellStyle name="Currency 5 3 2 7 4" xfId="10537" xr:uid="{A1ECEE03-B81F-4050-AB9F-81A2C3E5CFE4}"/>
    <cellStyle name="Currency 5 3 2 8" xfId="2434" xr:uid="{00000000-0005-0000-0000-0000DA0C0000}"/>
    <cellStyle name="Currency 5 3 2 8 2" xfId="6718" xr:uid="{00000000-0005-0000-0000-0000DB0C0000}"/>
    <cellStyle name="Currency 5 3 2 8 2 2" xfId="15168" xr:uid="{4BA4F3CA-22DB-4A5C-9341-751F7B53D1EB}"/>
    <cellStyle name="Currency 5 3 2 8 3" xfId="10950" xr:uid="{8012F54C-9618-4CAA-B3CA-1F8E38BE7ED3}"/>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2F860ECA-D25D-49B6-968D-05BC41A4DF40}"/>
    <cellStyle name="Currency 5 3 3 11" xfId="8888" xr:uid="{64585ABD-6551-481E-A90A-9A902E98ADDC}"/>
    <cellStyle name="Currency 5 3 3 2" xfId="215" xr:uid="{00000000-0005-0000-0000-0000DF0C0000}"/>
    <cellStyle name="Currency 5 3 3 2 10" xfId="8889" xr:uid="{245FDA03-A798-4ED5-8444-C46DD0E4E22A}"/>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FCABE3EF-8ECF-4240-A823-15134FF6D5C5}"/>
    <cellStyle name="Currency 5 3 3 2 2 2 3" xfId="11448" xr:uid="{5B23A71D-BEFF-46C0-B427-3C9867D607D6}"/>
    <cellStyle name="Currency 5 3 3 2 2 3" xfId="5071" xr:uid="{00000000-0005-0000-0000-0000E30C0000}"/>
    <cellStyle name="Currency 5 3 3 2 2 3 2" xfId="13521" xr:uid="{A3357427-8685-4E2F-880F-2970232B2B50}"/>
    <cellStyle name="Currency 5 3 3 2 2 4" xfId="9303" xr:uid="{721872FF-3D3E-4AE0-BFB8-C4D3DC8A9B0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A5266A40-FF3D-41BD-8E6F-48C8A5637A9D}"/>
    <cellStyle name="Currency 5 3 3 2 3 2 3" xfId="11861" xr:uid="{33E25C3E-F546-4E9A-BDCC-A9E20C5A375C}"/>
    <cellStyle name="Currency 5 3 3 2 3 3" xfId="5484" xr:uid="{00000000-0005-0000-0000-0000E70C0000}"/>
    <cellStyle name="Currency 5 3 3 2 3 3 2" xfId="13934" xr:uid="{406133FD-B837-45B3-AC17-7406A55F69CB}"/>
    <cellStyle name="Currency 5 3 3 2 3 4" xfId="9716" xr:uid="{4E8B3A9A-4848-47A4-A53C-9DF8DC4F564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BE3D0A80-267F-48F3-91A3-3B63D5CC2529}"/>
    <cellStyle name="Currency 5 3 3 2 4 2 3" xfId="12274" xr:uid="{5FE84D60-8B14-47A1-925F-43DFA84E784F}"/>
    <cellStyle name="Currency 5 3 3 2 4 3" xfId="5897" xr:uid="{00000000-0005-0000-0000-0000EB0C0000}"/>
    <cellStyle name="Currency 5 3 3 2 4 3 2" xfId="14347" xr:uid="{095435D5-1DDD-4E05-8F2F-3C106C24DEB4}"/>
    <cellStyle name="Currency 5 3 3 2 4 4" xfId="10129" xr:uid="{E7B9CE69-7805-4CE8-89AF-64AF4AE152B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146C002F-33CD-4FAE-AD02-2068FB2ABFBA}"/>
    <cellStyle name="Currency 5 3 3 2 5 2 3" xfId="12687" xr:uid="{66C51CEF-7037-480C-A356-B33D30F4D8C8}"/>
    <cellStyle name="Currency 5 3 3 2 5 3" xfId="6310" xr:uid="{00000000-0005-0000-0000-0000EF0C0000}"/>
    <cellStyle name="Currency 5 3 3 2 5 3 2" xfId="14760" xr:uid="{80E60448-4B8B-4629-A874-077B4D4E0CCB}"/>
    <cellStyle name="Currency 5 3 3 2 5 4" xfId="10542" xr:uid="{F05AFE82-8D85-4A40-A9E0-EB0A87A82AF6}"/>
    <cellStyle name="Currency 5 3 3 2 6" xfId="2439" xr:uid="{00000000-0005-0000-0000-0000F00C0000}"/>
    <cellStyle name="Currency 5 3 3 2 6 2" xfId="6723" xr:uid="{00000000-0005-0000-0000-0000F10C0000}"/>
    <cellStyle name="Currency 5 3 3 2 6 2 2" xfId="15173" xr:uid="{7CCDDF1F-2F86-42B1-B668-7FF3B37DDFA6}"/>
    <cellStyle name="Currency 5 3 3 2 6 3" xfId="10955" xr:uid="{43D2A14E-31FE-47C3-966C-9D31E3F22CD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5843A949-91A9-498E-9BCB-232E3BD3B80B}"/>
    <cellStyle name="Currency 5 3 3 2 8 3" xfId="11272" xr:uid="{FB8EA839-DE71-4111-AA8F-89EB64ADEC9A}"/>
    <cellStyle name="Currency 5 3 3 2 9" xfId="4657" xr:uid="{00000000-0005-0000-0000-0000F50C0000}"/>
    <cellStyle name="Currency 5 3 3 2 9 2" xfId="13107" xr:uid="{14E0E287-194F-4676-9889-DC76FA1391B5}"/>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E5CE5EFC-35D5-4546-95A2-390D762DD2D9}"/>
    <cellStyle name="Currency 5 3 3 3 2 3" xfId="11447" xr:uid="{1F9AF381-85DA-462D-8ED7-C351FEA50225}"/>
    <cellStyle name="Currency 5 3 3 3 3" xfId="5070" xr:uid="{00000000-0005-0000-0000-0000F90C0000}"/>
    <cellStyle name="Currency 5 3 3 3 3 2" xfId="13520" xr:uid="{AB2710BF-7893-4BCC-A911-35952349DB8B}"/>
    <cellStyle name="Currency 5 3 3 3 4" xfId="9302" xr:uid="{D86D8456-7881-44CA-BAF5-7E98D3CBE9C6}"/>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2F7AFADF-B9E3-4D90-ADE8-97746738A5E4}"/>
    <cellStyle name="Currency 5 3 3 4 2 3" xfId="11860" xr:uid="{0FAD33A1-2D70-40F6-B488-E9B540B50B51}"/>
    <cellStyle name="Currency 5 3 3 4 3" xfId="5483" xr:uid="{00000000-0005-0000-0000-0000FD0C0000}"/>
    <cellStyle name="Currency 5 3 3 4 3 2" xfId="13933" xr:uid="{9FC98C37-82B2-403B-BF32-F52F98951C60}"/>
    <cellStyle name="Currency 5 3 3 4 4" xfId="9715" xr:uid="{C029E433-2A03-4DD7-8C7B-A653F60AED3B}"/>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0C690759-394F-491D-AA02-6E1005D37C60}"/>
    <cellStyle name="Currency 5 3 3 5 2 3" xfId="12273" xr:uid="{498122B5-2976-4D4A-89B3-FEBFAED4D833}"/>
    <cellStyle name="Currency 5 3 3 5 3" xfId="5896" xr:uid="{00000000-0005-0000-0000-0000010D0000}"/>
    <cellStyle name="Currency 5 3 3 5 3 2" xfId="14346" xr:uid="{E0F37EDB-28AC-4FD2-AC42-63F59962A348}"/>
    <cellStyle name="Currency 5 3 3 5 4" xfId="10128" xr:uid="{1BDC89C0-1FE0-481B-9B0D-82C56E503624}"/>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5916AA5A-779B-48FE-8F79-9D10F9D7FD5B}"/>
    <cellStyle name="Currency 5 3 3 6 2 3" xfId="12686" xr:uid="{3C72BFCD-FBFA-432B-8F7B-B5801C5ADB1B}"/>
    <cellStyle name="Currency 5 3 3 6 3" xfId="6309" xr:uid="{00000000-0005-0000-0000-0000050D0000}"/>
    <cellStyle name="Currency 5 3 3 6 3 2" xfId="14759" xr:uid="{8E96F636-FF42-4C7B-8ACA-725030D6DB62}"/>
    <cellStyle name="Currency 5 3 3 6 4" xfId="10541" xr:uid="{10415ABD-E74D-407A-8061-1D6944A9C915}"/>
    <cellStyle name="Currency 5 3 3 7" xfId="2438" xr:uid="{00000000-0005-0000-0000-0000060D0000}"/>
    <cellStyle name="Currency 5 3 3 7 2" xfId="6722" xr:uid="{00000000-0005-0000-0000-0000070D0000}"/>
    <cellStyle name="Currency 5 3 3 7 2 2" xfId="15172" xr:uid="{6AE441FC-0DB1-4BBE-BFC2-E20D971B6708}"/>
    <cellStyle name="Currency 5 3 3 7 3" xfId="10954" xr:uid="{B7ABA37F-856C-4347-AA0E-11B63171C70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BEF505D2-FF51-49A5-8FAC-8B73EB5839EA}"/>
    <cellStyle name="Currency 5 3 3 9 3" xfId="11271" xr:uid="{98109D06-7153-4398-8E11-22E13909E702}"/>
    <cellStyle name="Currency 5 3 4" xfId="216" xr:uid="{00000000-0005-0000-0000-00000B0D0000}"/>
    <cellStyle name="Currency 5 3 4 10" xfId="8890" xr:uid="{B497F360-A6B1-4FA1-B2B7-80258A63334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06C957B1-8089-4F76-AC6F-98A1B85AB61A}"/>
    <cellStyle name="Currency 5 3 4 2 2 3" xfId="11449" xr:uid="{321B278F-B98D-4680-A799-4386302920AF}"/>
    <cellStyle name="Currency 5 3 4 2 3" xfId="5072" xr:uid="{00000000-0005-0000-0000-00000F0D0000}"/>
    <cellStyle name="Currency 5 3 4 2 3 2" xfId="13522" xr:uid="{D0CA70BC-F17E-4CD9-BB91-7E794F030F7F}"/>
    <cellStyle name="Currency 5 3 4 2 4" xfId="9304" xr:uid="{4F58197E-FFC6-4EDE-89AB-72830B71053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0FBFDBE4-29BC-4B8F-8624-84AA4EB884D9}"/>
    <cellStyle name="Currency 5 3 4 3 2 3" xfId="11862" xr:uid="{FDB004F9-15F7-4F8C-BF8B-8750A71CFA04}"/>
    <cellStyle name="Currency 5 3 4 3 3" xfId="5485" xr:uid="{00000000-0005-0000-0000-0000130D0000}"/>
    <cellStyle name="Currency 5 3 4 3 3 2" xfId="13935" xr:uid="{2A037DC3-C583-40C9-B9F4-F90088EC46C5}"/>
    <cellStyle name="Currency 5 3 4 3 4" xfId="9717" xr:uid="{D74F5837-6D14-45B1-AE30-349BC92AEFE9}"/>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F34CE31A-CBED-4945-AB45-C1DE4B988338}"/>
    <cellStyle name="Currency 5 3 4 4 2 3" xfId="12275" xr:uid="{B27BB3FC-444B-4DE2-B090-8234C78D82D7}"/>
    <cellStyle name="Currency 5 3 4 4 3" xfId="5898" xr:uid="{00000000-0005-0000-0000-0000170D0000}"/>
    <cellStyle name="Currency 5 3 4 4 3 2" xfId="14348" xr:uid="{C72D1D23-FEA8-4183-B3BE-489FB5A65DD8}"/>
    <cellStyle name="Currency 5 3 4 4 4" xfId="10130" xr:uid="{C8F12B10-DF95-4C0A-9C6E-06EE5CB0D703}"/>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A4950B7F-9D85-4CD4-B84D-4F1452953828}"/>
    <cellStyle name="Currency 5 3 4 5 2 3" xfId="12688" xr:uid="{CA6D84C4-98D2-4B18-BE53-24A9C4CE7704}"/>
    <cellStyle name="Currency 5 3 4 5 3" xfId="6311" xr:uid="{00000000-0005-0000-0000-00001B0D0000}"/>
    <cellStyle name="Currency 5 3 4 5 3 2" xfId="14761" xr:uid="{366C80B6-39EB-4AD5-90B0-9EDD27254299}"/>
    <cellStyle name="Currency 5 3 4 5 4" xfId="10543" xr:uid="{BCC15AC2-6770-4B58-ABAD-F2987E654481}"/>
    <cellStyle name="Currency 5 3 4 6" xfId="2440" xr:uid="{00000000-0005-0000-0000-00001C0D0000}"/>
    <cellStyle name="Currency 5 3 4 6 2" xfId="6724" xr:uid="{00000000-0005-0000-0000-00001D0D0000}"/>
    <cellStyle name="Currency 5 3 4 6 2 2" xfId="15174" xr:uid="{DC39FEC5-8E19-40D5-9E7A-3DEACA60055F}"/>
    <cellStyle name="Currency 5 3 4 6 3" xfId="10956" xr:uid="{56E4BAB4-6936-4DF7-A5EA-818C1967B4A6}"/>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9A154EED-4806-436A-A217-717BC7AE4138}"/>
    <cellStyle name="Currency 5 3 4 8 3" xfId="11273" xr:uid="{27E56F12-87D3-4FDE-A93E-8EE5E982D74E}"/>
    <cellStyle name="Currency 5 3 4 9" xfId="4658" xr:uid="{00000000-0005-0000-0000-0000210D0000}"/>
    <cellStyle name="Currency 5 3 4 9 2" xfId="13108" xr:uid="{0A9A85A9-5A57-4E75-98C5-CFB5204AD6B4}"/>
    <cellStyle name="Currency 5 3 5" xfId="217" xr:uid="{00000000-0005-0000-0000-0000220D0000}"/>
    <cellStyle name="Currency 5 3 5 10" xfId="8891" xr:uid="{0CF7F217-E320-4091-9AAE-994F6853C8FC}"/>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A3EEA6A2-1754-4602-A38C-F786D86AEFBA}"/>
    <cellStyle name="Currency 5 3 5 2 2 3" xfId="11450" xr:uid="{A4F2F052-7BDA-45AC-9C0E-430045C5CAE3}"/>
    <cellStyle name="Currency 5 3 5 2 3" xfId="5073" xr:uid="{00000000-0005-0000-0000-0000260D0000}"/>
    <cellStyle name="Currency 5 3 5 2 3 2" xfId="13523" xr:uid="{051AF1BB-EBE7-42EB-B193-08799B1BDB06}"/>
    <cellStyle name="Currency 5 3 5 2 4" xfId="9305" xr:uid="{FC3C7C1F-0A0D-44A3-A413-7080AB63B889}"/>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D10381A2-B5CA-4A21-A7F3-D09545E3C7DA}"/>
    <cellStyle name="Currency 5 3 5 3 2 3" xfId="11863" xr:uid="{E0837998-C98A-4E8A-BAA5-724E0D135D9E}"/>
    <cellStyle name="Currency 5 3 5 3 3" xfId="5486" xr:uid="{00000000-0005-0000-0000-00002A0D0000}"/>
    <cellStyle name="Currency 5 3 5 3 3 2" xfId="13936" xr:uid="{77D54E99-107C-4BAD-82FF-DF581D2A6F3C}"/>
    <cellStyle name="Currency 5 3 5 3 4" xfId="9718" xr:uid="{8A5EF95E-0E58-4BEA-A397-4345A632B79A}"/>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8D60D991-0322-40B5-9C59-92CA6FBBFA27}"/>
    <cellStyle name="Currency 5 3 5 4 2 3" xfId="12276" xr:uid="{6439B3F0-FABB-478F-BB3F-88DB1A65B2CC}"/>
    <cellStyle name="Currency 5 3 5 4 3" xfId="5899" xr:uid="{00000000-0005-0000-0000-00002E0D0000}"/>
    <cellStyle name="Currency 5 3 5 4 3 2" xfId="14349" xr:uid="{66F0A950-2E2C-47D9-9E19-6FEAB1331A64}"/>
    <cellStyle name="Currency 5 3 5 4 4" xfId="10131" xr:uid="{3E418CC2-AFFF-4AD0-9ACA-96A73DAC9784}"/>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31E50DC7-9EF0-4D8D-8F03-62DCAFEA3856}"/>
    <cellStyle name="Currency 5 3 5 5 2 3" xfId="12689" xr:uid="{B72005C2-E355-48C6-AF55-7EAA42201C8C}"/>
    <cellStyle name="Currency 5 3 5 5 3" xfId="6312" xr:uid="{00000000-0005-0000-0000-0000320D0000}"/>
    <cellStyle name="Currency 5 3 5 5 3 2" xfId="14762" xr:uid="{57930B95-0FEA-490A-AC08-13201E3AF975}"/>
    <cellStyle name="Currency 5 3 5 5 4" xfId="10544" xr:uid="{F7D74FEB-2337-4D9F-AF91-558B4C47C889}"/>
    <cellStyle name="Currency 5 3 5 6" xfId="2441" xr:uid="{00000000-0005-0000-0000-0000330D0000}"/>
    <cellStyle name="Currency 5 3 5 6 2" xfId="6725" xr:uid="{00000000-0005-0000-0000-0000340D0000}"/>
    <cellStyle name="Currency 5 3 5 6 2 2" xfId="15175" xr:uid="{27ED3C0C-8B15-45D4-852B-3B8C1D4A271A}"/>
    <cellStyle name="Currency 5 3 5 6 3" xfId="10957" xr:uid="{C6D1F27D-210A-42EE-8594-1DB12EA9F770}"/>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D1E3F4EF-4618-45F7-B1AE-AB0A4AB9CD41}"/>
    <cellStyle name="Currency 5 3 5 8 3" xfId="11274" xr:uid="{9606858E-25D8-45B7-ACFC-DAC9A0E220D4}"/>
    <cellStyle name="Currency 5 3 5 9" xfId="4659" xr:uid="{00000000-0005-0000-0000-0000380D0000}"/>
    <cellStyle name="Currency 5 3 5 9 2" xfId="13109" xr:uid="{DA25C18E-7B28-43E5-99DF-F485E666E7D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62A37A21-3039-4FAF-A458-7EC4B6F9874C}"/>
    <cellStyle name="Currency 5 5 11" xfId="8892" xr:uid="{0816956C-A279-41FF-BC6D-766D1A3E9CCE}"/>
    <cellStyle name="Currency 5 5 2" xfId="220" xr:uid="{00000000-0005-0000-0000-00003D0D0000}"/>
    <cellStyle name="Currency 5 5 2 10" xfId="8893" xr:uid="{5FFB0EFB-EFAF-49B9-B662-7C885DE5FBB9}"/>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8CED7CF0-2D7A-42D3-94B0-D664B42B8E36}"/>
    <cellStyle name="Currency 5 5 2 2 2 3" xfId="11452" xr:uid="{7B90B9B4-2973-40E1-884A-068529B08A76}"/>
    <cellStyle name="Currency 5 5 2 2 3" xfId="5075" xr:uid="{00000000-0005-0000-0000-0000410D0000}"/>
    <cellStyle name="Currency 5 5 2 2 3 2" xfId="13525" xr:uid="{78375654-4CC8-466B-9DF6-8B1C62F80460}"/>
    <cellStyle name="Currency 5 5 2 2 4" xfId="9307" xr:uid="{64FEE146-ECAA-4694-BAF9-F453EE0044E5}"/>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38968810-4C45-41B0-819C-BBA252123A85}"/>
    <cellStyle name="Currency 5 5 2 3 2 3" xfId="11865" xr:uid="{4C940065-3B30-4866-8F51-829F6365C86C}"/>
    <cellStyle name="Currency 5 5 2 3 3" xfId="5488" xr:uid="{00000000-0005-0000-0000-0000450D0000}"/>
    <cellStyle name="Currency 5 5 2 3 3 2" xfId="13938" xr:uid="{31C49735-525C-49F6-B915-667385681B4A}"/>
    <cellStyle name="Currency 5 5 2 3 4" xfId="9720" xr:uid="{7AF6D1A7-EA47-4DE5-8618-8FDF66E8425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4A4F7161-3FD8-4FE8-AF1D-F7EB44827103}"/>
    <cellStyle name="Currency 5 5 2 4 2 3" xfId="12278" xr:uid="{B86DF099-783B-453F-B5A9-824D2D7B22D9}"/>
    <cellStyle name="Currency 5 5 2 4 3" xfId="5901" xr:uid="{00000000-0005-0000-0000-0000490D0000}"/>
    <cellStyle name="Currency 5 5 2 4 3 2" xfId="14351" xr:uid="{18E07FF1-D61D-4031-9108-14DBDA822E64}"/>
    <cellStyle name="Currency 5 5 2 4 4" xfId="10133" xr:uid="{67C34F40-184F-45CD-B7B5-92FBEBB4DA93}"/>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94240EC8-FC33-4359-807E-D1E37B4DD814}"/>
    <cellStyle name="Currency 5 5 2 5 2 3" xfId="12691" xr:uid="{CD63FA9F-336D-4818-A0EC-80818C3EF189}"/>
    <cellStyle name="Currency 5 5 2 5 3" xfId="6314" xr:uid="{00000000-0005-0000-0000-00004D0D0000}"/>
    <cellStyle name="Currency 5 5 2 5 3 2" xfId="14764" xr:uid="{3121C3D3-2E2A-4186-B526-ED7762383944}"/>
    <cellStyle name="Currency 5 5 2 5 4" xfId="10546" xr:uid="{0DE3C2C8-A68C-485E-8237-00C5F0737FBC}"/>
    <cellStyle name="Currency 5 5 2 6" xfId="2443" xr:uid="{00000000-0005-0000-0000-00004E0D0000}"/>
    <cellStyle name="Currency 5 5 2 6 2" xfId="6727" xr:uid="{00000000-0005-0000-0000-00004F0D0000}"/>
    <cellStyle name="Currency 5 5 2 6 2 2" xfId="15177" xr:uid="{134D2524-04A6-43BC-9E61-412A4A64DAF1}"/>
    <cellStyle name="Currency 5 5 2 6 3" xfId="10959" xr:uid="{E5ED942B-C210-42B1-B936-4C4E7E04617A}"/>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09E166A0-48C5-41FC-A508-E61A494C77EA}"/>
    <cellStyle name="Currency 5 5 2 8 3" xfId="11276" xr:uid="{A7403BEB-859B-42AD-B72E-1E29DD0FCBF0}"/>
    <cellStyle name="Currency 5 5 2 9" xfId="4661" xr:uid="{00000000-0005-0000-0000-0000530D0000}"/>
    <cellStyle name="Currency 5 5 2 9 2" xfId="13111" xr:uid="{6DA72B27-3E7B-45F1-B7A5-8A6162C0A330}"/>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2E8BC860-374A-4520-8385-464F7EFCCEB2}"/>
    <cellStyle name="Currency 5 5 3 2 3" xfId="11451" xr:uid="{A8E0156D-80F2-40C3-AD7B-D8C42C21BD57}"/>
    <cellStyle name="Currency 5 5 3 3" xfId="5074" xr:uid="{00000000-0005-0000-0000-0000570D0000}"/>
    <cellStyle name="Currency 5 5 3 3 2" xfId="13524" xr:uid="{DB7F545A-52E0-4F21-86E6-9A11A45A2A1A}"/>
    <cellStyle name="Currency 5 5 3 4" xfId="9306" xr:uid="{C70EB76B-24D9-478F-BF85-565E2B02FC51}"/>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7E0BFAEC-9C8C-4B64-995A-692E7837D6CB}"/>
    <cellStyle name="Currency 5 5 4 2 3" xfId="11864" xr:uid="{B7DB60C2-D622-46F6-9F5F-F6AC2AB034CA}"/>
    <cellStyle name="Currency 5 5 4 3" xfId="5487" xr:uid="{00000000-0005-0000-0000-00005B0D0000}"/>
    <cellStyle name="Currency 5 5 4 3 2" xfId="13937" xr:uid="{A037E5C4-2B11-4691-8767-6CDF653B8A71}"/>
    <cellStyle name="Currency 5 5 4 4" xfId="9719" xr:uid="{0DDF9337-3088-47D5-B919-8D56D4B58757}"/>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89E4AD09-6F40-4070-AAC5-68FB99196251}"/>
    <cellStyle name="Currency 5 5 5 2 3" xfId="12277" xr:uid="{1E5ABFF0-564E-4E3A-8DCA-1B99B3E1D729}"/>
    <cellStyle name="Currency 5 5 5 3" xfId="5900" xr:uid="{00000000-0005-0000-0000-00005F0D0000}"/>
    <cellStyle name="Currency 5 5 5 3 2" xfId="14350" xr:uid="{8DA2809E-5D0D-4777-9CED-6275799154C7}"/>
    <cellStyle name="Currency 5 5 5 4" xfId="10132" xr:uid="{BFE123BE-3515-471E-AA6B-C1808CDE0D03}"/>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A1E89B22-B283-44C8-882B-0D9B57AF69D4}"/>
    <cellStyle name="Currency 5 5 6 2 3" xfId="12690" xr:uid="{8D0DA59E-5E87-43D1-BC85-A7FDBD7CE5B1}"/>
    <cellStyle name="Currency 5 5 6 3" xfId="6313" xr:uid="{00000000-0005-0000-0000-0000630D0000}"/>
    <cellStyle name="Currency 5 5 6 3 2" xfId="14763" xr:uid="{FD3C1F26-BC6A-45D6-9299-848FE8D8A234}"/>
    <cellStyle name="Currency 5 5 6 4" xfId="10545" xr:uid="{3FD0A20E-96CD-46F3-9F4D-A91080813399}"/>
    <cellStyle name="Currency 5 5 7" xfId="2442" xr:uid="{00000000-0005-0000-0000-0000640D0000}"/>
    <cellStyle name="Currency 5 5 7 2" xfId="6726" xr:uid="{00000000-0005-0000-0000-0000650D0000}"/>
    <cellStyle name="Currency 5 5 7 2 2" xfId="15176" xr:uid="{50B4608B-3264-4C99-B667-F863D67D182D}"/>
    <cellStyle name="Currency 5 5 7 3" xfId="10958" xr:uid="{EA537516-61B2-4298-BF29-9427B55A8FC8}"/>
    <cellStyle name="Currency 5 5 8" xfId="2739" xr:uid="{00000000-0005-0000-0000-0000660D0000}"/>
    <cellStyle name="Currency 5 5 9" xfId="2820" xr:uid="{00000000-0005-0000-0000-0000670D0000}"/>
    <cellStyle name="Currency 5 5 9 2" xfId="7043" xr:uid="{00000000-0005-0000-0000-0000680D0000}"/>
    <cellStyle name="Currency 5 5 9 2 2" xfId="15493" xr:uid="{8B9FCBED-59A9-411E-BCF4-8D111B0881F1}"/>
    <cellStyle name="Currency 5 5 9 3" xfId="11275" xr:uid="{E6394B2C-5F91-4ED8-8C14-AFB93216779A}"/>
    <cellStyle name="Currency 5 6" xfId="221" xr:uid="{00000000-0005-0000-0000-0000690D0000}"/>
    <cellStyle name="Currency 5 6 10" xfId="8894" xr:uid="{643A38EB-FE69-44F9-894A-D27DBE40EB97}"/>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33DF778C-58FC-4CB7-8AF2-EDD8462751AB}"/>
    <cellStyle name="Currency 5 6 2 2 3" xfId="11453" xr:uid="{99133E1F-8C1B-4FB9-B82F-5E993DB6FE00}"/>
    <cellStyle name="Currency 5 6 2 3" xfId="5076" xr:uid="{00000000-0005-0000-0000-00006D0D0000}"/>
    <cellStyle name="Currency 5 6 2 3 2" xfId="13526" xr:uid="{419F6F13-9CCD-4347-91DD-05DD47A9320F}"/>
    <cellStyle name="Currency 5 6 2 4" xfId="9308" xr:uid="{21457AB2-A47B-4665-9AF3-B0DB208D6D07}"/>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B9ADF238-8816-49F3-8189-DAFA39759B4C}"/>
    <cellStyle name="Currency 5 6 3 2 3" xfId="11866" xr:uid="{204465ED-50A3-48FF-AA91-E8574FB6506D}"/>
    <cellStyle name="Currency 5 6 3 3" xfId="5489" xr:uid="{00000000-0005-0000-0000-0000710D0000}"/>
    <cellStyle name="Currency 5 6 3 3 2" xfId="13939" xr:uid="{17C8E2AA-4756-48D5-8F05-82B96EFA170A}"/>
    <cellStyle name="Currency 5 6 3 4" xfId="9721" xr:uid="{F16C6879-E13E-4AFE-B71F-80FDDD318156}"/>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78F3213F-2F36-45BD-AD10-BFB6821A22C7}"/>
    <cellStyle name="Currency 5 6 4 2 3" xfId="12279" xr:uid="{90AC0C88-81D6-405E-8752-FBC8D666A91C}"/>
    <cellStyle name="Currency 5 6 4 3" xfId="5902" xr:uid="{00000000-0005-0000-0000-0000750D0000}"/>
    <cellStyle name="Currency 5 6 4 3 2" xfId="14352" xr:uid="{1994857A-63CA-4706-B1CB-127D73E67518}"/>
    <cellStyle name="Currency 5 6 4 4" xfId="10134" xr:uid="{E2698317-EF50-4FFA-BD80-410A4FBB438F}"/>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4C4D12A9-7E60-4467-9FD9-6F2FFFCDE1DC}"/>
    <cellStyle name="Currency 5 6 5 2 3" xfId="12692" xr:uid="{0B22E7D8-AB01-4FF0-80C4-F5F8C725E92E}"/>
    <cellStyle name="Currency 5 6 5 3" xfId="6315" xr:uid="{00000000-0005-0000-0000-0000790D0000}"/>
    <cellStyle name="Currency 5 6 5 3 2" xfId="14765" xr:uid="{D6AD22D5-5D1B-43C5-B448-7B694FD281E2}"/>
    <cellStyle name="Currency 5 6 5 4" xfId="10547" xr:uid="{0AFF22CA-95D2-4488-A227-B8D78F30ABE0}"/>
    <cellStyle name="Currency 5 6 6" xfId="2444" xr:uid="{00000000-0005-0000-0000-00007A0D0000}"/>
    <cellStyle name="Currency 5 6 6 2" xfId="6728" xr:uid="{00000000-0005-0000-0000-00007B0D0000}"/>
    <cellStyle name="Currency 5 6 6 2 2" xfId="15178" xr:uid="{BA75AE77-8191-46A9-BE96-8ADDC8EFB1C2}"/>
    <cellStyle name="Currency 5 6 6 3" xfId="10960" xr:uid="{F897165B-1BF0-45FA-9852-648C162DE26B}"/>
    <cellStyle name="Currency 5 6 7" xfId="2741" xr:uid="{00000000-0005-0000-0000-00007C0D0000}"/>
    <cellStyle name="Currency 5 6 8" xfId="2822" xr:uid="{00000000-0005-0000-0000-00007D0D0000}"/>
    <cellStyle name="Currency 5 6 8 2" xfId="7045" xr:uid="{00000000-0005-0000-0000-00007E0D0000}"/>
    <cellStyle name="Currency 5 6 8 2 2" xfId="15495" xr:uid="{80484B30-9787-4868-B15B-FB413A511C56}"/>
    <cellStyle name="Currency 5 6 8 3" xfId="11277" xr:uid="{992DAE4C-592A-47A5-9E60-C6F0B8C6A684}"/>
    <cellStyle name="Currency 5 6 9" xfId="4662" xr:uid="{00000000-0005-0000-0000-00007F0D0000}"/>
    <cellStyle name="Currency 5 6 9 2" xfId="13112" xr:uid="{FF0FF569-D7FC-44DE-BC38-734D0D6F4A3B}"/>
    <cellStyle name="Currency 5 7" xfId="222" xr:uid="{00000000-0005-0000-0000-0000800D0000}"/>
    <cellStyle name="Currency 5 7 10" xfId="8895" xr:uid="{2A26EBCC-C34B-4296-9301-DB9441AC01E2}"/>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5BDE6923-F706-43D5-8216-C842701BF677}"/>
    <cellStyle name="Currency 5 7 2 2 3" xfId="11454" xr:uid="{BDE14D57-0CD8-466E-A00A-3E1AD412A6BF}"/>
    <cellStyle name="Currency 5 7 2 3" xfId="5077" xr:uid="{00000000-0005-0000-0000-0000840D0000}"/>
    <cellStyle name="Currency 5 7 2 3 2" xfId="13527" xr:uid="{8A8F6585-00E2-48FC-86DA-0DCAADECEF34}"/>
    <cellStyle name="Currency 5 7 2 4" xfId="9309" xr:uid="{A6129D87-8BF5-4A4F-8718-F8AFC289E07E}"/>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9EC3BF82-54A6-4F22-B8B9-E870E571B756}"/>
    <cellStyle name="Currency 5 7 3 2 3" xfId="11867" xr:uid="{23A0A899-C7D3-4C08-BB7F-51A8CCD53A0A}"/>
    <cellStyle name="Currency 5 7 3 3" xfId="5490" xr:uid="{00000000-0005-0000-0000-0000880D0000}"/>
    <cellStyle name="Currency 5 7 3 3 2" xfId="13940" xr:uid="{6469A798-C1CD-4481-8A6F-56B3A300BDE0}"/>
    <cellStyle name="Currency 5 7 3 4" xfId="9722" xr:uid="{50992E32-2BE8-438A-9DC1-E3E6A9B94D50}"/>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8F8888EF-24F1-4949-B0C7-9B50BDAA2489}"/>
    <cellStyle name="Currency 5 7 4 2 3" xfId="12280" xr:uid="{FAA44690-0A89-4C53-99FF-24D9C6282A5E}"/>
    <cellStyle name="Currency 5 7 4 3" xfId="5903" xr:uid="{00000000-0005-0000-0000-00008C0D0000}"/>
    <cellStyle name="Currency 5 7 4 3 2" xfId="14353" xr:uid="{E4A77012-24FB-4122-A320-8CE45CFABCFE}"/>
    <cellStyle name="Currency 5 7 4 4" xfId="10135" xr:uid="{9AFD91D9-1361-4D62-95F0-EDA6612C0D9C}"/>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A2162117-A45F-4117-86D4-B8B8B598A4C8}"/>
    <cellStyle name="Currency 5 7 5 2 3" xfId="12693" xr:uid="{1A0CDA9F-685B-46BA-BF7E-70499209BE38}"/>
    <cellStyle name="Currency 5 7 5 3" xfId="6316" xr:uid="{00000000-0005-0000-0000-0000900D0000}"/>
    <cellStyle name="Currency 5 7 5 3 2" xfId="14766" xr:uid="{23F9AB14-765A-42EC-9A03-03E5BBA08CF9}"/>
    <cellStyle name="Currency 5 7 5 4" xfId="10548" xr:uid="{4BF263C2-87A1-4A7D-9DBD-ACBD80183BBF}"/>
    <cellStyle name="Currency 5 7 6" xfId="2445" xr:uid="{00000000-0005-0000-0000-0000910D0000}"/>
    <cellStyle name="Currency 5 7 6 2" xfId="6729" xr:uid="{00000000-0005-0000-0000-0000920D0000}"/>
    <cellStyle name="Currency 5 7 6 2 2" xfId="15179" xr:uid="{5AD71F00-4800-4DBF-A667-8F2940483D5D}"/>
    <cellStyle name="Currency 5 7 6 3" xfId="10961" xr:uid="{82626412-48A0-4789-8CEB-094F846CD5D2}"/>
    <cellStyle name="Currency 5 7 7" xfId="2742" xr:uid="{00000000-0005-0000-0000-0000930D0000}"/>
    <cellStyle name="Currency 5 7 8" xfId="2823" xr:uid="{00000000-0005-0000-0000-0000940D0000}"/>
    <cellStyle name="Currency 5 7 8 2" xfId="7046" xr:uid="{00000000-0005-0000-0000-0000950D0000}"/>
    <cellStyle name="Currency 5 7 8 2 2" xfId="15496" xr:uid="{41800F4E-AE5C-49C2-A921-B61D94404D83}"/>
    <cellStyle name="Currency 5 7 8 3" xfId="11278" xr:uid="{3A913806-40A7-431B-A726-EB644C5C4E07}"/>
    <cellStyle name="Currency 5 7 9" xfId="4663" xr:uid="{00000000-0005-0000-0000-0000960D0000}"/>
    <cellStyle name="Currency 5 7 9 2" xfId="13113" xr:uid="{7BF8B0C4-D2F6-4A36-8F8B-AB788B6E102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350B9EC5-E006-4DE8-9C01-00E3938FDA27}"/>
    <cellStyle name="Normal 12 10 3" xfId="10962" xr:uid="{E7D49BF9-553F-49E2-BC62-C35A8CA6D3AF}"/>
    <cellStyle name="Normal 12 11" xfId="4664" xr:uid="{00000000-0005-0000-0000-0000CC0D0000}"/>
    <cellStyle name="Normal 12 11 2" xfId="13114" xr:uid="{EE1A8E18-6180-4B91-A314-00E880DED482}"/>
    <cellStyle name="Normal 12 12" xfId="8896" xr:uid="{127B14AC-E235-4CE4-8BAF-2B467B1EF82C}"/>
    <cellStyle name="Normal 12 2" xfId="260" xr:uid="{00000000-0005-0000-0000-0000CD0D0000}"/>
    <cellStyle name="Normal 12 2 10" xfId="8897" xr:uid="{5F823317-E6B8-41B3-A052-86B85F51E9D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A231224C-18C4-48CF-9E0F-AFCE843AF72E}"/>
    <cellStyle name="Normal 12 2 2 2 2 2 3" xfId="11458" xr:uid="{98DCB7AB-A3C9-4019-A998-781B791A9B7D}"/>
    <cellStyle name="Normal 12 2 2 2 2 3" xfId="5081" xr:uid="{00000000-0005-0000-0000-0000D30D0000}"/>
    <cellStyle name="Normal 12 2 2 2 2 3 2" xfId="13531" xr:uid="{86387AFA-754F-473F-A916-B2B4F04451C3}"/>
    <cellStyle name="Normal 12 2 2 2 2 4" xfId="9313" xr:uid="{D1AF9576-47AF-4B49-A45D-7C5686FB6BE3}"/>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1ACACA73-107F-4876-8509-206CA15CD604}"/>
    <cellStyle name="Normal 12 2 2 2 3 2 3" xfId="11871" xr:uid="{020EF85E-5F91-4AE9-BF2C-F157150D15A6}"/>
    <cellStyle name="Normal 12 2 2 2 3 3" xfId="5494" xr:uid="{00000000-0005-0000-0000-0000D70D0000}"/>
    <cellStyle name="Normal 12 2 2 2 3 3 2" xfId="13944" xr:uid="{CDBA7C92-AC10-4FE0-90B5-387A0A017BE3}"/>
    <cellStyle name="Normal 12 2 2 2 3 4" xfId="9726" xr:uid="{CEF52EA6-4C2B-4EB6-9FF5-AE0C67FB67CD}"/>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270302A1-65A5-4FE2-B49B-9E3364993DB0}"/>
    <cellStyle name="Normal 12 2 2 2 4 2 3" xfId="12284" xr:uid="{21558F2E-E028-4CAE-9E13-B1B85B98A20B}"/>
    <cellStyle name="Normal 12 2 2 2 4 3" xfId="5907" xr:uid="{00000000-0005-0000-0000-0000DB0D0000}"/>
    <cellStyle name="Normal 12 2 2 2 4 3 2" xfId="14357" xr:uid="{B2150CCA-C813-4601-B99E-561E80A9A7C4}"/>
    <cellStyle name="Normal 12 2 2 2 4 4" xfId="10139" xr:uid="{8B0A2A29-606C-4808-9512-492F8A0A1CE4}"/>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5212A456-22AC-40D8-AB66-1425D68C4DC4}"/>
    <cellStyle name="Normal 12 2 2 2 5 2 3" xfId="12697" xr:uid="{217BE078-651E-405C-82EB-728F6DB9C2E1}"/>
    <cellStyle name="Normal 12 2 2 2 5 3" xfId="6320" xr:uid="{00000000-0005-0000-0000-0000DF0D0000}"/>
    <cellStyle name="Normal 12 2 2 2 5 3 2" xfId="14770" xr:uid="{9D1B084A-3F36-46CF-9E80-8F3648874AC0}"/>
    <cellStyle name="Normal 12 2 2 2 5 4" xfId="10552" xr:uid="{C738746C-3929-46CA-A9A2-5D3527BD1464}"/>
    <cellStyle name="Normal 12 2 2 2 6" xfId="2450" xr:uid="{00000000-0005-0000-0000-0000E00D0000}"/>
    <cellStyle name="Normal 12 2 2 2 6 2" xfId="6733" xr:uid="{00000000-0005-0000-0000-0000E10D0000}"/>
    <cellStyle name="Normal 12 2 2 2 6 2 2" xfId="15183" xr:uid="{FF2CA132-EA06-4912-A762-86A58EE2D20B}"/>
    <cellStyle name="Normal 12 2 2 2 6 3" xfId="10965" xr:uid="{B5ED9B9E-043F-4CCF-A4EC-DF4D31A46F5B}"/>
    <cellStyle name="Normal 12 2 2 2 7" xfId="4667" xr:uid="{00000000-0005-0000-0000-0000E20D0000}"/>
    <cellStyle name="Normal 12 2 2 2 7 2" xfId="13117" xr:uid="{291F0D52-D5A0-44FF-B469-3CAB5A53F6E0}"/>
    <cellStyle name="Normal 12 2 2 2 8" xfId="8899" xr:uid="{502D046F-C438-49AE-9BF2-3B3B575D4CC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EF767875-2A5F-4778-BE3C-CDB599EC0491}"/>
    <cellStyle name="Normal 12 2 2 3 2 3" xfId="11457" xr:uid="{DE194FBE-F14B-4DDC-AB51-BC81378DDF25}"/>
    <cellStyle name="Normal 12 2 2 3 3" xfId="5080" xr:uid="{00000000-0005-0000-0000-0000E60D0000}"/>
    <cellStyle name="Normal 12 2 2 3 3 2" xfId="13530" xr:uid="{876327B3-6DC0-429F-BA90-C6F20ADC0D5A}"/>
    <cellStyle name="Normal 12 2 2 3 4" xfId="9312" xr:uid="{2E6184F4-57C7-474D-9394-5DE6556F6F3D}"/>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9BD4CFBD-B5AD-4FA8-8966-8A580F2FC21C}"/>
    <cellStyle name="Normal 12 2 2 4 2 3" xfId="11870" xr:uid="{746A8D3B-B75A-4BFC-8BDB-F2E41EB6E95B}"/>
    <cellStyle name="Normal 12 2 2 4 3" xfId="5493" xr:uid="{00000000-0005-0000-0000-0000EA0D0000}"/>
    <cellStyle name="Normal 12 2 2 4 3 2" xfId="13943" xr:uid="{A2CEF75B-6415-4C7E-80E3-5D198B9FCD06}"/>
    <cellStyle name="Normal 12 2 2 4 4" xfId="9725" xr:uid="{24179EB0-9099-4DFF-97EC-5B36EC5F4958}"/>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928DF41C-93D8-4EF1-9E80-993C2B142866}"/>
    <cellStyle name="Normal 12 2 2 5 2 3" xfId="12283" xr:uid="{C26EFAC0-D08E-42C3-997F-089AE7352DD8}"/>
    <cellStyle name="Normal 12 2 2 5 3" xfId="5906" xr:uid="{00000000-0005-0000-0000-0000EE0D0000}"/>
    <cellStyle name="Normal 12 2 2 5 3 2" xfId="14356" xr:uid="{C1A1C8CA-8260-44D5-8096-A3FF26A6C262}"/>
    <cellStyle name="Normal 12 2 2 5 4" xfId="10138" xr:uid="{DAA97CFF-9353-4BEF-A1B7-799E825F601B}"/>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EC133919-0FAC-4250-B6AE-F1AF07B18A8A}"/>
    <cellStyle name="Normal 12 2 2 6 2 3" xfId="12696" xr:uid="{444C506C-E83A-4E7B-808E-8903EAC5C027}"/>
    <cellStyle name="Normal 12 2 2 6 3" xfId="6319" xr:uid="{00000000-0005-0000-0000-0000F20D0000}"/>
    <cellStyle name="Normal 12 2 2 6 3 2" xfId="14769" xr:uid="{87368D89-CD89-4BA1-B4E9-6BAD9896C157}"/>
    <cellStyle name="Normal 12 2 2 6 4" xfId="10551" xr:uid="{7C5A17C0-7BE6-4F7D-9A20-74A866128123}"/>
    <cellStyle name="Normal 12 2 2 7" xfId="2449" xr:uid="{00000000-0005-0000-0000-0000F30D0000}"/>
    <cellStyle name="Normal 12 2 2 7 2" xfId="6732" xr:uid="{00000000-0005-0000-0000-0000F40D0000}"/>
    <cellStyle name="Normal 12 2 2 7 2 2" xfId="15182" xr:uid="{261801A6-6446-4795-B68B-356D1001EDF5}"/>
    <cellStyle name="Normal 12 2 2 7 3" xfId="10964" xr:uid="{0CB2997E-696E-4D83-B840-D278114D6358}"/>
    <cellStyle name="Normal 12 2 2 8" xfId="4666" xr:uid="{00000000-0005-0000-0000-0000F50D0000}"/>
    <cellStyle name="Normal 12 2 2 8 2" xfId="13116" xr:uid="{36EB4177-348A-41DF-8E99-65B542D7F6E6}"/>
    <cellStyle name="Normal 12 2 2 9" xfId="8898" xr:uid="{7CC4A582-9F5F-4A5B-A16D-6F610DA679E9}"/>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165B8C8F-D81E-41B3-9685-5B7770C4F537}"/>
    <cellStyle name="Normal 12 2 3 2 2 3" xfId="11459" xr:uid="{600737F5-05E9-4571-95CA-FF60ADFEA9A0}"/>
    <cellStyle name="Normal 12 2 3 2 3" xfId="5082" xr:uid="{00000000-0005-0000-0000-0000FA0D0000}"/>
    <cellStyle name="Normal 12 2 3 2 3 2" xfId="13532" xr:uid="{2864C558-D3BD-48A2-ACBC-76010746832D}"/>
    <cellStyle name="Normal 12 2 3 2 4" xfId="9314" xr:uid="{92814D59-2876-472F-BAA0-8FDB5037E179}"/>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6DF3D7D8-BB99-4792-943B-7BA876498538}"/>
    <cellStyle name="Normal 12 2 3 3 2 3" xfId="11872" xr:uid="{841B0E59-E896-4715-8037-1FF8465E5940}"/>
    <cellStyle name="Normal 12 2 3 3 3" xfId="5495" xr:uid="{00000000-0005-0000-0000-0000FE0D0000}"/>
    <cellStyle name="Normal 12 2 3 3 3 2" xfId="13945" xr:uid="{0928580E-E172-48F5-806A-8239E169D7C0}"/>
    <cellStyle name="Normal 12 2 3 3 4" xfId="9727" xr:uid="{895E10F6-7939-4503-8DE2-62B16B1E1C7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28918B87-0D32-4C00-9037-BD6C44E95A83}"/>
    <cellStyle name="Normal 12 2 3 4 2 3" xfId="12285" xr:uid="{F8A90A2C-06AF-45DC-BF58-B78B36E799D0}"/>
    <cellStyle name="Normal 12 2 3 4 3" xfId="5908" xr:uid="{00000000-0005-0000-0000-0000020E0000}"/>
    <cellStyle name="Normal 12 2 3 4 3 2" xfId="14358" xr:uid="{D31AEBF8-D868-4A72-B6BA-C17EDBCFE188}"/>
    <cellStyle name="Normal 12 2 3 4 4" xfId="10140" xr:uid="{D7FC9A69-74CD-4E89-8B6C-DBB0242468F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D59896E6-EE3A-4742-9E36-FB24381E341C}"/>
    <cellStyle name="Normal 12 2 3 5 2 3" xfId="12698" xr:uid="{383704BA-6C7A-4BD1-8561-2A7724548E90}"/>
    <cellStyle name="Normal 12 2 3 5 3" xfId="6321" xr:uid="{00000000-0005-0000-0000-0000060E0000}"/>
    <cellStyle name="Normal 12 2 3 5 3 2" xfId="14771" xr:uid="{ED0A0C32-8D9C-40FF-B8A6-C551387B90D0}"/>
    <cellStyle name="Normal 12 2 3 5 4" xfId="10553" xr:uid="{D990AD8C-36FE-4DAC-A6B1-C58D6EE3D79D}"/>
    <cellStyle name="Normal 12 2 3 6" xfId="2451" xr:uid="{00000000-0005-0000-0000-0000070E0000}"/>
    <cellStyle name="Normal 12 2 3 6 2" xfId="6734" xr:uid="{00000000-0005-0000-0000-0000080E0000}"/>
    <cellStyle name="Normal 12 2 3 6 2 2" xfId="15184" xr:uid="{B7ACB417-371F-4020-8DEC-DFB5DDC30655}"/>
    <cellStyle name="Normal 12 2 3 6 3" xfId="10966" xr:uid="{8EC53A08-C2EB-4BF3-9B23-37807E120A2D}"/>
    <cellStyle name="Normal 12 2 3 7" xfId="4668" xr:uid="{00000000-0005-0000-0000-0000090E0000}"/>
    <cellStyle name="Normal 12 2 3 7 2" xfId="13118" xr:uid="{D9764370-CA1A-4F5E-BCD1-C69064024EDD}"/>
    <cellStyle name="Normal 12 2 3 8" xfId="8900" xr:uid="{D4FCF9EA-D7F8-4E5C-92CD-E115BFDA277F}"/>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2B27CEEA-085D-4224-A1B4-9AD361439075}"/>
    <cellStyle name="Normal 12 2 4 2 3" xfId="11456" xr:uid="{B34BAA9F-DE4D-4322-9F2D-32A9F17D5CD7}"/>
    <cellStyle name="Normal 12 2 4 3" xfId="5079" xr:uid="{00000000-0005-0000-0000-00000D0E0000}"/>
    <cellStyle name="Normal 12 2 4 3 2" xfId="13529" xr:uid="{F6CA9E6C-B533-4623-A2E4-9BD311BDFD8D}"/>
    <cellStyle name="Normal 12 2 4 4" xfId="9311" xr:uid="{1398B48F-519A-4EB2-AE29-A0A95942E64A}"/>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95618051-B43C-4EE8-B0F7-E92140EBA9C0}"/>
    <cellStyle name="Normal 12 2 5 2 3" xfId="11869" xr:uid="{97CC0006-C75E-43E1-961A-7ABB1000FB11}"/>
    <cellStyle name="Normal 12 2 5 3" xfId="5492" xr:uid="{00000000-0005-0000-0000-0000110E0000}"/>
    <cellStyle name="Normal 12 2 5 3 2" xfId="13942" xr:uid="{7C473020-A53A-4749-8527-8347422C8E82}"/>
    <cellStyle name="Normal 12 2 5 4" xfId="9724" xr:uid="{B6510D09-1178-49A1-BFCD-A67AB4370F60}"/>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0A7618E6-C198-43A4-8882-1F58CE7BA8DE}"/>
    <cellStyle name="Normal 12 2 6 2 3" xfId="12282" xr:uid="{D7260984-0F84-4D59-83D9-00D194FDBFB6}"/>
    <cellStyle name="Normal 12 2 6 3" xfId="5905" xr:uid="{00000000-0005-0000-0000-0000150E0000}"/>
    <cellStyle name="Normal 12 2 6 3 2" xfId="14355" xr:uid="{EAB50069-2DE3-4536-8BDC-667E23B094E8}"/>
    <cellStyle name="Normal 12 2 6 4" xfId="10137" xr:uid="{37C16B0F-7BC1-4552-AE42-34529011B65F}"/>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D4DE25F9-E8DE-45B0-BFA4-F7A619EF199A}"/>
    <cellStyle name="Normal 12 2 7 2 3" xfId="12695" xr:uid="{CA990FDF-E894-4F43-AEE7-6620B826B3A6}"/>
    <cellStyle name="Normal 12 2 7 3" xfId="6318" xr:uid="{00000000-0005-0000-0000-0000190E0000}"/>
    <cellStyle name="Normal 12 2 7 3 2" xfId="14768" xr:uid="{6738A9E3-42AE-4FFD-A22D-107E095E1BD9}"/>
    <cellStyle name="Normal 12 2 7 4" xfId="10550" xr:uid="{AAB55508-BEB6-410E-AC91-98746D2F2E7F}"/>
    <cellStyle name="Normal 12 2 8" xfId="2448" xr:uid="{00000000-0005-0000-0000-00001A0E0000}"/>
    <cellStyle name="Normal 12 2 8 2" xfId="6731" xr:uid="{00000000-0005-0000-0000-00001B0E0000}"/>
    <cellStyle name="Normal 12 2 8 2 2" xfId="15181" xr:uid="{3B521C41-A090-414F-83DC-F7A4633F4C4D}"/>
    <cellStyle name="Normal 12 2 8 3" xfId="10963" xr:uid="{3BC533DB-0DA0-4212-885C-F5465ED43612}"/>
    <cellStyle name="Normal 12 2 9" xfId="4665" xr:uid="{00000000-0005-0000-0000-00001C0E0000}"/>
    <cellStyle name="Normal 12 2 9 2" xfId="13115" xr:uid="{7D239F53-D125-4B16-849B-32D508E8EEB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28FAFBF9-395D-4E09-9DEA-F5EA12A32E42}"/>
    <cellStyle name="Normal 12 3 2 2 2 3" xfId="11461" xr:uid="{35A4B311-F09B-418D-825D-128024F6FD2E}"/>
    <cellStyle name="Normal 12 3 2 2 3" xfId="5084" xr:uid="{00000000-0005-0000-0000-0000220E0000}"/>
    <cellStyle name="Normal 12 3 2 2 3 2" xfId="13534" xr:uid="{2970CA91-0171-4727-A158-37718EB51C98}"/>
    <cellStyle name="Normal 12 3 2 2 4" xfId="9316" xr:uid="{BEDEBB04-C135-496C-A77A-CB3E917ABA92}"/>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82BBD025-D643-4B19-85FE-3E5E6B4087FB}"/>
    <cellStyle name="Normal 12 3 2 3 2 3" xfId="11874" xr:uid="{B328B13D-3614-4750-8315-F580571B0AB0}"/>
    <cellStyle name="Normal 12 3 2 3 3" xfId="5497" xr:uid="{00000000-0005-0000-0000-0000260E0000}"/>
    <cellStyle name="Normal 12 3 2 3 3 2" xfId="13947" xr:uid="{2D2596E3-C303-407D-8912-1BF8DEEAC305}"/>
    <cellStyle name="Normal 12 3 2 3 4" xfId="9729" xr:uid="{905971CB-707F-43B2-BCA0-193CA1C26A28}"/>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E427B41A-8360-4FB6-AAF3-31FC4D31B641}"/>
    <cellStyle name="Normal 12 3 2 4 2 3" xfId="12287" xr:uid="{EC5CD212-3FDC-483C-9980-68CE53EC298E}"/>
    <cellStyle name="Normal 12 3 2 4 3" xfId="5910" xr:uid="{00000000-0005-0000-0000-00002A0E0000}"/>
    <cellStyle name="Normal 12 3 2 4 3 2" xfId="14360" xr:uid="{B0CA11F4-8111-4458-AF42-1D2AE5B6B2EF}"/>
    <cellStyle name="Normal 12 3 2 4 4" xfId="10142" xr:uid="{A8786CAE-6AD2-4DE9-BC6D-918A55C834B2}"/>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95D4C387-763C-41CC-876D-25CCC445D72A}"/>
    <cellStyle name="Normal 12 3 2 5 2 3" xfId="12700" xr:uid="{562F7E23-F480-4E40-BD91-99B021D5F867}"/>
    <cellStyle name="Normal 12 3 2 5 3" xfId="6323" xr:uid="{00000000-0005-0000-0000-00002E0E0000}"/>
    <cellStyle name="Normal 12 3 2 5 3 2" xfId="14773" xr:uid="{D6EC3CB6-C893-4CDA-A345-21C30D3E45F8}"/>
    <cellStyle name="Normal 12 3 2 5 4" xfId="10555" xr:uid="{8E7921A2-C4D9-4B01-9025-5B6470B7B161}"/>
    <cellStyle name="Normal 12 3 2 6" xfId="2453" xr:uid="{00000000-0005-0000-0000-00002F0E0000}"/>
    <cellStyle name="Normal 12 3 2 6 2" xfId="6736" xr:uid="{00000000-0005-0000-0000-0000300E0000}"/>
    <cellStyle name="Normal 12 3 2 6 2 2" xfId="15186" xr:uid="{47274554-E9CA-4C00-8C08-362C142CC123}"/>
    <cellStyle name="Normal 12 3 2 6 3" xfId="10968" xr:uid="{3351C3F6-0438-4F27-9178-A5C00AABF99B}"/>
    <cellStyle name="Normal 12 3 2 7" xfId="4670" xr:uid="{00000000-0005-0000-0000-0000310E0000}"/>
    <cellStyle name="Normal 12 3 2 7 2" xfId="13120" xr:uid="{C018DC8F-F98D-4FDF-85C5-0867FDD7137D}"/>
    <cellStyle name="Normal 12 3 2 8" xfId="8902" xr:uid="{1456AF93-9967-4103-96ED-3CFF523307EA}"/>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4824363F-BE33-445E-9292-AACB9AAA1CBE}"/>
    <cellStyle name="Normal 12 3 3 2 3" xfId="11460" xr:uid="{0CEABBC5-B505-46D3-946C-05820121BFFA}"/>
    <cellStyle name="Normal 12 3 3 3" xfId="5083" xr:uid="{00000000-0005-0000-0000-0000350E0000}"/>
    <cellStyle name="Normal 12 3 3 3 2" xfId="13533" xr:uid="{0FC2D68A-EDD3-4F1C-930A-0B39FC3BAC04}"/>
    <cellStyle name="Normal 12 3 3 4" xfId="9315" xr:uid="{5503AD2F-A351-491F-BA32-DC22AD6A7E87}"/>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A9446FB5-A9EC-4304-B1DF-29D4416573D6}"/>
    <cellStyle name="Normal 12 3 4 2 3" xfId="11873" xr:uid="{6AF8F847-998A-4FE5-B956-3FD31C2F7BCF}"/>
    <cellStyle name="Normal 12 3 4 3" xfId="5496" xr:uid="{00000000-0005-0000-0000-0000390E0000}"/>
    <cellStyle name="Normal 12 3 4 3 2" xfId="13946" xr:uid="{1671E7DE-9EF3-4FA0-9B9C-E9DFFDB9F3F3}"/>
    <cellStyle name="Normal 12 3 4 4" xfId="9728" xr:uid="{3114132D-82BA-4C28-B3E1-B27A28B23D2B}"/>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C4D13912-18F9-4595-A59A-DFBC7A371F20}"/>
    <cellStyle name="Normal 12 3 5 2 3" xfId="12286" xr:uid="{03AD6AE8-82C3-4572-8940-A4CBE0C93F51}"/>
    <cellStyle name="Normal 12 3 5 3" xfId="5909" xr:uid="{00000000-0005-0000-0000-00003D0E0000}"/>
    <cellStyle name="Normal 12 3 5 3 2" xfId="14359" xr:uid="{A604FA32-CA71-442C-B7E6-6FEBAB4317DA}"/>
    <cellStyle name="Normal 12 3 5 4" xfId="10141" xr:uid="{9C984901-73EF-45BA-95C5-0D00A887C64B}"/>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2B030DEC-D9D4-4EB1-A02B-887151D85C51}"/>
    <cellStyle name="Normal 12 3 6 2 3" xfId="12699" xr:uid="{1F4ABB8A-25A7-4B8B-9BC0-D261647C43B4}"/>
    <cellStyle name="Normal 12 3 6 3" xfId="6322" xr:uid="{00000000-0005-0000-0000-0000410E0000}"/>
    <cellStyle name="Normal 12 3 6 3 2" xfId="14772" xr:uid="{4E45ECB9-D5BC-404C-B43C-742EB0FC18C0}"/>
    <cellStyle name="Normal 12 3 6 4" xfId="10554" xr:uid="{0D8B5199-0F37-422C-9CFE-060E4B0DDA16}"/>
    <cellStyle name="Normal 12 3 7" xfId="2452" xr:uid="{00000000-0005-0000-0000-0000420E0000}"/>
    <cellStyle name="Normal 12 3 7 2" xfId="6735" xr:uid="{00000000-0005-0000-0000-0000430E0000}"/>
    <cellStyle name="Normal 12 3 7 2 2" xfId="15185" xr:uid="{911D0B17-C482-4A6E-B7BA-AAFCA668FAE9}"/>
    <cellStyle name="Normal 12 3 7 3" xfId="10967" xr:uid="{BCAF25CF-4544-40F1-A56E-2D3C5A4BDA0B}"/>
    <cellStyle name="Normal 12 3 8" xfId="4669" xr:uid="{00000000-0005-0000-0000-0000440E0000}"/>
    <cellStyle name="Normal 12 3 8 2" xfId="13119" xr:uid="{084EF7C6-6E6F-427D-A97D-2F17C358DC66}"/>
    <cellStyle name="Normal 12 3 9" xfId="8901" xr:uid="{A9CAB85F-FD4B-4FC8-AEAB-28C419AE4225}"/>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4CF7D438-1672-42C1-80DB-3BAEA8B663AF}"/>
    <cellStyle name="Normal 12 4 2 2 3" xfId="11462" xr:uid="{79DD23FB-4D5F-45E2-87FD-1ADC0F3988E7}"/>
    <cellStyle name="Normal 12 4 2 3" xfId="5085" xr:uid="{00000000-0005-0000-0000-0000490E0000}"/>
    <cellStyle name="Normal 12 4 2 3 2" xfId="13535" xr:uid="{7ADB36C1-3080-42BA-BD83-EDD938994FDB}"/>
    <cellStyle name="Normal 12 4 2 4" xfId="9317" xr:uid="{3DB6C39D-2F25-4F34-B0A3-B7C7683DF5A4}"/>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17A1D8D0-C450-4630-9C3C-B402D1E00086}"/>
    <cellStyle name="Normal 12 4 3 2 3" xfId="11875" xr:uid="{63500983-2687-42FC-9ECE-7B75535DAC4D}"/>
    <cellStyle name="Normal 12 4 3 3" xfId="5498" xr:uid="{00000000-0005-0000-0000-00004D0E0000}"/>
    <cellStyle name="Normal 12 4 3 3 2" xfId="13948" xr:uid="{1F39BD5F-755F-4B2F-AAC6-E9F1B1B78128}"/>
    <cellStyle name="Normal 12 4 3 4" xfId="9730" xr:uid="{4AA44A41-9E46-4CB6-9327-ED6BA984018A}"/>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A345E3A9-96D3-46D2-8D13-7A8B59F9B750}"/>
    <cellStyle name="Normal 12 4 4 2 3" xfId="12288" xr:uid="{A1CE57E5-2D08-48D4-BCBA-1A596426B589}"/>
    <cellStyle name="Normal 12 4 4 3" xfId="5911" xr:uid="{00000000-0005-0000-0000-0000510E0000}"/>
    <cellStyle name="Normal 12 4 4 3 2" xfId="14361" xr:uid="{F4DE1877-005B-4319-887D-9C89CEC5EC2C}"/>
    <cellStyle name="Normal 12 4 4 4" xfId="10143" xr:uid="{5D83A275-C752-41F7-B15E-29CADB7346D8}"/>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A47471C2-EA55-4F62-AEC3-33DC04FE15A0}"/>
    <cellStyle name="Normal 12 4 5 2 3" xfId="12701" xr:uid="{91D37F75-255E-4C7B-BB26-44863320B378}"/>
    <cellStyle name="Normal 12 4 5 3" xfId="6324" xr:uid="{00000000-0005-0000-0000-0000550E0000}"/>
    <cellStyle name="Normal 12 4 5 3 2" xfId="14774" xr:uid="{28EAFA9D-FA41-4503-8964-56168AE3FC67}"/>
    <cellStyle name="Normal 12 4 5 4" xfId="10556" xr:uid="{FEC1160E-6BAB-4C93-B33F-8F46803C1ADC}"/>
    <cellStyle name="Normal 12 4 6" xfId="2454" xr:uid="{00000000-0005-0000-0000-0000560E0000}"/>
    <cellStyle name="Normal 12 4 6 2" xfId="6737" xr:uid="{00000000-0005-0000-0000-0000570E0000}"/>
    <cellStyle name="Normal 12 4 6 2 2" xfId="15187" xr:uid="{0DDA19CF-BEEB-4DF9-B7DB-07BDA0B6A652}"/>
    <cellStyle name="Normal 12 4 6 3" xfId="10969" xr:uid="{761E569D-6764-4B91-9AE3-A0A90486EAF4}"/>
    <cellStyle name="Normal 12 4 7" xfId="4671" xr:uid="{00000000-0005-0000-0000-0000580E0000}"/>
    <cellStyle name="Normal 12 4 7 2" xfId="13121" xr:uid="{AA9A5C96-4F19-49EA-B6DA-F1BB78BB2D8A}"/>
    <cellStyle name="Normal 12 4 8" xfId="8903" xr:uid="{D867EBC2-2AFD-4EFD-927E-915D33253F5F}"/>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6E5AC380-2FFE-4425-A213-44A103891C83}"/>
    <cellStyle name="Normal 12 6 2 3" xfId="11455" xr:uid="{61215A0E-C971-4CA5-8AA9-D32DA0832A97}"/>
    <cellStyle name="Normal 12 6 3" xfId="5078" xr:uid="{00000000-0005-0000-0000-00005D0E0000}"/>
    <cellStyle name="Normal 12 6 3 2" xfId="13528" xr:uid="{BA7F13C2-69EC-4D3F-A922-D349CB431BFB}"/>
    <cellStyle name="Normal 12 6 4" xfId="9310" xr:uid="{B88900C7-5F98-40D2-AA0C-01B198294DBA}"/>
    <cellStyle name="Normal 12 7" xfId="1183" xr:uid="{00000000-0005-0000-0000-00005E0E0000}"/>
    <cellStyle name="Normal 12 7 2" xfId="3414" xr:uid="{00000000-0005-0000-0000-00005F0E0000}"/>
    <cellStyle name="Normal 12 7 2 2" xfId="7636" xr:uid="{00000000-0005-0000-0000-0000600E0000}"/>
    <cellStyle name="Normal 12 7 2 2 2" xfId="16086" xr:uid="{07FAE37A-3A7C-487D-ADD1-51F83834F3AA}"/>
    <cellStyle name="Normal 12 7 2 3" xfId="11868" xr:uid="{E72EE6BA-D27A-483F-AD92-AE884C8C2A14}"/>
    <cellStyle name="Normal 12 7 3" xfId="5491" xr:uid="{00000000-0005-0000-0000-0000610E0000}"/>
    <cellStyle name="Normal 12 7 3 2" xfId="13941" xr:uid="{9EF80E7D-FCDF-4356-915D-001EEA4D522D}"/>
    <cellStyle name="Normal 12 7 4" xfId="9723" xr:uid="{BCBD4EFA-2017-40B9-A541-C5BFCFADDD39}"/>
    <cellStyle name="Normal 12 8" xfId="1597" xr:uid="{00000000-0005-0000-0000-0000620E0000}"/>
    <cellStyle name="Normal 12 8 2" xfId="3827" xr:uid="{00000000-0005-0000-0000-0000630E0000}"/>
    <cellStyle name="Normal 12 8 2 2" xfId="8049" xr:uid="{00000000-0005-0000-0000-0000640E0000}"/>
    <cellStyle name="Normal 12 8 2 2 2" xfId="16499" xr:uid="{ADE42C86-757F-440F-8117-DBD9D7DF79C7}"/>
    <cellStyle name="Normal 12 8 2 3" xfId="12281" xr:uid="{3AC9B82A-3D62-4197-AD43-84D5D96E4C50}"/>
    <cellStyle name="Normal 12 8 3" xfId="5904" xr:uid="{00000000-0005-0000-0000-0000650E0000}"/>
    <cellStyle name="Normal 12 8 3 2" xfId="14354" xr:uid="{62BB90C1-40DD-48EA-8942-33323DF5591A}"/>
    <cellStyle name="Normal 12 8 4" xfId="10136" xr:uid="{A21EA246-E0AC-4D08-88A0-3E74AF1730F7}"/>
    <cellStyle name="Normal 12 9" xfId="2011" xr:uid="{00000000-0005-0000-0000-0000660E0000}"/>
    <cellStyle name="Normal 12 9 2" xfId="4240" xr:uid="{00000000-0005-0000-0000-0000670E0000}"/>
    <cellStyle name="Normal 12 9 2 2" xfId="8462" xr:uid="{00000000-0005-0000-0000-0000680E0000}"/>
    <cellStyle name="Normal 12 9 2 2 2" xfId="16912" xr:uid="{7FE57918-7E25-458E-860D-55FF13B5A786}"/>
    <cellStyle name="Normal 12 9 2 3" xfId="12694" xr:uid="{E93CD194-454C-4332-A4F4-C6F8FD28A573}"/>
    <cellStyle name="Normal 12 9 3" xfId="6317" xr:uid="{00000000-0005-0000-0000-0000690E0000}"/>
    <cellStyle name="Normal 12 9 3 2" xfId="14767" xr:uid="{5B11B86C-F5CD-4697-B3CB-882B4CF0A3A5}"/>
    <cellStyle name="Normal 12 9 4" xfId="10549" xr:uid="{20F6FF35-3131-43E3-ADC0-396E1F4A990D}"/>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58E347DA-CFEF-485C-91C9-0683A8F870E2}"/>
    <cellStyle name="Normal 14 2 2 3" xfId="11463" xr:uid="{568A5411-87EE-4E75-86A4-864D977A3CCF}"/>
    <cellStyle name="Normal 14 2 3" xfId="5086" xr:uid="{00000000-0005-0000-0000-0000700E0000}"/>
    <cellStyle name="Normal 14 2 3 2" xfId="13536" xr:uid="{E319DF51-98E7-4807-8C59-F164B520C6DA}"/>
    <cellStyle name="Normal 14 2 4" xfId="9318" xr:uid="{84F1BF67-408A-43B1-A561-14986A25FAB5}"/>
    <cellStyle name="Normal 14 3" xfId="1191" xr:uid="{00000000-0005-0000-0000-0000710E0000}"/>
    <cellStyle name="Normal 14 3 2" xfId="3422" xr:uid="{00000000-0005-0000-0000-0000720E0000}"/>
    <cellStyle name="Normal 14 3 2 2" xfId="7644" xr:uid="{00000000-0005-0000-0000-0000730E0000}"/>
    <cellStyle name="Normal 14 3 2 2 2" xfId="16094" xr:uid="{7A2D7CE1-4C02-4F5A-AEC0-A038A654BE12}"/>
    <cellStyle name="Normal 14 3 2 3" xfId="11876" xr:uid="{C10D783C-DC7B-4B82-8FCA-CCAD5F5B7D13}"/>
    <cellStyle name="Normal 14 3 3" xfId="5499" xr:uid="{00000000-0005-0000-0000-0000740E0000}"/>
    <cellStyle name="Normal 14 3 3 2" xfId="13949" xr:uid="{B8E6B50E-8CAE-449C-9A4D-467431A32841}"/>
    <cellStyle name="Normal 14 3 4" xfId="9731" xr:uid="{524FB3EF-66EF-47E7-83F7-943A056DC6F3}"/>
    <cellStyle name="Normal 14 4" xfId="1605" xr:uid="{00000000-0005-0000-0000-0000750E0000}"/>
    <cellStyle name="Normal 14 4 2" xfId="3835" xr:uid="{00000000-0005-0000-0000-0000760E0000}"/>
    <cellStyle name="Normal 14 4 2 2" xfId="8057" xr:uid="{00000000-0005-0000-0000-0000770E0000}"/>
    <cellStyle name="Normal 14 4 2 2 2" xfId="16507" xr:uid="{4C873D63-48D0-4B85-8A16-9B6821FC82E7}"/>
    <cellStyle name="Normal 14 4 2 3" xfId="12289" xr:uid="{A0B72873-DDCA-4532-AF14-864528387E08}"/>
    <cellStyle name="Normal 14 4 3" xfId="5912" xr:uid="{00000000-0005-0000-0000-0000780E0000}"/>
    <cellStyle name="Normal 14 4 3 2" xfId="14362" xr:uid="{AF0699E8-CAE1-4E47-92E7-740150F6D4DB}"/>
    <cellStyle name="Normal 14 4 4" xfId="10144" xr:uid="{3E4DB23E-01E0-423C-8E6B-4B8C03FBBC54}"/>
    <cellStyle name="Normal 14 5" xfId="2019" xr:uid="{00000000-0005-0000-0000-0000790E0000}"/>
    <cellStyle name="Normal 14 5 2" xfId="4248" xr:uid="{00000000-0005-0000-0000-00007A0E0000}"/>
    <cellStyle name="Normal 14 5 2 2" xfId="8470" xr:uid="{00000000-0005-0000-0000-00007B0E0000}"/>
    <cellStyle name="Normal 14 5 2 2 2" xfId="16920" xr:uid="{1FDFBA9F-14D0-4B78-BC46-5673DFB5DDED}"/>
    <cellStyle name="Normal 14 5 2 3" xfId="12702" xr:uid="{D32E5838-0D5E-430F-8820-BAF003B80657}"/>
    <cellStyle name="Normal 14 5 3" xfId="6325" xr:uid="{00000000-0005-0000-0000-00007C0E0000}"/>
    <cellStyle name="Normal 14 5 3 2" xfId="14775" xr:uid="{45212550-A4F2-4B5D-825E-73662F3C4105}"/>
    <cellStyle name="Normal 14 5 4" xfId="10557" xr:uid="{8FA60D17-6887-4399-8450-1614AB639206}"/>
    <cellStyle name="Normal 14 6" xfId="2455" xr:uid="{00000000-0005-0000-0000-00007D0E0000}"/>
    <cellStyle name="Normal 14 6 2" xfId="6738" xr:uid="{00000000-0005-0000-0000-00007E0E0000}"/>
    <cellStyle name="Normal 14 6 2 2" xfId="15188" xr:uid="{1B38F670-24E9-40D1-959C-1B6739ED5FD9}"/>
    <cellStyle name="Normal 14 6 3" xfId="10970" xr:uid="{D4F17A70-D4F1-42F9-94FC-7D60EEBA4957}"/>
    <cellStyle name="Normal 14 7" xfId="4672" xr:uid="{00000000-0005-0000-0000-00007F0E0000}"/>
    <cellStyle name="Normal 14 7 2" xfId="13122" xr:uid="{CD8A2ACF-E296-4EBA-9954-7F26D1E7DD98}"/>
    <cellStyle name="Normal 14 8" xfId="8904" xr:uid="{36FDD67E-2396-4F4B-AF92-471DAB897848}"/>
    <cellStyle name="Normal 15" xfId="4496" xr:uid="{00000000-0005-0000-0000-0000800E0000}"/>
    <cellStyle name="Normal 15 2" xfId="12948" xr:uid="{B48EFE91-7E2F-450B-A072-CD2777D70019}"/>
    <cellStyle name="Normal 16" xfId="4500" xr:uid="{00000000-0005-0000-0000-0000810E0000}"/>
    <cellStyle name="Normal 16 2" xfId="8715" xr:uid="{00000000-0005-0000-0000-0000820E0000}"/>
    <cellStyle name="Normal 16 2 2" xfId="17165" xr:uid="{BB2B833C-EE6C-4937-B60B-2826D84D3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64031586-F88A-43D6-BFE9-2DD2FE90F865}"/>
    <cellStyle name="Normal 16 3 2 2 2 3" xfId="17178" xr:uid="{548D23F8-9145-4726-B085-BF63EF735DE8}"/>
    <cellStyle name="Normal 16 3 2 2 3" xfId="17174" xr:uid="{25CBC5EE-81CD-4E4F-8522-551B01473E76}"/>
    <cellStyle name="Normal 16 3 2 3" xfId="17171" xr:uid="{C17A5C4B-4929-42DE-939F-89AC75671808}"/>
    <cellStyle name="Normal 16 3 3" xfId="17168" xr:uid="{F1CCAA1E-5FE3-4EEF-9072-DFDFA712D1A1}"/>
    <cellStyle name="Normal 16 4" xfId="12951" xr:uid="{D15328E7-D797-4C5A-8D35-25FEF7877325}"/>
    <cellStyle name="Normal 17" xfId="8728" xr:uid="{3FF0972C-833B-4475-99D8-1A6907499E71}"/>
    <cellStyle name="Normal 17 2" xfId="17177" xr:uid="{1F764455-2686-4FE5-9715-E07EFFBB98C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159EDB4-F5A8-46CA-94EE-A0B34828F3CC}"/>
    <cellStyle name="Normal 2 4 2 10 2 3" xfId="12703" xr:uid="{073C554C-3888-48FB-B97B-877B2AE26061}"/>
    <cellStyle name="Normal 2 4 2 10 3" xfId="6326" xr:uid="{00000000-0005-0000-0000-0000910E0000}"/>
    <cellStyle name="Normal 2 4 2 10 3 2" xfId="14776" xr:uid="{40674201-5F53-469D-A015-D70F354C6077}"/>
    <cellStyle name="Normal 2 4 2 10 4" xfId="10558" xr:uid="{315C9A88-954C-4793-BC01-F7995F8C2EB5}"/>
    <cellStyle name="Normal 2 4 2 11" xfId="2456" xr:uid="{00000000-0005-0000-0000-0000920E0000}"/>
    <cellStyle name="Normal 2 4 2 11 2" xfId="6739" xr:uid="{00000000-0005-0000-0000-0000930E0000}"/>
    <cellStyle name="Normal 2 4 2 11 2 2" xfId="15189" xr:uid="{454F60D5-B689-4F57-99EF-4DBA05C678CE}"/>
    <cellStyle name="Normal 2 4 2 11 3" xfId="10971" xr:uid="{72CC48AF-9B76-4028-A528-B2F693FFB8CD}"/>
    <cellStyle name="Normal 2 4 2 12" xfId="4673" xr:uid="{00000000-0005-0000-0000-0000940E0000}"/>
    <cellStyle name="Normal 2 4 2 12 2" xfId="13123" xr:uid="{61ED9BF1-4FD9-4DCB-B5B6-8BBF5C8EA2F8}"/>
    <cellStyle name="Normal 2 4 2 13" xfId="8905" xr:uid="{91FAB565-04E3-4FB2-9EB2-9F01EECD3C33}"/>
    <cellStyle name="Normal 2 4 2 2" xfId="280" xr:uid="{00000000-0005-0000-0000-0000950E0000}"/>
    <cellStyle name="Normal 2 4 2 3" xfId="281" xr:uid="{00000000-0005-0000-0000-0000960E0000}"/>
    <cellStyle name="Normal 2 4 2 3 10" xfId="4674" xr:uid="{00000000-0005-0000-0000-0000970E0000}"/>
    <cellStyle name="Normal 2 4 2 3 10 2" xfId="13124" xr:uid="{CA805499-F3F0-4A3F-94BF-4F54BC1054F0}"/>
    <cellStyle name="Normal 2 4 2 3 11" xfId="8906" xr:uid="{C1EB334E-F957-4375-BBCC-E745EB1479C1}"/>
    <cellStyle name="Normal 2 4 2 3 2" xfId="282" xr:uid="{00000000-0005-0000-0000-0000980E0000}"/>
    <cellStyle name="Normal 2 4 2 3 2 10" xfId="8907" xr:uid="{5885B493-3770-4FEF-96BE-6EEFB28A5656}"/>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83076141-6B95-4724-97FC-D4C2070BB998}"/>
    <cellStyle name="Normal 2 4 2 3 2 2 2 2 2 3" xfId="11468" xr:uid="{3B081EA0-8A24-4F33-8324-13396EFF466B}"/>
    <cellStyle name="Normal 2 4 2 3 2 2 2 2 3" xfId="5091" xr:uid="{00000000-0005-0000-0000-00009E0E0000}"/>
    <cellStyle name="Normal 2 4 2 3 2 2 2 2 3 2" xfId="13541" xr:uid="{099833BE-B2BC-4FCC-ADA9-8E27FF1749FE}"/>
    <cellStyle name="Normal 2 4 2 3 2 2 2 2 4" xfId="9323" xr:uid="{4BB52A4F-86F0-4F3C-AEEB-9E3E69E47956}"/>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C80DA84E-1F5B-4B3F-8567-4CD1AC4D8B6C}"/>
    <cellStyle name="Normal 2 4 2 3 2 2 2 3 2 3" xfId="11881" xr:uid="{41050A60-4E67-4EA7-9E94-7B9260A6C8CF}"/>
    <cellStyle name="Normal 2 4 2 3 2 2 2 3 3" xfId="5504" xr:uid="{00000000-0005-0000-0000-0000A20E0000}"/>
    <cellStyle name="Normal 2 4 2 3 2 2 2 3 3 2" xfId="13954" xr:uid="{4EEE257C-E5C4-4BB2-8BEA-0D91F73D1952}"/>
    <cellStyle name="Normal 2 4 2 3 2 2 2 3 4" xfId="9736" xr:uid="{98824D28-51DF-4B1E-8951-41CAD92C753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8B1A93E8-DDF3-4DA1-B62A-2AFCE32793E0}"/>
    <cellStyle name="Normal 2 4 2 3 2 2 2 4 2 3" xfId="12294" xr:uid="{2A25F21B-39E2-4B0A-B1DE-4242043D783E}"/>
    <cellStyle name="Normal 2 4 2 3 2 2 2 4 3" xfId="5917" xr:uid="{00000000-0005-0000-0000-0000A60E0000}"/>
    <cellStyle name="Normal 2 4 2 3 2 2 2 4 3 2" xfId="14367" xr:uid="{24F673A1-E995-48D9-AB8C-3C09103D190D}"/>
    <cellStyle name="Normal 2 4 2 3 2 2 2 4 4" xfId="10149" xr:uid="{6533DFB5-67D8-4919-9D44-E9107D2D9537}"/>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CB4FD093-B2E1-4975-9BDC-15AE3327F095}"/>
    <cellStyle name="Normal 2 4 2 3 2 2 2 5 2 3" xfId="12707" xr:uid="{505225CE-B035-47D7-9D89-842698494A41}"/>
    <cellStyle name="Normal 2 4 2 3 2 2 2 5 3" xfId="6330" xr:uid="{00000000-0005-0000-0000-0000AA0E0000}"/>
    <cellStyle name="Normal 2 4 2 3 2 2 2 5 3 2" xfId="14780" xr:uid="{9337795F-3260-4D31-9918-6A81A50783B4}"/>
    <cellStyle name="Normal 2 4 2 3 2 2 2 5 4" xfId="10562" xr:uid="{E46AA101-BD27-49C3-93B1-34BFE40FC41D}"/>
    <cellStyle name="Normal 2 4 2 3 2 2 2 6" xfId="2460" xr:uid="{00000000-0005-0000-0000-0000AB0E0000}"/>
    <cellStyle name="Normal 2 4 2 3 2 2 2 6 2" xfId="6743" xr:uid="{00000000-0005-0000-0000-0000AC0E0000}"/>
    <cellStyle name="Normal 2 4 2 3 2 2 2 6 2 2" xfId="15193" xr:uid="{E41F19FB-D087-4055-ACC0-A67DDA8BB8E9}"/>
    <cellStyle name="Normal 2 4 2 3 2 2 2 6 3" xfId="10975" xr:uid="{C070B8B1-B381-4701-83DD-9E186F495763}"/>
    <cellStyle name="Normal 2 4 2 3 2 2 2 7" xfId="4677" xr:uid="{00000000-0005-0000-0000-0000AD0E0000}"/>
    <cellStyle name="Normal 2 4 2 3 2 2 2 7 2" xfId="13127" xr:uid="{47262FD9-4A5A-4221-8421-6E0E0DBAE512}"/>
    <cellStyle name="Normal 2 4 2 3 2 2 2 8" xfId="8909" xr:uid="{3E7C8786-E80F-40BC-A147-356112C87335}"/>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82B18B83-EECB-4FC4-8F56-CFECB31C2CF7}"/>
    <cellStyle name="Normal 2 4 2 3 2 2 3 2 3" xfId="11467" xr:uid="{EF768BC4-140F-4267-9C25-DE8E06CDA7FC}"/>
    <cellStyle name="Normal 2 4 2 3 2 2 3 3" xfId="5090" xr:uid="{00000000-0005-0000-0000-0000B10E0000}"/>
    <cellStyle name="Normal 2 4 2 3 2 2 3 3 2" xfId="13540" xr:uid="{AE7BACA9-89DB-4044-9B02-A1E959888BD8}"/>
    <cellStyle name="Normal 2 4 2 3 2 2 3 4" xfId="9322" xr:uid="{DD77E6A5-B39C-4C8D-A541-40A68E35D2B9}"/>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B5255EE6-EE67-4E0E-ABD0-D455C16ADD43}"/>
    <cellStyle name="Normal 2 4 2 3 2 2 4 2 3" xfId="11880" xr:uid="{084A5C3C-A721-49A5-82CE-6521A5759F68}"/>
    <cellStyle name="Normal 2 4 2 3 2 2 4 3" xfId="5503" xr:uid="{00000000-0005-0000-0000-0000B50E0000}"/>
    <cellStyle name="Normal 2 4 2 3 2 2 4 3 2" xfId="13953" xr:uid="{FC79F423-F0EB-46AA-A80E-60EE55036E44}"/>
    <cellStyle name="Normal 2 4 2 3 2 2 4 4" xfId="9735" xr:uid="{19C31B17-FA56-404B-97F3-7F6C3319DDC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88EF44FA-A46F-4A56-B43D-226E85DA3D76}"/>
    <cellStyle name="Normal 2 4 2 3 2 2 5 2 3" xfId="12293" xr:uid="{E13F1CB8-CA43-415E-9FA3-3E94B81D44B4}"/>
    <cellStyle name="Normal 2 4 2 3 2 2 5 3" xfId="5916" xr:uid="{00000000-0005-0000-0000-0000B90E0000}"/>
    <cellStyle name="Normal 2 4 2 3 2 2 5 3 2" xfId="14366" xr:uid="{4636E4D0-0DC8-4D40-8537-4A8288F90A5E}"/>
    <cellStyle name="Normal 2 4 2 3 2 2 5 4" xfId="10148" xr:uid="{110684EF-49FB-4E02-8C60-1D1EFDE56514}"/>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70655577-06B2-42D7-A36C-EEBD576A618F}"/>
    <cellStyle name="Normal 2 4 2 3 2 2 6 2 3" xfId="12706" xr:uid="{D76CEEC9-6619-4DA0-A530-63021BC27855}"/>
    <cellStyle name="Normal 2 4 2 3 2 2 6 3" xfId="6329" xr:uid="{00000000-0005-0000-0000-0000BD0E0000}"/>
    <cellStyle name="Normal 2 4 2 3 2 2 6 3 2" xfId="14779" xr:uid="{85436A41-1A1F-4DEF-97EE-26D46055F14F}"/>
    <cellStyle name="Normal 2 4 2 3 2 2 6 4" xfId="10561" xr:uid="{DA032DA2-3F2F-403E-91FA-6BA38652F7A5}"/>
    <cellStyle name="Normal 2 4 2 3 2 2 7" xfId="2459" xr:uid="{00000000-0005-0000-0000-0000BE0E0000}"/>
    <cellStyle name="Normal 2 4 2 3 2 2 7 2" xfId="6742" xr:uid="{00000000-0005-0000-0000-0000BF0E0000}"/>
    <cellStyle name="Normal 2 4 2 3 2 2 7 2 2" xfId="15192" xr:uid="{C5FD1321-9C79-4FA4-BE17-C3AEFF560587}"/>
    <cellStyle name="Normal 2 4 2 3 2 2 7 3" xfId="10974" xr:uid="{A168B7AD-311B-49A1-9DA0-FE7FFE6FADB5}"/>
    <cellStyle name="Normal 2 4 2 3 2 2 8" xfId="4676" xr:uid="{00000000-0005-0000-0000-0000C00E0000}"/>
    <cellStyle name="Normal 2 4 2 3 2 2 8 2" xfId="13126" xr:uid="{7226123B-47EB-40EB-BD93-846BA70AD893}"/>
    <cellStyle name="Normal 2 4 2 3 2 2 9" xfId="8908" xr:uid="{6DA21A3B-63C9-45DD-841B-6FF809F7A17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05FF8440-ED74-44D6-AAD9-9F5CC211190D}"/>
    <cellStyle name="Normal 2 4 2 3 2 3 2 2 3" xfId="11469" xr:uid="{63CE4FAF-7673-4DF7-AD7F-E29152BEF67D}"/>
    <cellStyle name="Normal 2 4 2 3 2 3 2 3" xfId="5092" xr:uid="{00000000-0005-0000-0000-0000C50E0000}"/>
    <cellStyle name="Normal 2 4 2 3 2 3 2 3 2" xfId="13542" xr:uid="{BB8925CE-C74A-45BC-8D52-915EA8AFA731}"/>
    <cellStyle name="Normal 2 4 2 3 2 3 2 4" xfId="9324" xr:uid="{9C810C25-E764-42D0-B376-719FDB1D820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BE869C53-68BD-4160-AD1C-A01CD1FBD4BF}"/>
    <cellStyle name="Normal 2 4 2 3 2 3 3 2 3" xfId="11882" xr:uid="{3A96F421-6D40-4507-96E1-BEC045B491AA}"/>
    <cellStyle name="Normal 2 4 2 3 2 3 3 3" xfId="5505" xr:uid="{00000000-0005-0000-0000-0000C90E0000}"/>
    <cellStyle name="Normal 2 4 2 3 2 3 3 3 2" xfId="13955" xr:uid="{9A6A2994-6596-4CE9-AF77-BFF097CE8B4E}"/>
    <cellStyle name="Normal 2 4 2 3 2 3 3 4" xfId="9737" xr:uid="{F525AF32-4BFC-4F25-891C-93887B50612E}"/>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CF57DB35-4385-4ECB-BCE7-44B211B05E25}"/>
    <cellStyle name="Normal 2 4 2 3 2 3 4 2 3" xfId="12295" xr:uid="{67FD11A1-BC42-46E4-86D7-6A9F5EA0A277}"/>
    <cellStyle name="Normal 2 4 2 3 2 3 4 3" xfId="5918" xr:uid="{00000000-0005-0000-0000-0000CD0E0000}"/>
    <cellStyle name="Normal 2 4 2 3 2 3 4 3 2" xfId="14368" xr:uid="{EE16B2B3-4318-420D-AABE-98FD2A1956D7}"/>
    <cellStyle name="Normal 2 4 2 3 2 3 4 4" xfId="10150" xr:uid="{F8E711C4-7845-4AA6-92E8-A47C3AF3DD63}"/>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409A8595-1DDA-4BD9-809A-3043F801A733}"/>
    <cellStyle name="Normal 2 4 2 3 2 3 5 2 3" xfId="12708" xr:uid="{0E48B787-09C7-458A-9DEC-409BEA571755}"/>
    <cellStyle name="Normal 2 4 2 3 2 3 5 3" xfId="6331" xr:uid="{00000000-0005-0000-0000-0000D10E0000}"/>
    <cellStyle name="Normal 2 4 2 3 2 3 5 3 2" xfId="14781" xr:uid="{66E7A9F4-DBFE-4518-B408-ECF0FADDD20E}"/>
    <cellStyle name="Normal 2 4 2 3 2 3 5 4" xfId="10563" xr:uid="{A3656787-D20B-4928-9932-A24348B41A0A}"/>
    <cellStyle name="Normal 2 4 2 3 2 3 6" xfId="2461" xr:uid="{00000000-0005-0000-0000-0000D20E0000}"/>
    <cellStyle name="Normal 2 4 2 3 2 3 6 2" xfId="6744" xr:uid="{00000000-0005-0000-0000-0000D30E0000}"/>
    <cellStyle name="Normal 2 4 2 3 2 3 6 2 2" xfId="15194" xr:uid="{0433FBB7-E463-4D3A-A3AC-48429C3C792D}"/>
    <cellStyle name="Normal 2 4 2 3 2 3 6 3" xfId="10976" xr:uid="{B93B6679-E4AA-461F-830A-D0939D285D61}"/>
    <cellStyle name="Normal 2 4 2 3 2 3 7" xfId="4678" xr:uid="{00000000-0005-0000-0000-0000D40E0000}"/>
    <cellStyle name="Normal 2 4 2 3 2 3 7 2" xfId="13128" xr:uid="{4A10082A-BCC1-45DE-AA2B-26DF81EBA21B}"/>
    <cellStyle name="Normal 2 4 2 3 2 3 8" xfId="8910" xr:uid="{BCE9183B-F0ED-4ACD-99EF-5347E8D61682}"/>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5FAFCB60-2042-4085-9EB5-8F9526E3152F}"/>
    <cellStyle name="Normal 2 4 2 3 2 4 2 3" xfId="11466" xr:uid="{F85F597E-486E-4BDB-9EFA-8783B8B9D44A}"/>
    <cellStyle name="Normal 2 4 2 3 2 4 3" xfId="5089" xr:uid="{00000000-0005-0000-0000-0000D80E0000}"/>
    <cellStyle name="Normal 2 4 2 3 2 4 3 2" xfId="13539" xr:uid="{ECA2BA33-8E71-4159-9197-C82911B84FF3}"/>
    <cellStyle name="Normal 2 4 2 3 2 4 4" xfId="9321" xr:uid="{1FA273FB-958E-4371-A780-D58118E9D879}"/>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B9CFB035-DB9A-422E-9980-6C0D858D68CE}"/>
    <cellStyle name="Normal 2 4 2 3 2 5 2 3" xfId="11879" xr:uid="{4FE9DEE7-1A51-416B-9222-1D98B88ADD26}"/>
    <cellStyle name="Normal 2 4 2 3 2 5 3" xfId="5502" xr:uid="{00000000-0005-0000-0000-0000DC0E0000}"/>
    <cellStyle name="Normal 2 4 2 3 2 5 3 2" xfId="13952" xr:uid="{7B2E025B-10A9-4636-913F-606E01F166F7}"/>
    <cellStyle name="Normal 2 4 2 3 2 5 4" xfId="9734" xr:uid="{764A21B8-66FC-495C-82C9-4CD88A9D8FDD}"/>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B41DEE41-F69C-4A5B-BF8F-4D2145BE1369}"/>
    <cellStyle name="Normal 2 4 2 3 2 6 2 3" xfId="12292" xr:uid="{DF313521-BD34-4A22-A71F-9A18406A830A}"/>
    <cellStyle name="Normal 2 4 2 3 2 6 3" xfId="5915" xr:uid="{00000000-0005-0000-0000-0000E00E0000}"/>
    <cellStyle name="Normal 2 4 2 3 2 6 3 2" xfId="14365" xr:uid="{FDC5C639-BBD9-4966-BB6B-D4287FCA3FF2}"/>
    <cellStyle name="Normal 2 4 2 3 2 6 4" xfId="10147" xr:uid="{1D3B40D1-CB58-495D-A5D6-B7850C319FA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853F1923-8B10-4B74-BC62-C20EA264476C}"/>
    <cellStyle name="Normal 2 4 2 3 2 7 2 3" xfId="12705" xr:uid="{3546A8ED-353A-4176-AA14-FB0BAEC7664A}"/>
    <cellStyle name="Normal 2 4 2 3 2 7 3" xfId="6328" xr:uid="{00000000-0005-0000-0000-0000E40E0000}"/>
    <cellStyle name="Normal 2 4 2 3 2 7 3 2" xfId="14778" xr:uid="{29ED1B1A-012E-47F7-AAE7-B1B4A60619FD}"/>
    <cellStyle name="Normal 2 4 2 3 2 7 4" xfId="10560" xr:uid="{6F61717D-0C14-4F81-961A-D508FF1306C0}"/>
    <cellStyle name="Normal 2 4 2 3 2 8" xfId="2458" xr:uid="{00000000-0005-0000-0000-0000E50E0000}"/>
    <cellStyle name="Normal 2 4 2 3 2 8 2" xfId="6741" xr:uid="{00000000-0005-0000-0000-0000E60E0000}"/>
    <cellStyle name="Normal 2 4 2 3 2 8 2 2" xfId="15191" xr:uid="{9A8992EC-40D8-41A5-83E1-6D369B8D0526}"/>
    <cellStyle name="Normal 2 4 2 3 2 8 3" xfId="10973" xr:uid="{AF3A61A1-DCE3-426C-94BA-8687EDA1A424}"/>
    <cellStyle name="Normal 2 4 2 3 2 9" xfId="4675" xr:uid="{00000000-0005-0000-0000-0000E70E0000}"/>
    <cellStyle name="Normal 2 4 2 3 2 9 2" xfId="13125" xr:uid="{9FE000FD-09E7-44A2-8AD3-1A4304FA3D1D}"/>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3EBDB8C9-48FD-4E8C-AA5B-C9E71E225E57}"/>
    <cellStyle name="Normal 2 4 2 3 3 2 2 2 3" xfId="11471" xr:uid="{EC942F92-9DBF-40F3-B728-39D913F2FB0A}"/>
    <cellStyle name="Normal 2 4 2 3 3 2 2 3" xfId="5094" xr:uid="{00000000-0005-0000-0000-0000ED0E0000}"/>
    <cellStyle name="Normal 2 4 2 3 3 2 2 3 2" xfId="13544" xr:uid="{D4A43B96-2CD7-4881-9D94-D06D49F131D8}"/>
    <cellStyle name="Normal 2 4 2 3 3 2 2 4" xfId="9326" xr:uid="{0538DD1D-F259-4D2A-A7C7-3069B7101249}"/>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426A151F-80AB-4102-9D16-F2A8032AEF0B}"/>
    <cellStyle name="Normal 2 4 2 3 3 2 3 2 3" xfId="11884" xr:uid="{C913CA72-8526-450E-B62E-575644AB7D6C}"/>
    <cellStyle name="Normal 2 4 2 3 3 2 3 3" xfId="5507" xr:uid="{00000000-0005-0000-0000-0000F10E0000}"/>
    <cellStyle name="Normal 2 4 2 3 3 2 3 3 2" xfId="13957" xr:uid="{CD380970-8A8D-4A9F-B86A-8D336C83895B}"/>
    <cellStyle name="Normal 2 4 2 3 3 2 3 4" xfId="9739" xr:uid="{712C3C37-C0F5-4BC8-8AB1-E218321E0AA6}"/>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19526F90-20E9-4160-94D2-E47A20AD0C24}"/>
    <cellStyle name="Normal 2 4 2 3 3 2 4 2 3" xfId="12297" xr:uid="{6CB4E5F5-2BAE-4639-AB43-BE476C235CB4}"/>
    <cellStyle name="Normal 2 4 2 3 3 2 4 3" xfId="5920" xr:uid="{00000000-0005-0000-0000-0000F50E0000}"/>
    <cellStyle name="Normal 2 4 2 3 3 2 4 3 2" xfId="14370" xr:uid="{B37D7DB1-2A30-4F5D-B237-6A98C2F20120}"/>
    <cellStyle name="Normal 2 4 2 3 3 2 4 4" xfId="10152" xr:uid="{7F460AF5-0BC6-4F9F-B9CE-B54B2948EED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F87EBE2C-A121-4DC1-B6A4-72361A79D932}"/>
    <cellStyle name="Normal 2 4 2 3 3 2 5 2 3" xfId="12710" xr:uid="{D797C7C0-9527-40E4-9C80-E31C620C42C1}"/>
    <cellStyle name="Normal 2 4 2 3 3 2 5 3" xfId="6333" xr:uid="{00000000-0005-0000-0000-0000F90E0000}"/>
    <cellStyle name="Normal 2 4 2 3 3 2 5 3 2" xfId="14783" xr:uid="{A611112C-9693-44CB-A0A9-B00DDB8EC41E}"/>
    <cellStyle name="Normal 2 4 2 3 3 2 5 4" xfId="10565" xr:uid="{E8E88B60-E6AF-4612-9234-F130C614B5E9}"/>
    <cellStyle name="Normal 2 4 2 3 3 2 6" xfId="2463" xr:uid="{00000000-0005-0000-0000-0000FA0E0000}"/>
    <cellStyle name="Normal 2 4 2 3 3 2 6 2" xfId="6746" xr:uid="{00000000-0005-0000-0000-0000FB0E0000}"/>
    <cellStyle name="Normal 2 4 2 3 3 2 6 2 2" xfId="15196" xr:uid="{6B94053F-BD42-4A98-9360-9A3A7943F643}"/>
    <cellStyle name="Normal 2 4 2 3 3 2 6 3" xfId="10978" xr:uid="{CF6BA8D4-6E1E-4975-91DC-06192FCAFBF3}"/>
    <cellStyle name="Normal 2 4 2 3 3 2 7" xfId="4680" xr:uid="{00000000-0005-0000-0000-0000FC0E0000}"/>
    <cellStyle name="Normal 2 4 2 3 3 2 7 2" xfId="13130" xr:uid="{92001649-226A-428E-B307-A4400AEFEF99}"/>
    <cellStyle name="Normal 2 4 2 3 3 2 8" xfId="8912" xr:uid="{26AEC2F4-32A4-4E82-9BF8-424C1748ECF3}"/>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E7F7F1BA-0562-4A86-B109-BD6F229231BF}"/>
    <cellStyle name="Normal 2 4 2 3 3 3 2 3" xfId="11470" xr:uid="{EC9CB762-4FA5-4182-9C79-C85B9CA7904E}"/>
    <cellStyle name="Normal 2 4 2 3 3 3 3" xfId="5093" xr:uid="{00000000-0005-0000-0000-0000000F0000}"/>
    <cellStyle name="Normal 2 4 2 3 3 3 3 2" xfId="13543" xr:uid="{75B7E185-77E5-44EE-AAED-EF81BA32C78B}"/>
    <cellStyle name="Normal 2 4 2 3 3 3 4" xfId="9325" xr:uid="{BABC487F-D889-49C3-BDF1-2DBA9504D0E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0CD85210-FF6D-410C-BB65-F22468DC64E4}"/>
    <cellStyle name="Normal 2 4 2 3 3 4 2 3" xfId="11883" xr:uid="{4D04E5CC-5A5A-4850-A6BF-72FB2F19F59F}"/>
    <cellStyle name="Normal 2 4 2 3 3 4 3" xfId="5506" xr:uid="{00000000-0005-0000-0000-0000040F0000}"/>
    <cellStyle name="Normal 2 4 2 3 3 4 3 2" xfId="13956" xr:uid="{17D7A60F-CD46-496E-A188-5339A091A7DC}"/>
    <cellStyle name="Normal 2 4 2 3 3 4 4" xfId="9738" xr:uid="{5871B0E4-7505-48E6-B37F-7EC5BE65573C}"/>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19D5DB31-1219-4C2C-A86F-31ADC22ACE3D}"/>
    <cellStyle name="Normal 2 4 2 3 3 5 2 3" xfId="12296" xr:uid="{64CC115F-6AD5-43B8-BF6C-BDD7CDC9D02F}"/>
    <cellStyle name="Normal 2 4 2 3 3 5 3" xfId="5919" xr:uid="{00000000-0005-0000-0000-0000080F0000}"/>
    <cellStyle name="Normal 2 4 2 3 3 5 3 2" xfId="14369" xr:uid="{56105CA5-BFB0-4674-8DAC-34422501B601}"/>
    <cellStyle name="Normal 2 4 2 3 3 5 4" xfId="10151" xr:uid="{CFDF7F2D-AFD2-493C-AEFF-E8B201A2A892}"/>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6B38AEAE-238D-4576-806E-44117C9A7F80}"/>
    <cellStyle name="Normal 2 4 2 3 3 6 2 3" xfId="12709" xr:uid="{72BEBC36-FEB2-4F05-BDEA-40EFAA4414F5}"/>
    <cellStyle name="Normal 2 4 2 3 3 6 3" xfId="6332" xr:uid="{00000000-0005-0000-0000-00000C0F0000}"/>
    <cellStyle name="Normal 2 4 2 3 3 6 3 2" xfId="14782" xr:uid="{31B08D4F-D249-4B3A-93AB-4B1E9D88C0DE}"/>
    <cellStyle name="Normal 2 4 2 3 3 6 4" xfId="10564" xr:uid="{EB99584A-9C8C-47F3-A9B1-439FFD92EDBB}"/>
    <cellStyle name="Normal 2 4 2 3 3 7" xfId="2462" xr:uid="{00000000-0005-0000-0000-00000D0F0000}"/>
    <cellStyle name="Normal 2 4 2 3 3 7 2" xfId="6745" xr:uid="{00000000-0005-0000-0000-00000E0F0000}"/>
    <cellStyle name="Normal 2 4 2 3 3 7 2 2" xfId="15195" xr:uid="{9CECC01D-57C0-4FF5-BC8B-60A52B7228BC}"/>
    <cellStyle name="Normal 2 4 2 3 3 7 3" xfId="10977" xr:uid="{F878949E-0592-4451-8212-681C1BFBFE6F}"/>
    <cellStyle name="Normal 2 4 2 3 3 8" xfId="4679" xr:uid="{00000000-0005-0000-0000-00000F0F0000}"/>
    <cellStyle name="Normal 2 4 2 3 3 8 2" xfId="13129" xr:uid="{EF4BBA47-0F8D-4AFE-AE02-A1FBD99E2B2F}"/>
    <cellStyle name="Normal 2 4 2 3 3 9" xfId="8911" xr:uid="{19E8EE14-7688-4F3C-8BD2-96A4ED2EA94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16B52DF3-0A07-4E00-AD3A-89F7E8C16845}"/>
    <cellStyle name="Normal 2 4 2 3 4 2 2 3" xfId="11472" xr:uid="{820D31C2-33FC-433B-9F0B-B739C9643C51}"/>
    <cellStyle name="Normal 2 4 2 3 4 2 3" xfId="5095" xr:uid="{00000000-0005-0000-0000-0000140F0000}"/>
    <cellStyle name="Normal 2 4 2 3 4 2 3 2" xfId="13545" xr:uid="{91BB5546-BFED-4CEF-9BFD-7A1B2BA92187}"/>
    <cellStyle name="Normal 2 4 2 3 4 2 4" xfId="9327" xr:uid="{696168CD-1809-4804-A008-E3561CC7973C}"/>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353202D2-6C7E-4B5E-AAC0-05B94EC9C8C1}"/>
    <cellStyle name="Normal 2 4 2 3 4 3 2 3" xfId="11885" xr:uid="{159AC063-38FC-44E6-8CFD-D28A49A5DA20}"/>
    <cellStyle name="Normal 2 4 2 3 4 3 3" xfId="5508" xr:uid="{00000000-0005-0000-0000-0000180F0000}"/>
    <cellStyle name="Normal 2 4 2 3 4 3 3 2" xfId="13958" xr:uid="{980B6407-1479-4D3F-B261-1C1768A1C6CF}"/>
    <cellStyle name="Normal 2 4 2 3 4 3 4" xfId="9740" xr:uid="{6D5FC080-978A-4CC8-8CAF-B1C050F378A1}"/>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8B195FEF-F0A1-40E5-88CF-876A46A6ED78}"/>
    <cellStyle name="Normal 2 4 2 3 4 4 2 3" xfId="12298" xr:uid="{59F46F3D-FA1F-412B-A820-2F9784E9BF36}"/>
    <cellStyle name="Normal 2 4 2 3 4 4 3" xfId="5921" xr:uid="{00000000-0005-0000-0000-00001C0F0000}"/>
    <cellStyle name="Normal 2 4 2 3 4 4 3 2" xfId="14371" xr:uid="{C0535CF8-24C9-425A-9B2E-16B36A4C6016}"/>
    <cellStyle name="Normal 2 4 2 3 4 4 4" xfId="10153" xr:uid="{1BD7B143-9C72-403D-8491-276D383702DD}"/>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9EAC0D1B-016F-4DCB-946E-A5BF3FF8E06E}"/>
    <cellStyle name="Normal 2 4 2 3 4 5 2 3" xfId="12711" xr:uid="{BC708783-257A-443E-AABE-D2C3B87F9255}"/>
    <cellStyle name="Normal 2 4 2 3 4 5 3" xfId="6334" xr:uid="{00000000-0005-0000-0000-0000200F0000}"/>
    <cellStyle name="Normal 2 4 2 3 4 5 3 2" xfId="14784" xr:uid="{AC940244-1D4F-4265-9BE6-7FE42189CCD5}"/>
    <cellStyle name="Normal 2 4 2 3 4 5 4" xfId="10566" xr:uid="{56C8658E-9464-4A2C-BAE8-9B13ADF74D58}"/>
    <cellStyle name="Normal 2 4 2 3 4 6" xfId="2464" xr:uid="{00000000-0005-0000-0000-0000210F0000}"/>
    <cellStyle name="Normal 2 4 2 3 4 6 2" xfId="6747" xr:uid="{00000000-0005-0000-0000-0000220F0000}"/>
    <cellStyle name="Normal 2 4 2 3 4 6 2 2" xfId="15197" xr:uid="{3CCB32D6-0D20-446E-9899-4E31770E0B3B}"/>
    <cellStyle name="Normal 2 4 2 3 4 6 3" xfId="10979" xr:uid="{8D9EE7D7-AA17-41CC-9191-6FE1977A9349}"/>
    <cellStyle name="Normal 2 4 2 3 4 7" xfId="4681" xr:uid="{00000000-0005-0000-0000-0000230F0000}"/>
    <cellStyle name="Normal 2 4 2 3 4 7 2" xfId="13131" xr:uid="{7C716F52-B8B0-4B5B-8ED5-7242DFE97509}"/>
    <cellStyle name="Normal 2 4 2 3 4 8" xfId="8913" xr:uid="{6CDCDD17-9489-4E66-8188-8F8C220DC26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00618B45-5A74-4038-96B2-69CC922D00D5}"/>
    <cellStyle name="Normal 2 4 2 3 5 2 3" xfId="11465" xr:uid="{7103D625-5368-4E7F-AEBD-801DA7B16A4D}"/>
    <cellStyle name="Normal 2 4 2 3 5 3" xfId="5088" xr:uid="{00000000-0005-0000-0000-0000270F0000}"/>
    <cellStyle name="Normal 2 4 2 3 5 3 2" xfId="13538" xr:uid="{DAA4AA41-C13B-43CC-9124-673D007EFA77}"/>
    <cellStyle name="Normal 2 4 2 3 5 4" xfId="9320" xr:uid="{992E3EBB-CA08-4302-8A52-4427FCD7DA6C}"/>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846CCB7D-1BCC-4A0D-A12B-432EA6FCC0AF}"/>
    <cellStyle name="Normal 2 4 2 3 6 2 3" xfId="11878" xr:uid="{8EDD757B-0F62-4D0D-8818-7531D6694C70}"/>
    <cellStyle name="Normal 2 4 2 3 6 3" xfId="5501" xr:uid="{00000000-0005-0000-0000-00002B0F0000}"/>
    <cellStyle name="Normal 2 4 2 3 6 3 2" xfId="13951" xr:uid="{BE518310-2E35-4C22-85F6-E1E4F4BC1EE3}"/>
    <cellStyle name="Normal 2 4 2 3 6 4" xfId="9733" xr:uid="{2CC0F799-ED60-4BE1-AA71-CE54FDCB7012}"/>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DE279587-499F-450C-9CCF-205BDC2BCB63}"/>
    <cellStyle name="Normal 2 4 2 3 7 2 3" xfId="12291" xr:uid="{96B46370-2D4B-496C-875C-435695F3D7A5}"/>
    <cellStyle name="Normal 2 4 2 3 7 3" xfId="5914" xr:uid="{00000000-0005-0000-0000-00002F0F0000}"/>
    <cellStyle name="Normal 2 4 2 3 7 3 2" xfId="14364" xr:uid="{141357AF-0DE1-42E5-8A6B-F70EC41557D3}"/>
    <cellStyle name="Normal 2 4 2 3 7 4" xfId="10146" xr:uid="{18C96C4F-FDA9-4A96-807B-88548B324C7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112A3B3C-0E5D-4DD8-8E41-BA0EB0BA28E6}"/>
    <cellStyle name="Normal 2 4 2 3 8 2 3" xfId="12704" xr:uid="{808F3631-B5DA-4E73-A894-3DAF66DCC250}"/>
    <cellStyle name="Normal 2 4 2 3 8 3" xfId="6327" xr:uid="{00000000-0005-0000-0000-0000330F0000}"/>
    <cellStyle name="Normal 2 4 2 3 8 3 2" xfId="14777" xr:uid="{6ABE2CB7-F0A9-4CCE-A294-498AAD27C3D9}"/>
    <cellStyle name="Normal 2 4 2 3 8 4" xfId="10559" xr:uid="{F0F6F899-938A-4275-9E88-92C0CEEA1FDA}"/>
    <cellStyle name="Normal 2 4 2 3 9" xfId="2457" xr:uid="{00000000-0005-0000-0000-0000340F0000}"/>
    <cellStyle name="Normal 2 4 2 3 9 2" xfId="6740" xr:uid="{00000000-0005-0000-0000-0000350F0000}"/>
    <cellStyle name="Normal 2 4 2 3 9 2 2" xfId="15190" xr:uid="{F7FFB879-5D3B-4EAA-B280-350A2A650D5B}"/>
    <cellStyle name="Normal 2 4 2 3 9 3" xfId="10972" xr:uid="{A3BFE485-B78E-4F69-A64D-1B0B156FB89D}"/>
    <cellStyle name="Normal 2 4 2 4" xfId="289" xr:uid="{00000000-0005-0000-0000-0000360F0000}"/>
    <cellStyle name="Normal 2 4 2 4 10" xfId="8914" xr:uid="{9E5FD3F7-1066-431D-94CF-1484F3CDE668}"/>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CC1487F1-9920-4301-82CB-1FD0776A58E1}"/>
    <cellStyle name="Normal 2 4 2 4 2 2 2 2 3" xfId="11475" xr:uid="{93C79DDD-D507-4758-B55D-1855D1951596}"/>
    <cellStyle name="Normal 2 4 2 4 2 2 2 3" xfId="5098" xr:uid="{00000000-0005-0000-0000-00003C0F0000}"/>
    <cellStyle name="Normal 2 4 2 4 2 2 2 3 2" xfId="13548" xr:uid="{88FEC653-7473-4B59-87B7-6858DB06EDA2}"/>
    <cellStyle name="Normal 2 4 2 4 2 2 2 4" xfId="9330" xr:uid="{D56AABFD-4FC0-45E2-9760-A28030C50A4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D40B1B46-BEAB-494E-BC0D-505EC7CE2174}"/>
    <cellStyle name="Normal 2 4 2 4 2 2 3 2 3" xfId="11888" xr:uid="{3FEAB5CC-32ED-4827-983F-19B4D9DA4634}"/>
    <cellStyle name="Normal 2 4 2 4 2 2 3 3" xfId="5511" xr:uid="{00000000-0005-0000-0000-0000400F0000}"/>
    <cellStyle name="Normal 2 4 2 4 2 2 3 3 2" xfId="13961" xr:uid="{03662E4A-983F-4F1E-927E-FF37910D792E}"/>
    <cellStyle name="Normal 2 4 2 4 2 2 3 4" xfId="9743" xr:uid="{CF3BFC84-7C23-4AC7-BCEC-D2ADED742EAE}"/>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43CE2F32-AC51-49C4-B1BD-09CEF6E95B20}"/>
    <cellStyle name="Normal 2 4 2 4 2 2 4 2 3" xfId="12301" xr:uid="{F2347182-F865-4D26-B7DF-55E2643457B5}"/>
    <cellStyle name="Normal 2 4 2 4 2 2 4 3" xfId="5924" xr:uid="{00000000-0005-0000-0000-0000440F0000}"/>
    <cellStyle name="Normal 2 4 2 4 2 2 4 3 2" xfId="14374" xr:uid="{CB49BB13-886E-466E-9A67-A5D16F0691EB}"/>
    <cellStyle name="Normal 2 4 2 4 2 2 4 4" xfId="10156" xr:uid="{FC3B5C33-E93B-4235-AF27-49B79943E77A}"/>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21F9DA79-F040-4858-BCD4-4B591927B9FF}"/>
    <cellStyle name="Normal 2 4 2 4 2 2 5 2 3" xfId="12714" xr:uid="{08E1A305-DE86-4E6C-85FC-39FE7A55AC62}"/>
    <cellStyle name="Normal 2 4 2 4 2 2 5 3" xfId="6337" xr:uid="{00000000-0005-0000-0000-0000480F0000}"/>
    <cellStyle name="Normal 2 4 2 4 2 2 5 3 2" xfId="14787" xr:uid="{EBA38210-7839-4426-B437-EC61F4FED695}"/>
    <cellStyle name="Normal 2 4 2 4 2 2 5 4" xfId="10569" xr:uid="{5D123725-15E6-4E26-971C-66C87EB6981E}"/>
    <cellStyle name="Normal 2 4 2 4 2 2 6" xfId="2467" xr:uid="{00000000-0005-0000-0000-0000490F0000}"/>
    <cellStyle name="Normal 2 4 2 4 2 2 6 2" xfId="6750" xr:uid="{00000000-0005-0000-0000-00004A0F0000}"/>
    <cellStyle name="Normal 2 4 2 4 2 2 6 2 2" xfId="15200" xr:uid="{B3B2ECF4-C1E5-4DF7-84F3-6847D64A6FE1}"/>
    <cellStyle name="Normal 2 4 2 4 2 2 6 3" xfId="10982" xr:uid="{B831CDE6-5B84-4745-82E3-FFB6D551A091}"/>
    <cellStyle name="Normal 2 4 2 4 2 2 7" xfId="4684" xr:uid="{00000000-0005-0000-0000-00004B0F0000}"/>
    <cellStyle name="Normal 2 4 2 4 2 2 7 2" xfId="13134" xr:uid="{448BACAD-87D1-49C9-AA32-8B2378C19FA2}"/>
    <cellStyle name="Normal 2 4 2 4 2 2 8" xfId="8916" xr:uid="{18967135-5A60-4594-871B-932AD45E3C6C}"/>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CF364368-5858-4CF4-8898-5144D355559A}"/>
    <cellStyle name="Normal 2 4 2 4 2 3 2 3" xfId="11474" xr:uid="{5C45242B-1B00-441B-9D76-D5D08AE066F3}"/>
    <cellStyle name="Normal 2 4 2 4 2 3 3" xfId="5097" xr:uid="{00000000-0005-0000-0000-00004F0F0000}"/>
    <cellStyle name="Normal 2 4 2 4 2 3 3 2" xfId="13547" xr:uid="{48ADA426-2459-4DAF-8BF7-ED7149A0A00A}"/>
    <cellStyle name="Normal 2 4 2 4 2 3 4" xfId="9329" xr:uid="{5B8C926F-340D-4DD2-BC59-99305B9CCF2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48FD89D8-67BF-475E-A7D1-B23FB51240F9}"/>
    <cellStyle name="Normal 2 4 2 4 2 4 2 3" xfId="11887" xr:uid="{43774C1D-7730-47F7-BE92-F2BE17112965}"/>
    <cellStyle name="Normal 2 4 2 4 2 4 3" xfId="5510" xr:uid="{00000000-0005-0000-0000-0000530F0000}"/>
    <cellStyle name="Normal 2 4 2 4 2 4 3 2" xfId="13960" xr:uid="{16CD996F-48EC-4A6D-AE84-FA7F1D2CF47A}"/>
    <cellStyle name="Normal 2 4 2 4 2 4 4" xfId="9742" xr:uid="{0F083D6D-1B67-45EF-85D6-F834B6950BD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C7DC7B82-722A-45FD-BC9B-A8AC81CE1A93}"/>
    <cellStyle name="Normal 2 4 2 4 2 5 2 3" xfId="12300" xr:uid="{ACF97BB8-5B97-4498-A240-5F1E515C026D}"/>
    <cellStyle name="Normal 2 4 2 4 2 5 3" xfId="5923" xr:uid="{00000000-0005-0000-0000-0000570F0000}"/>
    <cellStyle name="Normal 2 4 2 4 2 5 3 2" xfId="14373" xr:uid="{F9ED6900-2588-4164-8465-AB8A1DAB4417}"/>
    <cellStyle name="Normal 2 4 2 4 2 5 4" xfId="10155" xr:uid="{AE542A17-58E4-4D65-8FD5-62BBD1617D07}"/>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0363C56E-28C1-4504-BF99-53DC6C028EE0}"/>
    <cellStyle name="Normal 2 4 2 4 2 6 2 3" xfId="12713" xr:uid="{8A29B397-3B23-4D4D-AEC2-C1E5C212E597}"/>
    <cellStyle name="Normal 2 4 2 4 2 6 3" xfId="6336" xr:uid="{00000000-0005-0000-0000-00005B0F0000}"/>
    <cellStyle name="Normal 2 4 2 4 2 6 3 2" xfId="14786" xr:uid="{EE88A34E-6EAA-413C-81BC-115967E66FA4}"/>
    <cellStyle name="Normal 2 4 2 4 2 6 4" xfId="10568" xr:uid="{90E317C3-D131-4B13-BA53-05C9359CC9C2}"/>
    <cellStyle name="Normal 2 4 2 4 2 7" xfId="2466" xr:uid="{00000000-0005-0000-0000-00005C0F0000}"/>
    <cellStyle name="Normal 2 4 2 4 2 7 2" xfId="6749" xr:uid="{00000000-0005-0000-0000-00005D0F0000}"/>
    <cellStyle name="Normal 2 4 2 4 2 7 2 2" xfId="15199" xr:uid="{A6527E5E-D2FC-4242-B303-6D3CBAA1D486}"/>
    <cellStyle name="Normal 2 4 2 4 2 7 3" xfId="10981" xr:uid="{C6316030-9EE1-4DA0-9D80-D4E6784A2A81}"/>
    <cellStyle name="Normal 2 4 2 4 2 8" xfId="4683" xr:uid="{00000000-0005-0000-0000-00005E0F0000}"/>
    <cellStyle name="Normal 2 4 2 4 2 8 2" xfId="13133" xr:uid="{DEC5912C-4E5F-42AC-B75E-DF360BD2CA27}"/>
    <cellStyle name="Normal 2 4 2 4 2 9" xfId="8915" xr:uid="{7F1CBD81-BAC4-480F-A00C-40CC102B69DE}"/>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795496FC-F68F-4518-B937-18419129436A}"/>
    <cellStyle name="Normal 2 4 2 4 3 2 2 3" xfId="11476" xr:uid="{86C936D9-B6B4-4890-B919-B649DFF73FA9}"/>
    <cellStyle name="Normal 2 4 2 4 3 2 3" xfId="5099" xr:uid="{00000000-0005-0000-0000-0000630F0000}"/>
    <cellStyle name="Normal 2 4 2 4 3 2 3 2" xfId="13549" xr:uid="{793C905E-02FD-4328-A426-F4FDCF3AB9B9}"/>
    <cellStyle name="Normal 2 4 2 4 3 2 4" xfId="9331" xr:uid="{33478932-AB5D-4E26-9FDB-FB9BA799EE7B}"/>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EFA6362A-C6D5-4CB5-894E-45DB48C7B3A4}"/>
    <cellStyle name="Normal 2 4 2 4 3 3 2 3" xfId="11889" xr:uid="{34F63254-9C09-4742-9F0F-EF79685110EE}"/>
    <cellStyle name="Normal 2 4 2 4 3 3 3" xfId="5512" xr:uid="{00000000-0005-0000-0000-0000670F0000}"/>
    <cellStyle name="Normal 2 4 2 4 3 3 3 2" xfId="13962" xr:uid="{3FD8BCBB-102C-4080-9799-06834FA1FC1C}"/>
    <cellStyle name="Normal 2 4 2 4 3 3 4" xfId="9744" xr:uid="{C092D8E1-470B-48C2-8F67-39F78D3FF099}"/>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C478F15A-9EC3-4C71-B247-F5F80864F1EE}"/>
    <cellStyle name="Normal 2 4 2 4 3 4 2 3" xfId="12302" xr:uid="{3D47ECDB-3512-46EB-972D-FEDCFB1A79B3}"/>
    <cellStyle name="Normal 2 4 2 4 3 4 3" xfId="5925" xr:uid="{00000000-0005-0000-0000-00006B0F0000}"/>
    <cellStyle name="Normal 2 4 2 4 3 4 3 2" xfId="14375" xr:uid="{5A26A539-51D0-45F7-9CB7-F8D3F2837FFE}"/>
    <cellStyle name="Normal 2 4 2 4 3 4 4" xfId="10157" xr:uid="{2567BE6E-FEEB-4152-9314-259A8B3B8AE2}"/>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58506451-25D9-472C-BDC7-09279435E8B3}"/>
    <cellStyle name="Normal 2 4 2 4 3 5 2 3" xfId="12715" xr:uid="{E6C5A557-496F-47F0-B64E-F4B4654B8A97}"/>
    <cellStyle name="Normal 2 4 2 4 3 5 3" xfId="6338" xr:uid="{00000000-0005-0000-0000-00006F0F0000}"/>
    <cellStyle name="Normal 2 4 2 4 3 5 3 2" xfId="14788" xr:uid="{DA9DB2D4-76E4-41C6-9130-110217FFCC38}"/>
    <cellStyle name="Normal 2 4 2 4 3 5 4" xfId="10570" xr:uid="{3A6101EB-08EE-44BD-979C-504B8E77616E}"/>
    <cellStyle name="Normal 2 4 2 4 3 6" xfId="2468" xr:uid="{00000000-0005-0000-0000-0000700F0000}"/>
    <cellStyle name="Normal 2 4 2 4 3 6 2" xfId="6751" xr:uid="{00000000-0005-0000-0000-0000710F0000}"/>
    <cellStyle name="Normal 2 4 2 4 3 6 2 2" xfId="15201" xr:uid="{D34C6EEF-8D13-48F6-ABFA-5C9A03811E6D}"/>
    <cellStyle name="Normal 2 4 2 4 3 6 3" xfId="10983" xr:uid="{06193EDC-3D75-4227-85F7-49D5CCEFAD1D}"/>
    <cellStyle name="Normal 2 4 2 4 3 7" xfId="4685" xr:uid="{00000000-0005-0000-0000-0000720F0000}"/>
    <cellStyle name="Normal 2 4 2 4 3 7 2" xfId="13135" xr:uid="{29FDA587-274E-46FB-B7FD-8279EDC2E0C0}"/>
    <cellStyle name="Normal 2 4 2 4 3 8" xfId="8917" xr:uid="{AB50699D-4E7C-4630-93B7-38540F9C127A}"/>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8815816B-0455-40CE-8E6E-73824F8FE1E4}"/>
    <cellStyle name="Normal 2 4 2 4 4 2 3" xfId="11473" xr:uid="{B800875E-2D85-4760-B4D0-4E375E5B6695}"/>
    <cellStyle name="Normal 2 4 2 4 4 3" xfId="5096" xr:uid="{00000000-0005-0000-0000-0000760F0000}"/>
    <cellStyle name="Normal 2 4 2 4 4 3 2" xfId="13546" xr:uid="{3F9EDA47-9693-4484-8923-D5401C557F55}"/>
    <cellStyle name="Normal 2 4 2 4 4 4" xfId="9328" xr:uid="{4F6395BB-7000-4B48-A624-C2B20470ED7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231C9CD2-7DA4-4EA8-A260-F78FE231FA4F}"/>
    <cellStyle name="Normal 2 4 2 4 5 2 3" xfId="11886" xr:uid="{9408E887-131F-4BB3-9DD3-99915BF683B2}"/>
    <cellStyle name="Normal 2 4 2 4 5 3" xfId="5509" xr:uid="{00000000-0005-0000-0000-00007A0F0000}"/>
    <cellStyle name="Normal 2 4 2 4 5 3 2" xfId="13959" xr:uid="{3F3F6B78-2084-4CE3-A10F-FF7A92CD3ABC}"/>
    <cellStyle name="Normal 2 4 2 4 5 4" xfId="9741" xr:uid="{B1371B09-A336-4AB1-BBC1-A60B77BD8233}"/>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C272CFFB-8E8F-4CD7-9819-BF14C750C987}"/>
    <cellStyle name="Normal 2 4 2 4 6 2 3" xfId="12299" xr:uid="{FCDD3DD3-E2A3-4D5C-BEEC-50C5CACC49DB}"/>
    <cellStyle name="Normal 2 4 2 4 6 3" xfId="5922" xr:uid="{00000000-0005-0000-0000-00007E0F0000}"/>
    <cellStyle name="Normal 2 4 2 4 6 3 2" xfId="14372" xr:uid="{359CBD19-F79A-46C1-8A82-FB236A6E8767}"/>
    <cellStyle name="Normal 2 4 2 4 6 4" xfId="10154" xr:uid="{2AEB4ED0-84DC-4BB0-B532-FDAA676775A0}"/>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159EA645-2928-4342-BF23-B90F4926C8A5}"/>
    <cellStyle name="Normal 2 4 2 4 7 2 3" xfId="12712" xr:uid="{CAE1D10C-6953-4E82-8757-9E3A4B807DE2}"/>
    <cellStyle name="Normal 2 4 2 4 7 3" xfId="6335" xr:uid="{00000000-0005-0000-0000-0000820F0000}"/>
    <cellStyle name="Normal 2 4 2 4 7 3 2" xfId="14785" xr:uid="{BE534946-3776-46EC-8A18-168E8384D6B3}"/>
    <cellStyle name="Normal 2 4 2 4 7 4" xfId="10567" xr:uid="{EC53EC52-58C2-45DD-B2D1-F4A7B555B6B1}"/>
    <cellStyle name="Normal 2 4 2 4 8" xfId="2465" xr:uid="{00000000-0005-0000-0000-0000830F0000}"/>
    <cellStyle name="Normal 2 4 2 4 8 2" xfId="6748" xr:uid="{00000000-0005-0000-0000-0000840F0000}"/>
    <cellStyle name="Normal 2 4 2 4 8 2 2" xfId="15198" xr:uid="{11088702-9750-4603-AA3E-1DB44FE0A10B}"/>
    <cellStyle name="Normal 2 4 2 4 8 3" xfId="10980" xr:uid="{B451908B-5FC2-4439-B5FD-3EC35AC1AF3D}"/>
    <cellStyle name="Normal 2 4 2 4 9" xfId="4682" xr:uid="{00000000-0005-0000-0000-0000850F0000}"/>
    <cellStyle name="Normal 2 4 2 4 9 2" xfId="13132" xr:uid="{00464695-772C-4DE4-A88A-A24170C5A1E9}"/>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C1C45B2F-FF67-4ABA-8276-6353FFBC034A}"/>
    <cellStyle name="Normal 2 4 2 5 2 2 2 3" xfId="11478" xr:uid="{392302A8-605A-488B-80D1-7D1F4D83D855}"/>
    <cellStyle name="Normal 2 4 2 5 2 2 3" xfId="5101" xr:uid="{00000000-0005-0000-0000-00008B0F0000}"/>
    <cellStyle name="Normal 2 4 2 5 2 2 3 2" xfId="13551" xr:uid="{5A47A43F-FC75-4E1C-BB5B-DE88BEADBA29}"/>
    <cellStyle name="Normal 2 4 2 5 2 2 4" xfId="9333" xr:uid="{6117699F-B6F1-4D88-B3E4-55946B13FF96}"/>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7B6BDA94-0C1C-41DB-83B6-1EACD95F05BA}"/>
    <cellStyle name="Normal 2 4 2 5 2 3 2 3" xfId="11891" xr:uid="{C8D03A69-3629-4861-8283-40B73049A31B}"/>
    <cellStyle name="Normal 2 4 2 5 2 3 3" xfId="5514" xr:uid="{00000000-0005-0000-0000-00008F0F0000}"/>
    <cellStyle name="Normal 2 4 2 5 2 3 3 2" xfId="13964" xr:uid="{E6386257-8A42-41CA-8CD9-EAF5B86122A5}"/>
    <cellStyle name="Normal 2 4 2 5 2 3 4" xfId="9746" xr:uid="{DE931970-F52C-4779-8A51-D6DE766F64A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15B06076-8B3A-4681-8C93-94E39EB6CBD7}"/>
    <cellStyle name="Normal 2 4 2 5 2 4 2 3" xfId="12304" xr:uid="{A0A97A41-A914-40F8-B09C-88BB51E24429}"/>
    <cellStyle name="Normal 2 4 2 5 2 4 3" xfId="5927" xr:uid="{00000000-0005-0000-0000-0000930F0000}"/>
    <cellStyle name="Normal 2 4 2 5 2 4 3 2" xfId="14377" xr:uid="{EDB24315-6E90-4220-A27D-E8B275A6960F}"/>
    <cellStyle name="Normal 2 4 2 5 2 4 4" xfId="10159" xr:uid="{22E08B96-6D11-47AF-81BF-CD1551584E23}"/>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0323B945-8536-47A6-A518-E1C092BA7C4C}"/>
    <cellStyle name="Normal 2 4 2 5 2 5 2 3" xfId="12717" xr:uid="{DE33C031-03C3-4694-B1C4-5CEA07FF2D1D}"/>
    <cellStyle name="Normal 2 4 2 5 2 5 3" xfId="6340" xr:uid="{00000000-0005-0000-0000-0000970F0000}"/>
    <cellStyle name="Normal 2 4 2 5 2 5 3 2" xfId="14790" xr:uid="{5A75510F-586B-476E-9380-ABCAEB7727A8}"/>
    <cellStyle name="Normal 2 4 2 5 2 5 4" xfId="10572" xr:uid="{36E6481D-20ED-48DD-BF29-A3A8451894A7}"/>
    <cellStyle name="Normal 2 4 2 5 2 6" xfId="2470" xr:uid="{00000000-0005-0000-0000-0000980F0000}"/>
    <cellStyle name="Normal 2 4 2 5 2 6 2" xfId="6753" xr:uid="{00000000-0005-0000-0000-0000990F0000}"/>
    <cellStyle name="Normal 2 4 2 5 2 6 2 2" xfId="15203" xr:uid="{D5A7277B-A227-4946-AFA9-EC5348FD2062}"/>
    <cellStyle name="Normal 2 4 2 5 2 6 3" xfId="10985" xr:uid="{9FA8B35D-AD7B-4B9C-95DE-B7F0D69BDBC5}"/>
    <cellStyle name="Normal 2 4 2 5 2 7" xfId="4687" xr:uid="{00000000-0005-0000-0000-00009A0F0000}"/>
    <cellStyle name="Normal 2 4 2 5 2 7 2" xfId="13137" xr:uid="{C86F9F51-4241-4091-AB35-FB96D7AF73F6}"/>
    <cellStyle name="Normal 2 4 2 5 2 8" xfId="8919" xr:uid="{38C68B32-D90F-44A5-AFA8-D2A8024A5FE5}"/>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96440C30-58CD-44FF-AAA6-E177AB19C011}"/>
    <cellStyle name="Normal 2 4 2 5 3 2 3" xfId="11477" xr:uid="{C631BB10-7A93-4DE4-B064-EDE379A71C99}"/>
    <cellStyle name="Normal 2 4 2 5 3 3" xfId="5100" xr:uid="{00000000-0005-0000-0000-00009E0F0000}"/>
    <cellStyle name="Normal 2 4 2 5 3 3 2" xfId="13550" xr:uid="{3E5DEF22-A623-4F05-BE3B-DF88AD62E6EE}"/>
    <cellStyle name="Normal 2 4 2 5 3 4" xfId="9332" xr:uid="{1D79771D-46B6-4FEF-93C0-27D8338BA44A}"/>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4971F0B1-5CA8-49D1-965F-DCB9D19277BA}"/>
    <cellStyle name="Normal 2 4 2 5 4 2 3" xfId="11890" xr:uid="{6520B31F-4712-445F-8499-1912334948E0}"/>
    <cellStyle name="Normal 2 4 2 5 4 3" xfId="5513" xr:uid="{00000000-0005-0000-0000-0000A20F0000}"/>
    <cellStyle name="Normal 2 4 2 5 4 3 2" xfId="13963" xr:uid="{6D63E5AC-C6A4-4821-8355-36FA142420C6}"/>
    <cellStyle name="Normal 2 4 2 5 4 4" xfId="9745" xr:uid="{A3B78764-0DB4-435E-BB1B-CDD997B98AB9}"/>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9527FC9F-24AE-4782-B4DC-A382E8C5DC5C}"/>
    <cellStyle name="Normal 2 4 2 5 5 2 3" xfId="12303" xr:uid="{856A3B8F-D62A-4BB5-9D19-470564B26301}"/>
    <cellStyle name="Normal 2 4 2 5 5 3" xfId="5926" xr:uid="{00000000-0005-0000-0000-0000A60F0000}"/>
    <cellStyle name="Normal 2 4 2 5 5 3 2" xfId="14376" xr:uid="{E0F99E4A-2C0A-4EEC-BA67-EB23C88D8751}"/>
    <cellStyle name="Normal 2 4 2 5 5 4" xfId="10158" xr:uid="{B8A3372C-264E-4637-9418-040E98B83E3C}"/>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9AD80838-1B37-4A17-B479-555A75B5AD2B}"/>
    <cellStyle name="Normal 2 4 2 5 6 2 3" xfId="12716" xr:uid="{BF9C5ABA-7ECB-4747-B08C-2A89B9A4FCCA}"/>
    <cellStyle name="Normal 2 4 2 5 6 3" xfId="6339" xr:uid="{00000000-0005-0000-0000-0000AA0F0000}"/>
    <cellStyle name="Normal 2 4 2 5 6 3 2" xfId="14789" xr:uid="{D70B4F37-482A-4E05-B1B8-53D73A98B400}"/>
    <cellStyle name="Normal 2 4 2 5 6 4" xfId="10571" xr:uid="{3D26A106-A942-4DD9-A224-E793DD53D588}"/>
    <cellStyle name="Normal 2 4 2 5 7" xfId="2469" xr:uid="{00000000-0005-0000-0000-0000AB0F0000}"/>
    <cellStyle name="Normal 2 4 2 5 7 2" xfId="6752" xr:uid="{00000000-0005-0000-0000-0000AC0F0000}"/>
    <cellStyle name="Normal 2 4 2 5 7 2 2" xfId="15202" xr:uid="{C67EC0D7-E13B-4377-A7CA-5BF38A6A8688}"/>
    <cellStyle name="Normal 2 4 2 5 7 3" xfId="10984" xr:uid="{9C636773-F1E4-4549-851C-7A2E37FA317F}"/>
    <cellStyle name="Normal 2 4 2 5 8" xfId="4686" xr:uid="{00000000-0005-0000-0000-0000AD0F0000}"/>
    <cellStyle name="Normal 2 4 2 5 8 2" xfId="13136" xr:uid="{1C5B400F-E4B0-4D02-9D4C-CD84888A1B7F}"/>
    <cellStyle name="Normal 2 4 2 5 9" xfId="8918" xr:uid="{186A9D46-7E65-4FC8-A362-0768E5EC900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D370855A-44BD-4C31-BC16-387A067864D9}"/>
    <cellStyle name="Normal 2 4 2 6 2 2 3" xfId="11479" xr:uid="{D2F344B3-ECC1-4ABA-8453-A70AA7145955}"/>
    <cellStyle name="Normal 2 4 2 6 2 3" xfId="5102" xr:uid="{00000000-0005-0000-0000-0000B20F0000}"/>
    <cellStyle name="Normal 2 4 2 6 2 3 2" xfId="13552" xr:uid="{6CC28030-EE0E-4FC7-BD93-64354BB75D88}"/>
    <cellStyle name="Normal 2 4 2 6 2 4" xfId="9334" xr:uid="{4D209EF8-B4C9-4ED2-B7A6-293E2DF59D5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A797A018-23CE-4ABB-AAD7-81B37E877C75}"/>
    <cellStyle name="Normal 2 4 2 6 3 2 3" xfId="11892" xr:uid="{F0841D57-32F3-498A-9D96-DDCE9BD0D328}"/>
    <cellStyle name="Normal 2 4 2 6 3 3" xfId="5515" xr:uid="{00000000-0005-0000-0000-0000B60F0000}"/>
    <cellStyle name="Normal 2 4 2 6 3 3 2" xfId="13965" xr:uid="{3BF2A0E7-DB22-4A25-8F17-3CCB0C296CE0}"/>
    <cellStyle name="Normal 2 4 2 6 3 4" xfId="9747" xr:uid="{476170C1-3A84-4230-9030-517813338A4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01DE7FF0-A729-415B-A355-0BA1BB7A1EC7}"/>
    <cellStyle name="Normal 2 4 2 6 4 2 3" xfId="12305" xr:uid="{A3676540-F5D1-428A-ACA6-484E1E2257EF}"/>
    <cellStyle name="Normal 2 4 2 6 4 3" xfId="5928" xr:uid="{00000000-0005-0000-0000-0000BA0F0000}"/>
    <cellStyle name="Normal 2 4 2 6 4 3 2" xfId="14378" xr:uid="{22C5DF50-BDF5-47C6-B718-C75ED08621C0}"/>
    <cellStyle name="Normal 2 4 2 6 4 4" xfId="10160" xr:uid="{551C246B-2AFF-4654-9B4B-8AB88782F478}"/>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61DA4C23-4659-4708-93DE-BADB3BD789FE}"/>
    <cellStyle name="Normal 2 4 2 6 5 2 3" xfId="12718" xr:uid="{17E4B9F0-A0AC-4651-B684-77BC70D89BE3}"/>
    <cellStyle name="Normal 2 4 2 6 5 3" xfId="6341" xr:uid="{00000000-0005-0000-0000-0000BE0F0000}"/>
    <cellStyle name="Normal 2 4 2 6 5 3 2" xfId="14791" xr:uid="{401707C1-32BF-463B-87EC-8D0736D5FE5E}"/>
    <cellStyle name="Normal 2 4 2 6 5 4" xfId="10573" xr:uid="{6C7C87C7-DE04-437B-87A5-31DD163C6AA2}"/>
    <cellStyle name="Normal 2 4 2 6 6" xfId="2471" xr:uid="{00000000-0005-0000-0000-0000BF0F0000}"/>
    <cellStyle name="Normal 2 4 2 6 6 2" xfId="6754" xr:uid="{00000000-0005-0000-0000-0000C00F0000}"/>
    <cellStyle name="Normal 2 4 2 6 6 2 2" xfId="15204" xr:uid="{57A87D56-EDEA-4E80-8CCC-7086C06B4D9A}"/>
    <cellStyle name="Normal 2 4 2 6 6 3" xfId="10986" xr:uid="{3464BF33-BB62-4D6C-BD72-64B9AE470F4E}"/>
    <cellStyle name="Normal 2 4 2 6 7" xfId="4688" xr:uid="{00000000-0005-0000-0000-0000C10F0000}"/>
    <cellStyle name="Normal 2 4 2 6 7 2" xfId="13138" xr:uid="{285B7C52-3EA0-4D20-85DE-D5ADA461D813}"/>
    <cellStyle name="Normal 2 4 2 6 8" xfId="8920" xr:uid="{CDC59A4F-11C4-48A8-B9BA-19549C6D2E50}"/>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016CCF41-7805-4D2A-B66B-64168D3F6EBA}"/>
    <cellStyle name="Normal 2 4 2 7 2 3" xfId="11464" xr:uid="{268B1276-C21A-45EE-B62C-90F601A7E554}"/>
    <cellStyle name="Normal 2 4 2 7 3" xfId="5087" xr:uid="{00000000-0005-0000-0000-0000C50F0000}"/>
    <cellStyle name="Normal 2 4 2 7 3 2" xfId="13537" xr:uid="{8E6E84A2-7C85-4FB0-87B2-F36342BC8487}"/>
    <cellStyle name="Normal 2 4 2 7 4" xfId="9319" xr:uid="{2EC9083A-F355-49AA-A94F-16114F412F0C}"/>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CD1370F2-1D15-4B5C-8627-989224A8C0A7}"/>
    <cellStyle name="Normal 2 4 2 8 2 3" xfId="11877" xr:uid="{1D67BC42-101E-4424-99A2-C57B73B7CF00}"/>
    <cellStyle name="Normal 2 4 2 8 3" xfId="5500" xr:uid="{00000000-0005-0000-0000-0000C90F0000}"/>
    <cellStyle name="Normal 2 4 2 8 3 2" xfId="13950" xr:uid="{DA1E114A-6D1C-4E28-8808-DDB07A9CB013}"/>
    <cellStyle name="Normal 2 4 2 8 4" xfId="9732" xr:uid="{DA990560-1643-43EF-AF19-D4247C2D6A04}"/>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B22C94D3-4A65-463D-B974-D592031685FE}"/>
    <cellStyle name="Normal 2 4 2 9 2 3" xfId="12290" xr:uid="{1D44561F-9E8A-45AB-946E-6CD935D84B15}"/>
    <cellStyle name="Normal 2 4 2 9 3" xfId="5913" xr:uid="{00000000-0005-0000-0000-0000CD0F0000}"/>
    <cellStyle name="Normal 2 4 2 9 3 2" xfId="14363" xr:uid="{04767D19-38E3-42C9-9C03-9015B62E255D}"/>
    <cellStyle name="Normal 2 4 2 9 4" xfId="10145" xr:uid="{029EA6CF-537A-402B-B44F-6FFF9938565E}"/>
    <cellStyle name="Normal 2 4 3" xfId="296" xr:uid="{00000000-0005-0000-0000-0000CE0F0000}"/>
    <cellStyle name="Normal 2 4 3 10" xfId="8921" xr:uid="{AB0D1732-BFFA-4EB4-98E6-5EE2395D88F5}"/>
    <cellStyle name="Normal 2 4 3 2" xfId="297" xr:uid="{00000000-0005-0000-0000-0000CF0F0000}"/>
    <cellStyle name="Normal 2 4 3 3" xfId="298" xr:uid="{00000000-0005-0000-0000-0000D00F0000}"/>
    <cellStyle name="Normal 2 4 3 3 10" xfId="8922" xr:uid="{BF7FC1E1-041A-4461-82DC-F8EFA3290629}"/>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D1E197CE-5AD8-4657-A1BF-F6B9CDF84B53}"/>
    <cellStyle name="Normal 2 4 3 3 2 2 2 2 3" xfId="11483" xr:uid="{8EBD2A5E-66F8-484E-98B3-82C58D829E80}"/>
    <cellStyle name="Normal 2 4 3 3 2 2 2 3" xfId="5106" xr:uid="{00000000-0005-0000-0000-0000D60F0000}"/>
    <cellStyle name="Normal 2 4 3 3 2 2 2 3 2" xfId="13556" xr:uid="{4A61A711-328A-4E32-9D77-AEF92A969803}"/>
    <cellStyle name="Normal 2 4 3 3 2 2 2 4" xfId="9338" xr:uid="{7B353025-FA07-46A2-A0CD-C28D9F29994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55D6F05D-9EC9-469E-B6AB-AD79568F52FA}"/>
    <cellStyle name="Normal 2 4 3 3 2 2 3 2 3" xfId="11896" xr:uid="{643D4A91-6978-4CDD-900C-BA5BD4E02AD7}"/>
    <cellStyle name="Normal 2 4 3 3 2 2 3 3" xfId="5519" xr:uid="{00000000-0005-0000-0000-0000DA0F0000}"/>
    <cellStyle name="Normal 2 4 3 3 2 2 3 3 2" xfId="13969" xr:uid="{7450F824-306F-4DAF-8508-0D8BAC4AF84E}"/>
    <cellStyle name="Normal 2 4 3 3 2 2 3 4" xfId="9751" xr:uid="{EEC81016-2A41-4EC8-9EE9-ED9F21E62E55}"/>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121CD520-61CF-4605-B013-D57757D0AC09}"/>
    <cellStyle name="Normal 2 4 3 3 2 2 4 2 3" xfId="12309" xr:uid="{77390D0B-50B2-485B-A100-0FAA9E2B53A7}"/>
    <cellStyle name="Normal 2 4 3 3 2 2 4 3" xfId="5932" xr:uid="{00000000-0005-0000-0000-0000DE0F0000}"/>
    <cellStyle name="Normal 2 4 3 3 2 2 4 3 2" xfId="14382" xr:uid="{334C1911-EDBC-4A57-ACD5-314A7199453D}"/>
    <cellStyle name="Normal 2 4 3 3 2 2 4 4" xfId="10164" xr:uid="{7EA84DE1-8F93-421A-831A-1CA2D5152C97}"/>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2EAEA425-8898-410B-B3C0-4CAC74764540}"/>
    <cellStyle name="Normal 2 4 3 3 2 2 5 2 3" xfId="12722" xr:uid="{22DA25DD-E83A-45B0-A7C1-D2EEC28C1912}"/>
    <cellStyle name="Normal 2 4 3 3 2 2 5 3" xfId="6345" xr:uid="{00000000-0005-0000-0000-0000E20F0000}"/>
    <cellStyle name="Normal 2 4 3 3 2 2 5 3 2" xfId="14795" xr:uid="{B41FEBE6-F792-438C-BB02-384C08FBFFBC}"/>
    <cellStyle name="Normal 2 4 3 3 2 2 5 4" xfId="10577" xr:uid="{00DF450B-DE3C-4D22-BE77-7098BCDB0C71}"/>
    <cellStyle name="Normal 2 4 3 3 2 2 6" xfId="2475" xr:uid="{00000000-0005-0000-0000-0000E30F0000}"/>
    <cellStyle name="Normal 2 4 3 3 2 2 6 2" xfId="6758" xr:uid="{00000000-0005-0000-0000-0000E40F0000}"/>
    <cellStyle name="Normal 2 4 3 3 2 2 6 2 2" xfId="15208" xr:uid="{97E05E5F-5DE3-45A4-B268-BC68ED6531C0}"/>
    <cellStyle name="Normal 2 4 3 3 2 2 6 3" xfId="10990" xr:uid="{B8A317EF-6D74-4275-A6AB-2B98FCCA95C9}"/>
    <cellStyle name="Normal 2 4 3 3 2 2 7" xfId="4692" xr:uid="{00000000-0005-0000-0000-0000E50F0000}"/>
    <cellStyle name="Normal 2 4 3 3 2 2 7 2" xfId="13142" xr:uid="{0180A9EF-62B8-4E30-92D1-B67754BC3B73}"/>
    <cellStyle name="Normal 2 4 3 3 2 2 8" xfId="8924" xr:uid="{A89400F5-7E43-4DFC-A43E-67157D6D35FE}"/>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348B5487-6646-4E7D-97E1-5BF4E80F2CD4}"/>
    <cellStyle name="Normal 2 4 3 3 2 3 2 3" xfId="11482" xr:uid="{7B0EB994-B982-4B65-B8BF-54B3EBDBDFB6}"/>
    <cellStyle name="Normal 2 4 3 3 2 3 3" xfId="5105" xr:uid="{00000000-0005-0000-0000-0000E90F0000}"/>
    <cellStyle name="Normal 2 4 3 3 2 3 3 2" xfId="13555" xr:uid="{CB19235B-AEFF-4BC2-B60E-A5A6AB1E7AF9}"/>
    <cellStyle name="Normal 2 4 3 3 2 3 4" xfId="9337" xr:uid="{8946E054-F655-4B08-8F4C-0FE8A4AE591A}"/>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A2EA91EE-4FDF-4D9D-8E82-EC93223C308C}"/>
    <cellStyle name="Normal 2 4 3 3 2 4 2 3" xfId="11895" xr:uid="{FC01677C-C902-4549-9AF3-DC90939CFDF1}"/>
    <cellStyle name="Normal 2 4 3 3 2 4 3" xfId="5518" xr:uid="{00000000-0005-0000-0000-0000ED0F0000}"/>
    <cellStyle name="Normal 2 4 3 3 2 4 3 2" xfId="13968" xr:uid="{A9096752-B46B-49A3-BA6E-3D88787F2FFB}"/>
    <cellStyle name="Normal 2 4 3 3 2 4 4" xfId="9750" xr:uid="{7AFA20C3-5FDC-44A3-9E01-26F63315A5BF}"/>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B91FC4AA-A016-4CEF-B863-ECCA1CF28830}"/>
    <cellStyle name="Normal 2 4 3 3 2 5 2 3" xfId="12308" xr:uid="{CE898E5E-4B4A-4B6E-B0FA-2E4CFF085A3E}"/>
    <cellStyle name="Normal 2 4 3 3 2 5 3" xfId="5931" xr:uid="{00000000-0005-0000-0000-0000F10F0000}"/>
    <cellStyle name="Normal 2 4 3 3 2 5 3 2" xfId="14381" xr:uid="{47E869CC-F30D-406B-B15A-82061CD533DF}"/>
    <cellStyle name="Normal 2 4 3 3 2 5 4" xfId="10163" xr:uid="{84979D5B-BA50-4008-BAEA-EC70B4A18991}"/>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DD6033DF-24F8-4F46-B595-17CE157345B4}"/>
    <cellStyle name="Normal 2 4 3 3 2 6 2 3" xfId="12721" xr:uid="{2A04A9E2-2662-4034-BA0A-47276F7E2B28}"/>
    <cellStyle name="Normal 2 4 3 3 2 6 3" xfId="6344" xr:uid="{00000000-0005-0000-0000-0000F50F0000}"/>
    <cellStyle name="Normal 2 4 3 3 2 6 3 2" xfId="14794" xr:uid="{446550D2-A1E8-49EA-A6B1-28669A9487A1}"/>
    <cellStyle name="Normal 2 4 3 3 2 6 4" xfId="10576" xr:uid="{B6577050-C673-4725-9C36-DDD0D649C95D}"/>
    <cellStyle name="Normal 2 4 3 3 2 7" xfId="2474" xr:uid="{00000000-0005-0000-0000-0000F60F0000}"/>
    <cellStyle name="Normal 2 4 3 3 2 7 2" xfId="6757" xr:uid="{00000000-0005-0000-0000-0000F70F0000}"/>
    <cellStyle name="Normal 2 4 3 3 2 7 2 2" xfId="15207" xr:uid="{8CBFA920-EC04-4A6E-B446-F601BB3F7D97}"/>
    <cellStyle name="Normal 2 4 3 3 2 7 3" xfId="10989" xr:uid="{1A0B3042-06EB-47A4-B1F5-7C4A4557DC73}"/>
    <cellStyle name="Normal 2 4 3 3 2 8" xfId="4691" xr:uid="{00000000-0005-0000-0000-0000F80F0000}"/>
    <cellStyle name="Normal 2 4 3 3 2 8 2" xfId="13141" xr:uid="{3AB7216E-FD6D-4592-8D84-DA3170F54202}"/>
    <cellStyle name="Normal 2 4 3 3 2 9" xfId="8923" xr:uid="{0083F570-E003-4FD5-8D2D-8F611F8FF30B}"/>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52FD3D92-EC8F-4EE0-A6B6-0B2186A43F92}"/>
    <cellStyle name="Normal 2 4 3 3 3 2 2 3" xfId="11484" xr:uid="{786F2905-E531-4AAE-912C-2C98E080FE83}"/>
    <cellStyle name="Normal 2 4 3 3 3 2 3" xfId="5107" xr:uid="{00000000-0005-0000-0000-0000FD0F0000}"/>
    <cellStyle name="Normal 2 4 3 3 3 2 3 2" xfId="13557" xr:uid="{41237E77-C642-4A2F-BB09-88026E7990F7}"/>
    <cellStyle name="Normal 2 4 3 3 3 2 4" xfId="9339" xr:uid="{BD3C4435-E4F5-4EB4-8615-6C0321F68C8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29BD6C37-684B-4998-83C6-9D65C2B3C3C2}"/>
    <cellStyle name="Normal 2 4 3 3 3 3 2 3" xfId="11897" xr:uid="{6D68D4CA-FC9E-4A87-8A62-829397BD871E}"/>
    <cellStyle name="Normal 2 4 3 3 3 3 3" xfId="5520" xr:uid="{00000000-0005-0000-0000-000001100000}"/>
    <cellStyle name="Normal 2 4 3 3 3 3 3 2" xfId="13970" xr:uid="{E36DF574-BEBC-4C7C-9575-082B31ED9CAE}"/>
    <cellStyle name="Normal 2 4 3 3 3 3 4" xfId="9752" xr:uid="{B41B5A72-CCEB-4022-97D1-AE7C494B28D4}"/>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4B328F53-D1A9-4F69-A30D-4041C5159C90}"/>
    <cellStyle name="Normal 2 4 3 3 3 4 2 3" xfId="12310" xr:uid="{6740C955-7731-49FA-B545-4FC3AFE1C3F4}"/>
    <cellStyle name="Normal 2 4 3 3 3 4 3" xfId="5933" xr:uid="{00000000-0005-0000-0000-000005100000}"/>
    <cellStyle name="Normal 2 4 3 3 3 4 3 2" xfId="14383" xr:uid="{E3D501E3-E47B-4F18-82DB-356DC0A09C3B}"/>
    <cellStyle name="Normal 2 4 3 3 3 4 4" xfId="10165" xr:uid="{31AE6666-BADE-45DD-AC6E-6A28627B0D86}"/>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4B05C8ED-C746-4561-B9ED-C09532665EF4}"/>
    <cellStyle name="Normal 2 4 3 3 3 5 2 3" xfId="12723" xr:uid="{D7DCC9BE-F08A-41D9-9C33-495DFC04C7F2}"/>
    <cellStyle name="Normal 2 4 3 3 3 5 3" xfId="6346" xr:uid="{00000000-0005-0000-0000-000009100000}"/>
    <cellStyle name="Normal 2 4 3 3 3 5 3 2" xfId="14796" xr:uid="{A0E4B9D7-586F-4590-8486-AF87C23E0F73}"/>
    <cellStyle name="Normal 2 4 3 3 3 5 4" xfId="10578" xr:uid="{214E14BA-3A84-4D69-B9C9-409242D74D4B}"/>
    <cellStyle name="Normal 2 4 3 3 3 6" xfId="2476" xr:uid="{00000000-0005-0000-0000-00000A100000}"/>
    <cellStyle name="Normal 2 4 3 3 3 6 2" xfId="6759" xr:uid="{00000000-0005-0000-0000-00000B100000}"/>
    <cellStyle name="Normal 2 4 3 3 3 6 2 2" xfId="15209" xr:uid="{521A438D-83E2-4813-AF7E-44FDDFF84295}"/>
    <cellStyle name="Normal 2 4 3 3 3 6 3" xfId="10991" xr:uid="{B4DF22C5-5002-4E5B-8880-4F52D6290FA4}"/>
    <cellStyle name="Normal 2 4 3 3 3 7" xfId="4693" xr:uid="{00000000-0005-0000-0000-00000C100000}"/>
    <cellStyle name="Normal 2 4 3 3 3 7 2" xfId="13143" xr:uid="{C6155C5C-11B7-4FF5-A77A-031A7509FC47}"/>
    <cellStyle name="Normal 2 4 3 3 3 8" xfId="8925" xr:uid="{66570C22-C443-4923-A9F0-A666842685D6}"/>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7682654F-CEE5-41A0-84FA-ABD88EF4D2B8}"/>
    <cellStyle name="Normal 2 4 3 3 4 2 3" xfId="11481" xr:uid="{EEFCAC5C-7286-4F34-9BEF-12A40DDE75DE}"/>
    <cellStyle name="Normal 2 4 3 3 4 3" xfId="5104" xr:uid="{00000000-0005-0000-0000-000010100000}"/>
    <cellStyle name="Normal 2 4 3 3 4 3 2" xfId="13554" xr:uid="{58643EB1-E30C-4CC7-9A6D-5F19B6B639C8}"/>
    <cellStyle name="Normal 2 4 3 3 4 4" xfId="9336" xr:uid="{B427DE52-72A7-4587-84EA-145916CECBD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A3CEB3F9-F626-44C4-8DC9-AA3CEC569611}"/>
    <cellStyle name="Normal 2 4 3 3 5 2 3" xfId="11894" xr:uid="{71DAC485-06C6-4C63-9483-D73C525F2301}"/>
    <cellStyle name="Normal 2 4 3 3 5 3" xfId="5517" xr:uid="{00000000-0005-0000-0000-000014100000}"/>
    <cellStyle name="Normal 2 4 3 3 5 3 2" xfId="13967" xr:uid="{6863B078-9CC1-4497-96D8-B6D1CB236084}"/>
    <cellStyle name="Normal 2 4 3 3 5 4" xfId="9749" xr:uid="{8A222FA1-0D7E-4CBF-998F-DD86C9760ACE}"/>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84A99B92-4884-454F-BE3B-D52226B34665}"/>
    <cellStyle name="Normal 2 4 3 3 6 2 3" xfId="12307" xr:uid="{6A87B143-36CF-4F5B-87B0-C39E9E9E8780}"/>
    <cellStyle name="Normal 2 4 3 3 6 3" xfId="5930" xr:uid="{00000000-0005-0000-0000-000018100000}"/>
    <cellStyle name="Normal 2 4 3 3 6 3 2" xfId="14380" xr:uid="{0AF7872A-19C0-4F4C-8A0A-F483C9035C24}"/>
    <cellStyle name="Normal 2 4 3 3 6 4" xfId="10162" xr:uid="{1501DB20-F889-44A5-93BE-BE066E8BA377}"/>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320586C0-2BED-4134-B5A0-C5E97F0A7BD6}"/>
    <cellStyle name="Normal 2 4 3 3 7 2 3" xfId="12720" xr:uid="{121D24FB-9879-4B08-B0E2-93CA39B0C963}"/>
    <cellStyle name="Normal 2 4 3 3 7 3" xfId="6343" xr:uid="{00000000-0005-0000-0000-00001C100000}"/>
    <cellStyle name="Normal 2 4 3 3 7 3 2" xfId="14793" xr:uid="{B993B685-9F3C-4914-96D8-45EBDD3F5FF8}"/>
    <cellStyle name="Normal 2 4 3 3 7 4" xfId="10575" xr:uid="{3C103591-7C35-4BFA-8FB6-9859DA3D571E}"/>
    <cellStyle name="Normal 2 4 3 3 8" xfId="2473" xr:uid="{00000000-0005-0000-0000-00001D100000}"/>
    <cellStyle name="Normal 2 4 3 3 8 2" xfId="6756" xr:uid="{00000000-0005-0000-0000-00001E100000}"/>
    <cellStyle name="Normal 2 4 3 3 8 2 2" xfId="15206" xr:uid="{A3036BAA-ADCF-4AD8-90C6-1B5E30EE43FA}"/>
    <cellStyle name="Normal 2 4 3 3 8 3" xfId="10988" xr:uid="{0F3C27F4-6BCA-4645-ADDB-07BAEF028DC0}"/>
    <cellStyle name="Normal 2 4 3 3 9" xfId="4690" xr:uid="{00000000-0005-0000-0000-00001F100000}"/>
    <cellStyle name="Normal 2 4 3 3 9 2" xfId="13140" xr:uid="{833584E6-C288-46BF-AF1F-22B375CD42ED}"/>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F00E8755-D4D4-47ED-9DE0-73F9A0DF9E77}"/>
    <cellStyle name="Normal 2 4 3 4 2 3" xfId="11480" xr:uid="{9E9600BF-2642-4D18-AFC5-14138D255076}"/>
    <cellStyle name="Normal 2 4 3 4 3" xfId="5103" xr:uid="{00000000-0005-0000-0000-000023100000}"/>
    <cellStyle name="Normal 2 4 3 4 3 2" xfId="13553" xr:uid="{226BFAFF-A170-4A23-B88B-2905D1E8FD45}"/>
    <cellStyle name="Normal 2 4 3 4 4" xfId="9335" xr:uid="{7A464935-1EB0-4EA9-B876-C28226D09984}"/>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3F35CE2B-469F-429F-99CC-8A234228E71E}"/>
    <cellStyle name="Normal 2 4 3 5 2 3" xfId="11893" xr:uid="{DBC68915-3ABE-465E-B934-62BE17CAEAF6}"/>
    <cellStyle name="Normal 2 4 3 5 3" xfId="5516" xr:uid="{00000000-0005-0000-0000-000027100000}"/>
    <cellStyle name="Normal 2 4 3 5 3 2" xfId="13966" xr:uid="{87A03D32-8899-4D5B-9759-83F7F950AFA2}"/>
    <cellStyle name="Normal 2 4 3 5 4" xfId="9748" xr:uid="{66693EBF-9EE5-4E5D-9F4E-DF080E637CE9}"/>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7EA5353B-37D9-43B1-804D-77784A7379E1}"/>
    <cellStyle name="Normal 2 4 3 6 2 3" xfId="12306" xr:uid="{B02D1923-1926-49CC-BC52-C1AB025673FB}"/>
    <cellStyle name="Normal 2 4 3 6 3" xfId="5929" xr:uid="{00000000-0005-0000-0000-00002B100000}"/>
    <cellStyle name="Normal 2 4 3 6 3 2" xfId="14379" xr:uid="{7BF0E2DA-197C-4CF7-9212-A173DA011433}"/>
    <cellStyle name="Normal 2 4 3 6 4" xfId="10161" xr:uid="{6CC0CD7D-256C-4848-ACCF-9F44B3618BEE}"/>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CB80EDED-508C-4DD2-ADC0-C113533BAA7D}"/>
    <cellStyle name="Normal 2 4 3 7 2 3" xfId="12719" xr:uid="{720E3504-B978-4E83-989A-A47FE4A7988F}"/>
    <cellStyle name="Normal 2 4 3 7 3" xfId="6342" xr:uid="{00000000-0005-0000-0000-00002F100000}"/>
    <cellStyle name="Normal 2 4 3 7 3 2" xfId="14792" xr:uid="{B6BE2D24-2129-4A95-A5AC-C411A1CBC333}"/>
    <cellStyle name="Normal 2 4 3 7 4" xfId="10574" xr:uid="{C9CBF5DF-4AC6-487F-9C31-BF4FF68CA7A3}"/>
    <cellStyle name="Normal 2 4 3 8" xfId="2472" xr:uid="{00000000-0005-0000-0000-000030100000}"/>
    <cellStyle name="Normal 2 4 3 8 2" xfId="6755" xr:uid="{00000000-0005-0000-0000-000031100000}"/>
    <cellStyle name="Normal 2 4 3 8 2 2" xfId="15205" xr:uid="{670BBCC8-0706-4CD0-9C83-0C6A54763803}"/>
    <cellStyle name="Normal 2 4 3 8 3" xfId="10987" xr:uid="{97D1F86E-37AB-4FF2-B54A-C2E1946D9E41}"/>
    <cellStyle name="Normal 2 4 3 9" xfId="4689" xr:uid="{00000000-0005-0000-0000-000032100000}"/>
    <cellStyle name="Normal 2 4 3 9 2" xfId="13139" xr:uid="{52A5FE34-AECB-4558-A666-30ED64C64730}"/>
    <cellStyle name="Normal 2 4 4" xfId="302" xr:uid="{00000000-0005-0000-0000-000033100000}"/>
    <cellStyle name="Normal 2 4 5" xfId="303" xr:uid="{00000000-0005-0000-0000-000034100000}"/>
    <cellStyle name="Normal 2 4 5 10" xfId="4694" xr:uid="{00000000-0005-0000-0000-000035100000}"/>
    <cellStyle name="Normal 2 4 5 10 2" xfId="13144" xr:uid="{FA719B5E-2034-4AB7-84D3-3901F5662D1F}"/>
    <cellStyle name="Normal 2 4 5 11" xfId="8926" xr:uid="{E38E7475-F87A-4342-8502-137F9AC0139F}"/>
    <cellStyle name="Normal 2 4 5 2" xfId="304" xr:uid="{00000000-0005-0000-0000-000036100000}"/>
    <cellStyle name="Normal 2 4 5 2 10" xfId="8927" xr:uid="{0D7BB47D-F798-40B9-A0FF-50718960333D}"/>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6DE897A6-6294-44DB-B0FC-785CD6FDEFE0}"/>
    <cellStyle name="Normal 2 4 5 2 2 2 2 2 3" xfId="11488" xr:uid="{7619C176-B6C8-44F6-80E6-242C1E526102}"/>
    <cellStyle name="Normal 2 4 5 2 2 2 2 3" xfId="5111" xr:uid="{00000000-0005-0000-0000-00003C100000}"/>
    <cellStyle name="Normal 2 4 5 2 2 2 2 3 2" xfId="13561" xr:uid="{94D77AE2-F8CF-41A2-B435-DE4563532BB4}"/>
    <cellStyle name="Normal 2 4 5 2 2 2 2 4" xfId="9343" xr:uid="{FE3893F2-1101-4A93-AE2B-533196512152}"/>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9FDAC03E-F92D-4786-86BA-8F7B1D6FC613}"/>
    <cellStyle name="Normal 2 4 5 2 2 2 3 2 3" xfId="11901" xr:uid="{ED1A4EB4-B007-4DE0-B51A-3816659D873E}"/>
    <cellStyle name="Normal 2 4 5 2 2 2 3 3" xfId="5524" xr:uid="{00000000-0005-0000-0000-000040100000}"/>
    <cellStyle name="Normal 2 4 5 2 2 2 3 3 2" xfId="13974" xr:uid="{E826D5F1-E635-496B-AA14-BB22F78938C6}"/>
    <cellStyle name="Normal 2 4 5 2 2 2 3 4" xfId="9756" xr:uid="{D1B3FB09-DB09-4503-9DC7-8044956A8B6F}"/>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06BF58B2-8400-4D5D-8499-8781DB17F82D}"/>
    <cellStyle name="Normal 2 4 5 2 2 2 4 2 3" xfId="12314" xr:uid="{B45C571B-95BE-45C8-8824-288748E19737}"/>
    <cellStyle name="Normal 2 4 5 2 2 2 4 3" xfId="5937" xr:uid="{00000000-0005-0000-0000-000044100000}"/>
    <cellStyle name="Normal 2 4 5 2 2 2 4 3 2" xfId="14387" xr:uid="{E84139BF-AB75-4B78-BC80-27019188F551}"/>
    <cellStyle name="Normal 2 4 5 2 2 2 4 4" xfId="10169" xr:uid="{7AC38EE7-7568-48FD-B75B-E6F4BC084D7C}"/>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C8BE7F14-E974-4158-BB54-2AF9820BC0A2}"/>
    <cellStyle name="Normal 2 4 5 2 2 2 5 2 3" xfId="12727" xr:uid="{18C1D4A6-E4BB-4583-97FD-1C115A1B8D57}"/>
    <cellStyle name="Normal 2 4 5 2 2 2 5 3" xfId="6350" xr:uid="{00000000-0005-0000-0000-000048100000}"/>
    <cellStyle name="Normal 2 4 5 2 2 2 5 3 2" xfId="14800" xr:uid="{68D2F811-6603-48EB-898C-55200C51267E}"/>
    <cellStyle name="Normal 2 4 5 2 2 2 5 4" xfId="10582" xr:uid="{65348D72-7C43-4417-96C5-A896C99B7C62}"/>
    <cellStyle name="Normal 2 4 5 2 2 2 6" xfId="2480" xr:uid="{00000000-0005-0000-0000-000049100000}"/>
    <cellStyle name="Normal 2 4 5 2 2 2 6 2" xfId="6763" xr:uid="{00000000-0005-0000-0000-00004A100000}"/>
    <cellStyle name="Normal 2 4 5 2 2 2 6 2 2" xfId="15213" xr:uid="{91531298-47A7-4DA6-B1B6-D249EC13B065}"/>
    <cellStyle name="Normal 2 4 5 2 2 2 6 3" xfId="10995" xr:uid="{FB672A51-EBCC-4133-8D92-0BE8E327E29A}"/>
    <cellStyle name="Normal 2 4 5 2 2 2 7" xfId="4697" xr:uid="{00000000-0005-0000-0000-00004B100000}"/>
    <cellStyle name="Normal 2 4 5 2 2 2 7 2" xfId="13147" xr:uid="{F773323E-06F5-4FCE-B795-DEE5F50BFE68}"/>
    <cellStyle name="Normal 2 4 5 2 2 2 8" xfId="8929" xr:uid="{B40A78A0-09A9-46DA-AE2E-F396AB0F6576}"/>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41A886CE-EDB6-42FD-A290-330F78F4FB55}"/>
    <cellStyle name="Normal 2 4 5 2 2 3 2 3" xfId="11487" xr:uid="{41E2E92E-97E8-4677-BE30-CE1732E5A9D2}"/>
    <cellStyle name="Normal 2 4 5 2 2 3 3" xfId="5110" xr:uid="{00000000-0005-0000-0000-00004F100000}"/>
    <cellStyle name="Normal 2 4 5 2 2 3 3 2" xfId="13560" xr:uid="{D6833EFB-5D36-4C27-9CC8-6053DEB77B52}"/>
    <cellStyle name="Normal 2 4 5 2 2 3 4" xfId="9342" xr:uid="{D6CACCBB-F313-4980-8D70-5584CB39C1D8}"/>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7B393A2A-54CB-4119-8535-911826A107BC}"/>
    <cellStyle name="Normal 2 4 5 2 2 4 2 3" xfId="11900" xr:uid="{C18DE576-185A-4CF9-B5DA-11293C8BAEBC}"/>
    <cellStyle name="Normal 2 4 5 2 2 4 3" xfId="5523" xr:uid="{00000000-0005-0000-0000-000053100000}"/>
    <cellStyle name="Normal 2 4 5 2 2 4 3 2" xfId="13973" xr:uid="{A6ED1C58-A425-45F0-AEA7-5C4BDE72BDDF}"/>
    <cellStyle name="Normal 2 4 5 2 2 4 4" xfId="9755" xr:uid="{BB77CE31-9BDB-41AC-B266-67420E64B62E}"/>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EAF53677-8E2B-4358-BB4B-357BEBEC5D6D}"/>
    <cellStyle name="Normal 2 4 5 2 2 5 2 3" xfId="12313" xr:uid="{0731C355-D8FE-4767-A817-E38C92627A36}"/>
    <cellStyle name="Normal 2 4 5 2 2 5 3" xfId="5936" xr:uid="{00000000-0005-0000-0000-000057100000}"/>
    <cellStyle name="Normal 2 4 5 2 2 5 3 2" xfId="14386" xr:uid="{2922F65E-8D43-40CC-B429-90F1E4C235E3}"/>
    <cellStyle name="Normal 2 4 5 2 2 5 4" xfId="10168" xr:uid="{6F8DD35C-6BAB-40FD-B346-B6DBFF4A84B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58EA46E3-7507-4C3C-AD42-794050F75D5D}"/>
    <cellStyle name="Normal 2 4 5 2 2 6 2 3" xfId="12726" xr:uid="{25C8AA0B-129F-4293-ADCC-B28EEEC60630}"/>
    <cellStyle name="Normal 2 4 5 2 2 6 3" xfId="6349" xr:uid="{00000000-0005-0000-0000-00005B100000}"/>
    <cellStyle name="Normal 2 4 5 2 2 6 3 2" xfId="14799" xr:uid="{636D0F23-B586-4AE5-B83B-7F260FFBE1B4}"/>
    <cellStyle name="Normal 2 4 5 2 2 6 4" xfId="10581" xr:uid="{5B17D38D-8AD3-47E3-BDF9-DD71B2BE5564}"/>
    <cellStyle name="Normal 2 4 5 2 2 7" xfId="2479" xr:uid="{00000000-0005-0000-0000-00005C100000}"/>
    <cellStyle name="Normal 2 4 5 2 2 7 2" xfId="6762" xr:uid="{00000000-0005-0000-0000-00005D100000}"/>
    <cellStyle name="Normal 2 4 5 2 2 7 2 2" xfId="15212" xr:uid="{9F8FF0C8-7706-4C96-B116-DB22B1FFCFD4}"/>
    <cellStyle name="Normal 2 4 5 2 2 7 3" xfId="10994" xr:uid="{EA2BBB75-B278-467A-8739-91A9BEF0550F}"/>
    <cellStyle name="Normal 2 4 5 2 2 8" xfId="4696" xr:uid="{00000000-0005-0000-0000-00005E100000}"/>
    <cellStyle name="Normal 2 4 5 2 2 8 2" xfId="13146" xr:uid="{FC038DC7-3ACD-45E8-BD33-66B025054B7F}"/>
    <cellStyle name="Normal 2 4 5 2 2 9" xfId="8928" xr:uid="{9BF242E7-A870-4B1C-BEC0-45D50732A981}"/>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913B951D-1319-47A8-84B7-290483827C57}"/>
    <cellStyle name="Normal 2 4 5 2 3 2 2 3" xfId="11489" xr:uid="{EAA5465F-759B-47B8-9AF4-4566AB97AAD6}"/>
    <cellStyle name="Normal 2 4 5 2 3 2 3" xfId="5112" xr:uid="{00000000-0005-0000-0000-000063100000}"/>
    <cellStyle name="Normal 2 4 5 2 3 2 3 2" xfId="13562" xr:uid="{DCB74B0A-8A4A-4D91-900D-4F43611A5AAD}"/>
    <cellStyle name="Normal 2 4 5 2 3 2 4" xfId="9344" xr:uid="{DA8F29C4-D78E-4829-9616-B318D609D071}"/>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44CF4325-EB9F-4AFF-88CA-645F8DAA4B10}"/>
    <cellStyle name="Normal 2 4 5 2 3 3 2 3" xfId="11902" xr:uid="{E237EAFF-1341-40C2-90C6-8E7413067F3C}"/>
    <cellStyle name="Normal 2 4 5 2 3 3 3" xfId="5525" xr:uid="{00000000-0005-0000-0000-000067100000}"/>
    <cellStyle name="Normal 2 4 5 2 3 3 3 2" xfId="13975" xr:uid="{6DC154AC-B1CF-403B-950A-C7EC73BC2280}"/>
    <cellStyle name="Normal 2 4 5 2 3 3 4" xfId="9757" xr:uid="{1F539761-E325-4418-A03D-6E93BAB882B1}"/>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EA103D4A-9DE7-4A39-8873-01B6A94AFFCA}"/>
    <cellStyle name="Normal 2 4 5 2 3 4 2 3" xfId="12315" xr:uid="{477FB81A-2A45-4AC4-90BD-75C822F6F4F2}"/>
    <cellStyle name="Normal 2 4 5 2 3 4 3" xfId="5938" xr:uid="{00000000-0005-0000-0000-00006B100000}"/>
    <cellStyle name="Normal 2 4 5 2 3 4 3 2" xfId="14388" xr:uid="{411BA965-3BAE-4B08-942E-CC0E80D23FD6}"/>
    <cellStyle name="Normal 2 4 5 2 3 4 4" xfId="10170" xr:uid="{C24F4E44-D401-4E8A-9D8F-EE5149B22125}"/>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D3481166-B873-40F5-9E6B-CACD2ECE4F3A}"/>
    <cellStyle name="Normal 2 4 5 2 3 5 2 3" xfId="12728" xr:uid="{0C03D193-7F5C-4085-BB05-E905AA79E703}"/>
    <cellStyle name="Normal 2 4 5 2 3 5 3" xfId="6351" xr:uid="{00000000-0005-0000-0000-00006F100000}"/>
    <cellStyle name="Normal 2 4 5 2 3 5 3 2" xfId="14801" xr:uid="{B910C16A-6B98-4A4C-B2E9-23D32A4A145C}"/>
    <cellStyle name="Normal 2 4 5 2 3 5 4" xfId="10583" xr:uid="{11A4BDB9-8912-4861-BD9E-608438B92E75}"/>
    <cellStyle name="Normal 2 4 5 2 3 6" xfId="2481" xr:uid="{00000000-0005-0000-0000-000070100000}"/>
    <cellStyle name="Normal 2 4 5 2 3 6 2" xfId="6764" xr:uid="{00000000-0005-0000-0000-000071100000}"/>
    <cellStyle name="Normal 2 4 5 2 3 6 2 2" xfId="15214" xr:uid="{48C2B047-7569-4F27-8F11-7C9E3BA16B42}"/>
    <cellStyle name="Normal 2 4 5 2 3 6 3" xfId="10996" xr:uid="{8BC964FD-B853-4957-B691-FC8B4E21AFD6}"/>
    <cellStyle name="Normal 2 4 5 2 3 7" xfId="4698" xr:uid="{00000000-0005-0000-0000-000072100000}"/>
    <cellStyle name="Normal 2 4 5 2 3 7 2" xfId="13148" xr:uid="{62348E4A-575B-418C-BC31-FF0445D94141}"/>
    <cellStyle name="Normal 2 4 5 2 3 8" xfId="8930" xr:uid="{E090AC5F-63B3-4F59-A7DE-9C7800C2E1C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433829F3-13AC-42E4-9E4A-1F566C9C1612}"/>
    <cellStyle name="Normal 2 4 5 2 4 2 3" xfId="11486" xr:uid="{8A6C3F5B-47D7-4A8C-A17C-A5E665601FA7}"/>
    <cellStyle name="Normal 2 4 5 2 4 3" xfId="5109" xr:uid="{00000000-0005-0000-0000-000076100000}"/>
    <cellStyle name="Normal 2 4 5 2 4 3 2" xfId="13559" xr:uid="{DB17F0EA-A1CA-4803-8292-A97E1F2A459B}"/>
    <cellStyle name="Normal 2 4 5 2 4 4" xfId="9341" xr:uid="{3AEB0709-AFD4-4204-B010-E515C0B31870}"/>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FCD3CCAD-5BB7-444C-9A00-258ABDA05099}"/>
    <cellStyle name="Normal 2 4 5 2 5 2 3" xfId="11899" xr:uid="{5922CA14-5AA1-4EF1-9EF0-271B44BC1537}"/>
    <cellStyle name="Normal 2 4 5 2 5 3" xfId="5522" xr:uid="{00000000-0005-0000-0000-00007A100000}"/>
    <cellStyle name="Normal 2 4 5 2 5 3 2" xfId="13972" xr:uid="{984FF22D-F59E-405C-84AD-20CBB53C2EEE}"/>
    <cellStyle name="Normal 2 4 5 2 5 4" xfId="9754" xr:uid="{6435470B-3D7E-45D3-A9D7-D3BC93C770CA}"/>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98EB60C4-3CE7-4137-B0C2-7FB7A84F67D6}"/>
    <cellStyle name="Normal 2 4 5 2 6 2 3" xfId="12312" xr:uid="{4DB9F56E-F628-4045-A41E-9BD6E51658F6}"/>
    <cellStyle name="Normal 2 4 5 2 6 3" xfId="5935" xr:uid="{00000000-0005-0000-0000-00007E100000}"/>
    <cellStyle name="Normal 2 4 5 2 6 3 2" xfId="14385" xr:uid="{FF3BFD61-A7EE-47BA-A1C2-324E2BB54B15}"/>
    <cellStyle name="Normal 2 4 5 2 6 4" xfId="10167" xr:uid="{0F8909BE-3B3C-442D-BB44-0C311258692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4A6BEC7E-5446-462D-AC8F-4D754C61A18C}"/>
    <cellStyle name="Normal 2 4 5 2 7 2 3" xfId="12725" xr:uid="{D1281471-80F3-47F2-B544-F4919B4A2D1C}"/>
    <cellStyle name="Normal 2 4 5 2 7 3" xfId="6348" xr:uid="{00000000-0005-0000-0000-000082100000}"/>
    <cellStyle name="Normal 2 4 5 2 7 3 2" xfId="14798" xr:uid="{A1B0E096-BA92-4D17-8815-B8FEF4682F0B}"/>
    <cellStyle name="Normal 2 4 5 2 7 4" xfId="10580" xr:uid="{F2128CEA-35D6-4307-94BB-DBC37CC4D8E5}"/>
    <cellStyle name="Normal 2 4 5 2 8" xfId="2478" xr:uid="{00000000-0005-0000-0000-000083100000}"/>
    <cellStyle name="Normal 2 4 5 2 8 2" xfId="6761" xr:uid="{00000000-0005-0000-0000-000084100000}"/>
    <cellStyle name="Normal 2 4 5 2 8 2 2" xfId="15211" xr:uid="{DB080FD6-B5CB-4A45-AE72-ABF3AF616590}"/>
    <cellStyle name="Normal 2 4 5 2 8 3" xfId="10993" xr:uid="{DADA2755-ED32-4C03-88E0-419A27973041}"/>
    <cellStyle name="Normal 2 4 5 2 9" xfId="4695" xr:uid="{00000000-0005-0000-0000-000085100000}"/>
    <cellStyle name="Normal 2 4 5 2 9 2" xfId="13145" xr:uid="{9BACFE5B-2318-4C02-9A8C-D0387F43DED3}"/>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3455F924-476D-4791-9545-6285D48AE93F}"/>
    <cellStyle name="Normal 2 4 5 3 2 2 2 3" xfId="11491" xr:uid="{1DDED77F-15CF-4C09-9FED-F59D36F29F23}"/>
    <cellStyle name="Normal 2 4 5 3 2 2 3" xfId="5114" xr:uid="{00000000-0005-0000-0000-00008B100000}"/>
    <cellStyle name="Normal 2 4 5 3 2 2 3 2" xfId="13564" xr:uid="{139C678F-75E0-4689-94D1-81849986AB07}"/>
    <cellStyle name="Normal 2 4 5 3 2 2 4" xfId="9346" xr:uid="{64A7E470-8BC8-4D60-90A4-E23F91710642}"/>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AFC7CA74-3F14-47D1-99AF-A33AA2A447BC}"/>
    <cellStyle name="Normal 2 4 5 3 2 3 2 3" xfId="11904" xr:uid="{F5EBB91B-5592-444A-AF7E-45576BD569D8}"/>
    <cellStyle name="Normal 2 4 5 3 2 3 3" xfId="5527" xr:uid="{00000000-0005-0000-0000-00008F100000}"/>
    <cellStyle name="Normal 2 4 5 3 2 3 3 2" xfId="13977" xr:uid="{D72EA985-8C85-482A-8CEE-6DFF961D00A1}"/>
    <cellStyle name="Normal 2 4 5 3 2 3 4" xfId="9759" xr:uid="{EEDEF546-283F-4DE6-AE20-1D7297EA768A}"/>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1D449912-E726-433E-BCAE-28A86BCB57CE}"/>
    <cellStyle name="Normal 2 4 5 3 2 4 2 3" xfId="12317" xr:uid="{69B61170-39C9-4919-ADB1-EE12D17F2D06}"/>
    <cellStyle name="Normal 2 4 5 3 2 4 3" xfId="5940" xr:uid="{00000000-0005-0000-0000-000093100000}"/>
    <cellStyle name="Normal 2 4 5 3 2 4 3 2" xfId="14390" xr:uid="{894531E9-0D2E-4C87-B0E7-F863C03D1D9C}"/>
    <cellStyle name="Normal 2 4 5 3 2 4 4" xfId="10172" xr:uid="{773EEEF5-372E-4F4C-BC52-153CE6EEC46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AAF280C1-123D-4852-864A-48E2B32CAF3F}"/>
    <cellStyle name="Normal 2 4 5 3 2 5 2 3" xfId="12730" xr:uid="{BE25D5A0-CAFD-449C-9689-BF101B8D77F6}"/>
    <cellStyle name="Normal 2 4 5 3 2 5 3" xfId="6353" xr:uid="{00000000-0005-0000-0000-000097100000}"/>
    <cellStyle name="Normal 2 4 5 3 2 5 3 2" xfId="14803" xr:uid="{1228AFBF-4A85-4B5E-9F2A-2437CD463C03}"/>
    <cellStyle name="Normal 2 4 5 3 2 5 4" xfId="10585" xr:uid="{AC36BD23-C354-4A58-AD90-4A52DB3B049D}"/>
    <cellStyle name="Normal 2 4 5 3 2 6" xfId="2483" xr:uid="{00000000-0005-0000-0000-000098100000}"/>
    <cellStyle name="Normal 2 4 5 3 2 6 2" xfId="6766" xr:uid="{00000000-0005-0000-0000-000099100000}"/>
    <cellStyle name="Normal 2 4 5 3 2 6 2 2" xfId="15216" xr:uid="{C18090CB-4956-48A8-A495-D8E42DB35CC5}"/>
    <cellStyle name="Normal 2 4 5 3 2 6 3" xfId="10998" xr:uid="{3CD9E98A-E005-4A07-BB39-7ECAA8CC0683}"/>
    <cellStyle name="Normal 2 4 5 3 2 7" xfId="4700" xr:uid="{00000000-0005-0000-0000-00009A100000}"/>
    <cellStyle name="Normal 2 4 5 3 2 7 2" xfId="13150" xr:uid="{EF6AA6A0-6B2C-4107-991E-93683C737C2E}"/>
    <cellStyle name="Normal 2 4 5 3 2 8" xfId="8932" xr:uid="{41FF4B5B-A58F-47D0-B1A6-0E8727382CA6}"/>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A014A4EE-386E-48A5-AC6E-A41206BCFBA1}"/>
    <cellStyle name="Normal 2 4 5 3 3 2 3" xfId="11490" xr:uid="{532ED93B-14CE-47D0-96E3-A54FA32F615C}"/>
    <cellStyle name="Normal 2 4 5 3 3 3" xfId="5113" xr:uid="{00000000-0005-0000-0000-00009E100000}"/>
    <cellStyle name="Normal 2 4 5 3 3 3 2" xfId="13563" xr:uid="{57423229-8FCD-4442-B118-B5391BDB21CE}"/>
    <cellStyle name="Normal 2 4 5 3 3 4" xfId="9345" xr:uid="{67449EB0-1DF2-4E53-951C-E098C9EA8806}"/>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BC02B8ED-BC3B-44CA-99C4-17CD6B0E1EBA}"/>
    <cellStyle name="Normal 2 4 5 3 4 2 3" xfId="11903" xr:uid="{CD1AEB96-3CC0-47C0-963A-C3F9E28A8CC4}"/>
    <cellStyle name="Normal 2 4 5 3 4 3" xfId="5526" xr:uid="{00000000-0005-0000-0000-0000A2100000}"/>
    <cellStyle name="Normal 2 4 5 3 4 3 2" xfId="13976" xr:uid="{AD3CB115-C415-4948-AD92-B80A1A59549F}"/>
    <cellStyle name="Normal 2 4 5 3 4 4" xfId="9758" xr:uid="{C526EFE6-5075-4378-AE8B-CCBA8E90F041}"/>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4191BE74-8B73-43DC-BBEA-DA77C5636E0D}"/>
    <cellStyle name="Normal 2 4 5 3 5 2 3" xfId="12316" xr:uid="{2A7EDC2C-E680-45D4-BEF9-40E8BAE6044A}"/>
    <cellStyle name="Normal 2 4 5 3 5 3" xfId="5939" xr:uid="{00000000-0005-0000-0000-0000A6100000}"/>
    <cellStyle name="Normal 2 4 5 3 5 3 2" xfId="14389" xr:uid="{48CBD2F0-18B8-4E2E-A33C-0C9520E6196D}"/>
    <cellStyle name="Normal 2 4 5 3 5 4" xfId="10171" xr:uid="{022D48C7-9C36-44BB-9E7E-30D98A8B5543}"/>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42B022D8-5342-4EC5-9A18-E15375BC04B4}"/>
    <cellStyle name="Normal 2 4 5 3 6 2 3" xfId="12729" xr:uid="{B85CA215-9487-4F3D-A028-E158AC39C922}"/>
    <cellStyle name="Normal 2 4 5 3 6 3" xfId="6352" xr:uid="{00000000-0005-0000-0000-0000AA100000}"/>
    <cellStyle name="Normal 2 4 5 3 6 3 2" xfId="14802" xr:uid="{BD600D33-0E50-46EC-8216-ED26B5385C5D}"/>
    <cellStyle name="Normal 2 4 5 3 6 4" xfId="10584" xr:uid="{140089F2-E5B5-45DB-A24D-8DB8F57FFB10}"/>
    <cellStyle name="Normal 2 4 5 3 7" xfId="2482" xr:uid="{00000000-0005-0000-0000-0000AB100000}"/>
    <cellStyle name="Normal 2 4 5 3 7 2" xfId="6765" xr:uid="{00000000-0005-0000-0000-0000AC100000}"/>
    <cellStyle name="Normal 2 4 5 3 7 2 2" xfId="15215" xr:uid="{73225BBD-73E5-4E59-88BC-EED682DB1A6D}"/>
    <cellStyle name="Normal 2 4 5 3 7 3" xfId="10997" xr:uid="{17D22930-FC78-495E-9CFD-FF172D2A9B12}"/>
    <cellStyle name="Normal 2 4 5 3 8" xfId="4699" xr:uid="{00000000-0005-0000-0000-0000AD100000}"/>
    <cellStyle name="Normal 2 4 5 3 8 2" xfId="13149" xr:uid="{739D820D-2120-4EF5-AA12-07FB91949F36}"/>
    <cellStyle name="Normal 2 4 5 3 9" xfId="8931" xr:uid="{E64B529E-874B-44B1-9614-52A059291DDD}"/>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7DE4293C-806A-483D-8743-84C3C80D09AC}"/>
    <cellStyle name="Normal 2 4 5 4 2 2 3" xfId="11492" xr:uid="{4D026476-3DE3-4F91-AB6A-CA2DFF5A0C84}"/>
    <cellStyle name="Normal 2 4 5 4 2 3" xfId="5115" xr:uid="{00000000-0005-0000-0000-0000B2100000}"/>
    <cellStyle name="Normal 2 4 5 4 2 3 2" xfId="13565" xr:uid="{B155C0D9-DF4F-45DC-ADDE-F046B6E1EE76}"/>
    <cellStyle name="Normal 2 4 5 4 2 4" xfId="9347" xr:uid="{84DF7403-991B-42AA-8507-CDCCC8B50E83}"/>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FA220310-B740-4DEF-9FFA-CE86B89F9ED2}"/>
    <cellStyle name="Normal 2 4 5 4 3 2 3" xfId="11905" xr:uid="{6ADE1BA2-DF81-4DC1-8868-31244B169196}"/>
    <cellStyle name="Normal 2 4 5 4 3 3" xfId="5528" xr:uid="{00000000-0005-0000-0000-0000B6100000}"/>
    <cellStyle name="Normal 2 4 5 4 3 3 2" xfId="13978" xr:uid="{38A3103F-6B65-44DB-83A1-6F97899FC19D}"/>
    <cellStyle name="Normal 2 4 5 4 3 4" xfId="9760" xr:uid="{DBCDB24F-8BB0-4412-B48E-0036911C9DDC}"/>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65F1F18F-BBE1-470C-877F-93FECBE8B137}"/>
    <cellStyle name="Normal 2 4 5 4 4 2 3" xfId="12318" xr:uid="{D76010BC-2E4A-4DB4-A1A6-F0B95A8ED902}"/>
    <cellStyle name="Normal 2 4 5 4 4 3" xfId="5941" xr:uid="{00000000-0005-0000-0000-0000BA100000}"/>
    <cellStyle name="Normal 2 4 5 4 4 3 2" xfId="14391" xr:uid="{A98E39FF-88C0-4658-A476-1C5688F46263}"/>
    <cellStyle name="Normal 2 4 5 4 4 4" xfId="10173" xr:uid="{81B2D7F9-6311-45A7-8972-1CE10E8B8936}"/>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E37981AB-512D-40DC-BDE9-EA809E52C345}"/>
    <cellStyle name="Normal 2 4 5 4 5 2 3" xfId="12731" xr:uid="{02E1471A-8ABB-4143-A592-ACD24CE31982}"/>
    <cellStyle name="Normal 2 4 5 4 5 3" xfId="6354" xr:uid="{00000000-0005-0000-0000-0000BE100000}"/>
    <cellStyle name="Normal 2 4 5 4 5 3 2" xfId="14804" xr:uid="{0D51FED2-CBBC-404F-9A50-4A09E173D70A}"/>
    <cellStyle name="Normal 2 4 5 4 5 4" xfId="10586" xr:uid="{2469BB5B-841C-453E-93E2-683C6ADC1738}"/>
    <cellStyle name="Normal 2 4 5 4 6" xfId="2484" xr:uid="{00000000-0005-0000-0000-0000BF100000}"/>
    <cellStyle name="Normal 2 4 5 4 6 2" xfId="6767" xr:uid="{00000000-0005-0000-0000-0000C0100000}"/>
    <cellStyle name="Normal 2 4 5 4 6 2 2" xfId="15217" xr:uid="{AABF0610-5D0E-458A-8247-88FE00DD89AA}"/>
    <cellStyle name="Normal 2 4 5 4 6 3" xfId="10999" xr:uid="{F345D56E-72D1-4653-941B-5C3AC896BE57}"/>
    <cellStyle name="Normal 2 4 5 4 7" xfId="4701" xr:uid="{00000000-0005-0000-0000-0000C1100000}"/>
    <cellStyle name="Normal 2 4 5 4 7 2" xfId="13151" xr:uid="{70158CBC-96EF-411C-8F6F-CC784E7270D4}"/>
    <cellStyle name="Normal 2 4 5 4 8" xfId="8933" xr:uid="{2C4D09B4-C16B-4463-9FB1-26AA9B22B84B}"/>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42439D90-E90E-49D4-AAD1-7925F27C7F1E}"/>
    <cellStyle name="Normal 2 4 5 5 2 3" xfId="11485" xr:uid="{9EBCDFCD-7B1D-4C85-8EAA-0C491B3CD057}"/>
    <cellStyle name="Normal 2 4 5 5 3" xfId="5108" xr:uid="{00000000-0005-0000-0000-0000C5100000}"/>
    <cellStyle name="Normal 2 4 5 5 3 2" xfId="13558" xr:uid="{DEEDBE9D-B738-4ED4-868A-9178600EC444}"/>
    <cellStyle name="Normal 2 4 5 5 4" xfId="9340" xr:uid="{B6DE4FA0-004B-4DE8-AC19-49C4BF7A475B}"/>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19D0FC77-691D-4417-AB3A-56A6C50B38F0}"/>
    <cellStyle name="Normal 2 4 5 6 2 3" xfId="11898" xr:uid="{461D83EF-7769-49C5-A893-89BC3D037194}"/>
    <cellStyle name="Normal 2 4 5 6 3" xfId="5521" xr:uid="{00000000-0005-0000-0000-0000C9100000}"/>
    <cellStyle name="Normal 2 4 5 6 3 2" xfId="13971" xr:uid="{1E98212C-B176-4609-A8D0-C00324973A25}"/>
    <cellStyle name="Normal 2 4 5 6 4" xfId="9753" xr:uid="{CE8DF07C-F0B7-4ABF-BBD6-7830A3988B15}"/>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0F82878B-D3B3-4BA0-964C-444545BCCBE7}"/>
    <cellStyle name="Normal 2 4 5 7 2 3" xfId="12311" xr:uid="{02A3F812-6BD5-47DA-B981-563E115548C5}"/>
    <cellStyle name="Normal 2 4 5 7 3" xfId="5934" xr:uid="{00000000-0005-0000-0000-0000CD100000}"/>
    <cellStyle name="Normal 2 4 5 7 3 2" xfId="14384" xr:uid="{8148FEEF-A686-43A1-8117-1E211ED617C1}"/>
    <cellStyle name="Normal 2 4 5 7 4" xfId="10166" xr:uid="{A45BE63B-AE4E-4144-871F-3D39349FD4AA}"/>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1ECE96D2-A8E0-4C94-A743-9B3F065367E5}"/>
    <cellStyle name="Normal 2 4 5 8 2 3" xfId="12724" xr:uid="{E7B4E1C2-EF85-41C7-ACCE-E651C3987C68}"/>
    <cellStyle name="Normal 2 4 5 8 3" xfId="6347" xr:uid="{00000000-0005-0000-0000-0000D1100000}"/>
    <cellStyle name="Normal 2 4 5 8 3 2" xfId="14797" xr:uid="{3180EC88-FBF6-485F-BFF4-A0CE1D4E02B8}"/>
    <cellStyle name="Normal 2 4 5 8 4" xfId="10579" xr:uid="{6943ABF7-B7E1-4D96-ABCF-160DEB6DC15B}"/>
    <cellStyle name="Normal 2 4 5 9" xfId="2477" xr:uid="{00000000-0005-0000-0000-0000D2100000}"/>
    <cellStyle name="Normal 2 4 5 9 2" xfId="6760" xr:uid="{00000000-0005-0000-0000-0000D3100000}"/>
    <cellStyle name="Normal 2 4 5 9 2 2" xfId="15210" xr:uid="{053C288A-3A8F-4A1D-AF6E-17C0F363A224}"/>
    <cellStyle name="Normal 2 4 5 9 3" xfId="10992" xr:uid="{F0BE6A93-8A90-4484-BD00-7F7CFE9862C6}"/>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09632277-0D0E-4E3C-A0BB-2703248E3AD5}"/>
    <cellStyle name="Normal 2 4 7 2 2 2 3" xfId="11494" xr:uid="{3ED01144-3F28-49E1-9E69-9020182A749F}"/>
    <cellStyle name="Normal 2 4 7 2 2 3" xfId="5117" xr:uid="{00000000-0005-0000-0000-0000DA100000}"/>
    <cellStyle name="Normal 2 4 7 2 2 3 2" xfId="13567" xr:uid="{8C351593-004F-4837-936F-40E5E705616F}"/>
    <cellStyle name="Normal 2 4 7 2 2 4" xfId="9349" xr:uid="{08EDEEE6-8255-476B-AE87-524F6BC3E5BC}"/>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6402D2B5-AE91-40D5-A0BA-962B8C0DF63F}"/>
    <cellStyle name="Normal 2 4 7 2 3 2 3" xfId="11907" xr:uid="{6F1295BA-F9F6-42DC-9C73-60C1E969881A}"/>
    <cellStyle name="Normal 2 4 7 2 3 3" xfId="5530" xr:uid="{00000000-0005-0000-0000-0000DE100000}"/>
    <cellStyle name="Normal 2 4 7 2 3 3 2" xfId="13980" xr:uid="{AA83FD29-E549-4DF9-AF03-C9FC93B00A64}"/>
    <cellStyle name="Normal 2 4 7 2 3 4" xfId="9762" xr:uid="{FC39600C-8EE9-4250-A2CF-9EFDB6DC9A79}"/>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DA74890D-3BBC-4A56-8B60-9A4501BD4910}"/>
    <cellStyle name="Normal 2 4 7 2 4 2 3" xfId="12320" xr:uid="{629BE419-22E2-402D-809B-0F6A9E68288F}"/>
    <cellStyle name="Normal 2 4 7 2 4 3" xfId="5943" xr:uid="{00000000-0005-0000-0000-0000E2100000}"/>
    <cellStyle name="Normal 2 4 7 2 4 3 2" xfId="14393" xr:uid="{5E631E59-A02D-49D0-BB06-7E2A01FAB9A7}"/>
    <cellStyle name="Normal 2 4 7 2 4 4" xfId="10175" xr:uid="{8B765C64-6264-475A-A113-3AF3A5223BAF}"/>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A9A87BE2-AACC-4C92-BAB1-E05DB88C99B1}"/>
    <cellStyle name="Normal 2 4 7 2 5 2 3" xfId="12733" xr:uid="{CC707E4A-EF22-4247-A4FD-0513D0FD3916}"/>
    <cellStyle name="Normal 2 4 7 2 5 3" xfId="6356" xr:uid="{00000000-0005-0000-0000-0000E6100000}"/>
    <cellStyle name="Normal 2 4 7 2 5 3 2" xfId="14806" xr:uid="{24856135-1D85-4D09-97D9-32BC9E9FB8B0}"/>
    <cellStyle name="Normal 2 4 7 2 5 4" xfId="10588" xr:uid="{BA99AE70-2F1A-40DE-B0B6-4159DC06F32B}"/>
    <cellStyle name="Normal 2 4 7 2 6" xfId="2486" xr:uid="{00000000-0005-0000-0000-0000E7100000}"/>
    <cellStyle name="Normal 2 4 7 2 6 2" xfId="6769" xr:uid="{00000000-0005-0000-0000-0000E8100000}"/>
    <cellStyle name="Normal 2 4 7 2 6 2 2" xfId="15219" xr:uid="{12FD2685-47B4-4A90-802E-073B1498E89A}"/>
    <cellStyle name="Normal 2 4 7 2 6 3" xfId="11001" xr:uid="{2E351025-BB1C-46BD-8B71-6CF617F3BBF6}"/>
    <cellStyle name="Normal 2 4 7 2 7" xfId="4703" xr:uid="{00000000-0005-0000-0000-0000E9100000}"/>
    <cellStyle name="Normal 2 4 7 2 7 2" xfId="13153" xr:uid="{6EDCEC65-07AC-4656-B335-F0D5C0AE66CF}"/>
    <cellStyle name="Normal 2 4 7 2 8" xfId="8935" xr:uid="{3D2B6AB3-7FE8-4C3C-ABCF-BA29B73E1B2D}"/>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035756D3-3AC2-40D8-9ADB-2C0BFFCA964F}"/>
    <cellStyle name="Normal 2 4 7 3 2 3" xfId="11493" xr:uid="{3FBF64E5-4D10-40A4-8ACD-639985D876C8}"/>
    <cellStyle name="Normal 2 4 7 3 3" xfId="5116" xr:uid="{00000000-0005-0000-0000-0000ED100000}"/>
    <cellStyle name="Normal 2 4 7 3 3 2" xfId="13566" xr:uid="{AB856379-A46C-4BA5-B737-4127BD1734A6}"/>
    <cellStyle name="Normal 2 4 7 3 4" xfId="9348" xr:uid="{62D2CA7D-2823-4380-9641-1FFE811A99E3}"/>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EBD6E880-3162-4E95-B1E0-E4EE1C53A1F9}"/>
    <cellStyle name="Normal 2 4 7 4 2 3" xfId="11906" xr:uid="{BD67E3AB-09F1-4E38-8F3B-65691F675F75}"/>
    <cellStyle name="Normal 2 4 7 4 3" xfId="5529" xr:uid="{00000000-0005-0000-0000-0000F1100000}"/>
    <cellStyle name="Normal 2 4 7 4 3 2" xfId="13979" xr:uid="{F0C50292-64A0-46D2-AFCA-F0F1F9D3A039}"/>
    <cellStyle name="Normal 2 4 7 4 4" xfId="9761" xr:uid="{66B7793E-20E0-4A69-A487-7D94B681BC53}"/>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A5B6C40F-F72E-40FE-ACA1-E28C5AEA27E4}"/>
    <cellStyle name="Normal 2 4 7 5 2 3" xfId="12319" xr:uid="{7B62B671-766D-4F00-ACD5-A27502E360C8}"/>
    <cellStyle name="Normal 2 4 7 5 3" xfId="5942" xr:uid="{00000000-0005-0000-0000-0000F5100000}"/>
    <cellStyle name="Normal 2 4 7 5 3 2" xfId="14392" xr:uid="{1E7B9E4C-89B7-46CD-9894-47FD517BE10E}"/>
    <cellStyle name="Normal 2 4 7 5 4" xfId="10174" xr:uid="{60BC2AE9-7865-4094-8C34-A3DFB8630A95}"/>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0AB7933C-45CA-465B-8A38-A77BA6387FA6}"/>
    <cellStyle name="Normal 2 4 7 6 2 3" xfId="12732" xr:uid="{2E1B3857-BB00-48B2-8083-182515B475B9}"/>
    <cellStyle name="Normal 2 4 7 6 3" xfId="6355" xr:uid="{00000000-0005-0000-0000-0000F9100000}"/>
    <cellStyle name="Normal 2 4 7 6 3 2" xfId="14805" xr:uid="{F07BBDBE-C6AF-466F-BDD8-C3643DBA86C5}"/>
    <cellStyle name="Normal 2 4 7 6 4" xfId="10587" xr:uid="{10AD8050-4542-4855-B478-91EEF43A27A5}"/>
    <cellStyle name="Normal 2 4 7 7" xfId="2485" xr:uid="{00000000-0005-0000-0000-0000FA100000}"/>
    <cellStyle name="Normal 2 4 7 7 2" xfId="6768" xr:uid="{00000000-0005-0000-0000-0000FB100000}"/>
    <cellStyle name="Normal 2 4 7 7 2 2" xfId="15218" xr:uid="{0E9EDA98-B942-4A05-90F0-4C1854F5A48E}"/>
    <cellStyle name="Normal 2 4 7 7 3" xfId="11000" xr:uid="{11B8F63C-72B3-4CD6-A847-BF9864A4FC7C}"/>
    <cellStyle name="Normal 2 4 7 8" xfId="4702" xr:uid="{00000000-0005-0000-0000-0000FC100000}"/>
    <cellStyle name="Normal 2 4 7 8 2" xfId="13152" xr:uid="{2F5E9FC7-D6E1-4FC7-B51E-DDB340D9F1F2}"/>
    <cellStyle name="Normal 2 4 7 9" xfId="8934" xr:uid="{C376C21F-A494-453A-894E-5C11929E26D1}"/>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8BB4B4E7-041B-4A6F-BEA5-AC357A770DAA}"/>
    <cellStyle name="Normal 2 4 8 2 2 3" xfId="11495" xr:uid="{0B307944-99D4-4270-ADB8-FF5418228093}"/>
    <cellStyle name="Normal 2 4 8 2 3" xfId="5118" xr:uid="{00000000-0005-0000-0000-000001110000}"/>
    <cellStyle name="Normal 2 4 8 2 3 2" xfId="13568" xr:uid="{4C94E90D-EC5B-457A-BF39-CD616B53BF5C}"/>
    <cellStyle name="Normal 2 4 8 2 4" xfId="9350" xr:uid="{5A3010CF-C301-47C4-862D-BA78D71F4362}"/>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B866534E-4A0C-43FC-AABC-89D2220461B5}"/>
    <cellStyle name="Normal 2 4 8 3 2 3" xfId="11908" xr:uid="{E25AE37B-3411-418F-80CD-D955E397F9F6}"/>
    <cellStyle name="Normal 2 4 8 3 3" xfId="5531" xr:uid="{00000000-0005-0000-0000-000005110000}"/>
    <cellStyle name="Normal 2 4 8 3 3 2" xfId="13981" xr:uid="{D145B370-FAB8-4EDA-8161-617970DE16CF}"/>
    <cellStyle name="Normal 2 4 8 3 4" xfId="9763" xr:uid="{7D73C49E-7410-4483-BF39-39F688A94BF7}"/>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153C96A7-5F0F-4A01-97F4-12EA038332EB}"/>
    <cellStyle name="Normal 2 4 8 4 2 3" xfId="12321" xr:uid="{84378993-C7FF-4E46-ACC4-D0F299F8B950}"/>
    <cellStyle name="Normal 2 4 8 4 3" xfId="5944" xr:uid="{00000000-0005-0000-0000-000009110000}"/>
    <cellStyle name="Normal 2 4 8 4 3 2" xfId="14394" xr:uid="{1F3AB489-4DA1-4FC9-8B5A-68DBF389ECEB}"/>
    <cellStyle name="Normal 2 4 8 4 4" xfId="10176" xr:uid="{FBF79E74-B6B3-437F-BAA3-269D904FFDBC}"/>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F7BF7817-D353-4F82-B889-73C9B9E211D9}"/>
    <cellStyle name="Normal 2 4 8 5 2 3" xfId="12734" xr:uid="{D3B03C56-60A7-46F4-8F16-A0D5370A2352}"/>
    <cellStyle name="Normal 2 4 8 5 3" xfId="6357" xr:uid="{00000000-0005-0000-0000-00000D110000}"/>
    <cellStyle name="Normal 2 4 8 5 3 2" xfId="14807" xr:uid="{7CFAC545-9A0C-4B58-AB77-B8EDD293077E}"/>
    <cellStyle name="Normal 2 4 8 5 4" xfId="10589" xr:uid="{63D32FE0-2B35-4B97-8C3F-E7C934CC7EFC}"/>
    <cellStyle name="Normal 2 4 8 6" xfId="2487" xr:uid="{00000000-0005-0000-0000-00000E110000}"/>
    <cellStyle name="Normal 2 4 8 6 2" xfId="6770" xr:uid="{00000000-0005-0000-0000-00000F110000}"/>
    <cellStyle name="Normal 2 4 8 6 2 2" xfId="15220" xr:uid="{FA0CFF43-F41E-474B-B9C5-259154456C7C}"/>
    <cellStyle name="Normal 2 4 8 6 3" xfId="11002" xr:uid="{AEA1A828-15C6-48F1-B215-D4694C6BA150}"/>
    <cellStyle name="Normal 2 4 8 7" xfId="4704" xr:uid="{00000000-0005-0000-0000-000010110000}"/>
    <cellStyle name="Normal 2 4 8 7 2" xfId="13154" xr:uid="{C485C51C-E3CC-41AD-B5D0-F02E5DD7D325}"/>
    <cellStyle name="Normal 2 4 8 8" xfId="8936" xr:uid="{304AF09F-699D-4AEA-9326-5D9E370F2512}"/>
    <cellStyle name="Normal 2 5" xfId="315" xr:uid="{00000000-0005-0000-0000-000011110000}"/>
    <cellStyle name="Normal 2 5 10" xfId="4705" xr:uid="{00000000-0005-0000-0000-000012110000}"/>
    <cellStyle name="Normal 2 5 10 2" xfId="13155" xr:uid="{9A99AB37-5547-4C9D-9322-7A021D892E47}"/>
    <cellStyle name="Normal 2 5 11" xfId="8937" xr:uid="{56476274-7564-4A22-88E8-38F02E2010F6}"/>
    <cellStyle name="Normal 2 5 2" xfId="316" xr:uid="{00000000-0005-0000-0000-000013110000}"/>
    <cellStyle name="Normal 2 5 3" xfId="317" xr:uid="{00000000-0005-0000-0000-000014110000}"/>
    <cellStyle name="Normal 2 5 4" xfId="318" xr:uid="{00000000-0005-0000-0000-000015110000}"/>
    <cellStyle name="Normal 2 5 4 10" xfId="8938" xr:uid="{85F781AA-C1CD-415C-94EF-B4CE01895EC1}"/>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1DE6DF74-F69E-4BCF-AF09-0B69F81CC651}"/>
    <cellStyle name="Normal 2 5 4 2 2 2 2 3" xfId="11499" xr:uid="{77369FDE-49B0-42BB-BFE8-0B7A9F2D016C}"/>
    <cellStyle name="Normal 2 5 4 2 2 2 3" xfId="5122" xr:uid="{00000000-0005-0000-0000-00001B110000}"/>
    <cellStyle name="Normal 2 5 4 2 2 2 3 2" xfId="13572" xr:uid="{C73854EB-448E-49AE-825B-7E1EE61C0AED}"/>
    <cellStyle name="Normal 2 5 4 2 2 2 4" xfId="9354" xr:uid="{E0ABF942-81B8-48D1-9ABE-3CCCCFEB54F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6892FE30-C056-4398-8897-EF831F32997E}"/>
    <cellStyle name="Normal 2 5 4 2 2 3 2 3" xfId="11912" xr:uid="{6BDC1100-5082-4A80-A4C7-CEA99B6EB03E}"/>
    <cellStyle name="Normal 2 5 4 2 2 3 3" xfId="5535" xr:uid="{00000000-0005-0000-0000-00001F110000}"/>
    <cellStyle name="Normal 2 5 4 2 2 3 3 2" xfId="13985" xr:uid="{6BFB7E67-C9B5-4662-847B-304E0D6BC530}"/>
    <cellStyle name="Normal 2 5 4 2 2 3 4" xfId="9767" xr:uid="{E3C1973E-69C5-413B-805A-82C3C0649123}"/>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B1E6BCED-AAFC-4688-B9AB-90B9808FF6C7}"/>
    <cellStyle name="Normal 2 5 4 2 2 4 2 3" xfId="12325" xr:uid="{B60F1A7C-6083-46D7-9D0B-D6C861B7586A}"/>
    <cellStyle name="Normal 2 5 4 2 2 4 3" xfId="5948" xr:uid="{00000000-0005-0000-0000-000023110000}"/>
    <cellStyle name="Normal 2 5 4 2 2 4 3 2" xfId="14398" xr:uid="{D86AFF28-F328-456B-ADA2-823864FF64E6}"/>
    <cellStyle name="Normal 2 5 4 2 2 4 4" xfId="10180" xr:uid="{DA693745-4ACB-4A8D-80A1-6851DFFA472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0B97BD2-FED4-41E9-9D52-BEE5CCA91626}"/>
    <cellStyle name="Normal 2 5 4 2 2 5 2 3" xfId="12738" xr:uid="{B2007F2E-3ECE-4379-9D9F-BB38077179DE}"/>
    <cellStyle name="Normal 2 5 4 2 2 5 3" xfId="6361" xr:uid="{00000000-0005-0000-0000-000027110000}"/>
    <cellStyle name="Normal 2 5 4 2 2 5 3 2" xfId="14811" xr:uid="{FCDF6518-FC40-4422-8EE6-8727CC6B1B0F}"/>
    <cellStyle name="Normal 2 5 4 2 2 5 4" xfId="10593" xr:uid="{FBBF07F8-DB18-421B-B0CA-762012BA799D}"/>
    <cellStyle name="Normal 2 5 4 2 2 6" xfId="2491" xr:uid="{00000000-0005-0000-0000-000028110000}"/>
    <cellStyle name="Normal 2 5 4 2 2 6 2" xfId="6774" xr:uid="{00000000-0005-0000-0000-000029110000}"/>
    <cellStyle name="Normal 2 5 4 2 2 6 2 2" xfId="15224" xr:uid="{F21A6E1F-EDCD-4BEE-B8CD-94CC361D0B3A}"/>
    <cellStyle name="Normal 2 5 4 2 2 6 3" xfId="11006" xr:uid="{54699754-975C-40AA-A9EF-5FB519BCBFB0}"/>
    <cellStyle name="Normal 2 5 4 2 2 7" xfId="4708" xr:uid="{00000000-0005-0000-0000-00002A110000}"/>
    <cellStyle name="Normal 2 5 4 2 2 7 2" xfId="13158" xr:uid="{14DC8DA7-B13C-4A38-AF46-D6547F877DD6}"/>
    <cellStyle name="Normal 2 5 4 2 2 8" xfId="8940" xr:uid="{3CFF6E31-056F-4C5B-9F42-1AC0110618A7}"/>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E80BF508-D24D-4FB3-B0E8-F4DC5B7EEEEB}"/>
    <cellStyle name="Normal 2 5 4 2 3 2 3" xfId="11498" xr:uid="{D72D10B2-7118-4BE3-B7B1-C2A5DD19B3CD}"/>
    <cellStyle name="Normal 2 5 4 2 3 3" xfId="5121" xr:uid="{00000000-0005-0000-0000-00002E110000}"/>
    <cellStyle name="Normal 2 5 4 2 3 3 2" xfId="13571" xr:uid="{C744AD0A-08CF-48FD-8F8F-D960CE974896}"/>
    <cellStyle name="Normal 2 5 4 2 3 4" xfId="9353" xr:uid="{01C65F6B-5122-4F5C-B69C-7A08B677187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6DEFA82A-BEC7-440E-ABC1-80E7AC268433}"/>
    <cellStyle name="Normal 2 5 4 2 4 2 3" xfId="11911" xr:uid="{122D606F-9D39-49AF-A4AE-66BA560E100D}"/>
    <cellStyle name="Normal 2 5 4 2 4 3" xfId="5534" xr:uid="{00000000-0005-0000-0000-000032110000}"/>
    <cellStyle name="Normal 2 5 4 2 4 3 2" xfId="13984" xr:uid="{677BD167-5A4E-4B73-A36C-AD9EFEC1CA7C}"/>
    <cellStyle name="Normal 2 5 4 2 4 4" xfId="9766" xr:uid="{D30132CB-06F2-4F7F-85A1-E7300D53E33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9B73CBC0-5C93-464B-862C-C81E4A85CFC5}"/>
    <cellStyle name="Normal 2 5 4 2 5 2 3" xfId="12324" xr:uid="{50799561-C1F2-4C44-87D3-59F2ED697EEE}"/>
    <cellStyle name="Normal 2 5 4 2 5 3" xfId="5947" xr:uid="{00000000-0005-0000-0000-000036110000}"/>
    <cellStyle name="Normal 2 5 4 2 5 3 2" xfId="14397" xr:uid="{5A26C0DD-9AAF-4AC4-8DAE-25AAE322D4EC}"/>
    <cellStyle name="Normal 2 5 4 2 5 4" xfId="10179" xr:uid="{AA43739F-8D49-4185-93B9-66342B967330}"/>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17A965BF-1C12-48FC-BB5B-6F06769109FB}"/>
    <cellStyle name="Normal 2 5 4 2 6 2 3" xfId="12737" xr:uid="{3E5E657D-F584-47B9-8FB4-11E1387D2F24}"/>
    <cellStyle name="Normal 2 5 4 2 6 3" xfId="6360" xr:uid="{00000000-0005-0000-0000-00003A110000}"/>
    <cellStyle name="Normal 2 5 4 2 6 3 2" xfId="14810" xr:uid="{27D6F61A-0AE2-4CBA-BC93-1577BB956D7D}"/>
    <cellStyle name="Normal 2 5 4 2 6 4" xfId="10592" xr:uid="{DEFE610B-513D-434D-BBAC-7ED8E2427803}"/>
    <cellStyle name="Normal 2 5 4 2 7" xfId="2490" xr:uid="{00000000-0005-0000-0000-00003B110000}"/>
    <cellStyle name="Normal 2 5 4 2 7 2" xfId="6773" xr:uid="{00000000-0005-0000-0000-00003C110000}"/>
    <cellStyle name="Normal 2 5 4 2 7 2 2" xfId="15223" xr:uid="{EA17756B-02F4-4647-842C-2B99844E5AAC}"/>
    <cellStyle name="Normal 2 5 4 2 7 3" xfId="11005" xr:uid="{0BC41198-E648-40B2-98F0-4DDCCFD01AFB}"/>
    <cellStyle name="Normal 2 5 4 2 8" xfId="4707" xr:uid="{00000000-0005-0000-0000-00003D110000}"/>
    <cellStyle name="Normal 2 5 4 2 8 2" xfId="13157" xr:uid="{DF4AA89F-173B-45E1-A4A2-5BA2EC3BEBA1}"/>
    <cellStyle name="Normal 2 5 4 2 9" xfId="8939" xr:uid="{78700D26-482D-4922-91DE-8E01A4B84659}"/>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5D3808C7-D22A-4596-8D48-FBDDAC459170}"/>
    <cellStyle name="Normal 2 5 4 3 2 2 3" xfId="11500" xr:uid="{B9B87ECD-E94F-4F37-B3E6-7972F19490EA}"/>
    <cellStyle name="Normal 2 5 4 3 2 3" xfId="5123" xr:uid="{00000000-0005-0000-0000-000042110000}"/>
    <cellStyle name="Normal 2 5 4 3 2 3 2" xfId="13573" xr:uid="{B33E25B0-D479-4793-9B24-E269B6808441}"/>
    <cellStyle name="Normal 2 5 4 3 2 4" xfId="9355" xr:uid="{2072B9D3-788C-414F-B680-61C1A9EB4E36}"/>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86947376-DB40-4C99-BA50-FAFFF86F104B}"/>
    <cellStyle name="Normal 2 5 4 3 3 2 3" xfId="11913" xr:uid="{A0570FAD-4C97-49C9-9640-DF1B47D0CCA0}"/>
    <cellStyle name="Normal 2 5 4 3 3 3" xfId="5536" xr:uid="{00000000-0005-0000-0000-000046110000}"/>
    <cellStyle name="Normal 2 5 4 3 3 3 2" xfId="13986" xr:uid="{709FCC9B-D94A-4AF6-8D10-7D632A8CF76B}"/>
    <cellStyle name="Normal 2 5 4 3 3 4" xfId="9768" xr:uid="{274B787F-D28E-4F08-AEC2-EF8EB5412A95}"/>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D196C86E-F152-4FCF-9A99-4656C27C86C2}"/>
    <cellStyle name="Normal 2 5 4 3 4 2 3" xfId="12326" xr:uid="{3DD70CDD-DE41-4F52-87B3-F34F2F88D2BF}"/>
    <cellStyle name="Normal 2 5 4 3 4 3" xfId="5949" xr:uid="{00000000-0005-0000-0000-00004A110000}"/>
    <cellStyle name="Normal 2 5 4 3 4 3 2" xfId="14399" xr:uid="{D5734776-AF01-47C7-ADA4-26B40B58EB1F}"/>
    <cellStyle name="Normal 2 5 4 3 4 4" xfId="10181" xr:uid="{46533BB8-9DBF-44BA-8073-AFD8027EA248}"/>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706CC717-2E20-47D2-904B-F6DC1AF5B96C}"/>
    <cellStyle name="Normal 2 5 4 3 5 2 3" xfId="12739" xr:uid="{1029B4E5-0FAC-493F-9E08-1C1D67820845}"/>
    <cellStyle name="Normal 2 5 4 3 5 3" xfId="6362" xr:uid="{00000000-0005-0000-0000-00004E110000}"/>
    <cellStyle name="Normal 2 5 4 3 5 3 2" xfId="14812" xr:uid="{6763AEFE-7F47-4B79-9BFB-E66D5D3ED348}"/>
    <cellStyle name="Normal 2 5 4 3 5 4" xfId="10594" xr:uid="{F0678345-7061-4CF3-898F-4805135675A1}"/>
    <cellStyle name="Normal 2 5 4 3 6" xfId="2492" xr:uid="{00000000-0005-0000-0000-00004F110000}"/>
    <cellStyle name="Normal 2 5 4 3 6 2" xfId="6775" xr:uid="{00000000-0005-0000-0000-000050110000}"/>
    <cellStyle name="Normal 2 5 4 3 6 2 2" xfId="15225" xr:uid="{96C8F5EF-4EAB-499A-A2A1-769B5364D5CA}"/>
    <cellStyle name="Normal 2 5 4 3 6 3" xfId="11007" xr:uid="{86520012-52B2-4077-962C-32A6051DD4C8}"/>
    <cellStyle name="Normal 2 5 4 3 7" xfId="4709" xr:uid="{00000000-0005-0000-0000-000051110000}"/>
    <cellStyle name="Normal 2 5 4 3 7 2" xfId="13159" xr:uid="{A5630D45-9AEC-40E5-BC31-14CCDCF3E05D}"/>
    <cellStyle name="Normal 2 5 4 3 8" xfId="8941" xr:uid="{E5D42BDB-E9F2-412A-A1BC-28E104512149}"/>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5F4FB096-CC30-4F4E-90B0-FB370E4B04B1}"/>
    <cellStyle name="Normal 2 5 4 4 2 3" xfId="11497" xr:uid="{28307F62-0BC8-4FAC-897E-35E967BFC401}"/>
    <cellStyle name="Normal 2 5 4 4 3" xfId="5120" xr:uid="{00000000-0005-0000-0000-000055110000}"/>
    <cellStyle name="Normal 2 5 4 4 3 2" xfId="13570" xr:uid="{60E25E9C-3CC6-4244-9914-341FE3E45738}"/>
    <cellStyle name="Normal 2 5 4 4 4" xfId="9352" xr:uid="{48ECB4FE-F90B-4D70-A3EA-AF5C60E0DBB8}"/>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E945523B-4D29-446D-8D88-E1EBB225D2B0}"/>
    <cellStyle name="Normal 2 5 4 5 2 3" xfId="11910" xr:uid="{7089584B-D04D-415A-88D1-17A1526BC885}"/>
    <cellStyle name="Normal 2 5 4 5 3" xfId="5533" xr:uid="{00000000-0005-0000-0000-000059110000}"/>
    <cellStyle name="Normal 2 5 4 5 3 2" xfId="13983" xr:uid="{ACE09605-BFD8-4DDF-B66F-A1EE66F782B6}"/>
    <cellStyle name="Normal 2 5 4 5 4" xfId="9765" xr:uid="{77E680B0-57AA-4E21-9C1A-56711E64C90F}"/>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C5122057-2F6F-404D-983F-41E3C79543E5}"/>
    <cellStyle name="Normal 2 5 4 6 2 3" xfId="12323" xr:uid="{9F303FE5-DB7A-49AB-A25C-4FF42428D383}"/>
    <cellStyle name="Normal 2 5 4 6 3" xfId="5946" xr:uid="{00000000-0005-0000-0000-00005D110000}"/>
    <cellStyle name="Normal 2 5 4 6 3 2" xfId="14396" xr:uid="{B97E48CC-1DF8-4E19-B1E9-228F06F76814}"/>
    <cellStyle name="Normal 2 5 4 6 4" xfId="10178" xr:uid="{2638827E-4748-4496-BBF4-E09949148D74}"/>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F57FE062-D027-4C0C-B1CF-6E3101D12DC0}"/>
    <cellStyle name="Normal 2 5 4 7 2 3" xfId="12736" xr:uid="{807502A2-6DAD-49D6-96A5-9A561A14811A}"/>
    <cellStyle name="Normal 2 5 4 7 3" xfId="6359" xr:uid="{00000000-0005-0000-0000-000061110000}"/>
    <cellStyle name="Normal 2 5 4 7 3 2" xfId="14809" xr:uid="{3B2866D1-D860-45DC-9B97-C5BF64D4C234}"/>
    <cellStyle name="Normal 2 5 4 7 4" xfId="10591" xr:uid="{6B1E6A1E-A8A7-4121-B028-4F3DE691AC42}"/>
    <cellStyle name="Normal 2 5 4 8" xfId="2489" xr:uid="{00000000-0005-0000-0000-000062110000}"/>
    <cellStyle name="Normal 2 5 4 8 2" xfId="6772" xr:uid="{00000000-0005-0000-0000-000063110000}"/>
    <cellStyle name="Normal 2 5 4 8 2 2" xfId="15222" xr:uid="{61C0E57D-89F3-48FA-B9F2-11B5B85A4A6A}"/>
    <cellStyle name="Normal 2 5 4 8 3" xfId="11004" xr:uid="{3ED0F27E-89F6-4E79-BEE4-B415868736A1}"/>
    <cellStyle name="Normal 2 5 4 9" xfId="4706" xr:uid="{00000000-0005-0000-0000-000064110000}"/>
    <cellStyle name="Normal 2 5 4 9 2" xfId="13156" xr:uid="{603B563A-156E-4BA3-88CE-0C564BF18A55}"/>
    <cellStyle name="Normal 2 5 5" xfId="803" xr:uid="{00000000-0005-0000-0000-000065110000}"/>
    <cellStyle name="Normal 2 5 5 2" xfId="3042" xr:uid="{00000000-0005-0000-0000-000066110000}"/>
    <cellStyle name="Normal 2 5 5 2 2" xfId="7264" xr:uid="{00000000-0005-0000-0000-000067110000}"/>
    <cellStyle name="Normal 2 5 5 2 2 2" xfId="15714" xr:uid="{CC41B271-D33A-487A-AFDD-F0DDA96ABEE0}"/>
    <cellStyle name="Normal 2 5 5 2 3" xfId="11496" xr:uid="{D25F9908-AB2C-42A0-9D01-FDEB943C4C95}"/>
    <cellStyle name="Normal 2 5 5 3" xfId="5119" xr:uid="{00000000-0005-0000-0000-000068110000}"/>
    <cellStyle name="Normal 2 5 5 3 2" xfId="13569" xr:uid="{B480ACBA-7EA2-423C-BD00-371DEC098513}"/>
    <cellStyle name="Normal 2 5 5 4" xfId="9351" xr:uid="{79728FFD-F731-432A-A2B7-6AB05621ACF0}"/>
    <cellStyle name="Normal 2 5 6" xfId="1225" xr:uid="{00000000-0005-0000-0000-000069110000}"/>
    <cellStyle name="Normal 2 5 6 2" xfId="3455" xr:uid="{00000000-0005-0000-0000-00006A110000}"/>
    <cellStyle name="Normal 2 5 6 2 2" xfId="7677" xr:uid="{00000000-0005-0000-0000-00006B110000}"/>
    <cellStyle name="Normal 2 5 6 2 2 2" xfId="16127" xr:uid="{26598433-7FEF-4C21-85AC-4FEA87DEE43B}"/>
    <cellStyle name="Normal 2 5 6 2 3" xfId="11909" xr:uid="{E81F2BCE-0526-4E71-9997-EB496657A4C0}"/>
    <cellStyle name="Normal 2 5 6 3" xfId="5532" xr:uid="{00000000-0005-0000-0000-00006C110000}"/>
    <cellStyle name="Normal 2 5 6 3 2" xfId="13982" xr:uid="{74C7D49F-32E7-431C-85B0-F1DA090696BC}"/>
    <cellStyle name="Normal 2 5 6 4" xfId="9764" xr:uid="{5F5BCAFA-1D89-4096-A75F-3578AE484CB3}"/>
    <cellStyle name="Normal 2 5 7" xfId="1638" xr:uid="{00000000-0005-0000-0000-00006D110000}"/>
    <cellStyle name="Normal 2 5 7 2" xfId="3868" xr:uid="{00000000-0005-0000-0000-00006E110000}"/>
    <cellStyle name="Normal 2 5 7 2 2" xfId="8090" xr:uid="{00000000-0005-0000-0000-00006F110000}"/>
    <cellStyle name="Normal 2 5 7 2 2 2" xfId="16540" xr:uid="{81A8E2A3-CC24-48D8-B1C3-55377E279DD5}"/>
    <cellStyle name="Normal 2 5 7 2 3" xfId="12322" xr:uid="{264F8CB8-5AAE-43A6-BC78-D4AF5EF12866}"/>
    <cellStyle name="Normal 2 5 7 3" xfId="5945" xr:uid="{00000000-0005-0000-0000-000070110000}"/>
    <cellStyle name="Normal 2 5 7 3 2" xfId="14395" xr:uid="{F8A1962A-234D-4C14-B449-63C4EB3C1674}"/>
    <cellStyle name="Normal 2 5 7 4" xfId="10177" xr:uid="{1FFF8D20-ECA7-4EB8-90D0-709566211176}"/>
    <cellStyle name="Normal 2 5 8" xfId="2052" xr:uid="{00000000-0005-0000-0000-000071110000}"/>
    <cellStyle name="Normal 2 5 8 2" xfId="4281" xr:uid="{00000000-0005-0000-0000-000072110000}"/>
    <cellStyle name="Normal 2 5 8 2 2" xfId="8503" xr:uid="{00000000-0005-0000-0000-000073110000}"/>
    <cellStyle name="Normal 2 5 8 2 2 2" xfId="16953" xr:uid="{03253959-511E-40C7-9F29-1C6181C3F009}"/>
    <cellStyle name="Normal 2 5 8 2 3" xfId="12735" xr:uid="{FBF8803E-A496-4006-85F4-6AE6735690F1}"/>
    <cellStyle name="Normal 2 5 8 3" xfId="6358" xr:uid="{00000000-0005-0000-0000-000074110000}"/>
    <cellStyle name="Normal 2 5 8 3 2" xfId="14808" xr:uid="{2FD9D181-FA4C-4A9C-B643-964BA511FE73}"/>
    <cellStyle name="Normal 2 5 8 4" xfId="10590" xr:uid="{5A2AA02F-EBA2-4F0E-ACFD-24A603E04E54}"/>
    <cellStyle name="Normal 2 5 9" xfId="2488" xr:uid="{00000000-0005-0000-0000-000075110000}"/>
    <cellStyle name="Normal 2 5 9 2" xfId="6771" xr:uid="{00000000-0005-0000-0000-000076110000}"/>
    <cellStyle name="Normal 2 5 9 2 2" xfId="15221" xr:uid="{88FD2057-ACBE-43E7-BDD6-3EF27DE786D4}"/>
    <cellStyle name="Normal 2 5 9 3" xfId="11003" xr:uid="{660D6A8F-F194-423B-AAC2-24A21CB93FA8}"/>
    <cellStyle name="Normal 2 6" xfId="322" xr:uid="{00000000-0005-0000-0000-000077110000}"/>
    <cellStyle name="Normal 2 7" xfId="769" xr:uid="{00000000-0005-0000-0000-000078110000}"/>
    <cellStyle name="Normal 2 8" xfId="4495" xr:uid="{00000000-0005-0000-0000-000079110000}"/>
    <cellStyle name="Normal 2 8 2" xfId="12947" xr:uid="{D85BD66C-E912-401F-AB8A-E5D2FDE771DE}"/>
    <cellStyle name="Normal 3" xfId="323" xr:uid="{00000000-0005-0000-0000-00007A110000}"/>
    <cellStyle name="Normal 3 2" xfId="324" xr:uid="{00000000-0005-0000-0000-00007B110000}"/>
    <cellStyle name="Normal 3 2 10" xfId="8942" xr:uid="{860D1754-150B-4FF3-8649-FA31CDC06973}"/>
    <cellStyle name="Normal 3 2 2" xfId="325" xr:uid="{00000000-0005-0000-0000-00007C110000}"/>
    <cellStyle name="Normal 3 2 2 2" xfId="810" xr:uid="{00000000-0005-0000-0000-00007D110000}"/>
    <cellStyle name="Normal 3 2 3" xfId="326" xr:uid="{00000000-0005-0000-0000-00007E110000}"/>
    <cellStyle name="Normal 3 2 3 10" xfId="8943" xr:uid="{54A791A1-CD49-4792-82A4-8AFBDB31C04C}"/>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04B3B2BF-D0C1-4CA3-A868-1AC74C76679D}"/>
    <cellStyle name="Normal 3 2 3 2 2 2 2 3" xfId="11504" xr:uid="{41DDDE47-2967-4D58-B3E5-4D0AF39329F5}"/>
    <cellStyle name="Normal 3 2 3 2 2 2 3" xfId="5127" xr:uid="{00000000-0005-0000-0000-000084110000}"/>
    <cellStyle name="Normal 3 2 3 2 2 2 3 2" xfId="13577" xr:uid="{B0E7D5B2-BBAB-415D-A790-0A97CF7FDE85}"/>
    <cellStyle name="Normal 3 2 3 2 2 2 4" xfId="9359" xr:uid="{4955551B-6D19-4344-B05D-FFF21DC583D9}"/>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8F147BC6-3D30-4C91-94C1-EEB2F919A0A4}"/>
    <cellStyle name="Normal 3 2 3 2 2 3 2 3" xfId="11917" xr:uid="{769E5F6C-E8C8-49B9-A145-4BD607134A3E}"/>
    <cellStyle name="Normal 3 2 3 2 2 3 3" xfId="5540" xr:uid="{00000000-0005-0000-0000-000088110000}"/>
    <cellStyle name="Normal 3 2 3 2 2 3 3 2" xfId="13990" xr:uid="{7CA5CFD1-0428-4C35-B8C1-95D4014CA83D}"/>
    <cellStyle name="Normal 3 2 3 2 2 3 4" xfId="9772" xr:uid="{B3198B61-E51F-4150-814B-072B858125A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93B64B5A-36A0-4A31-BF21-2BA5A4CCB9A6}"/>
    <cellStyle name="Normal 3 2 3 2 2 4 2 3" xfId="12330" xr:uid="{6B24C716-5258-46A6-A5F5-EC76358695B1}"/>
    <cellStyle name="Normal 3 2 3 2 2 4 3" xfId="5953" xr:uid="{00000000-0005-0000-0000-00008C110000}"/>
    <cellStyle name="Normal 3 2 3 2 2 4 3 2" xfId="14403" xr:uid="{651DF5BE-3D72-4626-B7F2-F57906041620}"/>
    <cellStyle name="Normal 3 2 3 2 2 4 4" xfId="10185" xr:uid="{A6127BA9-36BC-4E91-AB7B-BB4801386928}"/>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2E05BF12-9B14-4B6B-B268-59A95464745D}"/>
    <cellStyle name="Normal 3 2 3 2 2 5 2 3" xfId="12743" xr:uid="{6E23C850-D194-4271-B555-2D3B2D733C52}"/>
    <cellStyle name="Normal 3 2 3 2 2 5 3" xfId="6366" xr:uid="{00000000-0005-0000-0000-000090110000}"/>
    <cellStyle name="Normal 3 2 3 2 2 5 3 2" xfId="14816" xr:uid="{92B2CEFB-B8B9-43B5-9587-CA213DE9DCCB}"/>
    <cellStyle name="Normal 3 2 3 2 2 5 4" xfId="10598" xr:uid="{DEE53E94-0B3C-44ED-BC5C-3CD8BFF8A328}"/>
    <cellStyle name="Normal 3 2 3 2 2 6" xfId="2496" xr:uid="{00000000-0005-0000-0000-000091110000}"/>
    <cellStyle name="Normal 3 2 3 2 2 6 2" xfId="6779" xr:uid="{00000000-0005-0000-0000-000092110000}"/>
    <cellStyle name="Normal 3 2 3 2 2 6 2 2" xfId="15229" xr:uid="{7031106D-89F4-4DF4-8C5A-2F23FE747FB3}"/>
    <cellStyle name="Normal 3 2 3 2 2 6 3" xfId="11011" xr:uid="{465D6ED1-47B8-4AAF-9FB3-B6EEAFBC1376}"/>
    <cellStyle name="Normal 3 2 3 2 2 7" xfId="4713" xr:uid="{00000000-0005-0000-0000-000093110000}"/>
    <cellStyle name="Normal 3 2 3 2 2 7 2" xfId="13163" xr:uid="{7652FB99-A72C-4CC0-8978-96890899E946}"/>
    <cellStyle name="Normal 3 2 3 2 2 8" xfId="8945" xr:uid="{041EF315-AFE4-4902-9C5E-87E03494918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82BBA9B6-697B-4323-AD44-D07ADF66F932}"/>
    <cellStyle name="Normal 3 2 3 2 3 2 3" xfId="11503" xr:uid="{2A59B61A-DCE1-4B9A-BD10-3F79A74500C9}"/>
    <cellStyle name="Normal 3 2 3 2 3 3" xfId="5126" xr:uid="{00000000-0005-0000-0000-000097110000}"/>
    <cellStyle name="Normal 3 2 3 2 3 3 2" xfId="13576" xr:uid="{84DC74A6-BD3C-49D7-A512-4E0147BCE8B6}"/>
    <cellStyle name="Normal 3 2 3 2 3 4" xfId="9358" xr:uid="{7EC1CA36-FAEC-404F-BA5F-B9335394BDCE}"/>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35D4055B-9A49-451D-ADEC-5A44C55DC42A}"/>
    <cellStyle name="Normal 3 2 3 2 4 2 3" xfId="11916" xr:uid="{C47FAA15-4DF8-47C0-ABB0-37134F5229C4}"/>
    <cellStyle name="Normal 3 2 3 2 4 3" xfId="5539" xr:uid="{00000000-0005-0000-0000-00009B110000}"/>
    <cellStyle name="Normal 3 2 3 2 4 3 2" xfId="13989" xr:uid="{3B3F8569-BDF4-49AD-B922-9AFE20FB382F}"/>
    <cellStyle name="Normal 3 2 3 2 4 4" xfId="9771" xr:uid="{BF62CAC2-72E1-46C5-AD42-BBC3A54C2A1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A7D88027-8875-4704-98FE-F864CC3485B8}"/>
    <cellStyle name="Normal 3 2 3 2 5 2 3" xfId="12329" xr:uid="{1BB47D20-8055-4F3B-A1ED-FFFC9039DA61}"/>
    <cellStyle name="Normal 3 2 3 2 5 3" xfId="5952" xr:uid="{00000000-0005-0000-0000-00009F110000}"/>
    <cellStyle name="Normal 3 2 3 2 5 3 2" xfId="14402" xr:uid="{29BB6F42-0A71-4AFC-8711-A38EE77A95A5}"/>
    <cellStyle name="Normal 3 2 3 2 5 4" xfId="10184" xr:uid="{DC46F058-A70D-4D7C-8D98-1450E2B7578C}"/>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240B65A2-D32C-4F6D-BDC1-D66C4D18F1BE}"/>
    <cellStyle name="Normal 3 2 3 2 6 2 3" xfId="12742" xr:uid="{6DF22006-1955-498B-9FB3-556CA16B8ADC}"/>
    <cellStyle name="Normal 3 2 3 2 6 3" xfId="6365" xr:uid="{00000000-0005-0000-0000-0000A3110000}"/>
    <cellStyle name="Normal 3 2 3 2 6 3 2" xfId="14815" xr:uid="{E9803F9C-0E64-4AEE-A457-ABE897712642}"/>
    <cellStyle name="Normal 3 2 3 2 6 4" xfId="10597" xr:uid="{151103C2-FFFA-4827-BEEA-322F753C59CD}"/>
    <cellStyle name="Normal 3 2 3 2 7" xfId="2495" xr:uid="{00000000-0005-0000-0000-0000A4110000}"/>
    <cellStyle name="Normal 3 2 3 2 7 2" xfId="6778" xr:uid="{00000000-0005-0000-0000-0000A5110000}"/>
    <cellStyle name="Normal 3 2 3 2 7 2 2" xfId="15228" xr:uid="{A4DB3851-3BA4-474B-A5EC-336C22D4A32C}"/>
    <cellStyle name="Normal 3 2 3 2 7 3" xfId="11010" xr:uid="{FD4E8DBE-AF6B-4ADE-AB07-2F7C0450FE4B}"/>
    <cellStyle name="Normal 3 2 3 2 8" xfId="4712" xr:uid="{00000000-0005-0000-0000-0000A6110000}"/>
    <cellStyle name="Normal 3 2 3 2 8 2" xfId="13162" xr:uid="{EE247182-7279-467E-894D-52A134502F82}"/>
    <cellStyle name="Normal 3 2 3 2 9" xfId="8944" xr:uid="{FA63F9EB-528B-4165-BB64-6AF065190F1C}"/>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F5D7C972-48BE-4628-BBFD-04064B4C2F28}"/>
    <cellStyle name="Normal 3 2 3 3 2 2 3" xfId="11505" xr:uid="{96311EE6-C2EF-4640-8E70-70896586F4D2}"/>
    <cellStyle name="Normal 3 2 3 3 2 3" xfId="5128" xr:uid="{00000000-0005-0000-0000-0000AB110000}"/>
    <cellStyle name="Normal 3 2 3 3 2 3 2" xfId="13578" xr:uid="{5AC7E991-7A88-4FF7-A5FE-4B6EED7B5A17}"/>
    <cellStyle name="Normal 3 2 3 3 2 4" xfId="9360" xr:uid="{3A69C8C8-F3D8-4FB5-BD5D-66B067E55D34}"/>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9B55D79F-B718-4309-B2F6-9A8F2814CF91}"/>
    <cellStyle name="Normal 3 2 3 3 3 2 3" xfId="11918" xr:uid="{9D7D176C-9A51-4A36-9FEA-1DAD8605DD05}"/>
    <cellStyle name="Normal 3 2 3 3 3 3" xfId="5541" xr:uid="{00000000-0005-0000-0000-0000AF110000}"/>
    <cellStyle name="Normal 3 2 3 3 3 3 2" xfId="13991" xr:uid="{FEBE0FAC-D850-4B2B-BE17-0C1433382AC1}"/>
    <cellStyle name="Normal 3 2 3 3 3 4" xfId="9773" xr:uid="{53C05101-D354-494D-AD14-7FE789886C9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DF653569-0D5A-4F37-AA9B-3CCAEDCC1D58}"/>
    <cellStyle name="Normal 3 2 3 3 4 2 3" xfId="12331" xr:uid="{A78972F2-4270-40D4-8BAD-139847FBE38A}"/>
    <cellStyle name="Normal 3 2 3 3 4 3" xfId="5954" xr:uid="{00000000-0005-0000-0000-0000B3110000}"/>
    <cellStyle name="Normal 3 2 3 3 4 3 2" xfId="14404" xr:uid="{B3E5F313-9298-471C-876A-C2066C6C6CC6}"/>
    <cellStyle name="Normal 3 2 3 3 4 4" xfId="10186" xr:uid="{A36F3D02-5D01-47A4-8E3B-A8E1A0D19BCA}"/>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DBF5D660-D12C-4DD7-BFEB-4F0554DD7011}"/>
    <cellStyle name="Normal 3 2 3 3 5 2 3" xfId="12744" xr:uid="{BB4329BF-8FE7-463A-B12A-23EB3FBD42CE}"/>
    <cellStyle name="Normal 3 2 3 3 5 3" xfId="6367" xr:uid="{00000000-0005-0000-0000-0000B7110000}"/>
    <cellStyle name="Normal 3 2 3 3 5 3 2" xfId="14817" xr:uid="{A16FDBDF-874A-4248-96B8-758889BF511F}"/>
    <cellStyle name="Normal 3 2 3 3 5 4" xfId="10599" xr:uid="{92F4394A-87D7-45CB-8AC9-CB5CD179D43E}"/>
    <cellStyle name="Normal 3 2 3 3 6" xfId="2497" xr:uid="{00000000-0005-0000-0000-0000B8110000}"/>
    <cellStyle name="Normal 3 2 3 3 6 2" xfId="6780" xr:uid="{00000000-0005-0000-0000-0000B9110000}"/>
    <cellStyle name="Normal 3 2 3 3 6 2 2" xfId="15230" xr:uid="{9553864D-836F-44C8-8EF4-E4986E6ECD9D}"/>
    <cellStyle name="Normal 3 2 3 3 6 3" xfId="11012" xr:uid="{8164E1DD-AFDD-48CF-B5BC-326841F4A875}"/>
    <cellStyle name="Normal 3 2 3 3 7" xfId="4714" xr:uid="{00000000-0005-0000-0000-0000BA110000}"/>
    <cellStyle name="Normal 3 2 3 3 7 2" xfId="13164" xr:uid="{4D4C653C-C293-402D-BD89-22191D34C8F7}"/>
    <cellStyle name="Normal 3 2 3 3 8" xfId="8946" xr:uid="{F030EEC0-D97F-4B5A-91F0-338B4E68B5F8}"/>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15DE566C-BB3E-488F-8E96-7661A1F3E4A6}"/>
    <cellStyle name="Normal 3 2 3 4 2 3" xfId="11502" xr:uid="{C5C072BC-052B-4500-8DB0-31BE3866D7DC}"/>
    <cellStyle name="Normal 3 2 3 4 3" xfId="5125" xr:uid="{00000000-0005-0000-0000-0000BE110000}"/>
    <cellStyle name="Normal 3 2 3 4 3 2" xfId="13575" xr:uid="{89325561-F94A-46A7-A509-6F3735A179E2}"/>
    <cellStyle name="Normal 3 2 3 4 4" xfId="9357" xr:uid="{73358BBB-5548-4831-912C-2EDCB8648C59}"/>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1649E01B-F0E0-454D-B5AC-E9971896E5FD}"/>
    <cellStyle name="Normal 3 2 3 5 2 3" xfId="11915" xr:uid="{B2DC456C-9C3E-4F3F-8569-7CE49447BB37}"/>
    <cellStyle name="Normal 3 2 3 5 3" xfId="5538" xr:uid="{00000000-0005-0000-0000-0000C2110000}"/>
    <cellStyle name="Normal 3 2 3 5 3 2" xfId="13988" xr:uid="{C4EE399F-2804-4293-94A0-CFE906509A51}"/>
    <cellStyle name="Normal 3 2 3 5 4" xfId="9770" xr:uid="{010F5384-25AD-41AF-870D-336B6E3DD263}"/>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152B8CE7-67D6-4EBF-B239-05506BB7FD62}"/>
    <cellStyle name="Normal 3 2 3 6 2 3" xfId="12328" xr:uid="{BF45D029-ECE9-4B29-9FDE-8780EC5EE1B2}"/>
    <cellStyle name="Normal 3 2 3 6 3" xfId="5951" xr:uid="{00000000-0005-0000-0000-0000C6110000}"/>
    <cellStyle name="Normal 3 2 3 6 3 2" xfId="14401" xr:uid="{B072230E-A694-4625-8A3A-A93BE9876C2F}"/>
    <cellStyle name="Normal 3 2 3 6 4" xfId="10183" xr:uid="{E0875503-7FCD-4384-9B4F-CDDA1D808496}"/>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DC6F251D-8AE1-4D22-8E7B-674BD4F6CE83}"/>
    <cellStyle name="Normal 3 2 3 7 2 3" xfId="12741" xr:uid="{20143021-8DA1-4237-8347-BB2483C47E90}"/>
    <cellStyle name="Normal 3 2 3 7 3" xfId="6364" xr:uid="{00000000-0005-0000-0000-0000CA110000}"/>
    <cellStyle name="Normal 3 2 3 7 3 2" xfId="14814" xr:uid="{3A7199FC-FE08-463A-9CF3-1E4469E836D5}"/>
    <cellStyle name="Normal 3 2 3 7 4" xfId="10596" xr:uid="{1B77508E-8364-4288-BE92-6F0B8CF16A12}"/>
    <cellStyle name="Normal 3 2 3 8" xfId="2494" xr:uid="{00000000-0005-0000-0000-0000CB110000}"/>
    <cellStyle name="Normal 3 2 3 8 2" xfId="6777" xr:uid="{00000000-0005-0000-0000-0000CC110000}"/>
    <cellStyle name="Normal 3 2 3 8 2 2" xfId="15227" xr:uid="{1C741D2E-F53A-4E3A-B51C-A423F9B81FFD}"/>
    <cellStyle name="Normal 3 2 3 8 3" xfId="11009" xr:uid="{B19CC811-9C90-4890-98BC-4A744FEF1BA4}"/>
    <cellStyle name="Normal 3 2 3 9" xfId="4711" xr:uid="{00000000-0005-0000-0000-0000CD110000}"/>
    <cellStyle name="Normal 3 2 3 9 2" xfId="13161" xr:uid="{245AD8EE-05CF-4BDB-8325-AF2E56999C5F}"/>
    <cellStyle name="Normal 3 2 4" xfId="809" xr:uid="{00000000-0005-0000-0000-0000CE110000}"/>
    <cellStyle name="Normal 3 2 4 2" xfId="3047" xr:uid="{00000000-0005-0000-0000-0000CF110000}"/>
    <cellStyle name="Normal 3 2 4 2 2" xfId="7269" xr:uid="{00000000-0005-0000-0000-0000D0110000}"/>
    <cellStyle name="Normal 3 2 4 2 2 2" xfId="15719" xr:uid="{3412C936-BA8F-4E9B-B995-B9E363EE16E2}"/>
    <cellStyle name="Normal 3 2 4 2 3" xfId="11501" xr:uid="{DD969E4A-331B-47A5-B2C8-DA36B77D1203}"/>
    <cellStyle name="Normal 3 2 4 3" xfId="5124" xr:uid="{00000000-0005-0000-0000-0000D1110000}"/>
    <cellStyle name="Normal 3 2 4 3 2" xfId="13574" xr:uid="{0E6CD93D-A863-4592-9CAA-EEE081526428}"/>
    <cellStyle name="Normal 3 2 4 4" xfId="9356" xr:uid="{223DB3E7-E4F4-4AD3-972C-320217D18762}"/>
    <cellStyle name="Normal 3 2 5" xfId="1230" xr:uid="{00000000-0005-0000-0000-0000D2110000}"/>
    <cellStyle name="Normal 3 2 5 2" xfId="3460" xr:uid="{00000000-0005-0000-0000-0000D3110000}"/>
    <cellStyle name="Normal 3 2 5 2 2" xfId="7682" xr:uid="{00000000-0005-0000-0000-0000D4110000}"/>
    <cellStyle name="Normal 3 2 5 2 2 2" xfId="16132" xr:uid="{CE66DD00-B270-4480-846F-739028C69AD0}"/>
    <cellStyle name="Normal 3 2 5 2 3" xfId="11914" xr:uid="{34B0A0DA-A675-4EA9-AFDB-4F812222F2FA}"/>
    <cellStyle name="Normal 3 2 5 3" xfId="5537" xr:uid="{00000000-0005-0000-0000-0000D5110000}"/>
    <cellStyle name="Normal 3 2 5 3 2" xfId="13987" xr:uid="{E43237D7-576E-4CCB-A337-D71837F2CB3E}"/>
    <cellStyle name="Normal 3 2 5 4" xfId="9769" xr:uid="{7627D232-3C5E-478D-B5B6-E764977CAEA6}"/>
    <cellStyle name="Normal 3 2 6" xfId="1643" xr:uid="{00000000-0005-0000-0000-0000D6110000}"/>
    <cellStyle name="Normal 3 2 6 2" xfId="3873" xr:uid="{00000000-0005-0000-0000-0000D7110000}"/>
    <cellStyle name="Normal 3 2 6 2 2" xfId="8095" xr:uid="{00000000-0005-0000-0000-0000D8110000}"/>
    <cellStyle name="Normal 3 2 6 2 2 2" xfId="16545" xr:uid="{E95C0133-0AEA-41E8-A22B-7F17F44AF4CE}"/>
    <cellStyle name="Normal 3 2 6 2 3" xfId="12327" xr:uid="{683D60CB-5E01-4DFE-B7A5-85F52AC299E5}"/>
    <cellStyle name="Normal 3 2 6 3" xfId="5950" xr:uid="{00000000-0005-0000-0000-0000D9110000}"/>
    <cellStyle name="Normal 3 2 6 3 2" xfId="14400" xr:uid="{7A2560AA-9508-40B7-AA8F-C70C8032A965}"/>
    <cellStyle name="Normal 3 2 6 4" xfId="10182" xr:uid="{5F86C16A-5CB6-4407-BC7D-1BAC04739609}"/>
    <cellStyle name="Normal 3 2 7" xfId="2057" xr:uid="{00000000-0005-0000-0000-0000DA110000}"/>
    <cellStyle name="Normal 3 2 7 2" xfId="4286" xr:uid="{00000000-0005-0000-0000-0000DB110000}"/>
    <cellStyle name="Normal 3 2 7 2 2" xfId="8508" xr:uid="{00000000-0005-0000-0000-0000DC110000}"/>
    <cellStyle name="Normal 3 2 7 2 2 2" xfId="16958" xr:uid="{B85CE22C-03B8-4BDD-B459-9A81020550A4}"/>
    <cellStyle name="Normal 3 2 7 2 3" xfId="12740" xr:uid="{D358F86C-DF78-4D4D-9EBB-AB9D3714ED98}"/>
    <cellStyle name="Normal 3 2 7 3" xfId="6363" xr:uid="{00000000-0005-0000-0000-0000DD110000}"/>
    <cellStyle name="Normal 3 2 7 3 2" xfId="14813" xr:uid="{59A09598-2407-4E01-8D9C-AC658E2F5EB3}"/>
    <cellStyle name="Normal 3 2 7 4" xfId="10595" xr:uid="{5D4136A5-50E8-41AF-B8AD-ECFF7CC3D61E}"/>
    <cellStyle name="Normal 3 2 8" xfId="2493" xr:uid="{00000000-0005-0000-0000-0000DE110000}"/>
    <cellStyle name="Normal 3 2 8 2" xfId="6776" xr:uid="{00000000-0005-0000-0000-0000DF110000}"/>
    <cellStyle name="Normal 3 2 8 2 2" xfId="15226" xr:uid="{942A33F9-C624-4280-B964-1997337CE820}"/>
    <cellStyle name="Normal 3 2 8 3" xfId="11008" xr:uid="{0B725DD5-AEB6-4ABA-94AE-BB09A4F956A8}"/>
    <cellStyle name="Normal 3 2 9" xfId="4710" xr:uid="{00000000-0005-0000-0000-0000E0110000}"/>
    <cellStyle name="Normal 3 2 9 2" xfId="13160" xr:uid="{CADED4CD-35B8-4135-BFB6-0230AAD82CE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CC9ED957-8B8A-4E22-A30D-83A5F3099308}"/>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183BF0FB-44E6-4185-BF2A-CC6CAB884846}"/>
    <cellStyle name="Normal 4 2 2 10 2 3" xfId="12745" xr:uid="{79782696-364F-4E99-BCDD-0DF7BBA4EF05}"/>
    <cellStyle name="Normal 4 2 2 10 3" xfId="6368" xr:uid="{00000000-0005-0000-0000-0000ED110000}"/>
    <cellStyle name="Normal 4 2 2 10 3 2" xfId="14818" xr:uid="{5296CDEE-6469-4879-84A8-66ACFD9C2422}"/>
    <cellStyle name="Normal 4 2 2 10 4" xfId="10600" xr:uid="{2162ECA6-4598-4E60-93D2-E3939264AB91}"/>
    <cellStyle name="Normal 4 2 2 11" xfId="2498" xr:uid="{00000000-0005-0000-0000-0000EE110000}"/>
    <cellStyle name="Normal 4 2 2 11 2" xfId="6781" xr:uid="{00000000-0005-0000-0000-0000EF110000}"/>
    <cellStyle name="Normal 4 2 2 11 2 2" xfId="15231" xr:uid="{E7A6A649-249E-494C-A30B-99B5FF4A0A9B}"/>
    <cellStyle name="Normal 4 2 2 11 3" xfId="11013" xr:uid="{F98FDAD9-196B-46B7-88D5-FB5EBDD13BAE}"/>
    <cellStyle name="Normal 4 2 2 12" xfId="4716" xr:uid="{00000000-0005-0000-0000-0000F0110000}"/>
    <cellStyle name="Normal 4 2 2 12 2" xfId="13166" xr:uid="{D6860D28-CA0D-4B86-BA42-88C46463A682}"/>
    <cellStyle name="Normal 4 2 2 13" xfId="8948" xr:uid="{2B32997C-03EA-4966-B23B-18DD1A0206F6}"/>
    <cellStyle name="Normal 4 2 2 2" xfId="338" xr:uid="{00000000-0005-0000-0000-0000F1110000}"/>
    <cellStyle name="Normal 4 2 2 3" xfId="339" xr:uid="{00000000-0005-0000-0000-0000F2110000}"/>
    <cellStyle name="Normal 4 2 2 3 10" xfId="4717" xr:uid="{00000000-0005-0000-0000-0000F3110000}"/>
    <cellStyle name="Normal 4 2 2 3 10 2" xfId="13167" xr:uid="{D0BF5B70-71EC-4A8A-8ECD-E816774A15AC}"/>
    <cellStyle name="Normal 4 2 2 3 11" xfId="8949" xr:uid="{2CA49998-5E15-46A5-92B2-1044F5B74742}"/>
    <cellStyle name="Normal 4 2 2 3 2" xfId="340" xr:uid="{00000000-0005-0000-0000-0000F4110000}"/>
    <cellStyle name="Normal 4 2 2 3 2 10" xfId="8950" xr:uid="{6396C2EC-17C2-4759-BD70-2B8E8A89631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B0CB8E8D-7CE1-476D-82AE-664E35055EAF}"/>
    <cellStyle name="Normal 4 2 2 3 2 2 2 2 2 3" xfId="11510" xr:uid="{A00C3577-065C-4057-81B5-733D1B44E57D}"/>
    <cellStyle name="Normal 4 2 2 3 2 2 2 2 3" xfId="5133" xr:uid="{00000000-0005-0000-0000-0000FA110000}"/>
    <cellStyle name="Normal 4 2 2 3 2 2 2 2 3 2" xfId="13583" xr:uid="{0B9D854B-3947-422F-A2AC-BE9A4467A018}"/>
    <cellStyle name="Normal 4 2 2 3 2 2 2 2 4" xfId="9365" xr:uid="{075BC8DD-A9C6-430F-9B29-C67030D7AB87}"/>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DA894A26-6650-44EA-B2B4-5BA7021DC379}"/>
    <cellStyle name="Normal 4 2 2 3 2 2 2 3 2 3" xfId="11923" xr:uid="{B28CF75F-632E-4703-98E4-BBC687F7F08A}"/>
    <cellStyle name="Normal 4 2 2 3 2 2 2 3 3" xfId="5546" xr:uid="{00000000-0005-0000-0000-0000FE110000}"/>
    <cellStyle name="Normal 4 2 2 3 2 2 2 3 3 2" xfId="13996" xr:uid="{932B19F2-6E0D-46FA-8DFD-EBCEC92AA0CC}"/>
    <cellStyle name="Normal 4 2 2 3 2 2 2 3 4" xfId="9778" xr:uid="{376C7B4E-B3BB-4029-AC2A-6FF067E5CB16}"/>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DE445121-A552-43BC-BA37-138A13ADBA40}"/>
    <cellStyle name="Normal 4 2 2 3 2 2 2 4 2 3" xfId="12336" xr:uid="{1DDA6572-0D11-493C-BD3E-8C2FC9F135B7}"/>
    <cellStyle name="Normal 4 2 2 3 2 2 2 4 3" xfId="5959" xr:uid="{00000000-0005-0000-0000-000002120000}"/>
    <cellStyle name="Normal 4 2 2 3 2 2 2 4 3 2" xfId="14409" xr:uid="{6396F5EA-68BF-4C12-A934-D9EB368A3A56}"/>
    <cellStyle name="Normal 4 2 2 3 2 2 2 4 4" xfId="10191" xr:uid="{6BA91C71-F9D6-4ABB-B008-CB004E9413CE}"/>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21760638-0E54-4518-A176-6FF849BE2B01}"/>
    <cellStyle name="Normal 4 2 2 3 2 2 2 5 2 3" xfId="12749" xr:uid="{81026E7C-20F5-46F7-9859-BABCEFA35E80}"/>
    <cellStyle name="Normal 4 2 2 3 2 2 2 5 3" xfId="6372" xr:uid="{00000000-0005-0000-0000-000006120000}"/>
    <cellStyle name="Normal 4 2 2 3 2 2 2 5 3 2" xfId="14822" xr:uid="{A5F82A65-8368-4CCA-8167-C8FB7E4B4B5C}"/>
    <cellStyle name="Normal 4 2 2 3 2 2 2 5 4" xfId="10604" xr:uid="{3230483F-09ED-4745-A29E-30CE5593B658}"/>
    <cellStyle name="Normal 4 2 2 3 2 2 2 6" xfId="2502" xr:uid="{00000000-0005-0000-0000-000007120000}"/>
    <cellStyle name="Normal 4 2 2 3 2 2 2 6 2" xfId="6785" xr:uid="{00000000-0005-0000-0000-000008120000}"/>
    <cellStyle name="Normal 4 2 2 3 2 2 2 6 2 2" xfId="15235" xr:uid="{0789002D-5B74-4F4D-B402-7594CC5C23EB}"/>
    <cellStyle name="Normal 4 2 2 3 2 2 2 6 3" xfId="11017" xr:uid="{EA9924EC-7C24-4E8D-92A8-F070A0119677}"/>
    <cellStyle name="Normal 4 2 2 3 2 2 2 7" xfId="4720" xr:uid="{00000000-0005-0000-0000-000009120000}"/>
    <cellStyle name="Normal 4 2 2 3 2 2 2 7 2" xfId="13170" xr:uid="{371F3DC6-D126-4FA2-8A0D-688A5E51B3FB}"/>
    <cellStyle name="Normal 4 2 2 3 2 2 2 8" xfId="8952" xr:uid="{53A68DC2-2ECD-47CD-B7DC-9A3E13BDE71D}"/>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4A67A75D-9B96-4270-806C-1502CC850D90}"/>
    <cellStyle name="Normal 4 2 2 3 2 2 3 2 3" xfId="11509" xr:uid="{73668D6A-ADCC-4933-8A12-791DDF845FA0}"/>
    <cellStyle name="Normal 4 2 2 3 2 2 3 3" xfId="5132" xr:uid="{00000000-0005-0000-0000-00000D120000}"/>
    <cellStyle name="Normal 4 2 2 3 2 2 3 3 2" xfId="13582" xr:uid="{EACCEA78-3EB1-46FC-8D1F-7E1FFAB8B601}"/>
    <cellStyle name="Normal 4 2 2 3 2 2 3 4" xfId="9364" xr:uid="{685DB919-4B40-41BD-85D6-94FF01DF5CD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1FE4EC57-26FD-49D0-AE1D-8CAA121B4255}"/>
    <cellStyle name="Normal 4 2 2 3 2 2 4 2 3" xfId="11922" xr:uid="{ACEE2F4E-1E19-4B83-89ED-C99BBC3432D9}"/>
    <cellStyle name="Normal 4 2 2 3 2 2 4 3" xfId="5545" xr:uid="{00000000-0005-0000-0000-000011120000}"/>
    <cellStyle name="Normal 4 2 2 3 2 2 4 3 2" xfId="13995" xr:uid="{A785A0D7-FB47-42E1-AF17-5C8152B9C82D}"/>
    <cellStyle name="Normal 4 2 2 3 2 2 4 4" xfId="9777" xr:uid="{3024A5CF-DF1F-4530-A9F5-B6902632A372}"/>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EDF40BA1-ECCC-4308-A336-B9D6ADA0252D}"/>
    <cellStyle name="Normal 4 2 2 3 2 2 5 2 3" xfId="12335" xr:uid="{2E8C2C32-585B-4C91-A78F-6AA612F0E289}"/>
    <cellStyle name="Normal 4 2 2 3 2 2 5 3" xfId="5958" xr:uid="{00000000-0005-0000-0000-000015120000}"/>
    <cellStyle name="Normal 4 2 2 3 2 2 5 3 2" xfId="14408" xr:uid="{047E4FAE-2418-4E7B-A162-2826A796E55C}"/>
    <cellStyle name="Normal 4 2 2 3 2 2 5 4" xfId="10190" xr:uid="{3688340B-E71F-401C-89F2-FE3B01ED9AD5}"/>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B424E6D8-BE17-4934-BB4F-E9CF4AE51F52}"/>
    <cellStyle name="Normal 4 2 2 3 2 2 6 2 3" xfId="12748" xr:uid="{53A540C1-307B-41D8-8F6E-6F279C04A166}"/>
    <cellStyle name="Normal 4 2 2 3 2 2 6 3" xfId="6371" xr:uid="{00000000-0005-0000-0000-000019120000}"/>
    <cellStyle name="Normal 4 2 2 3 2 2 6 3 2" xfId="14821" xr:uid="{43CFC935-1D23-4CFC-BBE5-997EFBD4CA44}"/>
    <cellStyle name="Normal 4 2 2 3 2 2 6 4" xfId="10603" xr:uid="{72552F6A-DC1E-48AD-9AF4-5537F08704FE}"/>
    <cellStyle name="Normal 4 2 2 3 2 2 7" xfId="2501" xr:uid="{00000000-0005-0000-0000-00001A120000}"/>
    <cellStyle name="Normal 4 2 2 3 2 2 7 2" xfId="6784" xr:uid="{00000000-0005-0000-0000-00001B120000}"/>
    <cellStyle name="Normal 4 2 2 3 2 2 7 2 2" xfId="15234" xr:uid="{A3EC981D-ACD4-4586-85FD-BC5FB8F8DBE5}"/>
    <cellStyle name="Normal 4 2 2 3 2 2 7 3" xfId="11016" xr:uid="{B458449E-8639-453F-87F5-472A17F6F75D}"/>
    <cellStyle name="Normal 4 2 2 3 2 2 8" xfId="4719" xr:uid="{00000000-0005-0000-0000-00001C120000}"/>
    <cellStyle name="Normal 4 2 2 3 2 2 8 2" xfId="13169" xr:uid="{AEBDA21B-ED33-4BAC-A857-81281C207304}"/>
    <cellStyle name="Normal 4 2 2 3 2 2 9" xfId="8951" xr:uid="{6ED6D77A-93CF-4676-BF18-952C773432ED}"/>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46CBCE6F-0468-43CB-94E4-11E9235E0D11}"/>
    <cellStyle name="Normal 4 2 2 3 2 3 2 2 3" xfId="11511" xr:uid="{F0D46EB7-94C6-46E5-9D3E-6F730E1BE602}"/>
    <cellStyle name="Normal 4 2 2 3 2 3 2 3" xfId="5134" xr:uid="{00000000-0005-0000-0000-000021120000}"/>
    <cellStyle name="Normal 4 2 2 3 2 3 2 3 2" xfId="13584" xr:uid="{FA2D692E-AA04-47FA-8FA4-9EA0C5094D46}"/>
    <cellStyle name="Normal 4 2 2 3 2 3 2 4" xfId="9366" xr:uid="{83D35B91-7E22-4ED3-9BFF-0F6B4C2553A6}"/>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281A0E98-B103-4C14-9186-809FE8393F26}"/>
    <cellStyle name="Normal 4 2 2 3 2 3 3 2 3" xfId="11924" xr:uid="{92456335-73C3-472A-BD66-BFA452053BB9}"/>
    <cellStyle name="Normal 4 2 2 3 2 3 3 3" xfId="5547" xr:uid="{00000000-0005-0000-0000-000025120000}"/>
    <cellStyle name="Normal 4 2 2 3 2 3 3 3 2" xfId="13997" xr:uid="{BE28FE2F-C158-4D1F-91B9-0A1519A5E696}"/>
    <cellStyle name="Normal 4 2 2 3 2 3 3 4" xfId="9779" xr:uid="{9FF5E64E-F2AC-43C8-9F7F-8368C9E057B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69C19814-AFF9-4B48-9FBA-30E8D6110765}"/>
    <cellStyle name="Normal 4 2 2 3 2 3 4 2 3" xfId="12337" xr:uid="{0448FD9E-C649-48C6-9138-D4B708B07689}"/>
    <cellStyle name="Normal 4 2 2 3 2 3 4 3" xfId="5960" xr:uid="{00000000-0005-0000-0000-000029120000}"/>
    <cellStyle name="Normal 4 2 2 3 2 3 4 3 2" xfId="14410" xr:uid="{634850EA-E9D1-4750-9118-A112F2701488}"/>
    <cellStyle name="Normal 4 2 2 3 2 3 4 4" xfId="10192" xr:uid="{4F81D842-08E4-4C51-A618-0690C425BB6C}"/>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B6D34A25-DA48-4B32-A7CE-1A2AF3208E22}"/>
    <cellStyle name="Normal 4 2 2 3 2 3 5 2 3" xfId="12750" xr:uid="{CF04F200-2282-44EC-A582-08EED1055710}"/>
    <cellStyle name="Normal 4 2 2 3 2 3 5 3" xfId="6373" xr:uid="{00000000-0005-0000-0000-00002D120000}"/>
    <cellStyle name="Normal 4 2 2 3 2 3 5 3 2" xfId="14823" xr:uid="{B70221AC-0C6A-41B7-88C3-A153E76264D2}"/>
    <cellStyle name="Normal 4 2 2 3 2 3 5 4" xfId="10605" xr:uid="{5C5626A4-1906-466A-B945-E6D88EC919A6}"/>
    <cellStyle name="Normal 4 2 2 3 2 3 6" xfId="2503" xr:uid="{00000000-0005-0000-0000-00002E120000}"/>
    <cellStyle name="Normal 4 2 2 3 2 3 6 2" xfId="6786" xr:uid="{00000000-0005-0000-0000-00002F120000}"/>
    <cellStyle name="Normal 4 2 2 3 2 3 6 2 2" xfId="15236" xr:uid="{55D26664-7526-406C-BDEB-ED8B66D355E8}"/>
    <cellStyle name="Normal 4 2 2 3 2 3 6 3" xfId="11018" xr:uid="{BDFF42B7-FA5B-4CB5-AFB7-7A8A962DEF08}"/>
    <cellStyle name="Normal 4 2 2 3 2 3 7" xfId="4721" xr:uid="{00000000-0005-0000-0000-000030120000}"/>
    <cellStyle name="Normal 4 2 2 3 2 3 7 2" xfId="13171" xr:uid="{CE0B321F-7C7B-4B22-BCA1-D9A857E1AA28}"/>
    <cellStyle name="Normal 4 2 2 3 2 3 8" xfId="8953" xr:uid="{2C624F01-F95D-4A11-AEDC-66C98B31B55D}"/>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483D50C8-B1DE-4B5C-99DF-9D1A342A154B}"/>
    <cellStyle name="Normal 4 2 2 3 2 4 2 3" xfId="11508" xr:uid="{759C8A0B-4330-40D4-9714-A148F97C08E3}"/>
    <cellStyle name="Normal 4 2 2 3 2 4 3" xfId="5131" xr:uid="{00000000-0005-0000-0000-000034120000}"/>
    <cellStyle name="Normal 4 2 2 3 2 4 3 2" xfId="13581" xr:uid="{CA454ADE-2AB2-42EE-83CD-477B2D3E45DD}"/>
    <cellStyle name="Normal 4 2 2 3 2 4 4" xfId="9363" xr:uid="{C7043F00-D886-4EF5-970E-560B48CF80A4}"/>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B7A73F9-917E-43A9-BF6A-E8513B3E1101}"/>
    <cellStyle name="Normal 4 2 2 3 2 5 2 3" xfId="11921" xr:uid="{FE5EFB29-0757-4B09-B0A9-856FD72E4999}"/>
    <cellStyle name="Normal 4 2 2 3 2 5 3" xfId="5544" xr:uid="{00000000-0005-0000-0000-000038120000}"/>
    <cellStyle name="Normal 4 2 2 3 2 5 3 2" xfId="13994" xr:uid="{EF168EF2-F325-47D2-A573-E4A53A198474}"/>
    <cellStyle name="Normal 4 2 2 3 2 5 4" xfId="9776" xr:uid="{51C87B79-CEE5-4158-B101-0A64F1D0C06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C0551976-C0D2-4F6D-8626-85B4BBBE35D0}"/>
    <cellStyle name="Normal 4 2 2 3 2 6 2 3" xfId="12334" xr:uid="{18314E80-4171-4492-A300-F61BBE3C5629}"/>
    <cellStyle name="Normal 4 2 2 3 2 6 3" xfId="5957" xr:uid="{00000000-0005-0000-0000-00003C120000}"/>
    <cellStyle name="Normal 4 2 2 3 2 6 3 2" xfId="14407" xr:uid="{CD4CE677-77DD-4A38-A900-55B8879AF68E}"/>
    <cellStyle name="Normal 4 2 2 3 2 6 4" xfId="10189" xr:uid="{6422C66E-5710-4CC3-A719-F1897756EF87}"/>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066E7730-0FF1-49B4-95FB-5E9ADA4AAB1C}"/>
    <cellStyle name="Normal 4 2 2 3 2 7 2 3" xfId="12747" xr:uid="{0C1E5B05-3CBF-41B8-AEF8-B1AFE9D37298}"/>
    <cellStyle name="Normal 4 2 2 3 2 7 3" xfId="6370" xr:uid="{00000000-0005-0000-0000-000040120000}"/>
    <cellStyle name="Normal 4 2 2 3 2 7 3 2" xfId="14820" xr:uid="{140D5192-DC20-423A-819B-B53379A2744A}"/>
    <cellStyle name="Normal 4 2 2 3 2 7 4" xfId="10602" xr:uid="{6C3D8480-B016-451F-8937-350180BE0A84}"/>
    <cellStyle name="Normal 4 2 2 3 2 8" xfId="2500" xr:uid="{00000000-0005-0000-0000-000041120000}"/>
    <cellStyle name="Normal 4 2 2 3 2 8 2" xfId="6783" xr:uid="{00000000-0005-0000-0000-000042120000}"/>
    <cellStyle name="Normal 4 2 2 3 2 8 2 2" xfId="15233" xr:uid="{74DF8589-407D-48AE-8ABD-B4B28E64F753}"/>
    <cellStyle name="Normal 4 2 2 3 2 8 3" xfId="11015" xr:uid="{7442F41C-A766-45D1-9D7C-D759FDECA402}"/>
    <cellStyle name="Normal 4 2 2 3 2 9" xfId="4718" xr:uid="{00000000-0005-0000-0000-000043120000}"/>
    <cellStyle name="Normal 4 2 2 3 2 9 2" xfId="13168" xr:uid="{4482D700-1E36-47E7-A731-DE30E3E37446}"/>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F2FB8736-81C4-41A7-A2D2-73D40C4C08BF}"/>
    <cellStyle name="Normal 4 2 2 3 3 2 2 2 3" xfId="11513" xr:uid="{67CC166F-ECAE-4F02-9D5D-E7063D2052C2}"/>
    <cellStyle name="Normal 4 2 2 3 3 2 2 3" xfId="5136" xr:uid="{00000000-0005-0000-0000-000049120000}"/>
    <cellStyle name="Normal 4 2 2 3 3 2 2 3 2" xfId="13586" xr:uid="{5485E1BE-57DD-4036-A289-CE1AB313E87B}"/>
    <cellStyle name="Normal 4 2 2 3 3 2 2 4" xfId="9368" xr:uid="{1FA7C44E-EB4C-4C8C-9D52-42803BCBF9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04EDCBE6-59AE-4C3E-9213-EF8E1B2B4483}"/>
    <cellStyle name="Normal 4 2 2 3 3 2 3 2 3" xfId="11926" xr:uid="{3931ED8D-7EC0-4656-AA88-54AB6DE5D598}"/>
    <cellStyle name="Normal 4 2 2 3 3 2 3 3" xfId="5549" xr:uid="{00000000-0005-0000-0000-00004D120000}"/>
    <cellStyle name="Normal 4 2 2 3 3 2 3 3 2" xfId="13999" xr:uid="{4E7B99BE-1730-4083-B92C-1A705D2BD03F}"/>
    <cellStyle name="Normal 4 2 2 3 3 2 3 4" xfId="9781" xr:uid="{EBFE75B1-5F77-4ABD-9AAE-523A8CE96F32}"/>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181E8675-66D1-4CD1-938C-A14A234685E8}"/>
    <cellStyle name="Normal 4 2 2 3 3 2 4 2 3" xfId="12339" xr:uid="{16D50564-2410-4800-B5BB-E480217AF923}"/>
    <cellStyle name="Normal 4 2 2 3 3 2 4 3" xfId="5962" xr:uid="{00000000-0005-0000-0000-000051120000}"/>
    <cellStyle name="Normal 4 2 2 3 3 2 4 3 2" xfId="14412" xr:uid="{1FDBB784-A0B7-4C45-A43D-BBFAFD545F79}"/>
    <cellStyle name="Normal 4 2 2 3 3 2 4 4" xfId="10194" xr:uid="{1CE81290-82E2-4D0E-BDF4-EC6D069DE143}"/>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6659CD1B-9E72-434D-B2AC-2CA05855041A}"/>
    <cellStyle name="Normal 4 2 2 3 3 2 5 2 3" xfId="12752" xr:uid="{23696C31-95BF-4041-B54C-4905D383C2BB}"/>
    <cellStyle name="Normal 4 2 2 3 3 2 5 3" xfId="6375" xr:uid="{00000000-0005-0000-0000-000055120000}"/>
    <cellStyle name="Normal 4 2 2 3 3 2 5 3 2" xfId="14825" xr:uid="{2F353B38-4D49-44AB-8F7C-F1273089FB6B}"/>
    <cellStyle name="Normal 4 2 2 3 3 2 5 4" xfId="10607" xr:uid="{17964163-F2D9-4834-9A34-0B8634210EEE}"/>
    <cellStyle name="Normal 4 2 2 3 3 2 6" xfId="2505" xr:uid="{00000000-0005-0000-0000-000056120000}"/>
    <cellStyle name="Normal 4 2 2 3 3 2 6 2" xfId="6788" xr:uid="{00000000-0005-0000-0000-000057120000}"/>
    <cellStyle name="Normal 4 2 2 3 3 2 6 2 2" xfId="15238" xr:uid="{EB5DDC47-CDE9-4619-81F1-31749EE4C9E3}"/>
    <cellStyle name="Normal 4 2 2 3 3 2 6 3" xfId="11020" xr:uid="{5987C4D7-ACF7-490D-B77D-92CAE9CB523F}"/>
    <cellStyle name="Normal 4 2 2 3 3 2 7" xfId="4723" xr:uid="{00000000-0005-0000-0000-000058120000}"/>
    <cellStyle name="Normal 4 2 2 3 3 2 7 2" xfId="13173" xr:uid="{C4342891-F312-4AA0-AF10-D864F760DF00}"/>
    <cellStyle name="Normal 4 2 2 3 3 2 8" xfId="8955" xr:uid="{D3F39682-B010-4340-AFC6-2EC17D005D8D}"/>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DA2EAFFE-0EA8-446A-8E86-1AD42E3F076A}"/>
    <cellStyle name="Normal 4 2 2 3 3 3 2 3" xfId="11512" xr:uid="{40B36F6F-5EF2-420B-98BE-F0D5E6BCEEBD}"/>
    <cellStyle name="Normal 4 2 2 3 3 3 3" xfId="5135" xr:uid="{00000000-0005-0000-0000-00005C120000}"/>
    <cellStyle name="Normal 4 2 2 3 3 3 3 2" xfId="13585" xr:uid="{65920B12-0C85-4D1A-81E2-D584E74965E9}"/>
    <cellStyle name="Normal 4 2 2 3 3 3 4" xfId="9367" xr:uid="{E8F00A15-1946-41B0-9199-8699C6983D2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A6366629-01D4-499F-B672-C6646BAA53F5}"/>
    <cellStyle name="Normal 4 2 2 3 3 4 2 3" xfId="11925" xr:uid="{4448DDCB-3651-4718-9F31-49EE812352B3}"/>
    <cellStyle name="Normal 4 2 2 3 3 4 3" xfId="5548" xr:uid="{00000000-0005-0000-0000-000060120000}"/>
    <cellStyle name="Normal 4 2 2 3 3 4 3 2" xfId="13998" xr:uid="{71CD05A5-8F9C-4F29-84C2-3899529AA0E9}"/>
    <cellStyle name="Normal 4 2 2 3 3 4 4" xfId="9780" xr:uid="{488A2EAD-CCC8-4BBC-9A83-9F14EA7B7F1C}"/>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AFA0B607-CB83-4112-8642-399EF07143B2}"/>
    <cellStyle name="Normal 4 2 2 3 3 5 2 3" xfId="12338" xr:uid="{96F854B2-FC75-42B4-B599-F0B504788ACE}"/>
    <cellStyle name="Normal 4 2 2 3 3 5 3" xfId="5961" xr:uid="{00000000-0005-0000-0000-000064120000}"/>
    <cellStyle name="Normal 4 2 2 3 3 5 3 2" xfId="14411" xr:uid="{E0C213D6-F48A-4849-98C0-A30058AFF6C1}"/>
    <cellStyle name="Normal 4 2 2 3 3 5 4" xfId="10193" xr:uid="{7BB31ADB-72CC-4B5A-A10D-D178EC8C0025}"/>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88B9099A-1676-4403-960B-2C6992E81429}"/>
    <cellStyle name="Normal 4 2 2 3 3 6 2 3" xfId="12751" xr:uid="{F54FCA50-5EC4-4B1E-AFAC-09B61CD1BF1B}"/>
    <cellStyle name="Normal 4 2 2 3 3 6 3" xfId="6374" xr:uid="{00000000-0005-0000-0000-000068120000}"/>
    <cellStyle name="Normal 4 2 2 3 3 6 3 2" xfId="14824" xr:uid="{E7623378-AB60-4567-B685-F3E68E5CBE66}"/>
    <cellStyle name="Normal 4 2 2 3 3 6 4" xfId="10606" xr:uid="{42D97E83-4960-4BB0-84CD-2E9EBA5A9FB0}"/>
    <cellStyle name="Normal 4 2 2 3 3 7" xfId="2504" xr:uid="{00000000-0005-0000-0000-000069120000}"/>
    <cellStyle name="Normal 4 2 2 3 3 7 2" xfId="6787" xr:uid="{00000000-0005-0000-0000-00006A120000}"/>
    <cellStyle name="Normal 4 2 2 3 3 7 2 2" xfId="15237" xr:uid="{E3AEAA16-3C31-44A9-AFC7-CF1A48875F38}"/>
    <cellStyle name="Normal 4 2 2 3 3 7 3" xfId="11019" xr:uid="{91BA70BF-795B-4D4F-A691-B0231ABB307A}"/>
    <cellStyle name="Normal 4 2 2 3 3 8" xfId="4722" xr:uid="{00000000-0005-0000-0000-00006B120000}"/>
    <cellStyle name="Normal 4 2 2 3 3 8 2" xfId="13172" xr:uid="{956DD6D6-9600-4659-AA46-9C9BCA5A9767}"/>
    <cellStyle name="Normal 4 2 2 3 3 9" xfId="8954" xr:uid="{A675A150-068E-491E-B053-CAF13C05F6A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EA7DF27C-92AF-4EBB-A76F-BB4FF8FF9705}"/>
    <cellStyle name="Normal 4 2 2 3 4 2 2 3" xfId="11514" xr:uid="{B48EB104-5735-4EB3-BEF9-1C70A9721698}"/>
    <cellStyle name="Normal 4 2 2 3 4 2 3" xfId="5137" xr:uid="{00000000-0005-0000-0000-000070120000}"/>
    <cellStyle name="Normal 4 2 2 3 4 2 3 2" xfId="13587" xr:uid="{F591A64D-21AF-420E-83C4-A69A8BDA2ADB}"/>
    <cellStyle name="Normal 4 2 2 3 4 2 4" xfId="9369" xr:uid="{D30E957D-FD90-4DAC-B896-CB4549945251}"/>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E8CA6533-740D-411C-BA6E-F94420660B04}"/>
    <cellStyle name="Normal 4 2 2 3 4 3 2 3" xfId="11927" xr:uid="{8044575B-187B-4AD6-955A-D5DF5E824E17}"/>
    <cellStyle name="Normal 4 2 2 3 4 3 3" xfId="5550" xr:uid="{00000000-0005-0000-0000-000074120000}"/>
    <cellStyle name="Normal 4 2 2 3 4 3 3 2" xfId="14000" xr:uid="{0089ECF7-FAFF-46DB-8294-9299879336D7}"/>
    <cellStyle name="Normal 4 2 2 3 4 3 4" xfId="9782" xr:uid="{3B0BB56A-582A-4FA7-990F-9CD328BB4CBB}"/>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56933E79-7A9E-4402-A3D6-CE764B50AFCC}"/>
    <cellStyle name="Normal 4 2 2 3 4 4 2 3" xfId="12340" xr:uid="{9A1DAF6F-8D67-4433-9EDB-6E93EC5C1565}"/>
    <cellStyle name="Normal 4 2 2 3 4 4 3" xfId="5963" xr:uid="{00000000-0005-0000-0000-000078120000}"/>
    <cellStyle name="Normal 4 2 2 3 4 4 3 2" xfId="14413" xr:uid="{F13A89CD-798E-4484-A33B-74CCDD3BECCA}"/>
    <cellStyle name="Normal 4 2 2 3 4 4 4" xfId="10195" xr:uid="{01D3EEB9-D718-470D-A70C-CBCD6021706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5036D5E7-7AFC-4677-BD4C-7E9AAD40143A}"/>
    <cellStyle name="Normal 4 2 2 3 4 5 2 3" xfId="12753" xr:uid="{56460D7D-E374-480B-AB37-7138C8142479}"/>
    <cellStyle name="Normal 4 2 2 3 4 5 3" xfId="6376" xr:uid="{00000000-0005-0000-0000-00007C120000}"/>
    <cellStyle name="Normal 4 2 2 3 4 5 3 2" xfId="14826" xr:uid="{7A35785E-FB6C-439D-BBBE-A9EFC4C786DD}"/>
    <cellStyle name="Normal 4 2 2 3 4 5 4" xfId="10608" xr:uid="{237E9762-900D-45B8-94A0-A6814384962F}"/>
    <cellStyle name="Normal 4 2 2 3 4 6" xfId="2506" xr:uid="{00000000-0005-0000-0000-00007D120000}"/>
    <cellStyle name="Normal 4 2 2 3 4 6 2" xfId="6789" xr:uid="{00000000-0005-0000-0000-00007E120000}"/>
    <cellStyle name="Normal 4 2 2 3 4 6 2 2" xfId="15239" xr:uid="{BE4AFF7D-F4F3-4135-B040-B34EFC6B201A}"/>
    <cellStyle name="Normal 4 2 2 3 4 6 3" xfId="11021" xr:uid="{C992B7DB-8828-4571-A67F-331E2B62CAC8}"/>
    <cellStyle name="Normal 4 2 2 3 4 7" xfId="4724" xr:uid="{00000000-0005-0000-0000-00007F120000}"/>
    <cellStyle name="Normal 4 2 2 3 4 7 2" xfId="13174" xr:uid="{B13D781B-07F5-45AC-A2F9-D8B1BE4F15F7}"/>
    <cellStyle name="Normal 4 2 2 3 4 8" xfId="8956" xr:uid="{01E5E518-9E06-42CF-97D7-E720AFA3D349}"/>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D83699B2-7C83-422A-BDEA-DDC739FB5244}"/>
    <cellStyle name="Normal 4 2 2 3 5 2 3" xfId="11507" xr:uid="{61E8709A-8BE0-4371-B434-2B3899824B9F}"/>
    <cellStyle name="Normal 4 2 2 3 5 3" xfId="5130" xr:uid="{00000000-0005-0000-0000-000083120000}"/>
    <cellStyle name="Normal 4 2 2 3 5 3 2" xfId="13580" xr:uid="{2FF002C8-CFA4-4FE2-AB80-A347EADF557D}"/>
    <cellStyle name="Normal 4 2 2 3 5 4" xfId="9362" xr:uid="{1A380EDD-9654-45B6-8B4C-B1B5D9AADA65}"/>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95F3411A-DC4F-4E99-BDC3-BEBCDE85DBB0}"/>
    <cellStyle name="Normal 4 2 2 3 6 2 3" xfId="11920" xr:uid="{4D24B0C0-1950-4837-A6A4-74563522B397}"/>
    <cellStyle name="Normal 4 2 2 3 6 3" xfId="5543" xr:uid="{00000000-0005-0000-0000-000087120000}"/>
    <cellStyle name="Normal 4 2 2 3 6 3 2" xfId="13993" xr:uid="{E9D9AF68-0D5F-4C81-AE31-0670080A8798}"/>
    <cellStyle name="Normal 4 2 2 3 6 4" xfId="9775" xr:uid="{9E0216B4-08C9-41E6-9CC1-C87901E46AF0}"/>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30785F32-393F-4090-8574-76924ED6745F}"/>
    <cellStyle name="Normal 4 2 2 3 7 2 3" xfId="12333" xr:uid="{11B96448-2C61-44E6-A549-92B8485A9A5F}"/>
    <cellStyle name="Normal 4 2 2 3 7 3" xfId="5956" xr:uid="{00000000-0005-0000-0000-00008B120000}"/>
    <cellStyle name="Normal 4 2 2 3 7 3 2" xfId="14406" xr:uid="{76206D67-1290-4546-8DB3-556C5C15A128}"/>
    <cellStyle name="Normal 4 2 2 3 7 4" xfId="10188" xr:uid="{4072B281-E99F-4CA1-8AFD-B36BF1EDC61D}"/>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092A80D4-543B-45D5-81A2-7D76A79FC8BF}"/>
    <cellStyle name="Normal 4 2 2 3 8 2 3" xfId="12746" xr:uid="{C2F4F0D7-DD8E-47D3-9191-4C7F2571D7CA}"/>
    <cellStyle name="Normal 4 2 2 3 8 3" xfId="6369" xr:uid="{00000000-0005-0000-0000-00008F120000}"/>
    <cellStyle name="Normal 4 2 2 3 8 3 2" xfId="14819" xr:uid="{115CEB10-BD29-467F-9F3E-E0745A77F194}"/>
    <cellStyle name="Normal 4 2 2 3 8 4" xfId="10601" xr:uid="{6AE1F55B-6BD7-4BB5-A85F-5FD5B7575D4B}"/>
    <cellStyle name="Normal 4 2 2 3 9" xfId="2499" xr:uid="{00000000-0005-0000-0000-000090120000}"/>
    <cellStyle name="Normal 4 2 2 3 9 2" xfId="6782" xr:uid="{00000000-0005-0000-0000-000091120000}"/>
    <cellStyle name="Normal 4 2 2 3 9 2 2" xfId="15232" xr:uid="{28D8937F-72BE-4649-8E02-E8656F3A39CF}"/>
    <cellStyle name="Normal 4 2 2 3 9 3" xfId="11014" xr:uid="{344E1251-3DCD-465D-B53F-B773FEFAAFE2}"/>
    <cellStyle name="Normal 4 2 2 4" xfId="347" xr:uid="{00000000-0005-0000-0000-000092120000}"/>
    <cellStyle name="Normal 4 2 2 4 10" xfId="8957" xr:uid="{07F441B6-8C9E-4CFB-90E3-A4785F40849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EF2ABA47-8FA6-4AA2-866D-593CD0F4BE8D}"/>
    <cellStyle name="Normal 4 2 2 4 2 2 2 2 3" xfId="11517" xr:uid="{99193E22-07DC-4894-A51B-D19360CDF7BB}"/>
    <cellStyle name="Normal 4 2 2 4 2 2 2 3" xfId="5140" xr:uid="{00000000-0005-0000-0000-000098120000}"/>
    <cellStyle name="Normal 4 2 2 4 2 2 2 3 2" xfId="13590" xr:uid="{316EAE7B-4A25-4FBF-BA78-2CB742E9E96F}"/>
    <cellStyle name="Normal 4 2 2 4 2 2 2 4" xfId="9372" xr:uid="{79EFC03D-F061-416B-BC27-921DD0BC4793}"/>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C173C58C-C617-4E1C-A5DD-68E5224CFD0A}"/>
    <cellStyle name="Normal 4 2 2 4 2 2 3 2 3" xfId="11930" xr:uid="{EF13A366-9DDF-49AF-A445-1B03CE3F351D}"/>
    <cellStyle name="Normal 4 2 2 4 2 2 3 3" xfId="5553" xr:uid="{00000000-0005-0000-0000-00009C120000}"/>
    <cellStyle name="Normal 4 2 2 4 2 2 3 3 2" xfId="14003" xr:uid="{2E6C1216-9B45-4970-8E91-1F258C1F5329}"/>
    <cellStyle name="Normal 4 2 2 4 2 2 3 4" xfId="9785" xr:uid="{08A19FB3-E820-42B9-803D-F7DAABEE76D5}"/>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5938CA71-6FB6-4AC1-A9DF-9E4E007CB964}"/>
    <cellStyle name="Normal 4 2 2 4 2 2 4 2 3" xfId="12343" xr:uid="{F4DA320F-DBF4-4984-96EA-CEF52773E546}"/>
    <cellStyle name="Normal 4 2 2 4 2 2 4 3" xfId="5966" xr:uid="{00000000-0005-0000-0000-0000A0120000}"/>
    <cellStyle name="Normal 4 2 2 4 2 2 4 3 2" xfId="14416" xr:uid="{AC41FC45-2741-4263-9B0F-499A73793F34}"/>
    <cellStyle name="Normal 4 2 2 4 2 2 4 4" xfId="10198" xr:uid="{DFA2E048-5D9B-49A7-8BB8-8525DB92B9C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891B0E18-5B86-4392-BADC-B4E1F167AB47}"/>
    <cellStyle name="Normal 4 2 2 4 2 2 5 2 3" xfId="12756" xr:uid="{A3E5A201-DBE8-4F20-8045-CF49F64F2D09}"/>
    <cellStyle name="Normal 4 2 2 4 2 2 5 3" xfId="6379" xr:uid="{00000000-0005-0000-0000-0000A4120000}"/>
    <cellStyle name="Normal 4 2 2 4 2 2 5 3 2" xfId="14829" xr:uid="{C744F4F4-E439-46C9-8455-2E38B1E5D909}"/>
    <cellStyle name="Normal 4 2 2 4 2 2 5 4" xfId="10611" xr:uid="{FFB94A99-6B88-4A5E-A8F9-B8CE909AD6BC}"/>
    <cellStyle name="Normal 4 2 2 4 2 2 6" xfId="2509" xr:uid="{00000000-0005-0000-0000-0000A5120000}"/>
    <cellStyle name="Normal 4 2 2 4 2 2 6 2" xfId="6792" xr:uid="{00000000-0005-0000-0000-0000A6120000}"/>
    <cellStyle name="Normal 4 2 2 4 2 2 6 2 2" xfId="15242" xr:uid="{E2138FEE-37D8-41EA-A83C-C45C45B4092B}"/>
    <cellStyle name="Normal 4 2 2 4 2 2 6 3" xfId="11024" xr:uid="{5958DDC1-AAC1-4454-9AA6-A3C93FFAFFFA}"/>
    <cellStyle name="Normal 4 2 2 4 2 2 7" xfId="4727" xr:uid="{00000000-0005-0000-0000-0000A7120000}"/>
    <cellStyle name="Normal 4 2 2 4 2 2 7 2" xfId="13177" xr:uid="{9DF0A2F7-F76A-4CE2-A2D0-24F91B550774}"/>
    <cellStyle name="Normal 4 2 2 4 2 2 8" xfId="8959" xr:uid="{2D434F5D-1664-4EAE-A91A-EA32DCC6B6E2}"/>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F6869EBE-3D84-4E44-BF37-1BC04F998310}"/>
    <cellStyle name="Normal 4 2 2 4 2 3 2 3" xfId="11516" xr:uid="{C57ED20A-E811-40EB-B4FB-B172000B6ADB}"/>
    <cellStyle name="Normal 4 2 2 4 2 3 3" xfId="5139" xr:uid="{00000000-0005-0000-0000-0000AB120000}"/>
    <cellStyle name="Normal 4 2 2 4 2 3 3 2" xfId="13589" xr:uid="{AA85FF04-E905-4F72-8FD3-E25468562460}"/>
    <cellStyle name="Normal 4 2 2 4 2 3 4" xfId="9371" xr:uid="{132AE40F-A376-42CF-A8F8-DF6D23360E43}"/>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270E6591-3AD0-496B-938B-A0267528E403}"/>
    <cellStyle name="Normal 4 2 2 4 2 4 2 3" xfId="11929" xr:uid="{3EF8506F-F0AE-4A1E-ACFD-C49B8EEBAFC5}"/>
    <cellStyle name="Normal 4 2 2 4 2 4 3" xfId="5552" xr:uid="{00000000-0005-0000-0000-0000AF120000}"/>
    <cellStyle name="Normal 4 2 2 4 2 4 3 2" xfId="14002" xr:uid="{FA05E334-2B44-488F-A53F-5209286615FE}"/>
    <cellStyle name="Normal 4 2 2 4 2 4 4" xfId="9784" xr:uid="{C8414B16-8DE8-47FC-B6FC-66C7E68C2D49}"/>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B64F614F-E575-42F7-AA78-24D75AA7F562}"/>
    <cellStyle name="Normal 4 2 2 4 2 5 2 3" xfId="12342" xr:uid="{23673BB6-7286-4A23-AE30-C6C72DDC9572}"/>
    <cellStyle name="Normal 4 2 2 4 2 5 3" xfId="5965" xr:uid="{00000000-0005-0000-0000-0000B3120000}"/>
    <cellStyle name="Normal 4 2 2 4 2 5 3 2" xfId="14415" xr:uid="{FE6A1C54-20C9-4DA6-A339-A707E8F9EF5C}"/>
    <cellStyle name="Normal 4 2 2 4 2 5 4" xfId="10197" xr:uid="{59723372-E8B9-4314-84AF-6E8C319F052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2B1DACD1-3BAC-47E4-B8EF-7E3FEB1F32D3}"/>
    <cellStyle name="Normal 4 2 2 4 2 6 2 3" xfId="12755" xr:uid="{E3FFE56C-DA7C-4D7B-8F4B-A2E2CC82A851}"/>
    <cellStyle name="Normal 4 2 2 4 2 6 3" xfId="6378" xr:uid="{00000000-0005-0000-0000-0000B7120000}"/>
    <cellStyle name="Normal 4 2 2 4 2 6 3 2" xfId="14828" xr:uid="{E343941C-EB4D-4910-8772-81E16DA18684}"/>
    <cellStyle name="Normal 4 2 2 4 2 6 4" xfId="10610" xr:uid="{C7078FA0-A831-4C93-A477-B6983ED1FE63}"/>
    <cellStyle name="Normal 4 2 2 4 2 7" xfId="2508" xr:uid="{00000000-0005-0000-0000-0000B8120000}"/>
    <cellStyle name="Normal 4 2 2 4 2 7 2" xfId="6791" xr:uid="{00000000-0005-0000-0000-0000B9120000}"/>
    <cellStyle name="Normal 4 2 2 4 2 7 2 2" xfId="15241" xr:uid="{EF84DA40-3159-4618-93AD-9CC83DAB41D4}"/>
    <cellStyle name="Normal 4 2 2 4 2 7 3" xfId="11023" xr:uid="{A7548B0F-DAA2-480A-A002-EB988417DAE2}"/>
    <cellStyle name="Normal 4 2 2 4 2 8" xfId="4726" xr:uid="{00000000-0005-0000-0000-0000BA120000}"/>
    <cellStyle name="Normal 4 2 2 4 2 8 2" xfId="13176" xr:uid="{77BD142D-EE8A-4666-A31B-ABBF1DA5535B}"/>
    <cellStyle name="Normal 4 2 2 4 2 9" xfId="8958" xr:uid="{7259AFB7-5CD7-4F90-ADA6-85B6355BC11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37D5E846-660A-42D6-9894-658D42A431B5}"/>
    <cellStyle name="Normal 4 2 2 4 3 2 2 3" xfId="11518" xr:uid="{55B1DA69-5B8F-4EAA-9194-96AF8B369E36}"/>
    <cellStyle name="Normal 4 2 2 4 3 2 3" xfId="5141" xr:uid="{00000000-0005-0000-0000-0000BF120000}"/>
    <cellStyle name="Normal 4 2 2 4 3 2 3 2" xfId="13591" xr:uid="{DA604DA6-A528-44E3-B2FE-9865A03D42D9}"/>
    <cellStyle name="Normal 4 2 2 4 3 2 4" xfId="9373" xr:uid="{079AE02A-9860-4D8D-8642-FA2AF7D410F5}"/>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AD2C1574-F308-475B-B930-E3155901CB9F}"/>
    <cellStyle name="Normal 4 2 2 4 3 3 2 3" xfId="11931" xr:uid="{E22EA751-3389-4E6B-84D8-434785EE1BF6}"/>
    <cellStyle name="Normal 4 2 2 4 3 3 3" xfId="5554" xr:uid="{00000000-0005-0000-0000-0000C3120000}"/>
    <cellStyle name="Normal 4 2 2 4 3 3 3 2" xfId="14004" xr:uid="{5BFC616A-573E-48F8-BB68-FE0BFA405514}"/>
    <cellStyle name="Normal 4 2 2 4 3 3 4" xfId="9786" xr:uid="{42D7697D-9AFE-4E20-9668-F5A7F568591B}"/>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5BEA0D21-8585-48F0-936F-26B712D106F3}"/>
    <cellStyle name="Normal 4 2 2 4 3 4 2 3" xfId="12344" xr:uid="{953413C0-9408-4FE3-828C-9F7B02D64262}"/>
    <cellStyle name="Normal 4 2 2 4 3 4 3" xfId="5967" xr:uid="{00000000-0005-0000-0000-0000C7120000}"/>
    <cellStyle name="Normal 4 2 2 4 3 4 3 2" xfId="14417" xr:uid="{E05A29DF-C6EA-4565-800A-CFC9F22AA32C}"/>
    <cellStyle name="Normal 4 2 2 4 3 4 4" xfId="10199" xr:uid="{F9B38099-0206-4B9F-BB0B-BE4A745EBD66}"/>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4BC3CCBE-BB8A-4890-9537-777EFB153F31}"/>
    <cellStyle name="Normal 4 2 2 4 3 5 2 3" xfId="12757" xr:uid="{6F2F7765-A0EA-4021-B6BA-24B00B0E9E77}"/>
    <cellStyle name="Normal 4 2 2 4 3 5 3" xfId="6380" xr:uid="{00000000-0005-0000-0000-0000CB120000}"/>
    <cellStyle name="Normal 4 2 2 4 3 5 3 2" xfId="14830" xr:uid="{E1E30A17-B67F-4396-A947-E1009D3DD524}"/>
    <cellStyle name="Normal 4 2 2 4 3 5 4" xfId="10612" xr:uid="{451F08AC-2B85-417D-BF2F-362A3DF39638}"/>
    <cellStyle name="Normal 4 2 2 4 3 6" xfId="2510" xr:uid="{00000000-0005-0000-0000-0000CC120000}"/>
    <cellStyle name="Normal 4 2 2 4 3 6 2" xfId="6793" xr:uid="{00000000-0005-0000-0000-0000CD120000}"/>
    <cellStyle name="Normal 4 2 2 4 3 6 2 2" xfId="15243" xr:uid="{3758A2FB-C4A9-45D6-B897-A8B2C874E3A7}"/>
    <cellStyle name="Normal 4 2 2 4 3 6 3" xfId="11025" xr:uid="{8C6D3534-D395-4E2B-A2CB-0F3AE6A4B416}"/>
    <cellStyle name="Normal 4 2 2 4 3 7" xfId="4728" xr:uid="{00000000-0005-0000-0000-0000CE120000}"/>
    <cellStyle name="Normal 4 2 2 4 3 7 2" xfId="13178" xr:uid="{AA28B62F-D73D-45FC-A6AF-092FDBF690DB}"/>
    <cellStyle name="Normal 4 2 2 4 3 8" xfId="8960" xr:uid="{E83D5105-B351-4DEF-AF33-7270A116B80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698992EE-DD81-406D-9F04-623F2709AF11}"/>
    <cellStyle name="Normal 4 2 2 4 4 2 3" xfId="11515" xr:uid="{21C2DEA8-4913-46A3-9681-EE25F6A52CFC}"/>
    <cellStyle name="Normal 4 2 2 4 4 3" xfId="5138" xr:uid="{00000000-0005-0000-0000-0000D2120000}"/>
    <cellStyle name="Normal 4 2 2 4 4 3 2" xfId="13588" xr:uid="{7B17125D-2173-4471-A871-90C031FCF0DD}"/>
    <cellStyle name="Normal 4 2 2 4 4 4" xfId="9370" xr:uid="{96A8D674-DFC9-4712-9903-4D026B857121}"/>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0442E91A-C2D1-490F-B059-AA1BADB7A318}"/>
    <cellStyle name="Normal 4 2 2 4 5 2 3" xfId="11928" xr:uid="{44AC946E-6789-4A20-A554-1F77BA6990D3}"/>
    <cellStyle name="Normal 4 2 2 4 5 3" xfId="5551" xr:uid="{00000000-0005-0000-0000-0000D6120000}"/>
    <cellStyle name="Normal 4 2 2 4 5 3 2" xfId="14001" xr:uid="{D82FB72E-D826-4649-9952-8C8C7529B336}"/>
    <cellStyle name="Normal 4 2 2 4 5 4" xfId="9783" xr:uid="{A5AE1489-47F3-4EB5-95F0-BA17386FE4C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0DB0A01B-4470-464A-A9AB-28F0A8BD29ED}"/>
    <cellStyle name="Normal 4 2 2 4 6 2 3" xfId="12341" xr:uid="{461B54B0-7619-41AF-B3D2-BB6DFF802CAB}"/>
    <cellStyle name="Normal 4 2 2 4 6 3" xfId="5964" xr:uid="{00000000-0005-0000-0000-0000DA120000}"/>
    <cellStyle name="Normal 4 2 2 4 6 3 2" xfId="14414" xr:uid="{7CCE4D74-B925-4420-8DF5-92BE0CAF0534}"/>
    <cellStyle name="Normal 4 2 2 4 6 4" xfId="10196" xr:uid="{BD13A90F-73FD-4D6C-A80F-1389D0A96B2A}"/>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5B90C55E-E60F-4405-AE94-CA44B1F8C608}"/>
    <cellStyle name="Normal 4 2 2 4 7 2 3" xfId="12754" xr:uid="{727B5912-9969-41B3-B8C0-2B510EBFD0C6}"/>
    <cellStyle name="Normal 4 2 2 4 7 3" xfId="6377" xr:uid="{00000000-0005-0000-0000-0000DE120000}"/>
    <cellStyle name="Normal 4 2 2 4 7 3 2" xfId="14827" xr:uid="{B2DD596C-E934-431A-8805-7126F45B0372}"/>
    <cellStyle name="Normal 4 2 2 4 7 4" xfId="10609" xr:uid="{009ADF84-EB9C-456D-911D-35AEB0574673}"/>
    <cellStyle name="Normal 4 2 2 4 8" xfId="2507" xr:uid="{00000000-0005-0000-0000-0000DF120000}"/>
    <cellStyle name="Normal 4 2 2 4 8 2" xfId="6790" xr:uid="{00000000-0005-0000-0000-0000E0120000}"/>
    <cellStyle name="Normal 4 2 2 4 8 2 2" xfId="15240" xr:uid="{9A132B09-58EB-4354-9318-11AB367AE2BA}"/>
    <cellStyle name="Normal 4 2 2 4 8 3" xfId="11022" xr:uid="{7FBCB14E-947A-4053-8951-8F341C41D96C}"/>
    <cellStyle name="Normal 4 2 2 4 9" xfId="4725" xr:uid="{00000000-0005-0000-0000-0000E1120000}"/>
    <cellStyle name="Normal 4 2 2 4 9 2" xfId="13175" xr:uid="{177BA76E-A064-4E73-A1C5-20F8CD8A27A8}"/>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AED570C9-3328-4631-B2AB-9283801186A2}"/>
    <cellStyle name="Normal 4 2 2 5 2 2 2 3" xfId="11520" xr:uid="{3B7804C3-0B01-4B38-8D98-7EEB5CC9851F}"/>
    <cellStyle name="Normal 4 2 2 5 2 2 3" xfId="5143" xr:uid="{00000000-0005-0000-0000-0000E7120000}"/>
    <cellStyle name="Normal 4 2 2 5 2 2 3 2" xfId="13593" xr:uid="{689A47E3-1BE1-4CCA-87F7-368D74616215}"/>
    <cellStyle name="Normal 4 2 2 5 2 2 4" xfId="9375" xr:uid="{642C74E5-9847-4665-A79D-D85AF98191C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7071814E-BC8A-41C0-82F5-B0BE6BDA7EC9}"/>
    <cellStyle name="Normal 4 2 2 5 2 3 2 3" xfId="11933" xr:uid="{8A835C51-BDB9-4336-A558-FD80FA3C3083}"/>
    <cellStyle name="Normal 4 2 2 5 2 3 3" xfId="5556" xr:uid="{00000000-0005-0000-0000-0000EB120000}"/>
    <cellStyle name="Normal 4 2 2 5 2 3 3 2" xfId="14006" xr:uid="{1236B1D4-8562-4BEE-8639-A7D8E2F1A4DE}"/>
    <cellStyle name="Normal 4 2 2 5 2 3 4" xfId="9788" xr:uid="{83C1A73E-4160-4BBC-B3D7-78F45F6F79C2}"/>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BA885E7D-41BE-40CC-8819-0E1B27F55349}"/>
    <cellStyle name="Normal 4 2 2 5 2 4 2 3" xfId="12346" xr:uid="{1769E313-689B-40AD-8E9C-3BDAA7F71A4E}"/>
    <cellStyle name="Normal 4 2 2 5 2 4 3" xfId="5969" xr:uid="{00000000-0005-0000-0000-0000EF120000}"/>
    <cellStyle name="Normal 4 2 2 5 2 4 3 2" xfId="14419" xr:uid="{3E2F20EC-3C49-467F-8299-1C74C6218DF5}"/>
    <cellStyle name="Normal 4 2 2 5 2 4 4" xfId="10201" xr:uid="{B8D170F9-E3EA-4B07-9D9F-CD792B375C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DC7F9F13-2513-4482-B5A9-DF2BCE5AFDBA}"/>
    <cellStyle name="Normal 4 2 2 5 2 5 2 3" xfId="12759" xr:uid="{73F5CA26-BA18-4F61-AF25-9F001B004594}"/>
    <cellStyle name="Normal 4 2 2 5 2 5 3" xfId="6382" xr:uid="{00000000-0005-0000-0000-0000F3120000}"/>
    <cellStyle name="Normal 4 2 2 5 2 5 3 2" xfId="14832" xr:uid="{FE23D8CC-35CC-4BBB-B2D8-ACE2E6FEB0DF}"/>
    <cellStyle name="Normal 4 2 2 5 2 5 4" xfId="10614" xr:uid="{2FE1C6D6-1EBB-4713-B10D-7D406D62BD46}"/>
    <cellStyle name="Normal 4 2 2 5 2 6" xfId="2512" xr:uid="{00000000-0005-0000-0000-0000F4120000}"/>
    <cellStyle name="Normal 4 2 2 5 2 6 2" xfId="6795" xr:uid="{00000000-0005-0000-0000-0000F5120000}"/>
    <cellStyle name="Normal 4 2 2 5 2 6 2 2" xfId="15245" xr:uid="{51BA92B8-62CB-47E6-BE4D-F29E1659FB32}"/>
    <cellStyle name="Normal 4 2 2 5 2 6 3" xfId="11027" xr:uid="{E0998D8A-BEE5-4AC7-A2B4-DC4ED91591C4}"/>
    <cellStyle name="Normal 4 2 2 5 2 7" xfId="4730" xr:uid="{00000000-0005-0000-0000-0000F6120000}"/>
    <cellStyle name="Normal 4 2 2 5 2 7 2" xfId="13180" xr:uid="{DE1BD1C7-8895-45ED-8004-425F7A790AB3}"/>
    <cellStyle name="Normal 4 2 2 5 2 8" xfId="8962" xr:uid="{430E00B8-FD8B-4E6C-8957-05FB7FC9FF61}"/>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AB638554-E84F-47BC-8388-3F97BB1C319A}"/>
    <cellStyle name="Normal 4 2 2 5 3 2 3" xfId="11519" xr:uid="{A0DA4C36-458E-495B-B6CC-CC2CEF3BA95F}"/>
    <cellStyle name="Normal 4 2 2 5 3 3" xfId="5142" xr:uid="{00000000-0005-0000-0000-0000FA120000}"/>
    <cellStyle name="Normal 4 2 2 5 3 3 2" xfId="13592" xr:uid="{592660AE-B3DE-4047-8E87-1D63D1DCA27A}"/>
    <cellStyle name="Normal 4 2 2 5 3 4" xfId="9374" xr:uid="{40296140-D8A9-4E0C-AD45-D9312B503CCB}"/>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B3263305-496B-471B-80E9-2ECDC3673CC0}"/>
    <cellStyle name="Normal 4 2 2 5 4 2 3" xfId="11932" xr:uid="{FD189C74-B4D4-48C6-8EFE-5DB3A07145A9}"/>
    <cellStyle name="Normal 4 2 2 5 4 3" xfId="5555" xr:uid="{00000000-0005-0000-0000-0000FE120000}"/>
    <cellStyle name="Normal 4 2 2 5 4 3 2" xfId="14005" xr:uid="{93C967E8-D79C-48BB-8351-CFCADC19AF95}"/>
    <cellStyle name="Normal 4 2 2 5 4 4" xfId="9787" xr:uid="{09EA70B4-8E1D-4230-8123-449DB73DE38B}"/>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09099E79-8C14-4CB5-B1F5-91E86E21037A}"/>
    <cellStyle name="Normal 4 2 2 5 5 2 3" xfId="12345" xr:uid="{EE709803-0586-4E4A-98BC-9A05DCB24F4C}"/>
    <cellStyle name="Normal 4 2 2 5 5 3" xfId="5968" xr:uid="{00000000-0005-0000-0000-000002130000}"/>
    <cellStyle name="Normal 4 2 2 5 5 3 2" xfId="14418" xr:uid="{79B6D3B9-1505-475F-AFE1-DB5BD5D5FD14}"/>
    <cellStyle name="Normal 4 2 2 5 5 4" xfId="10200" xr:uid="{5737834C-0918-4037-8A8C-99C5CC44DEE2}"/>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2EA94C53-0E49-4F9C-BA63-B2FE3CECD881}"/>
    <cellStyle name="Normal 4 2 2 5 6 2 3" xfId="12758" xr:uid="{ADA192BD-704E-416B-8BE3-22593F2D462F}"/>
    <cellStyle name="Normal 4 2 2 5 6 3" xfId="6381" xr:uid="{00000000-0005-0000-0000-000006130000}"/>
    <cellStyle name="Normal 4 2 2 5 6 3 2" xfId="14831" xr:uid="{EC33454A-9916-405F-9CF0-036962FCFD01}"/>
    <cellStyle name="Normal 4 2 2 5 6 4" xfId="10613" xr:uid="{9BA10368-959E-487E-9008-85D5A7D76CDE}"/>
    <cellStyle name="Normal 4 2 2 5 7" xfId="2511" xr:uid="{00000000-0005-0000-0000-000007130000}"/>
    <cellStyle name="Normal 4 2 2 5 7 2" xfId="6794" xr:uid="{00000000-0005-0000-0000-000008130000}"/>
    <cellStyle name="Normal 4 2 2 5 7 2 2" xfId="15244" xr:uid="{B1A903C3-C75A-45B7-8162-BF7A4A526D51}"/>
    <cellStyle name="Normal 4 2 2 5 7 3" xfId="11026" xr:uid="{9673B6EB-445A-4A96-BFBC-8826EEE2C612}"/>
    <cellStyle name="Normal 4 2 2 5 8" xfId="4729" xr:uid="{00000000-0005-0000-0000-000009130000}"/>
    <cellStyle name="Normal 4 2 2 5 8 2" xfId="13179" xr:uid="{BC079B20-2220-43ED-A69F-EFD34AE0FAE2}"/>
    <cellStyle name="Normal 4 2 2 5 9" xfId="8961" xr:uid="{B516E19E-AB6F-45F1-8648-5F3027A86B12}"/>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917E4DF5-868D-4E04-9131-EAA9E72C2574}"/>
    <cellStyle name="Normal 4 2 2 6 2 2 3" xfId="11521" xr:uid="{089E96F6-7BA6-4F81-8A70-EA5FFA49BCB1}"/>
    <cellStyle name="Normal 4 2 2 6 2 3" xfId="5144" xr:uid="{00000000-0005-0000-0000-00000E130000}"/>
    <cellStyle name="Normal 4 2 2 6 2 3 2" xfId="13594" xr:uid="{E83008F3-5332-4156-8180-B613474D6CF9}"/>
    <cellStyle name="Normal 4 2 2 6 2 4" xfId="9376" xr:uid="{BD14409A-D7F8-4855-B2EB-ED4FC05A0E0E}"/>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98202F07-9F5C-4013-8BC7-3A89F3E9143A}"/>
    <cellStyle name="Normal 4 2 2 6 3 2 3" xfId="11934" xr:uid="{3790C0F2-1823-4A72-BA25-7057F3209C47}"/>
    <cellStyle name="Normal 4 2 2 6 3 3" xfId="5557" xr:uid="{00000000-0005-0000-0000-000012130000}"/>
    <cellStyle name="Normal 4 2 2 6 3 3 2" xfId="14007" xr:uid="{8F637D4F-C601-4EC8-9974-01AC98CF1058}"/>
    <cellStyle name="Normal 4 2 2 6 3 4" xfId="9789" xr:uid="{74D7D208-F86B-4DC4-810F-8FD2D592081B}"/>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6DD6EED2-0D1B-4F10-A7C6-21350E38E4F5}"/>
    <cellStyle name="Normal 4 2 2 6 4 2 3" xfId="12347" xr:uid="{EA8C58DD-4AAA-48F3-B2B1-7DEF0CDEEC02}"/>
    <cellStyle name="Normal 4 2 2 6 4 3" xfId="5970" xr:uid="{00000000-0005-0000-0000-000016130000}"/>
    <cellStyle name="Normal 4 2 2 6 4 3 2" xfId="14420" xr:uid="{4521B36B-9029-457F-BECF-2477E762E590}"/>
    <cellStyle name="Normal 4 2 2 6 4 4" xfId="10202" xr:uid="{A91E99A8-783C-4F9E-855F-4186170064E6}"/>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D041AF14-CCD0-48EE-834D-DF05419F1BE6}"/>
    <cellStyle name="Normal 4 2 2 6 5 2 3" xfId="12760" xr:uid="{BCA3713E-BFFD-4C58-98B3-F3480CE22808}"/>
    <cellStyle name="Normal 4 2 2 6 5 3" xfId="6383" xr:uid="{00000000-0005-0000-0000-00001A130000}"/>
    <cellStyle name="Normal 4 2 2 6 5 3 2" xfId="14833" xr:uid="{8D04C1B1-8F40-4157-8A73-F928A36D2981}"/>
    <cellStyle name="Normal 4 2 2 6 5 4" xfId="10615" xr:uid="{5C0C9332-FEE8-4DB8-8EC4-6DD166523484}"/>
    <cellStyle name="Normal 4 2 2 6 6" xfId="2513" xr:uid="{00000000-0005-0000-0000-00001B130000}"/>
    <cellStyle name="Normal 4 2 2 6 6 2" xfId="6796" xr:uid="{00000000-0005-0000-0000-00001C130000}"/>
    <cellStyle name="Normal 4 2 2 6 6 2 2" xfId="15246" xr:uid="{C3DA9B02-8F66-45AD-A2F1-DEBAF58DB928}"/>
    <cellStyle name="Normal 4 2 2 6 6 3" xfId="11028" xr:uid="{A6D76CFB-4C01-4B82-B4EA-D6E630FD7E36}"/>
    <cellStyle name="Normal 4 2 2 6 7" xfId="4731" xr:uid="{00000000-0005-0000-0000-00001D130000}"/>
    <cellStyle name="Normal 4 2 2 6 7 2" xfId="13181" xr:uid="{423B640B-158C-4DA7-8399-7621D462E1E6}"/>
    <cellStyle name="Normal 4 2 2 6 8" xfId="8963" xr:uid="{AE8EC191-5561-49F2-9011-E7F7D38672B3}"/>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5A9579E2-0FA3-4B7F-9138-77B1BFD261D9}"/>
    <cellStyle name="Normal 4 2 2 7 2 3" xfId="11506" xr:uid="{EBA0DE6D-4B65-4B48-86C4-C72AD3EB4A9C}"/>
    <cellStyle name="Normal 4 2 2 7 3" xfId="5129" xr:uid="{00000000-0005-0000-0000-000021130000}"/>
    <cellStyle name="Normal 4 2 2 7 3 2" xfId="13579" xr:uid="{D2BEE51D-C19D-41C3-BEF1-CA5111E853CD}"/>
    <cellStyle name="Normal 4 2 2 7 4" xfId="9361" xr:uid="{00DAE9D4-0B8C-4CE0-AAEC-17705D7DA5B0}"/>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C9CBF10D-6C85-4BEE-9BB3-9B88432CD256}"/>
    <cellStyle name="Normal 4 2 2 8 2 3" xfId="11919" xr:uid="{EAFBCDF3-9BB1-4A2F-8BD8-21BB07D7FA33}"/>
    <cellStyle name="Normal 4 2 2 8 3" xfId="5542" xr:uid="{00000000-0005-0000-0000-000025130000}"/>
    <cellStyle name="Normal 4 2 2 8 3 2" xfId="13992" xr:uid="{A2D4BC02-3C25-4FBA-A3CF-BF61FC0C7DF4}"/>
    <cellStyle name="Normal 4 2 2 8 4" xfId="9774" xr:uid="{6A5EFD8E-4EE2-40F9-BDF2-5E5A56317DB2}"/>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45215737-5DC3-4654-ADB5-A41138147ACB}"/>
    <cellStyle name="Normal 4 2 2 9 2 3" xfId="12332" xr:uid="{2730804C-AE61-4221-8BE9-BD399E58EE37}"/>
    <cellStyle name="Normal 4 2 2 9 3" xfId="5955" xr:uid="{00000000-0005-0000-0000-000029130000}"/>
    <cellStyle name="Normal 4 2 2 9 3 2" xfId="14405" xr:uid="{EB30907A-468C-4BF0-BDA7-1A08EC98474A}"/>
    <cellStyle name="Normal 4 2 2 9 4" xfId="10187" xr:uid="{62345740-FD42-48D5-995D-639760BC61BA}"/>
    <cellStyle name="Normal 4 2 3" xfId="354" xr:uid="{00000000-0005-0000-0000-00002A130000}"/>
    <cellStyle name="Normal 4 2 4" xfId="355" xr:uid="{00000000-0005-0000-0000-00002B130000}"/>
    <cellStyle name="Normal 4 2 4 10" xfId="4732" xr:uid="{00000000-0005-0000-0000-00002C130000}"/>
    <cellStyle name="Normal 4 2 4 10 2" xfId="13182" xr:uid="{B46D2EB5-D17D-486A-9D80-54EAC3AC1BD8}"/>
    <cellStyle name="Normal 4 2 4 11" xfId="8964" xr:uid="{4220FFF9-FE3A-4C89-B806-DF7A4553C470}"/>
    <cellStyle name="Normal 4 2 4 2" xfId="356" xr:uid="{00000000-0005-0000-0000-00002D130000}"/>
    <cellStyle name="Normal 4 2 4 2 10" xfId="8965" xr:uid="{477F5917-19B0-49D0-998B-365227B88777}"/>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96F284A0-5F25-48CB-93B8-25B2A290FC9A}"/>
    <cellStyle name="Normal 4 2 4 2 2 2 2 2 3" xfId="11525" xr:uid="{A00217D3-D151-4DD8-A6A7-14544C679D2A}"/>
    <cellStyle name="Normal 4 2 4 2 2 2 2 3" xfId="5148" xr:uid="{00000000-0005-0000-0000-000033130000}"/>
    <cellStyle name="Normal 4 2 4 2 2 2 2 3 2" xfId="13598" xr:uid="{52CDDF87-AE5A-46AA-9B1B-2B08F8F56BC4}"/>
    <cellStyle name="Normal 4 2 4 2 2 2 2 4" xfId="9380" xr:uid="{8A42181F-1A81-42E5-94EC-19716E0736EC}"/>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E3AEAEE4-1482-452F-A992-0C3455AC351B}"/>
    <cellStyle name="Normal 4 2 4 2 2 2 3 2 3" xfId="11938" xr:uid="{6A5E6353-0826-4A7A-8BDA-BD503CC17F3F}"/>
    <cellStyle name="Normal 4 2 4 2 2 2 3 3" xfId="5561" xr:uid="{00000000-0005-0000-0000-000037130000}"/>
    <cellStyle name="Normal 4 2 4 2 2 2 3 3 2" xfId="14011" xr:uid="{F1E989CB-0735-4143-AB9D-00D5CE2C7C39}"/>
    <cellStyle name="Normal 4 2 4 2 2 2 3 4" xfId="9793" xr:uid="{69779704-991E-40CD-A5CE-EA1F08C94359}"/>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2AA589CB-C9C0-460A-AC8A-B5E895BA507B}"/>
    <cellStyle name="Normal 4 2 4 2 2 2 4 2 3" xfId="12351" xr:uid="{E118F0D8-2694-4A72-A0D7-C79348E62525}"/>
    <cellStyle name="Normal 4 2 4 2 2 2 4 3" xfId="5974" xr:uid="{00000000-0005-0000-0000-00003B130000}"/>
    <cellStyle name="Normal 4 2 4 2 2 2 4 3 2" xfId="14424" xr:uid="{F67A903D-01B6-497B-8C86-5F1167104A9D}"/>
    <cellStyle name="Normal 4 2 4 2 2 2 4 4" xfId="10206" xr:uid="{A2F42B5E-0467-4E3A-ADDB-207B853EAC9F}"/>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1D441FBD-299C-4A63-8900-3113868C9BF9}"/>
    <cellStyle name="Normal 4 2 4 2 2 2 5 2 3" xfId="12764" xr:uid="{A16A741B-38BD-4476-B8F9-B545E4D0A731}"/>
    <cellStyle name="Normal 4 2 4 2 2 2 5 3" xfId="6387" xr:uid="{00000000-0005-0000-0000-00003F130000}"/>
    <cellStyle name="Normal 4 2 4 2 2 2 5 3 2" xfId="14837" xr:uid="{33FBF0C8-247F-4F0C-B980-0B438D91DB4A}"/>
    <cellStyle name="Normal 4 2 4 2 2 2 5 4" xfId="10619" xr:uid="{D8966EE1-4981-40AF-A330-9E7F2609B928}"/>
    <cellStyle name="Normal 4 2 4 2 2 2 6" xfId="2517" xr:uid="{00000000-0005-0000-0000-000040130000}"/>
    <cellStyle name="Normal 4 2 4 2 2 2 6 2" xfId="6800" xr:uid="{00000000-0005-0000-0000-000041130000}"/>
    <cellStyle name="Normal 4 2 4 2 2 2 6 2 2" xfId="15250" xr:uid="{ABDA68BD-6D05-4B00-84B6-9D1C64C028E4}"/>
    <cellStyle name="Normal 4 2 4 2 2 2 6 3" xfId="11032" xr:uid="{081CF0BC-462D-4300-97FD-A3F268270E2C}"/>
    <cellStyle name="Normal 4 2 4 2 2 2 7" xfId="4735" xr:uid="{00000000-0005-0000-0000-000042130000}"/>
    <cellStyle name="Normal 4 2 4 2 2 2 7 2" xfId="13185" xr:uid="{B779FEF6-A6DB-4A2E-9A3F-5A09F09B7C4F}"/>
    <cellStyle name="Normal 4 2 4 2 2 2 8" xfId="8967" xr:uid="{C34A4267-90FA-48E8-B269-EA074D9A650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20D5FD3E-1F2F-4E7B-9C61-9FDEAB190F7A}"/>
    <cellStyle name="Normal 4 2 4 2 2 3 2 3" xfId="11524" xr:uid="{B78B5197-E5E8-4740-BED7-05C30538474F}"/>
    <cellStyle name="Normal 4 2 4 2 2 3 3" xfId="5147" xr:uid="{00000000-0005-0000-0000-000046130000}"/>
    <cellStyle name="Normal 4 2 4 2 2 3 3 2" xfId="13597" xr:uid="{936FCA73-6D67-4B9E-AC44-F6FA331D759B}"/>
    <cellStyle name="Normal 4 2 4 2 2 3 4" xfId="9379" xr:uid="{590B2EB8-3B03-49B0-8A17-8E249BBC229C}"/>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FFBBEEA6-4E7A-4858-BEB2-5A28CB6B0EDA}"/>
    <cellStyle name="Normal 4 2 4 2 2 4 2 3" xfId="11937" xr:uid="{3521CFF2-6ED2-484C-9BD9-B27BB9E73268}"/>
    <cellStyle name="Normal 4 2 4 2 2 4 3" xfId="5560" xr:uid="{00000000-0005-0000-0000-00004A130000}"/>
    <cellStyle name="Normal 4 2 4 2 2 4 3 2" xfId="14010" xr:uid="{BBA15651-D11E-4B2F-9C42-D7DF7EEB9091}"/>
    <cellStyle name="Normal 4 2 4 2 2 4 4" xfId="9792" xr:uid="{A2D4719C-A65F-49B4-96CA-4D62DF29A828}"/>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6E575A3F-6EC5-48E5-BB6C-906BF2568D40}"/>
    <cellStyle name="Normal 4 2 4 2 2 5 2 3" xfId="12350" xr:uid="{6F93BBD4-31B7-41AC-BAC2-7F04148693CE}"/>
    <cellStyle name="Normal 4 2 4 2 2 5 3" xfId="5973" xr:uid="{00000000-0005-0000-0000-00004E130000}"/>
    <cellStyle name="Normal 4 2 4 2 2 5 3 2" xfId="14423" xr:uid="{C9122E94-6A8A-4279-88C3-5815F2E2F989}"/>
    <cellStyle name="Normal 4 2 4 2 2 5 4" xfId="10205" xr:uid="{3DE79E15-5142-40DF-A633-70313117B383}"/>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BA30AE6F-42F2-48CB-893E-FB26E0BEFBA0}"/>
    <cellStyle name="Normal 4 2 4 2 2 6 2 3" xfId="12763" xr:uid="{2E0F5619-48E9-4C8A-B28C-FDC6D8078A52}"/>
    <cellStyle name="Normal 4 2 4 2 2 6 3" xfId="6386" xr:uid="{00000000-0005-0000-0000-000052130000}"/>
    <cellStyle name="Normal 4 2 4 2 2 6 3 2" xfId="14836" xr:uid="{389264C6-9F99-4F59-A4B2-77949F64E328}"/>
    <cellStyle name="Normal 4 2 4 2 2 6 4" xfId="10618" xr:uid="{771643D5-3FFE-45AD-A7ED-B646DFBE9DF1}"/>
    <cellStyle name="Normal 4 2 4 2 2 7" xfId="2516" xr:uid="{00000000-0005-0000-0000-000053130000}"/>
    <cellStyle name="Normal 4 2 4 2 2 7 2" xfId="6799" xr:uid="{00000000-0005-0000-0000-000054130000}"/>
    <cellStyle name="Normal 4 2 4 2 2 7 2 2" xfId="15249" xr:uid="{10D16090-4EFC-4921-90CC-14017E1F33C1}"/>
    <cellStyle name="Normal 4 2 4 2 2 7 3" xfId="11031" xr:uid="{2CFFAEB5-9B2F-4FF6-B568-DF4930645A67}"/>
    <cellStyle name="Normal 4 2 4 2 2 8" xfId="4734" xr:uid="{00000000-0005-0000-0000-000055130000}"/>
    <cellStyle name="Normal 4 2 4 2 2 8 2" xfId="13184" xr:uid="{654B3282-6562-46B8-B745-E82903A1D83C}"/>
    <cellStyle name="Normal 4 2 4 2 2 9" xfId="8966" xr:uid="{CADB9295-F762-498D-9FF9-B1DE520AACF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084A784F-759C-40DB-8DE3-9D705EA1899E}"/>
    <cellStyle name="Normal 4 2 4 2 3 2 2 3" xfId="11526" xr:uid="{372D2A5F-09BD-4831-9D85-C5D513AB1F2D}"/>
    <cellStyle name="Normal 4 2 4 2 3 2 3" xfId="5149" xr:uid="{00000000-0005-0000-0000-00005A130000}"/>
    <cellStyle name="Normal 4 2 4 2 3 2 3 2" xfId="13599" xr:uid="{910FEC97-9196-4632-9216-E6DD75C6B0CE}"/>
    <cellStyle name="Normal 4 2 4 2 3 2 4" xfId="9381" xr:uid="{B7CBA63C-FF1A-4630-899C-7F960C07506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59D786F0-F83C-4C04-AE37-A32B73529DA9}"/>
    <cellStyle name="Normal 4 2 4 2 3 3 2 3" xfId="11939" xr:uid="{668F56AB-7BE9-482C-9EF8-409B291C0AEC}"/>
    <cellStyle name="Normal 4 2 4 2 3 3 3" xfId="5562" xr:uid="{00000000-0005-0000-0000-00005E130000}"/>
    <cellStyle name="Normal 4 2 4 2 3 3 3 2" xfId="14012" xr:uid="{A954F866-57EA-43E8-A8EF-8DA07F74A3E5}"/>
    <cellStyle name="Normal 4 2 4 2 3 3 4" xfId="9794" xr:uid="{86BB1CCB-DA8C-45D1-AABA-417F7B66C444}"/>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2C6DBA66-F9A1-439F-A8C6-32C58E55B74C}"/>
    <cellStyle name="Normal 4 2 4 2 3 4 2 3" xfId="12352" xr:uid="{98AFB4E0-6250-4D9A-B999-C03835FCEC1A}"/>
    <cellStyle name="Normal 4 2 4 2 3 4 3" xfId="5975" xr:uid="{00000000-0005-0000-0000-000062130000}"/>
    <cellStyle name="Normal 4 2 4 2 3 4 3 2" xfId="14425" xr:uid="{11954566-57AC-49E5-BED4-224FFFA32CEF}"/>
    <cellStyle name="Normal 4 2 4 2 3 4 4" xfId="10207" xr:uid="{D9B8BD4F-DD36-4D09-A656-9F9FFE901D38}"/>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97949D4E-BA3B-4660-BAC4-1B2133BE5435}"/>
    <cellStyle name="Normal 4 2 4 2 3 5 2 3" xfId="12765" xr:uid="{6F68A424-15D6-4DA1-8665-86B6F5040313}"/>
    <cellStyle name="Normal 4 2 4 2 3 5 3" xfId="6388" xr:uid="{00000000-0005-0000-0000-000066130000}"/>
    <cellStyle name="Normal 4 2 4 2 3 5 3 2" xfId="14838" xr:uid="{2C306218-589C-4851-8DAF-96CAB4F8F495}"/>
    <cellStyle name="Normal 4 2 4 2 3 5 4" xfId="10620" xr:uid="{FDA954F6-02E3-4901-98AA-89604042911F}"/>
    <cellStyle name="Normal 4 2 4 2 3 6" xfId="2518" xr:uid="{00000000-0005-0000-0000-000067130000}"/>
    <cellStyle name="Normal 4 2 4 2 3 6 2" xfId="6801" xr:uid="{00000000-0005-0000-0000-000068130000}"/>
    <cellStyle name="Normal 4 2 4 2 3 6 2 2" xfId="15251" xr:uid="{D2B4472A-9A88-4F8F-98B3-5ECA65FDE27A}"/>
    <cellStyle name="Normal 4 2 4 2 3 6 3" xfId="11033" xr:uid="{F38F4ABB-8EFC-4181-B5AF-C79A7407933E}"/>
    <cellStyle name="Normal 4 2 4 2 3 7" xfId="4736" xr:uid="{00000000-0005-0000-0000-000069130000}"/>
    <cellStyle name="Normal 4 2 4 2 3 7 2" xfId="13186" xr:uid="{2A59BA42-950F-41D8-8251-61B05CC667AB}"/>
    <cellStyle name="Normal 4 2 4 2 3 8" xfId="8968" xr:uid="{A0679481-F810-4D2C-9DBE-12D60EA7ACDE}"/>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5AA8749C-F2F2-4D6A-83E0-04DECBBFBF56}"/>
    <cellStyle name="Normal 4 2 4 2 4 2 3" xfId="11523" xr:uid="{72F68DF0-0A8F-4F6E-A973-636A60325CF7}"/>
    <cellStyle name="Normal 4 2 4 2 4 3" xfId="5146" xr:uid="{00000000-0005-0000-0000-00006D130000}"/>
    <cellStyle name="Normal 4 2 4 2 4 3 2" xfId="13596" xr:uid="{19990C1A-7AE1-4D3B-AB8E-AF685DC753AB}"/>
    <cellStyle name="Normal 4 2 4 2 4 4" xfId="9378" xr:uid="{89CC60F1-A328-4894-8C3A-125DA7397EF6}"/>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BFF9F8F7-5FD7-40A9-BDCF-A3C43B46E436}"/>
    <cellStyle name="Normal 4 2 4 2 5 2 3" xfId="11936" xr:uid="{1066B1E5-9E46-4A2F-A89B-EC9DE7BDC3E7}"/>
    <cellStyle name="Normal 4 2 4 2 5 3" xfId="5559" xr:uid="{00000000-0005-0000-0000-000071130000}"/>
    <cellStyle name="Normal 4 2 4 2 5 3 2" xfId="14009" xr:uid="{13210A42-3E40-4BE2-A2D4-E4677E637E27}"/>
    <cellStyle name="Normal 4 2 4 2 5 4" xfId="9791" xr:uid="{1DDE8A28-A1D3-4BC7-B400-1FCA3B45E34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9FD7E966-1222-4E12-A553-7466F0C95F83}"/>
    <cellStyle name="Normal 4 2 4 2 6 2 3" xfId="12349" xr:uid="{DF96849B-12BA-4D6C-8C0B-7FF0FF930125}"/>
    <cellStyle name="Normal 4 2 4 2 6 3" xfId="5972" xr:uid="{00000000-0005-0000-0000-000075130000}"/>
    <cellStyle name="Normal 4 2 4 2 6 3 2" xfId="14422" xr:uid="{EBC26585-EB98-4DE3-833A-66B08104BAED}"/>
    <cellStyle name="Normal 4 2 4 2 6 4" xfId="10204" xr:uid="{7550E94D-01D5-4C93-88C2-CCD14C1B405A}"/>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DBF92CF0-5F39-47B2-B57A-FBE9CBAA3223}"/>
    <cellStyle name="Normal 4 2 4 2 7 2 3" xfId="12762" xr:uid="{860207D7-7090-4765-B70D-C91B13F5B216}"/>
    <cellStyle name="Normal 4 2 4 2 7 3" xfId="6385" xr:uid="{00000000-0005-0000-0000-000079130000}"/>
    <cellStyle name="Normal 4 2 4 2 7 3 2" xfId="14835" xr:uid="{7F83E76D-DB4A-4E9E-B651-5CF6F27F7FFB}"/>
    <cellStyle name="Normal 4 2 4 2 7 4" xfId="10617" xr:uid="{9F03D712-561A-4387-A293-89468F43ABFD}"/>
    <cellStyle name="Normal 4 2 4 2 8" xfId="2515" xr:uid="{00000000-0005-0000-0000-00007A130000}"/>
    <cellStyle name="Normal 4 2 4 2 8 2" xfId="6798" xr:uid="{00000000-0005-0000-0000-00007B130000}"/>
    <cellStyle name="Normal 4 2 4 2 8 2 2" xfId="15248" xr:uid="{27866309-079B-4FDD-AC88-BD77A2D37233}"/>
    <cellStyle name="Normal 4 2 4 2 8 3" xfId="11030" xr:uid="{D9D1EA22-407E-427F-B70B-7111D3F2790D}"/>
    <cellStyle name="Normal 4 2 4 2 9" xfId="4733" xr:uid="{00000000-0005-0000-0000-00007C130000}"/>
    <cellStyle name="Normal 4 2 4 2 9 2" xfId="13183" xr:uid="{F38BE87B-5F30-481D-B8FE-118D55EB6FF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ACDD6474-5747-4B5A-98A1-8F5583B8B77B}"/>
    <cellStyle name="Normal 4 2 4 3 2 2 2 3" xfId="11528" xr:uid="{D3688AC3-A6FF-4ED3-89B9-9E659BFC421C}"/>
    <cellStyle name="Normal 4 2 4 3 2 2 3" xfId="5151" xr:uid="{00000000-0005-0000-0000-000082130000}"/>
    <cellStyle name="Normal 4 2 4 3 2 2 3 2" xfId="13601" xr:uid="{AD0D7742-DF10-4EBD-8449-DABECBE9DB95}"/>
    <cellStyle name="Normal 4 2 4 3 2 2 4" xfId="9383" xr:uid="{DF543C72-946E-4AFF-92A4-7FA66BFCBD6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34E8ABA7-4482-412C-BCF3-F08B8F7510FF}"/>
    <cellStyle name="Normal 4 2 4 3 2 3 2 3" xfId="11941" xr:uid="{0E7AF730-DDCD-42E2-84C0-5D710852BE16}"/>
    <cellStyle name="Normal 4 2 4 3 2 3 3" xfId="5564" xr:uid="{00000000-0005-0000-0000-000086130000}"/>
    <cellStyle name="Normal 4 2 4 3 2 3 3 2" xfId="14014" xr:uid="{157FE57A-E121-4B31-AB99-9E22C59F56B1}"/>
    <cellStyle name="Normal 4 2 4 3 2 3 4" xfId="9796" xr:uid="{2EE17CA9-5A88-41EA-A81F-31D7E62687F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458AF854-B0F4-4ECC-B8F5-58836FE16933}"/>
    <cellStyle name="Normal 4 2 4 3 2 4 2 3" xfId="12354" xr:uid="{FBADD70A-B7C0-4F45-9F9A-AE6459E1A5B4}"/>
    <cellStyle name="Normal 4 2 4 3 2 4 3" xfId="5977" xr:uid="{00000000-0005-0000-0000-00008A130000}"/>
    <cellStyle name="Normal 4 2 4 3 2 4 3 2" xfId="14427" xr:uid="{565C9E72-E53A-4738-8DA3-915BAFFE2E5D}"/>
    <cellStyle name="Normal 4 2 4 3 2 4 4" xfId="10209" xr:uid="{3484F0C4-88E0-47C9-8B12-A55A7D92415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8CBA82DE-0D4D-4679-B99D-A399AFD3A5F8}"/>
    <cellStyle name="Normal 4 2 4 3 2 5 2 3" xfId="12767" xr:uid="{91D9A16C-21CF-477C-AA84-D6D727E16D18}"/>
    <cellStyle name="Normal 4 2 4 3 2 5 3" xfId="6390" xr:uid="{00000000-0005-0000-0000-00008E130000}"/>
    <cellStyle name="Normal 4 2 4 3 2 5 3 2" xfId="14840" xr:uid="{DCBC3FE6-5688-4B36-B143-E39366C9AEC1}"/>
    <cellStyle name="Normal 4 2 4 3 2 5 4" xfId="10622" xr:uid="{5FC77240-1FFC-4640-B87F-961963A9B510}"/>
    <cellStyle name="Normal 4 2 4 3 2 6" xfId="2520" xr:uid="{00000000-0005-0000-0000-00008F130000}"/>
    <cellStyle name="Normal 4 2 4 3 2 6 2" xfId="6803" xr:uid="{00000000-0005-0000-0000-000090130000}"/>
    <cellStyle name="Normal 4 2 4 3 2 6 2 2" xfId="15253" xr:uid="{61A085F6-0E9D-434B-ADCE-91C84F9EAF40}"/>
    <cellStyle name="Normal 4 2 4 3 2 6 3" xfId="11035" xr:uid="{DE31CA75-EB4D-4FD2-8E32-B80F08D8089A}"/>
    <cellStyle name="Normal 4 2 4 3 2 7" xfId="4738" xr:uid="{00000000-0005-0000-0000-000091130000}"/>
    <cellStyle name="Normal 4 2 4 3 2 7 2" xfId="13188" xr:uid="{BB6FF067-8426-43C1-8933-C8055A05A2CD}"/>
    <cellStyle name="Normal 4 2 4 3 2 8" xfId="8970" xr:uid="{C24E1311-68C9-44B2-8F78-0C3F0E6D0C33}"/>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55D5FFDF-59E0-4266-85D4-7A43ACF31517}"/>
    <cellStyle name="Normal 4 2 4 3 3 2 3" xfId="11527" xr:uid="{9D3B65D8-429C-461B-906C-2B56383ED823}"/>
    <cellStyle name="Normal 4 2 4 3 3 3" xfId="5150" xr:uid="{00000000-0005-0000-0000-000095130000}"/>
    <cellStyle name="Normal 4 2 4 3 3 3 2" xfId="13600" xr:uid="{F3EF0E3B-2D48-4CCA-ABF3-68CF38B80E2D}"/>
    <cellStyle name="Normal 4 2 4 3 3 4" xfId="9382" xr:uid="{4839E542-AE0F-43A6-BC24-2F1C17BDF2B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D876F751-4612-4E46-B9A5-16DF7ECBD785}"/>
    <cellStyle name="Normal 4 2 4 3 4 2 3" xfId="11940" xr:uid="{16484D0A-73BA-47E0-9B45-01E0A03D5837}"/>
    <cellStyle name="Normal 4 2 4 3 4 3" xfId="5563" xr:uid="{00000000-0005-0000-0000-000099130000}"/>
    <cellStyle name="Normal 4 2 4 3 4 3 2" xfId="14013" xr:uid="{797C0EBE-075D-4357-88EF-8BE72A487434}"/>
    <cellStyle name="Normal 4 2 4 3 4 4" xfId="9795" xr:uid="{2316BC1A-AC17-44D3-9512-9A84F23E994A}"/>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9F1734C9-6939-4839-9857-C3C6A9FA30E5}"/>
    <cellStyle name="Normal 4 2 4 3 5 2 3" xfId="12353" xr:uid="{9BA31A4E-F6C8-4B4D-9CC9-7DACE058FDF4}"/>
    <cellStyle name="Normal 4 2 4 3 5 3" xfId="5976" xr:uid="{00000000-0005-0000-0000-00009D130000}"/>
    <cellStyle name="Normal 4 2 4 3 5 3 2" xfId="14426" xr:uid="{9E490DB3-F2AA-47CD-BEB9-746C5BE0682B}"/>
    <cellStyle name="Normal 4 2 4 3 5 4" xfId="10208" xr:uid="{2859ECB3-FF70-416B-B39A-F844A0BDB41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EB3C7EB2-0921-47A2-9917-A769D559E218}"/>
    <cellStyle name="Normal 4 2 4 3 6 2 3" xfId="12766" xr:uid="{8E2A1587-C158-4C99-B8A0-8C03B7F4EB3A}"/>
    <cellStyle name="Normal 4 2 4 3 6 3" xfId="6389" xr:uid="{00000000-0005-0000-0000-0000A1130000}"/>
    <cellStyle name="Normal 4 2 4 3 6 3 2" xfId="14839" xr:uid="{2B0CB009-1B90-4DCC-A884-0F45D34142CB}"/>
    <cellStyle name="Normal 4 2 4 3 6 4" xfId="10621" xr:uid="{0EF2A209-B3A9-4EB3-BF79-F368927A42AD}"/>
    <cellStyle name="Normal 4 2 4 3 7" xfId="2519" xr:uid="{00000000-0005-0000-0000-0000A2130000}"/>
    <cellStyle name="Normal 4 2 4 3 7 2" xfId="6802" xr:uid="{00000000-0005-0000-0000-0000A3130000}"/>
    <cellStyle name="Normal 4 2 4 3 7 2 2" xfId="15252" xr:uid="{614AF7B1-544F-49A3-A0BA-37D2524B181C}"/>
    <cellStyle name="Normal 4 2 4 3 7 3" xfId="11034" xr:uid="{201ABF23-EC45-45F7-9FDE-21AEBBC2788A}"/>
    <cellStyle name="Normal 4 2 4 3 8" xfId="4737" xr:uid="{00000000-0005-0000-0000-0000A4130000}"/>
    <cellStyle name="Normal 4 2 4 3 8 2" xfId="13187" xr:uid="{DDE741D5-CA59-486F-B07E-87D6E822B7CD}"/>
    <cellStyle name="Normal 4 2 4 3 9" xfId="8969" xr:uid="{FBDC7A54-1983-4566-B0B6-E45A1719CEAB}"/>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071DFA49-89E8-47EC-B39F-0C721C4019AF}"/>
    <cellStyle name="Normal 4 2 4 4 2 2 3" xfId="11529" xr:uid="{44C77F3B-1FEB-45F3-B654-858D5E3D22C6}"/>
    <cellStyle name="Normal 4 2 4 4 2 3" xfId="5152" xr:uid="{00000000-0005-0000-0000-0000A9130000}"/>
    <cellStyle name="Normal 4 2 4 4 2 3 2" xfId="13602" xr:uid="{8511F9AF-E71D-41A3-8F72-404E0BB5F457}"/>
    <cellStyle name="Normal 4 2 4 4 2 4" xfId="9384" xr:uid="{8D1F3BCB-3193-465D-A14B-E40DFC04F707}"/>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AE68D02-D98C-4117-AE26-F92256A5D49B}"/>
    <cellStyle name="Normal 4 2 4 4 3 2 3" xfId="11942" xr:uid="{3DC41718-5813-49E9-85C1-D80F8568F8D9}"/>
    <cellStyle name="Normal 4 2 4 4 3 3" xfId="5565" xr:uid="{00000000-0005-0000-0000-0000AD130000}"/>
    <cellStyle name="Normal 4 2 4 4 3 3 2" xfId="14015" xr:uid="{4BB74498-99B1-437C-B184-585DE6CE917E}"/>
    <cellStyle name="Normal 4 2 4 4 3 4" xfId="9797" xr:uid="{2111BE3A-7C79-4CEA-B013-114B7C0A6ECB}"/>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35E7EA11-8BC9-4439-B0D5-0A7B0D03B5A4}"/>
    <cellStyle name="Normal 4 2 4 4 4 2 3" xfId="12355" xr:uid="{CC82B7AF-FDE6-44FE-B0A5-15F72A98819A}"/>
    <cellStyle name="Normal 4 2 4 4 4 3" xfId="5978" xr:uid="{00000000-0005-0000-0000-0000B1130000}"/>
    <cellStyle name="Normal 4 2 4 4 4 3 2" xfId="14428" xr:uid="{243C7D50-A587-4AD3-A142-0AAE4AE7978A}"/>
    <cellStyle name="Normal 4 2 4 4 4 4" xfId="10210" xr:uid="{63214C05-D79F-4BFF-851C-A85CE145A120}"/>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D59A7198-2513-42D8-AFA9-234BCE9D673E}"/>
    <cellStyle name="Normal 4 2 4 4 5 2 3" xfId="12768" xr:uid="{0091CB25-BEF5-488E-826E-FF1D66B180D5}"/>
    <cellStyle name="Normal 4 2 4 4 5 3" xfId="6391" xr:uid="{00000000-0005-0000-0000-0000B5130000}"/>
    <cellStyle name="Normal 4 2 4 4 5 3 2" xfId="14841" xr:uid="{8EDD5F26-FCE1-4CAC-8416-FCF2C7DE257B}"/>
    <cellStyle name="Normal 4 2 4 4 5 4" xfId="10623" xr:uid="{569FFA02-E76B-4C93-B1F3-7998A2C2A202}"/>
    <cellStyle name="Normal 4 2 4 4 6" xfId="2521" xr:uid="{00000000-0005-0000-0000-0000B6130000}"/>
    <cellStyle name="Normal 4 2 4 4 6 2" xfId="6804" xr:uid="{00000000-0005-0000-0000-0000B7130000}"/>
    <cellStyle name="Normal 4 2 4 4 6 2 2" xfId="15254" xr:uid="{C31865D8-620A-41AF-84CC-7834F428C5D5}"/>
    <cellStyle name="Normal 4 2 4 4 6 3" xfId="11036" xr:uid="{4807D1F7-D280-496B-A86B-0102C5E4BDAE}"/>
    <cellStyle name="Normal 4 2 4 4 7" xfId="4739" xr:uid="{00000000-0005-0000-0000-0000B8130000}"/>
    <cellStyle name="Normal 4 2 4 4 7 2" xfId="13189" xr:uid="{C30476F7-9ADD-486D-AB6A-EB5B1997B33E}"/>
    <cellStyle name="Normal 4 2 4 4 8" xfId="8971" xr:uid="{658E6952-6306-4578-A8D8-8C0786304D5A}"/>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4A52727B-CD21-43C1-9628-451021FD6B27}"/>
    <cellStyle name="Normal 4 2 4 5 2 3" xfId="11522" xr:uid="{71AE0060-F255-4AD8-BDBC-8D5A771C77A4}"/>
    <cellStyle name="Normal 4 2 4 5 3" xfId="5145" xr:uid="{00000000-0005-0000-0000-0000BC130000}"/>
    <cellStyle name="Normal 4 2 4 5 3 2" xfId="13595" xr:uid="{03AB3317-9374-4226-8CC8-746BB33AE202}"/>
    <cellStyle name="Normal 4 2 4 5 4" xfId="9377" xr:uid="{231EEA7E-91EF-4773-B1DF-F02D88C89CEE}"/>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045912BE-0DC2-4DD5-9341-AD52F6A8A47D}"/>
    <cellStyle name="Normal 4 2 4 6 2 3" xfId="11935" xr:uid="{3315410D-D320-495E-9D68-49AB89489200}"/>
    <cellStyle name="Normal 4 2 4 6 3" xfId="5558" xr:uid="{00000000-0005-0000-0000-0000C0130000}"/>
    <cellStyle name="Normal 4 2 4 6 3 2" xfId="14008" xr:uid="{4B709E7F-6CA2-42C8-9171-0AC3AA32963B}"/>
    <cellStyle name="Normal 4 2 4 6 4" xfId="9790" xr:uid="{8078CC7C-3D5B-4AC1-9C91-84984789268C}"/>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8DA1EF96-07BC-4BD2-B06E-2236BB4AE54E}"/>
    <cellStyle name="Normal 4 2 4 7 2 3" xfId="12348" xr:uid="{E8FE2BA2-5B83-4D92-8BBE-F712001D96DC}"/>
    <cellStyle name="Normal 4 2 4 7 3" xfId="5971" xr:uid="{00000000-0005-0000-0000-0000C4130000}"/>
    <cellStyle name="Normal 4 2 4 7 3 2" xfId="14421" xr:uid="{B35ED767-24DB-4A8D-9073-59E885085A44}"/>
    <cellStyle name="Normal 4 2 4 7 4" xfId="10203" xr:uid="{7F21CCE0-3415-487D-A8FD-85614266ECF1}"/>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A046790E-2253-4EB7-8EF9-5EDC327589A3}"/>
    <cellStyle name="Normal 4 2 4 8 2 3" xfId="12761" xr:uid="{3B6FBF3F-6A9C-44E7-A6CE-52EFD253D909}"/>
    <cellStyle name="Normal 4 2 4 8 3" xfId="6384" xr:uid="{00000000-0005-0000-0000-0000C8130000}"/>
    <cellStyle name="Normal 4 2 4 8 3 2" xfId="14834" xr:uid="{D37CC0F7-B103-4DE1-AEEB-0287A723FE79}"/>
    <cellStyle name="Normal 4 2 4 8 4" xfId="10616" xr:uid="{396878B4-0528-45BD-B1BB-61DE1646392A}"/>
    <cellStyle name="Normal 4 2 4 9" xfId="2514" xr:uid="{00000000-0005-0000-0000-0000C9130000}"/>
    <cellStyle name="Normal 4 2 4 9 2" xfId="6797" xr:uid="{00000000-0005-0000-0000-0000CA130000}"/>
    <cellStyle name="Normal 4 2 4 9 2 2" xfId="15247" xr:uid="{55E9C77B-E34D-42A5-8867-6AF686528B99}"/>
    <cellStyle name="Normal 4 2 4 9 3" xfId="11029" xr:uid="{B1469DCF-DA8A-415F-AC52-C7AFDED1E9C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BBCFFC70-CD82-4B86-A0DD-12D4B245BA88}"/>
    <cellStyle name="Normal 4 2 5 2 2 2 3" xfId="11531" xr:uid="{0ED24EF4-A0B7-4F0A-8FC4-3E73B64E4C88}"/>
    <cellStyle name="Normal 4 2 5 2 2 3" xfId="5154" xr:uid="{00000000-0005-0000-0000-0000D0130000}"/>
    <cellStyle name="Normal 4 2 5 2 2 3 2" xfId="13604" xr:uid="{3D65C7AE-175B-45F9-A61B-717AFDF98081}"/>
    <cellStyle name="Normal 4 2 5 2 2 4" xfId="9386" xr:uid="{5BCAEF18-4541-42F2-9FEF-535C89C4EAB5}"/>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83E257F4-0523-44F5-BBEC-CBED3EBEF404}"/>
    <cellStyle name="Normal 4 2 5 2 3 2 3" xfId="11944" xr:uid="{DBCA7E6D-CDED-4C0E-820B-E358E7145B0C}"/>
    <cellStyle name="Normal 4 2 5 2 3 3" xfId="5567" xr:uid="{00000000-0005-0000-0000-0000D4130000}"/>
    <cellStyle name="Normal 4 2 5 2 3 3 2" xfId="14017" xr:uid="{F4B4D5AA-70FA-430C-9188-30D3E7631EC8}"/>
    <cellStyle name="Normal 4 2 5 2 3 4" xfId="9799" xr:uid="{A9115BD7-AAB7-4AEF-B2FD-D187C84CA7B1}"/>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63F6C34F-E794-41D3-AA92-1476A520F77D}"/>
    <cellStyle name="Normal 4 2 5 2 4 2 3" xfId="12357" xr:uid="{F95C8192-B68A-4C10-A726-C9A27BEE25EB}"/>
    <cellStyle name="Normal 4 2 5 2 4 3" xfId="5980" xr:uid="{00000000-0005-0000-0000-0000D8130000}"/>
    <cellStyle name="Normal 4 2 5 2 4 3 2" xfId="14430" xr:uid="{F51EBC24-D297-4564-AB1D-1646FC076001}"/>
    <cellStyle name="Normal 4 2 5 2 4 4" xfId="10212" xr:uid="{5F2C6C67-3AE4-48C0-923B-FA3D338BDFC3}"/>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A14C3EC9-A26D-41EA-AC4F-D961451FAFE4}"/>
    <cellStyle name="Normal 4 2 5 2 5 2 3" xfId="12770" xr:uid="{076005AD-1658-4338-A5F2-ED4AFE98010E}"/>
    <cellStyle name="Normal 4 2 5 2 5 3" xfId="6393" xr:uid="{00000000-0005-0000-0000-0000DC130000}"/>
    <cellStyle name="Normal 4 2 5 2 5 3 2" xfId="14843" xr:uid="{45BC17F7-854D-490B-91CF-E36F4C2C18FB}"/>
    <cellStyle name="Normal 4 2 5 2 5 4" xfId="10625" xr:uid="{6F86F8D0-A4EF-4559-9EA1-DAC02AE4F585}"/>
    <cellStyle name="Normal 4 2 5 2 6" xfId="2523" xr:uid="{00000000-0005-0000-0000-0000DD130000}"/>
    <cellStyle name="Normal 4 2 5 2 6 2" xfId="6806" xr:uid="{00000000-0005-0000-0000-0000DE130000}"/>
    <cellStyle name="Normal 4 2 5 2 6 2 2" xfId="15256" xr:uid="{535847AE-A1BC-4CCB-83F5-12D8A6AFA438}"/>
    <cellStyle name="Normal 4 2 5 2 6 3" xfId="11038" xr:uid="{11F144AF-8908-428C-A97A-59DE3C46C23E}"/>
    <cellStyle name="Normal 4 2 5 2 7" xfId="4741" xr:uid="{00000000-0005-0000-0000-0000DF130000}"/>
    <cellStyle name="Normal 4 2 5 2 7 2" xfId="13191" xr:uid="{E5A5B314-6385-43B6-8588-A672CCCAEC76}"/>
    <cellStyle name="Normal 4 2 5 2 8" xfId="8973" xr:uid="{63FB790D-AC63-4814-A76D-2BEFEE9820F5}"/>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424A3F85-B473-453F-A1A3-A0D2D439B841}"/>
    <cellStyle name="Normal 4 2 5 3 2 3" xfId="11530" xr:uid="{600C6A4D-306D-4738-99A5-004D063E84AF}"/>
    <cellStyle name="Normal 4 2 5 3 3" xfId="5153" xr:uid="{00000000-0005-0000-0000-0000E3130000}"/>
    <cellStyle name="Normal 4 2 5 3 3 2" xfId="13603" xr:uid="{4CCBD4B8-F94C-44BF-BA95-18EB78CB66B5}"/>
    <cellStyle name="Normal 4 2 5 3 4" xfId="9385" xr:uid="{FA023B86-4C30-4DAE-95FD-E031EF30F4EE}"/>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DC420ABE-9BF5-4C46-87A0-B5B080A3441C}"/>
    <cellStyle name="Normal 4 2 5 4 2 3" xfId="11943" xr:uid="{163B82AF-A0E7-4D80-A769-456CABB30D42}"/>
    <cellStyle name="Normal 4 2 5 4 3" xfId="5566" xr:uid="{00000000-0005-0000-0000-0000E7130000}"/>
    <cellStyle name="Normal 4 2 5 4 3 2" xfId="14016" xr:uid="{871B6B8B-D041-4BAA-B806-6B23AB860420}"/>
    <cellStyle name="Normal 4 2 5 4 4" xfId="9798" xr:uid="{5689A0F2-720C-4E2C-BD15-330DC206DCA4}"/>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9299DE7A-A501-44B6-A803-22E55B5B4EC3}"/>
    <cellStyle name="Normal 4 2 5 5 2 3" xfId="12356" xr:uid="{8A1A1EB7-E2FB-4076-8505-F5B695E363F3}"/>
    <cellStyle name="Normal 4 2 5 5 3" xfId="5979" xr:uid="{00000000-0005-0000-0000-0000EB130000}"/>
    <cellStyle name="Normal 4 2 5 5 3 2" xfId="14429" xr:uid="{5A4509BF-5838-44C6-9992-ED1E51AE6AD4}"/>
    <cellStyle name="Normal 4 2 5 5 4" xfId="10211" xr:uid="{2340370C-B2DA-4AE9-8F53-DC84FEB32A49}"/>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96419F3A-F559-409C-91A2-5EED92189262}"/>
    <cellStyle name="Normal 4 2 5 6 2 3" xfId="12769" xr:uid="{3F72A363-43B8-496D-B36B-05A52A90C5F6}"/>
    <cellStyle name="Normal 4 2 5 6 3" xfId="6392" xr:uid="{00000000-0005-0000-0000-0000EF130000}"/>
    <cellStyle name="Normal 4 2 5 6 3 2" xfId="14842" xr:uid="{EBEC2E53-18B2-4127-8E54-AE72B6C6D572}"/>
    <cellStyle name="Normal 4 2 5 6 4" xfId="10624" xr:uid="{EB5B552E-8467-49BB-93AD-5EFE57F63104}"/>
    <cellStyle name="Normal 4 2 5 7" xfId="2522" xr:uid="{00000000-0005-0000-0000-0000F0130000}"/>
    <cellStyle name="Normal 4 2 5 7 2" xfId="6805" xr:uid="{00000000-0005-0000-0000-0000F1130000}"/>
    <cellStyle name="Normal 4 2 5 7 2 2" xfId="15255" xr:uid="{98215BE6-0DFD-4F80-B085-32295412263A}"/>
    <cellStyle name="Normal 4 2 5 7 3" xfId="11037" xr:uid="{D06AF41C-A54F-4605-9EC2-B351CC8CDEF9}"/>
    <cellStyle name="Normal 4 2 5 8" xfId="4740" xr:uid="{00000000-0005-0000-0000-0000F2130000}"/>
    <cellStyle name="Normal 4 2 5 8 2" xfId="13190" xr:uid="{024A1F91-4301-40C0-91C4-D81AE2B30170}"/>
    <cellStyle name="Normal 4 2 5 9" xfId="8972" xr:uid="{A02A0906-E502-4E23-9318-A7A4300A2A6E}"/>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D2FE58B2-F9E1-48C8-B45E-8977F2641E32}"/>
    <cellStyle name="Normal 4 2 6 2 2 3" xfId="11532" xr:uid="{724C5F44-EDE2-457E-9F7F-086ADE6A758E}"/>
    <cellStyle name="Normal 4 2 6 2 3" xfId="5155" xr:uid="{00000000-0005-0000-0000-0000F7130000}"/>
    <cellStyle name="Normal 4 2 6 2 3 2" xfId="13605" xr:uid="{A1DB49D8-1EAA-4018-BE6F-E60748FECCD2}"/>
    <cellStyle name="Normal 4 2 6 2 4" xfId="9387" xr:uid="{49CBCB5F-236D-49D3-958B-26046BBF4F23}"/>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E11B9304-E7EB-4EAA-8837-8D17BE80D986}"/>
    <cellStyle name="Normal 4 2 6 3 2 3" xfId="11945" xr:uid="{746F4889-703C-43DC-84AA-A34A4FCAB174}"/>
    <cellStyle name="Normal 4 2 6 3 3" xfId="5568" xr:uid="{00000000-0005-0000-0000-0000FB130000}"/>
    <cellStyle name="Normal 4 2 6 3 3 2" xfId="14018" xr:uid="{F55C3EAD-08DF-4A0B-B2B8-A2D6DC50E9E8}"/>
    <cellStyle name="Normal 4 2 6 3 4" xfId="9800" xr:uid="{662D5723-C728-4691-914A-D1D51B8299A3}"/>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91F8E03C-A215-4A47-B0FB-E8673319B51D}"/>
    <cellStyle name="Normal 4 2 6 4 2 3" xfId="12358" xr:uid="{50FEAD32-5B41-4C80-B8BD-7F7018CC556D}"/>
    <cellStyle name="Normal 4 2 6 4 3" xfId="5981" xr:uid="{00000000-0005-0000-0000-0000FF130000}"/>
    <cellStyle name="Normal 4 2 6 4 3 2" xfId="14431" xr:uid="{FAD5BE5C-638E-42C3-86D9-7A74B2D63A4B}"/>
    <cellStyle name="Normal 4 2 6 4 4" xfId="10213" xr:uid="{CE7F8193-C9A4-46BC-A274-A7A459B5928C}"/>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37FA7D72-7205-4A09-84FF-E1E789820319}"/>
    <cellStyle name="Normal 4 2 6 5 2 3" xfId="12771" xr:uid="{1445FA9F-19CB-4DBA-A66A-515341188A49}"/>
    <cellStyle name="Normal 4 2 6 5 3" xfId="6394" xr:uid="{00000000-0005-0000-0000-000003140000}"/>
    <cellStyle name="Normal 4 2 6 5 3 2" xfId="14844" xr:uid="{34D32F53-78DD-4AF9-B774-7948031D4287}"/>
    <cellStyle name="Normal 4 2 6 5 4" xfId="10626" xr:uid="{528405FE-B285-4E3A-89C7-9073DF3D5F52}"/>
    <cellStyle name="Normal 4 2 6 6" xfId="2524" xr:uid="{00000000-0005-0000-0000-000004140000}"/>
    <cellStyle name="Normal 4 2 6 6 2" xfId="6807" xr:uid="{00000000-0005-0000-0000-000005140000}"/>
    <cellStyle name="Normal 4 2 6 6 2 2" xfId="15257" xr:uid="{8BC88CFB-146D-4450-B5D2-A9A3D112DBBD}"/>
    <cellStyle name="Normal 4 2 6 6 3" xfId="11039" xr:uid="{2F27FC0C-8497-4196-B5CE-1AEEB95ED93C}"/>
    <cellStyle name="Normal 4 2 6 7" xfId="4742" xr:uid="{00000000-0005-0000-0000-000006140000}"/>
    <cellStyle name="Normal 4 2 6 7 2" xfId="13192" xr:uid="{E2C4E9F9-1A2A-4533-B317-BF5BD157B514}"/>
    <cellStyle name="Normal 4 2 6 8" xfId="8974" xr:uid="{1ACF36C6-7C18-480C-947E-3AAA9B4AD592}"/>
    <cellStyle name="Normal 4 3" xfId="366" xr:uid="{00000000-0005-0000-0000-000007140000}"/>
    <cellStyle name="Normal 4 3 10" xfId="8975" xr:uid="{E8923E56-5EEA-4450-BB26-DCB5ECF99BED}"/>
    <cellStyle name="Normal 4 3 2" xfId="367" xr:uid="{00000000-0005-0000-0000-000008140000}"/>
    <cellStyle name="Normal 4 3 2 2" xfId="368" xr:uid="{00000000-0005-0000-0000-000009140000}"/>
    <cellStyle name="Normal 4 3 2 2 2" xfId="369" xr:uid="{00000000-0005-0000-0000-00000A140000}"/>
    <cellStyle name="Normal 4 3 2 2 2 10" xfId="8976" xr:uid="{09960197-B243-46E5-BBCB-85F96C776264}"/>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7D53E716-BA6D-455B-806A-745B22474544}"/>
    <cellStyle name="Normal 4 3 2 2 2 2 2 2 2 3" xfId="11536" xr:uid="{9D394BB0-CAEC-420B-8463-FC2FE32B7170}"/>
    <cellStyle name="Normal 4 3 2 2 2 2 2 2 3" xfId="5159" xr:uid="{00000000-0005-0000-0000-000010140000}"/>
    <cellStyle name="Normal 4 3 2 2 2 2 2 2 3 2" xfId="13609" xr:uid="{B064ABD6-F375-417E-BCE7-2DE57D1F1C2C}"/>
    <cellStyle name="Normal 4 3 2 2 2 2 2 2 4" xfId="9391" xr:uid="{CDD6C342-4348-4E2A-9DAB-08E9DB5EA7E6}"/>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8C003148-92F2-406F-83E1-00B4CD0059FC}"/>
    <cellStyle name="Normal 4 3 2 2 2 2 2 3 2 3" xfId="11949" xr:uid="{AE9706AF-A553-4E1C-97D2-BDB19D9073A4}"/>
    <cellStyle name="Normal 4 3 2 2 2 2 2 3 3" xfId="5572" xr:uid="{00000000-0005-0000-0000-000014140000}"/>
    <cellStyle name="Normal 4 3 2 2 2 2 2 3 3 2" xfId="14022" xr:uid="{FFA8219C-C423-461F-86AD-5A23BA40CBE8}"/>
    <cellStyle name="Normal 4 3 2 2 2 2 2 3 4" xfId="9804" xr:uid="{FD3AEBF4-812C-4364-9A81-A082DFDF7A7E}"/>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96C596F8-F688-4993-8548-4415A3A86137}"/>
    <cellStyle name="Normal 4 3 2 2 2 2 2 4 2 3" xfId="12362" xr:uid="{1A1BEB50-266B-4D53-A210-4A57CBB28862}"/>
    <cellStyle name="Normal 4 3 2 2 2 2 2 4 3" xfId="5985" xr:uid="{00000000-0005-0000-0000-000018140000}"/>
    <cellStyle name="Normal 4 3 2 2 2 2 2 4 3 2" xfId="14435" xr:uid="{F5056080-F887-4723-BC22-4DC328B697A7}"/>
    <cellStyle name="Normal 4 3 2 2 2 2 2 4 4" xfId="10217" xr:uid="{DAE341AE-AE56-41DA-B154-01838A2F140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AD8AF3A3-3AFA-469F-8306-9D5AF3E19BBB}"/>
    <cellStyle name="Normal 4 3 2 2 2 2 2 5 2 3" xfId="12775" xr:uid="{9A5E77EE-4877-4E32-BD05-6DB0427287CC}"/>
    <cellStyle name="Normal 4 3 2 2 2 2 2 5 3" xfId="6398" xr:uid="{00000000-0005-0000-0000-00001C140000}"/>
    <cellStyle name="Normal 4 3 2 2 2 2 2 5 3 2" xfId="14848" xr:uid="{248CB0AC-302F-4A2A-BB06-3158FB77CA38}"/>
    <cellStyle name="Normal 4 3 2 2 2 2 2 5 4" xfId="10630" xr:uid="{F568A099-BEB7-423E-A095-F7D50B5187E1}"/>
    <cellStyle name="Normal 4 3 2 2 2 2 2 6" xfId="2528" xr:uid="{00000000-0005-0000-0000-00001D140000}"/>
    <cellStyle name="Normal 4 3 2 2 2 2 2 6 2" xfId="6811" xr:uid="{00000000-0005-0000-0000-00001E140000}"/>
    <cellStyle name="Normal 4 3 2 2 2 2 2 6 2 2" xfId="15261" xr:uid="{E9034EF2-13DE-445B-A864-00076839D9E7}"/>
    <cellStyle name="Normal 4 3 2 2 2 2 2 6 3" xfId="11043" xr:uid="{57B1F395-4A29-47A0-A3DD-8A79DBEBC24D}"/>
    <cellStyle name="Normal 4 3 2 2 2 2 2 7" xfId="4746" xr:uid="{00000000-0005-0000-0000-00001F140000}"/>
    <cellStyle name="Normal 4 3 2 2 2 2 2 7 2" xfId="13196" xr:uid="{244471B9-DB4E-4FFA-A710-15735FF9AFD8}"/>
    <cellStyle name="Normal 4 3 2 2 2 2 2 8" xfId="8978" xr:uid="{6A65D43B-ACFD-4C30-800B-4DC8357E6B3D}"/>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AC617E3C-D2C3-441F-82AD-E80759435ABF}"/>
    <cellStyle name="Normal 4 3 2 2 2 2 3 2 3" xfId="11535" xr:uid="{F7EDB65F-7E8C-4145-980D-FAA128956796}"/>
    <cellStyle name="Normal 4 3 2 2 2 2 3 3" xfId="5158" xr:uid="{00000000-0005-0000-0000-000023140000}"/>
    <cellStyle name="Normal 4 3 2 2 2 2 3 3 2" xfId="13608" xr:uid="{DF6585C6-DD18-43CA-9EC9-8EC85EC32BD6}"/>
    <cellStyle name="Normal 4 3 2 2 2 2 3 4" xfId="9390" xr:uid="{A001B8AF-10F3-4A95-8682-63BC6455F32F}"/>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11C61248-4C76-4FF4-B33F-A1BAEE9B9D56}"/>
    <cellStyle name="Normal 4 3 2 2 2 2 4 2 3" xfId="11948" xr:uid="{C01907EA-63BE-42F0-B3D1-5B3159E1E9E4}"/>
    <cellStyle name="Normal 4 3 2 2 2 2 4 3" xfId="5571" xr:uid="{00000000-0005-0000-0000-000027140000}"/>
    <cellStyle name="Normal 4 3 2 2 2 2 4 3 2" xfId="14021" xr:uid="{82A86AA4-B739-4642-B236-09A9BEF32DD0}"/>
    <cellStyle name="Normal 4 3 2 2 2 2 4 4" xfId="9803" xr:uid="{0C1718C1-594C-49BE-9A69-DA07702ECBC9}"/>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3BA5FCAA-98E6-4282-9B9D-9FC32AE0EDB5}"/>
    <cellStyle name="Normal 4 3 2 2 2 2 5 2 3" xfId="12361" xr:uid="{FB0F5246-2596-431F-852E-B6AE897361BB}"/>
    <cellStyle name="Normal 4 3 2 2 2 2 5 3" xfId="5984" xr:uid="{00000000-0005-0000-0000-00002B140000}"/>
    <cellStyle name="Normal 4 3 2 2 2 2 5 3 2" xfId="14434" xr:uid="{FC5BE21E-ED60-4714-A212-9F746B64A4B5}"/>
    <cellStyle name="Normal 4 3 2 2 2 2 5 4" xfId="10216" xr:uid="{A9B36E94-1C61-46C0-BFB1-8865B02F6F5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9CA0B8F-17AA-43E3-BDFC-7893114A14D3}"/>
    <cellStyle name="Normal 4 3 2 2 2 2 6 2 3" xfId="12774" xr:uid="{7B80DC81-F2F0-438F-97C7-AD9741CA20D9}"/>
    <cellStyle name="Normal 4 3 2 2 2 2 6 3" xfId="6397" xr:uid="{00000000-0005-0000-0000-00002F140000}"/>
    <cellStyle name="Normal 4 3 2 2 2 2 6 3 2" xfId="14847" xr:uid="{7D9E109D-1415-4844-8720-93184A29B01D}"/>
    <cellStyle name="Normal 4 3 2 2 2 2 6 4" xfId="10629" xr:uid="{EC4F4428-0688-48A7-B230-AC4341B9E911}"/>
    <cellStyle name="Normal 4 3 2 2 2 2 7" xfId="2527" xr:uid="{00000000-0005-0000-0000-000030140000}"/>
    <cellStyle name="Normal 4 3 2 2 2 2 7 2" xfId="6810" xr:uid="{00000000-0005-0000-0000-000031140000}"/>
    <cellStyle name="Normal 4 3 2 2 2 2 7 2 2" xfId="15260" xr:uid="{C5708D30-62D0-476E-97F6-33E232CA6070}"/>
    <cellStyle name="Normal 4 3 2 2 2 2 7 3" xfId="11042" xr:uid="{884E5529-57E1-4602-B3EE-E68A06F030BF}"/>
    <cellStyle name="Normal 4 3 2 2 2 2 8" xfId="4745" xr:uid="{00000000-0005-0000-0000-000032140000}"/>
    <cellStyle name="Normal 4 3 2 2 2 2 8 2" xfId="13195" xr:uid="{44851E61-C76E-42C3-A6B3-43999335DC4B}"/>
    <cellStyle name="Normal 4 3 2 2 2 2 9" xfId="8977" xr:uid="{7EFF2969-17F2-43B9-993F-38194483701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39DEA09A-8BAD-4B0A-AE18-A29A940A45C6}"/>
    <cellStyle name="Normal 4 3 2 2 2 3 2 2 3" xfId="11537" xr:uid="{731CB3DA-E3F4-4DC9-9D10-B68D35A66F57}"/>
    <cellStyle name="Normal 4 3 2 2 2 3 2 3" xfId="5160" xr:uid="{00000000-0005-0000-0000-000037140000}"/>
    <cellStyle name="Normal 4 3 2 2 2 3 2 3 2" xfId="13610" xr:uid="{26FB151E-B703-49F0-82A2-EE233E1C82B7}"/>
    <cellStyle name="Normal 4 3 2 2 2 3 2 4" xfId="9392" xr:uid="{5C81090A-2C99-42F6-A1FC-7AC156517B21}"/>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8C6825BB-467C-4F0C-9743-5918385DDD6F}"/>
    <cellStyle name="Normal 4 3 2 2 2 3 3 2 3" xfId="11950" xr:uid="{44FB0AA1-FC85-46F4-B874-99AF19412BAD}"/>
    <cellStyle name="Normal 4 3 2 2 2 3 3 3" xfId="5573" xr:uid="{00000000-0005-0000-0000-00003B140000}"/>
    <cellStyle name="Normal 4 3 2 2 2 3 3 3 2" xfId="14023" xr:uid="{D83FA442-4C57-4800-92F1-D55943A665D2}"/>
    <cellStyle name="Normal 4 3 2 2 2 3 3 4" xfId="9805" xr:uid="{9E9C1974-2728-4112-B6C7-D3C50570F5E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2670D540-00DF-494E-9840-D2919BAE65B2}"/>
    <cellStyle name="Normal 4 3 2 2 2 3 4 2 3" xfId="12363" xr:uid="{42746A9A-2A08-4C27-A654-BA8FE5712DAA}"/>
    <cellStyle name="Normal 4 3 2 2 2 3 4 3" xfId="5986" xr:uid="{00000000-0005-0000-0000-00003F140000}"/>
    <cellStyle name="Normal 4 3 2 2 2 3 4 3 2" xfId="14436" xr:uid="{EA8498E2-61DD-46BA-ADEB-49F1D98D1C94}"/>
    <cellStyle name="Normal 4 3 2 2 2 3 4 4" xfId="10218" xr:uid="{FCC30BF5-F8E8-4B48-9308-A0E76F2DBC83}"/>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001B9E29-D64B-4380-92F1-6D531712017B}"/>
    <cellStyle name="Normal 4 3 2 2 2 3 5 2 3" xfId="12776" xr:uid="{94109199-A957-4F5D-AD11-52CFB93E3E24}"/>
    <cellStyle name="Normal 4 3 2 2 2 3 5 3" xfId="6399" xr:uid="{00000000-0005-0000-0000-000043140000}"/>
    <cellStyle name="Normal 4 3 2 2 2 3 5 3 2" xfId="14849" xr:uid="{BEA61274-DB91-467D-BF4B-C0178DC501C6}"/>
    <cellStyle name="Normal 4 3 2 2 2 3 5 4" xfId="10631" xr:uid="{3C94784B-6F3E-44BF-A42C-2D2E2E23EED8}"/>
    <cellStyle name="Normal 4 3 2 2 2 3 6" xfId="2529" xr:uid="{00000000-0005-0000-0000-000044140000}"/>
    <cellStyle name="Normal 4 3 2 2 2 3 6 2" xfId="6812" xr:uid="{00000000-0005-0000-0000-000045140000}"/>
    <cellStyle name="Normal 4 3 2 2 2 3 6 2 2" xfId="15262" xr:uid="{0E5022AC-F585-46F5-8EE6-F0162E83701B}"/>
    <cellStyle name="Normal 4 3 2 2 2 3 6 3" xfId="11044" xr:uid="{39AFA3BA-E820-46F8-A1D0-066181D52676}"/>
    <cellStyle name="Normal 4 3 2 2 2 3 7" xfId="4747" xr:uid="{00000000-0005-0000-0000-000046140000}"/>
    <cellStyle name="Normal 4 3 2 2 2 3 7 2" xfId="13197" xr:uid="{84FA1A0D-641D-420D-805A-B75A3AE860C0}"/>
    <cellStyle name="Normal 4 3 2 2 2 3 8" xfId="8979" xr:uid="{F52A75F3-76B5-4DA1-9147-A343AC729747}"/>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588099DB-C8B1-48DA-AEEE-F3D959425EA6}"/>
    <cellStyle name="Normal 4 3 2 2 2 4 2 3" xfId="11534" xr:uid="{C49C476C-AB47-4410-8AB1-B4B3718A7E9A}"/>
    <cellStyle name="Normal 4 3 2 2 2 4 3" xfId="5157" xr:uid="{00000000-0005-0000-0000-00004A140000}"/>
    <cellStyle name="Normal 4 3 2 2 2 4 3 2" xfId="13607" xr:uid="{2AABEF4A-D847-43A3-B27D-7589082AC261}"/>
    <cellStyle name="Normal 4 3 2 2 2 4 4" xfId="9389" xr:uid="{22E879E9-E31C-4E1D-8134-5C876C496D6B}"/>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6577FD27-E5AD-44DA-A9AC-F8CDDC07E7E2}"/>
    <cellStyle name="Normal 4 3 2 2 2 5 2 3" xfId="11947" xr:uid="{E812D176-D5EB-4283-84BD-16E00CEBA374}"/>
    <cellStyle name="Normal 4 3 2 2 2 5 3" xfId="5570" xr:uid="{00000000-0005-0000-0000-00004E140000}"/>
    <cellStyle name="Normal 4 3 2 2 2 5 3 2" xfId="14020" xr:uid="{0F733D7A-127E-4207-8CFC-F92B1ADD639C}"/>
    <cellStyle name="Normal 4 3 2 2 2 5 4" xfId="9802" xr:uid="{19DEBC95-6941-4ED4-9048-A5BB4CDBB4F5}"/>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40E9AE84-F069-40E6-A08C-3E8855CE159D}"/>
    <cellStyle name="Normal 4 3 2 2 2 6 2 3" xfId="12360" xr:uid="{B3AEA9A4-38B4-4F67-8B39-135F68EB1D3A}"/>
    <cellStyle name="Normal 4 3 2 2 2 6 3" xfId="5983" xr:uid="{00000000-0005-0000-0000-000052140000}"/>
    <cellStyle name="Normal 4 3 2 2 2 6 3 2" xfId="14433" xr:uid="{62A238EF-22AD-4944-8563-3159AD576C1D}"/>
    <cellStyle name="Normal 4 3 2 2 2 6 4" xfId="10215" xr:uid="{935D94D5-18ED-4B02-95A0-ED585B679D5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8F255013-8D6C-44D4-81A2-67146615AEEB}"/>
    <cellStyle name="Normal 4 3 2 2 2 7 2 3" xfId="12773" xr:uid="{022C0A0A-AAB9-4C74-978E-BF88A4135FEF}"/>
    <cellStyle name="Normal 4 3 2 2 2 7 3" xfId="6396" xr:uid="{00000000-0005-0000-0000-000056140000}"/>
    <cellStyle name="Normal 4 3 2 2 2 7 3 2" xfId="14846" xr:uid="{1BC35EE2-E12C-4829-8697-3ABC3AD06377}"/>
    <cellStyle name="Normal 4 3 2 2 2 7 4" xfId="10628" xr:uid="{56BACA13-547B-4F8F-9461-F50227BEF30C}"/>
    <cellStyle name="Normal 4 3 2 2 2 8" xfId="2526" xr:uid="{00000000-0005-0000-0000-000057140000}"/>
    <cellStyle name="Normal 4 3 2 2 2 8 2" xfId="6809" xr:uid="{00000000-0005-0000-0000-000058140000}"/>
    <cellStyle name="Normal 4 3 2 2 2 8 2 2" xfId="15259" xr:uid="{6AF51A09-4C33-484F-8322-1AE15517BD2A}"/>
    <cellStyle name="Normal 4 3 2 2 2 8 3" xfId="11041" xr:uid="{458259DB-7B13-4A4C-B1CD-A1601B851544}"/>
    <cellStyle name="Normal 4 3 2 2 2 9" xfId="4744" xr:uid="{00000000-0005-0000-0000-000059140000}"/>
    <cellStyle name="Normal 4 3 2 2 2 9 2" xfId="13194" xr:uid="{C9DED518-7E3A-4888-B37B-617CCC393E5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0ABC6FBF-6100-4FC2-B08F-853976DD143E}"/>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A6D8FA94-8395-45EF-80CE-289D240EF3E6}"/>
    <cellStyle name="Normal 4 3 3 2 2 2 2 3" xfId="11540" xr:uid="{8F22F9FA-FB15-4357-BEBE-5EF8B20EA872}"/>
    <cellStyle name="Normal 4 3 3 2 2 2 3" xfId="5163" xr:uid="{00000000-0005-0000-0000-000063140000}"/>
    <cellStyle name="Normal 4 3 3 2 2 2 3 2" xfId="13613" xr:uid="{4C2E0DD2-7709-4BDE-98DF-4B433EF943DA}"/>
    <cellStyle name="Normal 4 3 3 2 2 2 4" xfId="9395" xr:uid="{C9F90B95-1584-4D11-A559-8BE348423BCE}"/>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4C63D998-C061-452D-8654-38E610122B0F}"/>
    <cellStyle name="Normal 4 3 3 2 2 3 2 3" xfId="11953" xr:uid="{694B2EE6-53C5-4ABB-81BB-F0F7B2D3649A}"/>
    <cellStyle name="Normal 4 3 3 2 2 3 3" xfId="5576" xr:uid="{00000000-0005-0000-0000-000067140000}"/>
    <cellStyle name="Normal 4 3 3 2 2 3 3 2" xfId="14026" xr:uid="{69FBC14A-1438-47F5-90AC-51EB4B16A4C1}"/>
    <cellStyle name="Normal 4 3 3 2 2 3 4" xfId="9808" xr:uid="{BB978612-7337-4823-A447-0CA7901C8ED3}"/>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C4962CD1-B5A1-4A93-BC8A-F948267FA05B}"/>
    <cellStyle name="Normal 4 3 3 2 2 4 2 3" xfId="12366" xr:uid="{0B363F40-486B-4B8E-9E03-EA22F9543C30}"/>
    <cellStyle name="Normal 4 3 3 2 2 4 3" xfId="5989" xr:uid="{00000000-0005-0000-0000-00006B140000}"/>
    <cellStyle name="Normal 4 3 3 2 2 4 3 2" xfId="14439" xr:uid="{DF6654DF-FFA8-4372-9669-2823BED57C8A}"/>
    <cellStyle name="Normal 4 3 3 2 2 4 4" xfId="10221" xr:uid="{F05B009F-E93A-4E7F-83BB-B9ECC8E1BF36}"/>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F2543D9E-C246-40C7-A03C-25DB3473E17B}"/>
    <cellStyle name="Normal 4 3 3 2 2 5 2 3" xfId="12779" xr:uid="{5C26A7AC-6578-4288-882A-5E12CFB47C6A}"/>
    <cellStyle name="Normal 4 3 3 2 2 5 3" xfId="6402" xr:uid="{00000000-0005-0000-0000-00006F140000}"/>
    <cellStyle name="Normal 4 3 3 2 2 5 3 2" xfId="14852" xr:uid="{1AD56DF5-45A7-45B3-AE04-3D2FD0119C19}"/>
    <cellStyle name="Normal 4 3 3 2 2 5 4" xfId="10634" xr:uid="{B7DEDF53-691E-4998-8DF8-34E91C4E2B7C}"/>
    <cellStyle name="Normal 4 3 3 2 2 6" xfId="2532" xr:uid="{00000000-0005-0000-0000-000070140000}"/>
    <cellStyle name="Normal 4 3 3 2 2 6 2" xfId="6815" xr:uid="{00000000-0005-0000-0000-000071140000}"/>
    <cellStyle name="Normal 4 3 3 2 2 6 2 2" xfId="15265" xr:uid="{68865EB5-70F7-4F18-BB99-DD7AED59627D}"/>
    <cellStyle name="Normal 4 3 3 2 2 6 3" xfId="11047" xr:uid="{FCD69ADB-4547-42FE-9BEA-4FDA1ADEE6EB}"/>
    <cellStyle name="Normal 4 3 3 2 2 7" xfId="4750" xr:uid="{00000000-0005-0000-0000-000072140000}"/>
    <cellStyle name="Normal 4 3 3 2 2 7 2" xfId="13200" xr:uid="{EF895748-DBEE-4332-B5E0-E55FBAC01D1A}"/>
    <cellStyle name="Normal 4 3 3 2 2 8" xfId="8982" xr:uid="{794547F3-C625-406B-9BA2-289F5801D0A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A743FCBE-41A1-4FB0-B09A-06042273670E}"/>
    <cellStyle name="Normal 4 3 3 2 3 2 3" xfId="11539" xr:uid="{BE4872A9-9B4E-4A3D-8D14-2182BC3ADCC7}"/>
    <cellStyle name="Normal 4 3 3 2 3 3" xfId="5162" xr:uid="{00000000-0005-0000-0000-000076140000}"/>
    <cellStyle name="Normal 4 3 3 2 3 3 2" xfId="13612" xr:uid="{DC49FBC1-DDDE-476C-8DBB-8922B0ADFD39}"/>
    <cellStyle name="Normal 4 3 3 2 3 4" xfId="9394" xr:uid="{01D24870-3E0D-4D5C-AF7C-1040D983E47D}"/>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471ADF03-B43A-431D-BD0D-A11F5C188BE1}"/>
    <cellStyle name="Normal 4 3 3 2 4 2 3" xfId="11952" xr:uid="{3C11FFE7-6DF8-43CA-A387-5DF5F080107E}"/>
    <cellStyle name="Normal 4 3 3 2 4 3" xfId="5575" xr:uid="{00000000-0005-0000-0000-00007A140000}"/>
    <cellStyle name="Normal 4 3 3 2 4 3 2" xfId="14025" xr:uid="{C80A802F-6FFB-4D2B-B26B-1855A44A321A}"/>
    <cellStyle name="Normal 4 3 3 2 4 4" xfId="9807" xr:uid="{32936845-D64E-48CA-84A3-03A8D6D43280}"/>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96C65008-BC93-41F6-AC5E-C79F56CF5E86}"/>
    <cellStyle name="Normal 4 3 3 2 5 2 3" xfId="12365" xr:uid="{F8D6AE5D-4E5B-4E4A-AF48-53FE341ADDBA}"/>
    <cellStyle name="Normal 4 3 3 2 5 3" xfId="5988" xr:uid="{00000000-0005-0000-0000-00007E140000}"/>
    <cellStyle name="Normal 4 3 3 2 5 3 2" xfId="14438" xr:uid="{DF8B2259-57C9-4747-92AF-E404967857BE}"/>
    <cellStyle name="Normal 4 3 3 2 5 4" xfId="10220" xr:uid="{F4B1E757-7A6A-4D53-987B-CE0D314B57F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3FEA2754-BA71-4925-9399-25A3052B2F93}"/>
    <cellStyle name="Normal 4 3 3 2 6 2 3" xfId="12778" xr:uid="{48B1322D-6F92-4E82-A232-C85D7CEFF5ED}"/>
    <cellStyle name="Normal 4 3 3 2 6 3" xfId="6401" xr:uid="{00000000-0005-0000-0000-000082140000}"/>
    <cellStyle name="Normal 4 3 3 2 6 3 2" xfId="14851" xr:uid="{6AD42123-B3C2-4F7F-B561-D35EE7F933E1}"/>
    <cellStyle name="Normal 4 3 3 2 6 4" xfId="10633" xr:uid="{5D8E589D-ACB3-4D26-A132-A2753ED7DF64}"/>
    <cellStyle name="Normal 4 3 3 2 7" xfId="2531" xr:uid="{00000000-0005-0000-0000-000083140000}"/>
    <cellStyle name="Normal 4 3 3 2 7 2" xfId="6814" xr:uid="{00000000-0005-0000-0000-000084140000}"/>
    <cellStyle name="Normal 4 3 3 2 7 2 2" xfId="15264" xr:uid="{5CCDC955-58FE-4279-9E0D-C6D59EDF8B1C}"/>
    <cellStyle name="Normal 4 3 3 2 7 3" xfId="11046" xr:uid="{813BAE8D-94BC-4753-A606-EC0B028BB1AA}"/>
    <cellStyle name="Normal 4 3 3 2 8" xfId="4749" xr:uid="{00000000-0005-0000-0000-000085140000}"/>
    <cellStyle name="Normal 4 3 3 2 8 2" xfId="13199" xr:uid="{9FBE9061-1A51-4BB7-B5C3-EC80EB44FDA0}"/>
    <cellStyle name="Normal 4 3 3 2 9" xfId="8981" xr:uid="{36C96AC5-E47E-44D2-BE2E-73CA139F6EC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ADA0D00E-79DF-4488-B033-98764E92E476}"/>
    <cellStyle name="Normal 4 3 3 3 2 2 3" xfId="11541" xr:uid="{B66AA664-A761-4FBC-AD8B-AA2BD54FF260}"/>
    <cellStyle name="Normal 4 3 3 3 2 3" xfId="5164" xr:uid="{00000000-0005-0000-0000-00008A140000}"/>
    <cellStyle name="Normal 4 3 3 3 2 3 2" xfId="13614" xr:uid="{CE2CBE89-9E65-43AC-92B9-88CF3719B518}"/>
    <cellStyle name="Normal 4 3 3 3 2 4" xfId="9396" xr:uid="{F6DC0FF1-1AE2-4261-BC30-C3E9B5E78B67}"/>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8CFDDD33-86A4-4238-A006-4E5DDC9176A2}"/>
    <cellStyle name="Normal 4 3 3 3 3 2 3" xfId="11954" xr:uid="{AE610AE9-7400-4B0E-BF5E-A73786F89782}"/>
    <cellStyle name="Normal 4 3 3 3 3 3" xfId="5577" xr:uid="{00000000-0005-0000-0000-00008E140000}"/>
    <cellStyle name="Normal 4 3 3 3 3 3 2" xfId="14027" xr:uid="{EA64B55A-836C-4B9E-A935-1F52EFEFE46A}"/>
    <cellStyle name="Normal 4 3 3 3 3 4" xfId="9809" xr:uid="{003538FF-5D2F-4E52-B89B-3B7A5FEFD5F5}"/>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711CE2B4-1172-4638-85C7-18652C1B89C7}"/>
    <cellStyle name="Normal 4 3 3 3 4 2 3" xfId="12367" xr:uid="{D86E1F63-2C83-45D3-A56D-CC3308C53352}"/>
    <cellStyle name="Normal 4 3 3 3 4 3" xfId="5990" xr:uid="{00000000-0005-0000-0000-000092140000}"/>
    <cellStyle name="Normal 4 3 3 3 4 3 2" xfId="14440" xr:uid="{359F00D4-175E-43A0-BA94-0C0BD43997BB}"/>
    <cellStyle name="Normal 4 3 3 3 4 4" xfId="10222" xr:uid="{FD49BAD8-09FA-4126-8672-3A41FCA5B606}"/>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B1D9BE3A-E4C9-40B5-B62A-BEA8AADB23C4}"/>
    <cellStyle name="Normal 4 3 3 3 5 2 3" xfId="12780" xr:uid="{215FBF15-5F72-4EE3-A831-6A45BBE6CA35}"/>
    <cellStyle name="Normal 4 3 3 3 5 3" xfId="6403" xr:uid="{00000000-0005-0000-0000-000096140000}"/>
    <cellStyle name="Normal 4 3 3 3 5 3 2" xfId="14853" xr:uid="{C344B25C-756B-40C8-B53D-83056F5BDA84}"/>
    <cellStyle name="Normal 4 3 3 3 5 4" xfId="10635" xr:uid="{30CCB563-78C5-45A4-B0F8-B03BA0DC8423}"/>
    <cellStyle name="Normal 4 3 3 3 6" xfId="2533" xr:uid="{00000000-0005-0000-0000-000097140000}"/>
    <cellStyle name="Normal 4 3 3 3 6 2" xfId="6816" xr:uid="{00000000-0005-0000-0000-000098140000}"/>
    <cellStyle name="Normal 4 3 3 3 6 2 2" xfId="15266" xr:uid="{5134535D-37BF-4CE1-BB2E-6C0E8F5675F6}"/>
    <cellStyle name="Normal 4 3 3 3 6 3" xfId="11048" xr:uid="{9FD62196-5164-414E-8616-393159845964}"/>
    <cellStyle name="Normal 4 3 3 3 7" xfId="4751" xr:uid="{00000000-0005-0000-0000-000099140000}"/>
    <cellStyle name="Normal 4 3 3 3 7 2" xfId="13201" xr:uid="{1CA08C62-3F18-4009-9320-FEE16B180C51}"/>
    <cellStyle name="Normal 4 3 3 3 8" xfId="8983" xr:uid="{A73A8FE1-6F85-402F-A750-AC892AD4B2AB}"/>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859CB4A6-DE13-4D4B-B975-BEF15D8C0566}"/>
    <cellStyle name="Normal 4 3 3 4 2 3" xfId="11538" xr:uid="{0D686BAC-4C2F-4168-A7DD-174B72BF13F7}"/>
    <cellStyle name="Normal 4 3 3 4 3" xfId="5161" xr:uid="{00000000-0005-0000-0000-00009D140000}"/>
    <cellStyle name="Normal 4 3 3 4 3 2" xfId="13611" xr:uid="{7F93084D-9AE0-47AA-8306-CCCB60B9BD79}"/>
    <cellStyle name="Normal 4 3 3 4 4" xfId="9393" xr:uid="{CAA41C27-0D63-4D3E-8A66-25EFE513D366}"/>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9A750BFE-AD45-4DD2-B6C3-F242020DE64C}"/>
    <cellStyle name="Normal 4 3 3 5 2 3" xfId="11951" xr:uid="{731A2447-C5F5-4A7B-8FFE-8322C65C2C55}"/>
    <cellStyle name="Normal 4 3 3 5 3" xfId="5574" xr:uid="{00000000-0005-0000-0000-0000A1140000}"/>
    <cellStyle name="Normal 4 3 3 5 3 2" xfId="14024" xr:uid="{D5FA18BE-22A1-4DBE-9081-94464D58F7C7}"/>
    <cellStyle name="Normal 4 3 3 5 4" xfId="9806" xr:uid="{DBCD48ED-BDCB-4D8C-BB6E-E511BE4615F0}"/>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7453883C-E6C8-446E-826C-B72D68840C9F}"/>
    <cellStyle name="Normal 4 3 3 6 2 3" xfId="12364" xr:uid="{C50081D0-985A-4143-B899-2FEF2E7264FE}"/>
    <cellStyle name="Normal 4 3 3 6 3" xfId="5987" xr:uid="{00000000-0005-0000-0000-0000A5140000}"/>
    <cellStyle name="Normal 4 3 3 6 3 2" xfId="14437" xr:uid="{A550ABB5-F69E-4D93-93C3-0E54AF766197}"/>
    <cellStyle name="Normal 4 3 3 6 4" xfId="10219" xr:uid="{937F5A9B-EDD2-4BFA-99F7-19ED0F4D3DB5}"/>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30B02010-2A36-4410-BAEB-4311E8B82BCE}"/>
    <cellStyle name="Normal 4 3 3 7 2 3" xfId="12777" xr:uid="{E6C97B25-661A-4D47-893E-791C4656F50B}"/>
    <cellStyle name="Normal 4 3 3 7 3" xfId="6400" xr:uid="{00000000-0005-0000-0000-0000A9140000}"/>
    <cellStyle name="Normal 4 3 3 7 3 2" xfId="14850" xr:uid="{3058F291-E284-41DA-8FFC-D52D2E5ABC60}"/>
    <cellStyle name="Normal 4 3 3 7 4" xfId="10632" xr:uid="{E46DB2FA-035E-430B-B021-FA0B25D84630}"/>
    <cellStyle name="Normal 4 3 3 8" xfId="2530" xr:uid="{00000000-0005-0000-0000-0000AA140000}"/>
    <cellStyle name="Normal 4 3 3 8 2" xfId="6813" xr:uid="{00000000-0005-0000-0000-0000AB140000}"/>
    <cellStyle name="Normal 4 3 3 8 2 2" xfId="15263" xr:uid="{D7422147-7AC5-4737-B318-13F94CFE50E4}"/>
    <cellStyle name="Normal 4 3 3 8 3" xfId="11045" xr:uid="{B42055E7-3340-4A54-A100-5C8DC73021EC}"/>
    <cellStyle name="Normal 4 3 3 9" xfId="4748" xr:uid="{00000000-0005-0000-0000-0000AC140000}"/>
    <cellStyle name="Normal 4 3 3 9 2" xfId="13198" xr:uid="{9C399051-F23A-463A-9E47-8F80E46F6F98}"/>
    <cellStyle name="Normal 4 3 4" xfId="842" xr:uid="{00000000-0005-0000-0000-0000AD140000}"/>
    <cellStyle name="Normal 4 3 4 2" xfId="3079" xr:uid="{00000000-0005-0000-0000-0000AE140000}"/>
    <cellStyle name="Normal 4 3 4 2 2" xfId="7301" xr:uid="{00000000-0005-0000-0000-0000AF140000}"/>
    <cellStyle name="Normal 4 3 4 2 2 2" xfId="15751" xr:uid="{807326C1-FEE7-4E79-8B1F-B152E5A94E34}"/>
    <cellStyle name="Normal 4 3 4 2 3" xfId="11533" xr:uid="{6F23DAE7-209F-4A97-A260-38AA153C1208}"/>
    <cellStyle name="Normal 4 3 4 3" xfId="5156" xr:uid="{00000000-0005-0000-0000-0000B0140000}"/>
    <cellStyle name="Normal 4 3 4 3 2" xfId="13606" xr:uid="{5685905C-7148-4E5D-A199-A0468B0450ED}"/>
    <cellStyle name="Normal 4 3 4 4" xfId="9388" xr:uid="{D3C27BA7-FE31-4CD6-875C-4A90CB980D23}"/>
    <cellStyle name="Normal 4 3 5" xfId="1262" xr:uid="{00000000-0005-0000-0000-0000B1140000}"/>
    <cellStyle name="Normal 4 3 5 2" xfId="3492" xr:uid="{00000000-0005-0000-0000-0000B2140000}"/>
    <cellStyle name="Normal 4 3 5 2 2" xfId="7714" xr:uid="{00000000-0005-0000-0000-0000B3140000}"/>
    <cellStyle name="Normal 4 3 5 2 2 2" xfId="16164" xr:uid="{0A1FB457-4A76-42E5-9BC6-FA9A6448E59B}"/>
    <cellStyle name="Normal 4 3 5 2 3" xfId="11946" xr:uid="{8F83D1F8-17AD-4891-B849-DB3B77D0FA38}"/>
    <cellStyle name="Normal 4 3 5 3" xfId="5569" xr:uid="{00000000-0005-0000-0000-0000B4140000}"/>
    <cellStyle name="Normal 4 3 5 3 2" xfId="14019" xr:uid="{92E231D4-F168-457F-A72F-4C927602198E}"/>
    <cellStyle name="Normal 4 3 5 4" xfId="9801" xr:uid="{461D3093-D17C-4CD6-8D8A-9133966A5332}"/>
    <cellStyle name="Normal 4 3 6" xfId="1675" xr:uid="{00000000-0005-0000-0000-0000B5140000}"/>
    <cellStyle name="Normal 4 3 6 2" xfId="3905" xr:uid="{00000000-0005-0000-0000-0000B6140000}"/>
    <cellStyle name="Normal 4 3 6 2 2" xfId="8127" xr:uid="{00000000-0005-0000-0000-0000B7140000}"/>
    <cellStyle name="Normal 4 3 6 2 2 2" xfId="16577" xr:uid="{B45CDC81-0DBE-4B5B-9AB4-EF3D2237DCE9}"/>
    <cellStyle name="Normal 4 3 6 2 3" xfId="12359" xr:uid="{96F7D5FB-6458-4EDC-9116-64653335AE11}"/>
    <cellStyle name="Normal 4 3 6 3" xfId="5982" xr:uid="{00000000-0005-0000-0000-0000B8140000}"/>
    <cellStyle name="Normal 4 3 6 3 2" xfId="14432" xr:uid="{CA0EE0F3-16C1-4882-BDA2-38DEDC57E797}"/>
    <cellStyle name="Normal 4 3 6 4" xfId="10214" xr:uid="{5A7BD359-749B-49AE-84D9-AC71CBF7378B}"/>
    <cellStyle name="Normal 4 3 7" xfId="2089" xr:uid="{00000000-0005-0000-0000-0000B9140000}"/>
    <cellStyle name="Normal 4 3 7 2" xfId="4318" xr:uid="{00000000-0005-0000-0000-0000BA140000}"/>
    <cellStyle name="Normal 4 3 7 2 2" xfId="8540" xr:uid="{00000000-0005-0000-0000-0000BB140000}"/>
    <cellStyle name="Normal 4 3 7 2 2 2" xfId="16990" xr:uid="{ACBA8542-D691-4B33-8718-9466780555CE}"/>
    <cellStyle name="Normal 4 3 7 2 3" xfId="12772" xr:uid="{AA0F769D-36A0-4ACA-93E6-2CEA700311BE}"/>
    <cellStyle name="Normal 4 3 7 3" xfId="6395" xr:uid="{00000000-0005-0000-0000-0000BC140000}"/>
    <cellStyle name="Normal 4 3 7 3 2" xfId="14845" xr:uid="{8A1F3A41-0036-49B5-98FF-69B4C7B7675E}"/>
    <cellStyle name="Normal 4 3 7 4" xfId="10627" xr:uid="{09530245-B97D-4ABD-906B-6C01DA2EDD69}"/>
    <cellStyle name="Normal 4 3 8" xfId="2525" xr:uid="{00000000-0005-0000-0000-0000BD140000}"/>
    <cellStyle name="Normal 4 3 8 2" xfId="6808" xr:uid="{00000000-0005-0000-0000-0000BE140000}"/>
    <cellStyle name="Normal 4 3 8 2 2" xfId="15258" xr:uid="{83206AA3-E036-4162-AC2F-23FAE5F43424}"/>
    <cellStyle name="Normal 4 3 8 3" xfId="11040" xr:uid="{5CF12DB3-B606-412A-BDD3-6E20DAE86733}"/>
    <cellStyle name="Normal 4 3 9" xfId="4743" xr:uid="{00000000-0005-0000-0000-0000BF140000}"/>
    <cellStyle name="Normal 4 3 9 2" xfId="13193" xr:uid="{29D9C365-C8F8-469D-B959-B404300FFDF3}"/>
    <cellStyle name="Normal 4 4" xfId="378" xr:uid="{00000000-0005-0000-0000-0000C0140000}"/>
    <cellStyle name="Normal 4 4 10" xfId="2534" xr:uid="{00000000-0005-0000-0000-0000C1140000}"/>
    <cellStyle name="Normal 4 4 10 2" xfId="6817" xr:uid="{00000000-0005-0000-0000-0000C2140000}"/>
    <cellStyle name="Normal 4 4 10 2 2" xfId="15267" xr:uid="{5B630167-E734-4809-93E5-444361C973EA}"/>
    <cellStyle name="Normal 4 4 10 3" xfId="11049" xr:uid="{3730D94A-E5B1-4D23-8009-31986522CA92}"/>
    <cellStyle name="Normal 4 4 11" xfId="4752" xr:uid="{00000000-0005-0000-0000-0000C3140000}"/>
    <cellStyle name="Normal 4 4 11 2" xfId="13202" xr:uid="{D91CEC78-0496-4B02-B3AD-80CBBA56B779}"/>
    <cellStyle name="Normal 4 4 12" xfId="8984" xr:uid="{EA799FF4-7B2A-463D-BDD7-D012E785CC65}"/>
    <cellStyle name="Normal 4 4 2" xfId="379" xr:uid="{00000000-0005-0000-0000-0000C4140000}"/>
    <cellStyle name="Normal 4 4 2 10" xfId="4753" xr:uid="{00000000-0005-0000-0000-0000C5140000}"/>
    <cellStyle name="Normal 4 4 2 10 2" xfId="13203" xr:uid="{436B5DA5-6838-4FED-A32C-E815269D8147}"/>
    <cellStyle name="Normal 4 4 2 11" xfId="8985" xr:uid="{79C0A947-12B3-4EBE-8310-C34FE039842C}"/>
    <cellStyle name="Normal 4 4 2 2" xfId="380" xr:uid="{00000000-0005-0000-0000-0000C6140000}"/>
    <cellStyle name="Normal 4 4 2 2 10" xfId="8986" xr:uid="{20A56D0B-2A2C-4F97-9A6C-2DA54FC37C81}"/>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76929920-135C-418E-87E6-FBA1E2BF1DA1}"/>
    <cellStyle name="Normal 4 4 2 2 2 2 2 2 3" xfId="11546" xr:uid="{504B0333-E334-4EF6-8E69-00089A4F24AF}"/>
    <cellStyle name="Normal 4 4 2 2 2 2 2 3" xfId="5169" xr:uid="{00000000-0005-0000-0000-0000CC140000}"/>
    <cellStyle name="Normal 4 4 2 2 2 2 2 3 2" xfId="13619" xr:uid="{99145291-A672-49F8-A08F-64BFFE2F11B6}"/>
    <cellStyle name="Normal 4 4 2 2 2 2 2 4" xfId="9401" xr:uid="{C10A040B-8915-48A1-A408-3BDD5C6482C5}"/>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740B06C2-4FED-42B4-8AC3-E17AF125E4DB}"/>
    <cellStyle name="Normal 4 4 2 2 2 2 3 2 3" xfId="11959" xr:uid="{89161308-7CE8-422D-BEC6-5CC451B7E1E6}"/>
    <cellStyle name="Normal 4 4 2 2 2 2 3 3" xfId="5582" xr:uid="{00000000-0005-0000-0000-0000D0140000}"/>
    <cellStyle name="Normal 4 4 2 2 2 2 3 3 2" xfId="14032" xr:uid="{D883A0AA-DC13-43F6-BCD0-C2C59BD681F4}"/>
    <cellStyle name="Normal 4 4 2 2 2 2 3 4" xfId="9814" xr:uid="{23BA7981-1BAE-4787-804D-629399723F1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0B0083B5-1677-42F3-966F-6DAEBB4C54CA}"/>
    <cellStyle name="Normal 4 4 2 2 2 2 4 2 3" xfId="12372" xr:uid="{C765D307-78A2-43DF-9BB1-AEEB771FDF7A}"/>
    <cellStyle name="Normal 4 4 2 2 2 2 4 3" xfId="5995" xr:uid="{00000000-0005-0000-0000-0000D4140000}"/>
    <cellStyle name="Normal 4 4 2 2 2 2 4 3 2" xfId="14445" xr:uid="{ADAF5B6D-FFA0-4F86-B816-4960773B2F6A}"/>
    <cellStyle name="Normal 4 4 2 2 2 2 4 4" xfId="10227" xr:uid="{983C7A62-88C8-4ECC-BF62-F8BCE2A284CF}"/>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E924B804-884D-42DD-B556-CC6F2CF3FEF5}"/>
    <cellStyle name="Normal 4 4 2 2 2 2 5 2 3" xfId="12785" xr:uid="{744213EA-95C4-486D-B13E-76DB7772A113}"/>
    <cellStyle name="Normal 4 4 2 2 2 2 5 3" xfId="6408" xr:uid="{00000000-0005-0000-0000-0000D8140000}"/>
    <cellStyle name="Normal 4 4 2 2 2 2 5 3 2" xfId="14858" xr:uid="{95F7FF92-9C80-47C6-A563-A1F1F4427A0C}"/>
    <cellStyle name="Normal 4 4 2 2 2 2 5 4" xfId="10640" xr:uid="{D9D5234B-13F5-4EBD-BFF5-3ED96FED8166}"/>
    <cellStyle name="Normal 4 4 2 2 2 2 6" xfId="2538" xr:uid="{00000000-0005-0000-0000-0000D9140000}"/>
    <cellStyle name="Normal 4 4 2 2 2 2 6 2" xfId="6821" xr:uid="{00000000-0005-0000-0000-0000DA140000}"/>
    <cellStyle name="Normal 4 4 2 2 2 2 6 2 2" xfId="15271" xr:uid="{1BBA85F9-F6F0-42BD-9445-8E13D672F260}"/>
    <cellStyle name="Normal 4 4 2 2 2 2 6 3" xfId="11053" xr:uid="{8AFD79C4-1AD7-4E58-9930-F8785887F3E0}"/>
    <cellStyle name="Normal 4 4 2 2 2 2 7" xfId="4756" xr:uid="{00000000-0005-0000-0000-0000DB140000}"/>
    <cellStyle name="Normal 4 4 2 2 2 2 7 2" xfId="13206" xr:uid="{EF4807E7-261F-4D65-B526-09BB07C231F4}"/>
    <cellStyle name="Normal 4 4 2 2 2 2 8" xfId="8988" xr:uid="{F1D09722-9B8F-412D-B687-C8E3D8CD0185}"/>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2C71E619-D6FE-4774-A3DD-91E86F545C33}"/>
    <cellStyle name="Normal 4 4 2 2 2 3 2 3" xfId="11545" xr:uid="{E1AABB2E-E06F-4803-8A43-0F2692D45BFC}"/>
    <cellStyle name="Normal 4 4 2 2 2 3 3" xfId="5168" xr:uid="{00000000-0005-0000-0000-0000DF140000}"/>
    <cellStyle name="Normal 4 4 2 2 2 3 3 2" xfId="13618" xr:uid="{90EA0B35-F265-487C-899C-38B11962D09F}"/>
    <cellStyle name="Normal 4 4 2 2 2 3 4" xfId="9400" xr:uid="{152CAE9E-E5E1-4A4C-8652-33A9DB761808}"/>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95612326-C5FE-48EA-957A-9AD533FED977}"/>
    <cellStyle name="Normal 4 4 2 2 2 4 2 3" xfId="11958" xr:uid="{2CEA7E42-C236-487F-B33C-2643DFCC4C19}"/>
    <cellStyle name="Normal 4 4 2 2 2 4 3" xfId="5581" xr:uid="{00000000-0005-0000-0000-0000E3140000}"/>
    <cellStyle name="Normal 4 4 2 2 2 4 3 2" xfId="14031" xr:uid="{B9FAE498-4696-4BCA-8241-907EB1718335}"/>
    <cellStyle name="Normal 4 4 2 2 2 4 4" xfId="9813" xr:uid="{FB734C4D-5F97-4412-ADF9-7902890C006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514CC847-BB38-4268-9324-60BB332F99D1}"/>
    <cellStyle name="Normal 4 4 2 2 2 5 2 3" xfId="12371" xr:uid="{FA9D796D-EE94-4EA2-AB47-4912B26978E1}"/>
    <cellStyle name="Normal 4 4 2 2 2 5 3" xfId="5994" xr:uid="{00000000-0005-0000-0000-0000E7140000}"/>
    <cellStyle name="Normal 4 4 2 2 2 5 3 2" xfId="14444" xr:uid="{0A8C4036-512C-44EE-896B-B3AD647DD15E}"/>
    <cellStyle name="Normal 4 4 2 2 2 5 4" xfId="10226" xr:uid="{CA56DA36-8EC0-4B44-850A-3B452EF16F77}"/>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CACE38EC-6F5C-4AE2-8D69-A3117CA2438B}"/>
    <cellStyle name="Normal 4 4 2 2 2 6 2 3" xfId="12784" xr:uid="{88FE3565-F6CA-451E-B1B2-249D6D293E20}"/>
    <cellStyle name="Normal 4 4 2 2 2 6 3" xfId="6407" xr:uid="{00000000-0005-0000-0000-0000EB140000}"/>
    <cellStyle name="Normal 4 4 2 2 2 6 3 2" xfId="14857" xr:uid="{16737770-6582-4FD7-96B5-BE99CD290166}"/>
    <cellStyle name="Normal 4 4 2 2 2 6 4" xfId="10639" xr:uid="{213E2E3B-17D5-435F-84F6-4EAB25A37691}"/>
    <cellStyle name="Normal 4 4 2 2 2 7" xfId="2537" xr:uid="{00000000-0005-0000-0000-0000EC140000}"/>
    <cellStyle name="Normal 4 4 2 2 2 7 2" xfId="6820" xr:uid="{00000000-0005-0000-0000-0000ED140000}"/>
    <cellStyle name="Normal 4 4 2 2 2 7 2 2" xfId="15270" xr:uid="{C5CDE8D5-083B-47F5-9462-0ACBA8872EE1}"/>
    <cellStyle name="Normal 4 4 2 2 2 7 3" xfId="11052" xr:uid="{AF6CFA28-7BB8-41EB-A3B4-5C3BD02A4FC4}"/>
    <cellStyle name="Normal 4 4 2 2 2 8" xfId="4755" xr:uid="{00000000-0005-0000-0000-0000EE140000}"/>
    <cellStyle name="Normal 4 4 2 2 2 8 2" xfId="13205" xr:uid="{F2D1A681-8025-4EF2-9EA5-DB9CEDC60A42}"/>
    <cellStyle name="Normal 4 4 2 2 2 9" xfId="8987" xr:uid="{0AF51972-01BF-4B1F-9F46-772F59EC3F7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CDE0B86A-646D-4EC3-B474-97475092A6A3}"/>
    <cellStyle name="Normal 4 4 2 2 3 2 2 3" xfId="11547" xr:uid="{FEDF4EB9-DE09-45A4-8FBA-36ED5EB0402E}"/>
    <cellStyle name="Normal 4 4 2 2 3 2 3" xfId="5170" xr:uid="{00000000-0005-0000-0000-0000F3140000}"/>
    <cellStyle name="Normal 4 4 2 2 3 2 3 2" xfId="13620" xr:uid="{5CA2884C-2051-4764-B126-7997E3A73545}"/>
    <cellStyle name="Normal 4 4 2 2 3 2 4" xfId="9402" xr:uid="{2EFE4833-3414-4116-8EAC-402BF137C74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0E4C0A3A-C2C4-4FC8-932F-D46034F2E3F9}"/>
    <cellStyle name="Normal 4 4 2 2 3 3 2 3" xfId="11960" xr:uid="{398B6FBA-2C64-42C3-A6E1-BEAB4A8A659A}"/>
    <cellStyle name="Normal 4 4 2 2 3 3 3" xfId="5583" xr:uid="{00000000-0005-0000-0000-0000F7140000}"/>
    <cellStyle name="Normal 4 4 2 2 3 3 3 2" xfId="14033" xr:uid="{A7DF4AC2-EAE8-41E5-8F90-B2811148C8F8}"/>
    <cellStyle name="Normal 4 4 2 2 3 3 4" xfId="9815" xr:uid="{A6B503F8-03A1-4671-81B3-78B9067A2ED8}"/>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56A62BAB-538D-4B4D-BE74-3E4804250C5C}"/>
    <cellStyle name="Normal 4 4 2 2 3 4 2 3" xfId="12373" xr:uid="{4D34A885-BF51-4A3B-8E11-A9030F914410}"/>
    <cellStyle name="Normal 4 4 2 2 3 4 3" xfId="5996" xr:uid="{00000000-0005-0000-0000-0000FB140000}"/>
    <cellStyle name="Normal 4 4 2 2 3 4 3 2" xfId="14446" xr:uid="{11C87ABF-C3CF-4450-ADF9-46891A2BDDAB}"/>
    <cellStyle name="Normal 4 4 2 2 3 4 4" xfId="10228" xr:uid="{90A0132B-325F-4E87-8E40-395931FF4315}"/>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76C689ED-2D92-446E-A328-B9CFEBCE1798}"/>
    <cellStyle name="Normal 4 4 2 2 3 5 2 3" xfId="12786" xr:uid="{AD20A997-0DCB-412F-972C-4CA617A0860A}"/>
    <cellStyle name="Normal 4 4 2 2 3 5 3" xfId="6409" xr:uid="{00000000-0005-0000-0000-0000FF140000}"/>
    <cellStyle name="Normal 4 4 2 2 3 5 3 2" xfId="14859" xr:uid="{3D754799-B694-4A50-AB43-1FB09397638E}"/>
    <cellStyle name="Normal 4 4 2 2 3 5 4" xfId="10641" xr:uid="{599803A0-8E8A-44B8-BB1B-BD1115652E0F}"/>
    <cellStyle name="Normal 4 4 2 2 3 6" xfId="2539" xr:uid="{00000000-0005-0000-0000-000000150000}"/>
    <cellStyle name="Normal 4 4 2 2 3 6 2" xfId="6822" xr:uid="{00000000-0005-0000-0000-000001150000}"/>
    <cellStyle name="Normal 4 4 2 2 3 6 2 2" xfId="15272" xr:uid="{189F93B4-412A-4F5E-BF59-077D3E3FD986}"/>
    <cellStyle name="Normal 4 4 2 2 3 6 3" xfId="11054" xr:uid="{1256891E-BB0D-458C-B507-561A9AAE015F}"/>
    <cellStyle name="Normal 4 4 2 2 3 7" xfId="4757" xr:uid="{00000000-0005-0000-0000-000002150000}"/>
    <cellStyle name="Normal 4 4 2 2 3 7 2" xfId="13207" xr:uid="{40806A98-5454-40C2-BD46-13614967993B}"/>
    <cellStyle name="Normal 4 4 2 2 3 8" xfId="8989" xr:uid="{9BCF250B-3D5B-4740-91B6-A983E30B1B8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181B8E94-95B3-42B4-9223-135BA8FE27EF}"/>
    <cellStyle name="Normal 4 4 2 2 4 2 3" xfId="11544" xr:uid="{025A0A91-6CF7-40E9-9718-8C6B7F54E7F9}"/>
    <cellStyle name="Normal 4 4 2 2 4 3" xfId="5167" xr:uid="{00000000-0005-0000-0000-000006150000}"/>
    <cellStyle name="Normal 4 4 2 2 4 3 2" xfId="13617" xr:uid="{5D2163BB-FA14-4315-8679-9B19CF88049D}"/>
    <cellStyle name="Normal 4 4 2 2 4 4" xfId="9399" xr:uid="{D581AC3E-8D1E-4EF2-B22E-C5A1020C73B1}"/>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CCAE499B-865C-4E59-8384-0BC3BC7736B4}"/>
    <cellStyle name="Normal 4 4 2 2 5 2 3" xfId="11957" xr:uid="{09BFEFAE-9945-468D-8E96-91F7EBF8C537}"/>
    <cellStyle name="Normal 4 4 2 2 5 3" xfId="5580" xr:uid="{00000000-0005-0000-0000-00000A150000}"/>
    <cellStyle name="Normal 4 4 2 2 5 3 2" xfId="14030" xr:uid="{5A6363C5-F289-4D1D-A243-D2B5B4F36775}"/>
    <cellStyle name="Normal 4 4 2 2 5 4" xfId="9812" xr:uid="{07346CFC-3310-4AFB-9877-42C900AB882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A0E44948-211F-4F8F-AB11-A4AEF0221B89}"/>
    <cellStyle name="Normal 4 4 2 2 6 2 3" xfId="12370" xr:uid="{D23CA00C-ABB8-4FAC-8F22-749579E63169}"/>
    <cellStyle name="Normal 4 4 2 2 6 3" xfId="5993" xr:uid="{00000000-0005-0000-0000-00000E150000}"/>
    <cellStyle name="Normal 4 4 2 2 6 3 2" xfId="14443" xr:uid="{AE6D8CCA-BEE1-4DCE-BC05-21F4FAEA32CD}"/>
    <cellStyle name="Normal 4 4 2 2 6 4" xfId="10225" xr:uid="{C4AC23EC-84D7-4D07-B532-B927CF1B62B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55E4B47D-34AE-4347-BEB8-B3BA6F0E00DB}"/>
    <cellStyle name="Normal 4 4 2 2 7 2 3" xfId="12783" xr:uid="{FEA4A3B7-1177-43CC-B03D-E3D7727267A1}"/>
    <cellStyle name="Normal 4 4 2 2 7 3" xfId="6406" xr:uid="{00000000-0005-0000-0000-000012150000}"/>
    <cellStyle name="Normal 4 4 2 2 7 3 2" xfId="14856" xr:uid="{598D8A90-C3FB-4452-B7C7-86828DE5D032}"/>
    <cellStyle name="Normal 4 4 2 2 7 4" xfId="10638" xr:uid="{8A0ADB67-CED0-490D-A931-8ED91568C3C9}"/>
    <cellStyle name="Normal 4 4 2 2 8" xfId="2536" xr:uid="{00000000-0005-0000-0000-000013150000}"/>
    <cellStyle name="Normal 4 4 2 2 8 2" xfId="6819" xr:uid="{00000000-0005-0000-0000-000014150000}"/>
    <cellStyle name="Normal 4 4 2 2 8 2 2" xfId="15269" xr:uid="{1DEA18FA-1E58-49D0-AAB9-E5D85B014B29}"/>
    <cellStyle name="Normal 4 4 2 2 8 3" xfId="11051" xr:uid="{8B39629D-DA3E-4028-BA27-5E25114084A7}"/>
    <cellStyle name="Normal 4 4 2 2 9" xfId="4754" xr:uid="{00000000-0005-0000-0000-000015150000}"/>
    <cellStyle name="Normal 4 4 2 2 9 2" xfId="13204" xr:uid="{57104099-B7EF-4CEF-AE85-A538A6FC1C4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C7FBC6AC-DB2B-49E4-A18B-078B10F743F3}"/>
    <cellStyle name="Normal 4 4 2 3 2 2 2 3" xfId="11549" xr:uid="{A7E571DB-04FD-4259-9ABA-74AB7E2F0824}"/>
    <cellStyle name="Normal 4 4 2 3 2 2 3" xfId="5172" xr:uid="{00000000-0005-0000-0000-00001B150000}"/>
    <cellStyle name="Normal 4 4 2 3 2 2 3 2" xfId="13622" xr:uid="{01A8C194-C14E-4CBA-A1C6-82F96A9B4B3C}"/>
    <cellStyle name="Normal 4 4 2 3 2 2 4" xfId="9404" xr:uid="{C6E5532F-B64B-4C40-8499-9B8976AF9638}"/>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9B3BA487-6EFE-4EF3-9E73-2A3C9A3B8975}"/>
    <cellStyle name="Normal 4 4 2 3 2 3 2 3" xfId="11962" xr:uid="{2958D98F-BBDF-4245-9FC0-FF8917930C7B}"/>
    <cellStyle name="Normal 4 4 2 3 2 3 3" xfId="5585" xr:uid="{00000000-0005-0000-0000-00001F150000}"/>
    <cellStyle name="Normal 4 4 2 3 2 3 3 2" xfId="14035" xr:uid="{16021012-6355-4827-A2BE-B16D32940342}"/>
    <cellStyle name="Normal 4 4 2 3 2 3 4" xfId="9817" xr:uid="{61FF6C0B-3AAA-496D-AFB9-854A9A93D25D}"/>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952C66BD-FE1C-4DD6-9F72-8BCDD504E112}"/>
    <cellStyle name="Normal 4 4 2 3 2 4 2 3" xfId="12375" xr:uid="{A17E63C6-900A-4BAF-A6B5-B64ABC3F845D}"/>
    <cellStyle name="Normal 4 4 2 3 2 4 3" xfId="5998" xr:uid="{00000000-0005-0000-0000-000023150000}"/>
    <cellStyle name="Normal 4 4 2 3 2 4 3 2" xfId="14448" xr:uid="{AB450C38-EE0A-4483-A815-A385F013AD7D}"/>
    <cellStyle name="Normal 4 4 2 3 2 4 4" xfId="10230" xr:uid="{D4FF3F1B-AB2D-4821-B908-1A5C447DC3F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3F33868D-7D54-4F7A-9132-7F49F9736106}"/>
    <cellStyle name="Normal 4 4 2 3 2 5 2 3" xfId="12788" xr:uid="{5E6B80EC-AB43-4508-8644-DBC7F1733F61}"/>
    <cellStyle name="Normal 4 4 2 3 2 5 3" xfId="6411" xr:uid="{00000000-0005-0000-0000-000027150000}"/>
    <cellStyle name="Normal 4 4 2 3 2 5 3 2" xfId="14861" xr:uid="{1AE0085D-5083-4FE3-A2C0-EB1BA7B98F64}"/>
    <cellStyle name="Normal 4 4 2 3 2 5 4" xfId="10643" xr:uid="{F7D1828D-3E09-47CD-BDB5-46E6700C729B}"/>
    <cellStyle name="Normal 4 4 2 3 2 6" xfId="2541" xr:uid="{00000000-0005-0000-0000-000028150000}"/>
    <cellStyle name="Normal 4 4 2 3 2 6 2" xfId="6824" xr:uid="{00000000-0005-0000-0000-000029150000}"/>
    <cellStyle name="Normal 4 4 2 3 2 6 2 2" xfId="15274" xr:uid="{18DF68A1-7C43-4B3E-8E39-F9CDFF996589}"/>
    <cellStyle name="Normal 4 4 2 3 2 6 3" xfId="11056" xr:uid="{9F51E22E-A3A2-4B06-9752-11F92D4D5018}"/>
    <cellStyle name="Normal 4 4 2 3 2 7" xfId="4759" xr:uid="{00000000-0005-0000-0000-00002A150000}"/>
    <cellStyle name="Normal 4 4 2 3 2 7 2" xfId="13209" xr:uid="{E905D6B1-1361-4FB3-AD77-B7F6A58E1FA4}"/>
    <cellStyle name="Normal 4 4 2 3 2 8" xfId="8991" xr:uid="{6D898F67-FEFA-47A0-AF96-0C87734D38B2}"/>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EDD0C83E-8E7F-4A94-A6AD-5A578C0B3A0B}"/>
    <cellStyle name="Normal 4 4 2 3 3 2 3" xfId="11548" xr:uid="{36A1D962-305C-40CB-B0AB-259B89267957}"/>
    <cellStyle name="Normal 4 4 2 3 3 3" xfId="5171" xr:uid="{00000000-0005-0000-0000-00002E150000}"/>
    <cellStyle name="Normal 4 4 2 3 3 3 2" xfId="13621" xr:uid="{2D405127-27CE-4FEF-8113-A6C9597D24E6}"/>
    <cellStyle name="Normal 4 4 2 3 3 4" xfId="9403" xr:uid="{6DA471FC-7259-41D4-BF9C-DD970641B5BB}"/>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40D04C32-F039-42FD-B1C1-FE9F416E42A4}"/>
    <cellStyle name="Normal 4 4 2 3 4 2 3" xfId="11961" xr:uid="{7DC85C54-9C44-4451-BD99-A2DB8C50579A}"/>
    <cellStyle name="Normal 4 4 2 3 4 3" xfId="5584" xr:uid="{00000000-0005-0000-0000-000032150000}"/>
    <cellStyle name="Normal 4 4 2 3 4 3 2" xfId="14034" xr:uid="{CDF7A424-B356-4868-B956-B4EEEA2E5303}"/>
    <cellStyle name="Normal 4 4 2 3 4 4" xfId="9816" xr:uid="{1358B279-C197-4E34-87D0-B4886DBE6503}"/>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DEF38325-EA71-4F9D-BF44-56FEEF0B48B1}"/>
    <cellStyle name="Normal 4 4 2 3 5 2 3" xfId="12374" xr:uid="{14D6DD0C-7049-468B-BF79-874F2DCE9761}"/>
    <cellStyle name="Normal 4 4 2 3 5 3" xfId="5997" xr:uid="{00000000-0005-0000-0000-000036150000}"/>
    <cellStyle name="Normal 4 4 2 3 5 3 2" xfId="14447" xr:uid="{257AC93D-3D30-419C-B6F8-A59E9A44D697}"/>
    <cellStyle name="Normal 4 4 2 3 5 4" xfId="10229" xr:uid="{88376CC1-AA9F-43C7-9CAB-24433659EAD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6A496BC6-CE26-4BA7-8B4D-FDDD4018EDAC}"/>
    <cellStyle name="Normal 4 4 2 3 6 2 3" xfId="12787" xr:uid="{768F0E3B-B0AC-4367-B35F-04055141CE69}"/>
    <cellStyle name="Normal 4 4 2 3 6 3" xfId="6410" xr:uid="{00000000-0005-0000-0000-00003A150000}"/>
    <cellStyle name="Normal 4 4 2 3 6 3 2" xfId="14860" xr:uid="{6C933BAD-A28D-4710-AFF9-18A6B8B49B23}"/>
    <cellStyle name="Normal 4 4 2 3 6 4" xfId="10642" xr:uid="{B3C960E6-05A1-4D3E-B4C3-8AADC2D8E4D7}"/>
    <cellStyle name="Normal 4 4 2 3 7" xfId="2540" xr:uid="{00000000-0005-0000-0000-00003B150000}"/>
    <cellStyle name="Normal 4 4 2 3 7 2" xfId="6823" xr:uid="{00000000-0005-0000-0000-00003C150000}"/>
    <cellStyle name="Normal 4 4 2 3 7 2 2" xfId="15273" xr:uid="{D7B93698-E7EB-4D6A-B34C-A0D310E1BF40}"/>
    <cellStyle name="Normal 4 4 2 3 7 3" xfId="11055" xr:uid="{5AEF5A3D-A682-4DFE-81B0-AC5D691574A6}"/>
    <cellStyle name="Normal 4 4 2 3 8" xfId="4758" xr:uid="{00000000-0005-0000-0000-00003D150000}"/>
    <cellStyle name="Normal 4 4 2 3 8 2" xfId="13208" xr:uid="{15666F81-D62A-407A-819A-04C6C8AF037C}"/>
    <cellStyle name="Normal 4 4 2 3 9" xfId="8990" xr:uid="{6844CE14-8E96-427B-BF7B-8F658CA0E919}"/>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04A3905C-BA4D-49D8-8FB8-7F5149956D99}"/>
    <cellStyle name="Normal 4 4 2 4 2 2 3" xfId="11550" xr:uid="{A2625773-4D54-415E-A5C6-9BC78F0E70DB}"/>
    <cellStyle name="Normal 4 4 2 4 2 3" xfId="5173" xr:uid="{00000000-0005-0000-0000-000042150000}"/>
    <cellStyle name="Normal 4 4 2 4 2 3 2" xfId="13623" xr:uid="{0E676CBA-9657-423F-8535-32BA372235B3}"/>
    <cellStyle name="Normal 4 4 2 4 2 4" xfId="9405" xr:uid="{A201E5C8-016F-4974-B137-C54055323C66}"/>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A0CA49D5-8EC7-418C-9B64-66ECCFEA3F0D}"/>
    <cellStyle name="Normal 4 4 2 4 3 2 3" xfId="11963" xr:uid="{4E3C6291-2E3D-4B7C-889B-DABDA6D3A345}"/>
    <cellStyle name="Normal 4 4 2 4 3 3" xfId="5586" xr:uid="{00000000-0005-0000-0000-000046150000}"/>
    <cellStyle name="Normal 4 4 2 4 3 3 2" xfId="14036" xr:uid="{20858115-83CF-416C-8802-64D208AD583C}"/>
    <cellStyle name="Normal 4 4 2 4 3 4" xfId="9818" xr:uid="{E325AD71-D314-4720-977B-465680D6772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862DB7E5-5DDD-4A26-AAEA-9F0FCFD0735E}"/>
    <cellStyle name="Normal 4 4 2 4 4 2 3" xfId="12376" xr:uid="{B5BCE09B-0BCD-4848-973D-D8993B6DC52A}"/>
    <cellStyle name="Normal 4 4 2 4 4 3" xfId="5999" xr:uid="{00000000-0005-0000-0000-00004A150000}"/>
    <cellStyle name="Normal 4 4 2 4 4 3 2" xfId="14449" xr:uid="{E7D20295-29FB-4FBD-A5A3-9531B65FE480}"/>
    <cellStyle name="Normal 4 4 2 4 4 4" xfId="10231" xr:uid="{75F1493E-52A2-4851-B6EA-56EED518BB1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98335B09-D643-4DE7-9627-CCD6E8FF62D7}"/>
    <cellStyle name="Normal 4 4 2 4 5 2 3" xfId="12789" xr:uid="{B7E5CAAF-59EF-468B-A7D3-21AF59A1A2CA}"/>
    <cellStyle name="Normal 4 4 2 4 5 3" xfId="6412" xr:uid="{00000000-0005-0000-0000-00004E150000}"/>
    <cellStyle name="Normal 4 4 2 4 5 3 2" xfId="14862" xr:uid="{C3E89600-61BB-46AD-B766-0D52CFB134F7}"/>
    <cellStyle name="Normal 4 4 2 4 5 4" xfId="10644" xr:uid="{86073F86-29D2-46C9-8220-69ADD9A498D0}"/>
    <cellStyle name="Normal 4 4 2 4 6" xfId="2542" xr:uid="{00000000-0005-0000-0000-00004F150000}"/>
    <cellStyle name="Normal 4 4 2 4 6 2" xfId="6825" xr:uid="{00000000-0005-0000-0000-000050150000}"/>
    <cellStyle name="Normal 4 4 2 4 6 2 2" xfId="15275" xr:uid="{2E96E444-2FC3-43BC-8C54-75734D60B39F}"/>
    <cellStyle name="Normal 4 4 2 4 6 3" xfId="11057" xr:uid="{EFB048B1-C11A-43AE-93B6-9961DD57D10A}"/>
    <cellStyle name="Normal 4 4 2 4 7" xfId="4760" xr:uid="{00000000-0005-0000-0000-000051150000}"/>
    <cellStyle name="Normal 4 4 2 4 7 2" xfId="13210" xr:uid="{0C7CF73C-BDCA-4D62-85AD-5F957D019242}"/>
    <cellStyle name="Normal 4 4 2 4 8" xfId="8992" xr:uid="{71A36B12-FAFD-43AD-9EEA-1210EFDB145A}"/>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29377B06-2B70-4F29-B9DF-5442748F3413}"/>
    <cellStyle name="Normal 4 4 2 5 2 3" xfId="11543" xr:uid="{8DB3A564-2492-4CE0-9FA9-C28A9116BB6C}"/>
    <cellStyle name="Normal 4 4 2 5 3" xfId="5166" xr:uid="{00000000-0005-0000-0000-000055150000}"/>
    <cellStyle name="Normal 4 4 2 5 3 2" xfId="13616" xr:uid="{77EB70A9-379A-44A3-9D48-8BBBFF688F34}"/>
    <cellStyle name="Normal 4 4 2 5 4" xfId="9398" xr:uid="{55DAEB2F-E48D-4919-BBF8-D14760E61840}"/>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AC1C57AA-C27A-44D7-B73D-1080D355F504}"/>
    <cellStyle name="Normal 4 4 2 6 2 3" xfId="11956" xr:uid="{CB553B4F-9BA5-4960-8512-C99C2AC5ECC8}"/>
    <cellStyle name="Normal 4 4 2 6 3" xfId="5579" xr:uid="{00000000-0005-0000-0000-000059150000}"/>
    <cellStyle name="Normal 4 4 2 6 3 2" xfId="14029" xr:uid="{FB3E822A-D395-402A-958C-7337D40F0876}"/>
    <cellStyle name="Normal 4 4 2 6 4" xfId="9811" xr:uid="{1F9F0F1A-6565-437D-A5A3-3EB8C3DB75F7}"/>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2CD767A6-AFBC-4D15-A3DD-A0840AFADABB}"/>
    <cellStyle name="Normal 4 4 2 7 2 3" xfId="12369" xr:uid="{1885F8A5-CEFA-46AF-80F8-AF392755F652}"/>
    <cellStyle name="Normal 4 4 2 7 3" xfId="5992" xr:uid="{00000000-0005-0000-0000-00005D150000}"/>
    <cellStyle name="Normal 4 4 2 7 3 2" xfId="14442" xr:uid="{BDAA6050-F8A1-48A1-80C6-D547DDB8F0F0}"/>
    <cellStyle name="Normal 4 4 2 7 4" xfId="10224" xr:uid="{AD1FC91D-D9E1-4652-BF94-C93F0927775A}"/>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3B918F0F-076F-4B82-BA7B-46FDC3278368}"/>
    <cellStyle name="Normal 4 4 2 8 2 3" xfId="12782" xr:uid="{4DAA7B19-7400-4BDC-B088-00EDC7E3587D}"/>
    <cellStyle name="Normal 4 4 2 8 3" xfId="6405" xr:uid="{00000000-0005-0000-0000-000061150000}"/>
    <cellStyle name="Normal 4 4 2 8 3 2" xfId="14855" xr:uid="{D0078224-B810-43D0-866B-763A59CE9F11}"/>
    <cellStyle name="Normal 4 4 2 8 4" xfId="10637" xr:uid="{37D7E92C-53E9-4A72-9BE6-C31A4291D84B}"/>
    <cellStyle name="Normal 4 4 2 9" xfId="2535" xr:uid="{00000000-0005-0000-0000-000062150000}"/>
    <cellStyle name="Normal 4 4 2 9 2" xfId="6818" xr:uid="{00000000-0005-0000-0000-000063150000}"/>
    <cellStyle name="Normal 4 4 2 9 2 2" xfId="15268" xr:uid="{F8545C24-0F09-4D79-A0C2-0E81DFB7A7DF}"/>
    <cellStyle name="Normal 4 4 2 9 3" xfId="11050" xr:uid="{1F72F702-9397-4AE6-A0F4-E70A6185D1FD}"/>
    <cellStyle name="Normal 4 4 3" xfId="387" xr:uid="{00000000-0005-0000-0000-000064150000}"/>
    <cellStyle name="Normal 4 4 3 10" xfId="8993" xr:uid="{2B3A974B-A789-407E-825C-FD9986EFF857}"/>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8D60F33C-E540-4DDF-A47D-27BBD8BBE706}"/>
    <cellStyle name="Normal 4 4 3 2 2 2 2 3" xfId="11553" xr:uid="{73167334-C25A-4354-B79D-F9B260FD1953}"/>
    <cellStyle name="Normal 4 4 3 2 2 2 3" xfId="5176" xr:uid="{00000000-0005-0000-0000-00006A150000}"/>
    <cellStyle name="Normal 4 4 3 2 2 2 3 2" xfId="13626" xr:uid="{E0AF5A24-E884-40CF-8D41-23DC006A0BE4}"/>
    <cellStyle name="Normal 4 4 3 2 2 2 4" xfId="9408" xr:uid="{C2541117-6325-443B-B37A-C3C5358F6D3F}"/>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BDF82B71-D89E-4C6E-8D11-41E8CB052478}"/>
    <cellStyle name="Normal 4 4 3 2 2 3 2 3" xfId="11966" xr:uid="{383A42A4-B677-4B08-A66E-DA35E7EB411E}"/>
    <cellStyle name="Normal 4 4 3 2 2 3 3" xfId="5589" xr:uid="{00000000-0005-0000-0000-00006E150000}"/>
    <cellStyle name="Normal 4 4 3 2 2 3 3 2" xfId="14039" xr:uid="{32D591F2-1AE7-4F38-B0D0-A13E7C65D4C7}"/>
    <cellStyle name="Normal 4 4 3 2 2 3 4" xfId="9821" xr:uid="{1D85E009-3350-47AB-88C8-89EC63751EB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1677B91B-3302-41FA-A888-CD3A89CB6AA2}"/>
    <cellStyle name="Normal 4 4 3 2 2 4 2 3" xfId="12379" xr:uid="{15A9EFFA-5189-41B8-AEC3-E7C50857F982}"/>
    <cellStyle name="Normal 4 4 3 2 2 4 3" xfId="6002" xr:uid="{00000000-0005-0000-0000-000072150000}"/>
    <cellStyle name="Normal 4 4 3 2 2 4 3 2" xfId="14452" xr:uid="{A044EF9C-3F2F-48E5-99D7-22D53EEC6A57}"/>
    <cellStyle name="Normal 4 4 3 2 2 4 4" xfId="10234" xr:uid="{3EE47FF6-2B77-4260-97FF-C2B6673171F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6061841B-5FB0-4F33-99BC-1AD3703E7BC6}"/>
    <cellStyle name="Normal 4 4 3 2 2 5 2 3" xfId="12792" xr:uid="{20E2A89C-6047-4846-950C-CE14AF1646EB}"/>
    <cellStyle name="Normal 4 4 3 2 2 5 3" xfId="6415" xr:uid="{00000000-0005-0000-0000-000076150000}"/>
    <cellStyle name="Normal 4 4 3 2 2 5 3 2" xfId="14865" xr:uid="{F547C0A6-39F3-43B6-BEA0-2E480C98799B}"/>
    <cellStyle name="Normal 4 4 3 2 2 5 4" xfId="10647" xr:uid="{2E07B424-8E87-4299-AAD8-277C5365B1CD}"/>
    <cellStyle name="Normal 4 4 3 2 2 6" xfId="2545" xr:uid="{00000000-0005-0000-0000-000077150000}"/>
    <cellStyle name="Normal 4 4 3 2 2 6 2" xfId="6828" xr:uid="{00000000-0005-0000-0000-000078150000}"/>
    <cellStyle name="Normal 4 4 3 2 2 6 2 2" xfId="15278" xr:uid="{BB463DCD-F34A-4866-A829-6EE4DB32E367}"/>
    <cellStyle name="Normal 4 4 3 2 2 6 3" xfId="11060" xr:uid="{A554D5AD-A618-49B8-83B2-C7B8FBB77C26}"/>
    <cellStyle name="Normal 4 4 3 2 2 7" xfId="4763" xr:uid="{00000000-0005-0000-0000-000079150000}"/>
    <cellStyle name="Normal 4 4 3 2 2 7 2" xfId="13213" xr:uid="{70330C40-B124-4559-B248-3AB20A88436D}"/>
    <cellStyle name="Normal 4 4 3 2 2 8" xfId="8995" xr:uid="{537C248C-EE4D-41ED-BA8B-E365E3BD243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34E9081B-20EF-49F1-A763-47D6C096DE75}"/>
    <cellStyle name="Normal 4 4 3 2 3 2 3" xfId="11552" xr:uid="{13D59913-0A11-4142-B990-3ED6151462FD}"/>
    <cellStyle name="Normal 4 4 3 2 3 3" xfId="5175" xr:uid="{00000000-0005-0000-0000-00007D150000}"/>
    <cellStyle name="Normal 4 4 3 2 3 3 2" xfId="13625" xr:uid="{9D033E8C-00BF-4885-816A-C8E9DF85DBA0}"/>
    <cellStyle name="Normal 4 4 3 2 3 4" xfId="9407" xr:uid="{2121B10B-57ED-41AF-A16B-96825AAAE71B}"/>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8592963C-E2AB-4739-8E80-0A67D06B77AC}"/>
    <cellStyle name="Normal 4 4 3 2 4 2 3" xfId="11965" xr:uid="{F48A9A7F-58A6-43A3-AE72-45466E4A0DAF}"/>
    <cellStyle name="Normal 4 4 3 2 4 3" xfId="5588" xr:uid="{00000000-0005-0000-0000-000081150000}"/>
    <cellStyle name="Normal 4 4 3 2 4 3 2" xfId="14038" xr:uid="{1C7CC844-08DE-421D-9CE9-6B8AB57607B5}"/>
    <cellStyle name="Normal 4 4 3 2 4 4" xfId="9820" xr:uid="{C4F91DCF-FDF0-4259-B82D-3CC684165BD6}"/>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56EA7A9F-6BA1-4DF2-A3E0-0C45CA06F310}"/>
    <cellStyle name="Normal 4 4 3 2 5 2 3" xfId="12378" xr:uid="{3B2E0CB3-A2CB-4D03-B289-A531E5A7C627}"/>
    <cellStyle name="Normal 4 4 3 2 5 3" xfId="6001" xr:uid="{00000000-0005-0000-0000-000085150000}"/>
    <cellStyle name="Normal 4 4 3 2 5 3 2" xfId="14451" xr:uid="{C3D8D7CF-BC1E-4014-B80B-BB17A982AB83}"/>
    <cellStyle name="Normal 4 4 3 2 5 4" xfId="10233" xr:uid="{3801E3A8-365C-467E-9D9A-8F63E39EC437}"/>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A120DE2D-D1C3-4B95-AE19-6208834A3206}"/>
    <cellStyle name="Normal 4 4 3 2 6 2 3" xfId="12791" xr:uid="{C04D5B04-3FC1-4A67-BAC8-D03E9F388ACB}"/>
    <cellStyle name="Normal 4 4 3 2 6 3" xfId="6414" xr:uid="{00000000-0005-0000-0000-000089150000}"/>
    <cellStyle name="Normal 4 4 3 2 6 3 2" xfId="14864" xr:uid="{80BAED0D-D61A-4B57-8557-72623C8455CF}"/>
    <cellStyle name="Normal 4 4 3 2 6 4" xfId="10646" xr:uid="{6639B23F-D680-4D32-9749-7723649949EF}"/>
    <cellStyle name="Normal 4 4 3 2 7" xfId="2544" xr:uid="{00000000-0005-0000-0000-00008A150000}"/>
    <cellStyle name="Normal 4 4 3 2 7 2" xfId="6827" xr:uid="{00000000-0005-0000-0000-00008B150000}"/>
    <cellStyle name="Normal 4 4 3 2 7 2 2" xfId="15277" xr:uid="{0AFF45E6-F221-45EC-AC8B-625CEA2B1E43}"/>
    <cellStyle name="Normal 4 4 3 2 7 3" xfId="11059" xr:uid="{1E631C71-BB2A-4887-AE7D-3CBF1AE8907B}"/>
    <cellStyle name="Normal 4 4 3 2 8" xfId="4762" xr:uid="{00000000-0005-0000-0000-00008C150000}"/>
    <cellStyle name="Normal 4 4 3 2 8 2" xfId="13212" xr:uid="{F7CF3A4C-86B6-4DB3-A18F-C2908B5318CA}"/>
    <cellStyle name="Normal 4 4 3 2 9" xfId="8994" xr:uid="{41F65883-0E81-49DE-AA87-AF09D177BD94}"/>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8F545D79-82D5-4119-8D7D-8ABDB259462E}"/>
    <cellStyle name="Normal 4 4 3 3 2 2 3" xfId="11554" xr:uid="{E74F1065-525B-4118-896E-B309ABE78425}"/>
    <cellStyle name="Normal 4 4 3 3 2 3" xfId="5177" xr:uid="{00000000-0005-0000-0000-000091150000}"/>
    <cellStyle name="Normal 4 4 3 3 2 3 2" xfId="13627" xr:uid="{68F9A5CC-E910-4F28-8E7F-15DED757D742}"/>
    <cellStyle name="Normal 4 4 3 3 2 4" xfId="9409" xr:uid="{C3F8F4D6-CD85-48BB-A7D9-18BF64E6A5A3}"/>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5AD8E4AC-9B1A-4961-ABF5-65739C0ABD94}"/>
    <cellStyle name="Normal 4 4 3 3 3 2 3" xfId="11967" xr:uid="{AA173E8F-8DC0-42DB-AEAA-B72E43E96595}"/>
    <cellStyle name="Normal 4 4 3 3 3 3" xfId="5590" xr:uid="{00000000-0005-0000-0000-000095150000}"/>
    <cellStyle name="Normal 4 4 3 3 3 3 2" xfId="14040" xr:uid="{1F45556C-8A69-4458-8E32-6490F13F6E8B}"/>
    <cellStyle name="Normal 4 4 3 3 3 4" xfId="9822" xr:uid="{79DC85DC-DA3E-4C9C-A00A-5EBF1312C81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0D0C1B85-74DC-48EE-BEAE-540E4158F30D}"/>
    <cellStyle name="Normal 4 4 3 3 4 2 3" xfId="12380" xr:uid="{D88252E5-67CD-474A-823B-94C37DE31108}"/>
    <cellStyle name="Normal 4 4 3 3 4 3" xfId="6003" xr:uid="{00000000-0005-0000-0000-000099150000}"/>
    <cellStyle name="Normal 4 4 3 3 4 3 2" xfId="14453" xr:uid="{A94F7750-A22F-439B-AE00-9B6BB99D531A}"/>
    <cellStyle name="Normal 4 4 3 3 4 4" xfId="10235" xr:uid="{A14FE389-F927-4F89-882D-D8277EEC5681}"/>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4CF0C3C9-EB6C-4C2A-B478-7C018C2759F9}"/>
    <cellStyle name="Normal 4 4 3 3 5 2 3" xfId="12793" xr:uid="{4A90315B-00B4-4AC4-8D14-67A05CDE3565}"/>
    <cellStyle name="Normal 4 4 3 3 5 3" xfId="6416" xr:uid="{00000000-0005-0000-0000-00009D150000}"/>
    <cellStyle name="Normal 4 4 3 3 5 3 2" xfId="14866" xr:uid="{969F0AD1-CA50-4490-AB23-B9A66C51AEA4}"/>
    <cellStyle name="Normal 4 4 3 3 5 4" xfId="10648" xr:uid="{19E9C9D3-1643-4B88-9E05-1C6022987488}"/>
    <cellStyle name="Normal 4 4 3 3 6" xfId="2546" xr:uid="{00000000-0005-0000-0000-00009E150000}"/>
    <cellStyle name="Normal 4 4 3 3 6 2" xfId="6829" xr:uid="{00000000-0005-0000-0000-00009F150000}"/>
    <cellStyle name="Normal 4 4 3 3 6 2 2" xfId="15279" xr:uid="{3D94D38B-9E46-475B-BFA0-6F568C36EADE}"/>
    <cellStyle name="Normal 4 4 3 3 6 3" xfId="11061" xr:uid="{8679D574-A812-493B-87AF-E51E3D748980}"/>
    <cellStyle name="Normal 4 4 3 3 7" xfId="4764" xr:uid="{00000000-0005-0000-0000-0000A0150000}"/>
    <cellStyle name="Normal 4 4 3 3 7 2" xfId="13214" xr:uid="{80A6A496-B008-4E1B-849C-826E8678E7F3}"/>
    <cellStyle name="Normal 4 4 3 3 8" xfId="8996" xr:uid="{C08D8AF3-E808-43DF-95E8-12A49A40B9CE}"/>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9C66A7AC-BAA3-4FF5-978B-554A5980FC8D}"/>
    <cellStyle name="Normal 4 4 3 4 2 3" xfId="11551" xr:uid="{9FD9928A-823A-4F7F-8628-658372F82B9A}"/>
    <cellStyle name="Normal 4 4 3 4 3" xfId="5174" xr:uid="{00000000-0005-0000-0000-0000A4150000}"/>
    <cellStyle name="Normal 4 4 3 4 3 2" xfId="13624" xr:uid="{278C4333-FB94-4CFA-AB6B-9D706A22CEEC}"/>
    <cellStyle name="Normal 4 4 3 4 4" xfId="9406" xr:uid="{C057C6CE-3422-4503-B3D5-FAFE08882B94}"/>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99EDE018-9082-4FA8-8F94-8411DAF58156}"/>
    <cellStyle name="Normal 4 4 3 5 2 3" xfId="11964" xr:uid="{8B47BEFB-3C2D-4D34-B6EA-76E48B75F033}"/>
    <cellStyle name="Normal 4 4 3 5 3" xfId="5587" xr:uid="{00000000-0005-0000-0000-0000A8150000}"/>
    <cellStyle name="Normal 4 4 3 5 3 2" xfId="14037" xr:uid="{E85CC232-0F48-4464-82CE-4C22E5795F0D}"/>
    <cellStyle name="Normal 4 4 3 5 4" xfId="9819" xr:uid="{99ECCB93-3171-49A4-B313-3A7660D23A68}"/>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B2499413-2EF6-4183-ADA8-AAD59F1D6991}"/>
    <cellStyle name="Normal 4 4 3 6 2 3" xfId="12377" xr:uid="{563E3F67-84B2-4A81-8509-07273FA49994}"/>
    <cellStyle name="Normal 4 4 3 6 3" xfId="6000" xr:uid="{00000000-0005-0000-0000-0000AC150000}"/>
    <cellStyle name="Normal 4 4 3 6 3 2" xfId="14450" xr:uid="{D886D2D7-5C29-4EEA-8105-55BD793C93F9}"/>
    <cellStyle name="Normal 4 4 3 6 4" xfId="10232" xr:uid="{61A9A101-15F3-4368-B717-AE24E9A132B2}"/>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0CBD92BC-DE50-460A-9E17-8EABFA2D2967}"/>
    <cellStyle name="Normal 4 4 3 7 2 3" xfId="12790" xr:uid="{707B8C3A-FD49-4FF1-8F9E-9C573BF9C1CF}"/>
    <cellStyle name="Normal 4 4 3 7 3" xfId="6413" xr:uid="{00000000-0005-0000-0000-0000B0150000}"/>
    <cellStyle name="Normal 4 4 3 7 3 2" xfId="14863" xr:uid="{5A16B44E-9EDA-4C6A-913C-77D663C0F40D}"/>
    <cellStyle name="Normal 4 4 3 7 4" xfId="10645" xr:uid="{3FBBEFD3-D3DC-4D7E-A4E8-52B845CD95A5}"/>
    <cellStyle name="Normal 4 4 3 8" xfId="2543" xr:uid="{00000000-0005-0000-0000-0000B1150000}"/>
    <cellStyle name="Normal 4 4 3 8 2" xfId="6826" xr:uid="{00000000-0005-0000-0000-0000B2150000}"/>
    <cellStyle name="Normal 4 4 3 8 2 2" xfId="15276" xr:uid="{9E42F348-9F91-4345-8A33-C54398F8A06C}"/>
    <cellStyle name="Normal 4 4 3 8 3" xfId="11058" xr:uid="{B6F07024-5C84-42C1-80E9-8E6A915F8533}"/>
    <cellStyle name="Normal 4 4 3 9" xfId="4761" xr:uid="{00000000-0005-0000-0000-0000B3150000}"/>
    <cellStyle name="Normal 4 4 3 9 2" xfId="13211" xr:uid="{D700FA70-5FB8-4BDB-A7D4-8566BE5968FB}"/>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B5FB8C1F-90B7-45C5-A5F8-0BAC73E27F11}"/>
    <cellStyle name="Normal 4 4 4 2 2 2 3" xfId="11556" xr:uid="{09E68181-E11E-43D1-8F12-415B577509D9}"/>
    <cellStyle name="Normal 4 4 4 2 2 3" xfId="5179" xr:uid="{00000000-0005-0000-0000-0000B9150000}"/>
    <cellStyle name="Normal 4 4 4 2 2 3 2" xfId="13629" xr:uid="{7D0DFBC2-BE92-41D0-AB31-33921E6D874F}"/>
    <cellStyle name="Normal 4 4 4 2 2 4" xfId="9411" xr:uid="{3C3E79E3-E75C-4344-BE03-79E17AA9A94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B81A29D3-3BFD-4A37-954C-571E0332ADC9}"/>
    <cellStyle name="Normal 4 4 4 2 3 2 3" xfId="11969" xr:uid="{7AB66D54-CE54-435C-919C-E464271713EB}"/>
    <cellStyle name="Normal 4 4 4 2 3 3" xfId="5592" xr:uid="{00000000-0005-0000-0000-0000BD150000}"/>
    <cellStyle name="Normal 4 4 4 2 3 3 2" xfId="14042" xr:uid="{DDF1E106-01AF-41B5-A641-D4806933B009}"/>
    <cellStyle name="Normal 4 4 4 2 3 4" xfId="9824" xr:uid="{0C93F28A-8080-4AA8-945B-BE2C9E64AB4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BC6D75B9-1CC1-4E7E-B5E6-0AD613511E25}"/>
    <cellStyle name="Normal 4 4 4 2 4 2 3" xfId="12382" xr:uid="{7510AD62-5C9B-45EE-9B7D-7DBB22F411DE}"/>
    <cellStyle name="Normal 4 4 4 2 4 3" xfId="6005" xr:uid="{00000000-0005-0000-0000-0000C1150000}"/>
    <cellStyle name="Normal 4 4 4 2 4 3 2" xfId="14455" xr:uid="{02B13CDE-7BD7-482A-9459-B2DEEF73240E}"/>
    <cellStyle name="Normal 4 4 4 2 4 4" xfId="10237" xr:uid="{EBF46E31-8634-4DB7-B8C2-156ECA620EF9}"/>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9CC715C5-BC6E-43F8-A03C-81DF7414AF33}"/>
    <cellStyle name="Normal 4 4 4 2 5 2 3" xfId="12795" xr:uid="{6E4F212E-7DD0-43A0-BF36-039D695C0BEB}"/>
    <cellStyle name="Normal 4 4 4 2 5 3" xfId="6418" xr:uid="{00000000-0005-0000-0000-0000C5150000}"/>
    <cellStyle name="Normal 4 4 4 2 5 3 2" xfId="14868" xr:uid="{5284717D-C4BB-4E6C-B6D1-7C5F61214EE5}"/>
    <cellStyle name="Normal 4 4 4 2 5 4" xfId="10650" xr:uid="{2CA97E29-E25D-40DF-BD02-4ABA2F1D630B}"/>
    <cellStyle name="Normal 4 4 4 2 6" xfId="2548" xr:uid="{00000000-0005-0000-0000-0000C6150000}"/>
    <cellStyle name="Normal 4 4 4 2 6 2" xfId="6831" xr:uid="{00000000-0005-0000-0000-0000C7150000}"/>
    <cellStyle name="Normal 4 4 4 2 6 2 2" xfId="15281" xr:uid="{6B7848FD-365E-4374-BCD6-94DA5AF13446}"/>
    <cellStyle name="Normal 4 4 4 2 6 3" xfId="11063" xr:uid="{51F02773-AC6E-493C-9475-D39488EE29E0}"/>
    <cellStyle name="Normal 4 4 4 2 7" xfId="4766" xr:uid="{00000000-0005-0000-0000-0000C8150000}"/>
    <cellStyle name="Normal 4 4 4 2 7 2" xfId="13216" xr:uid="{9C38DEA5-C5EC-467B-AAD4-A328277F7076}"/>
    <cellStyle name="Normal 4 4 4 2 8" xfId="8998" xr:uid="{A220D7A5-E04B-49BB-AED0-2135BA00186C}"/>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A6B887E9-7686-46E3-A36E-EE245FA861D8}"/>
    <cellStyle name="Normal 4 4 4 3 2 3" xfId="11555" xr:uid="{D33D2066-50BC-4B51-B818-C49E5A1A2C36}"/>
    <cellStyle name="Normal 4 4 4 3 3" xfId="5178" xr:uid="{00000000-0005-0000-0000-0000CC150000}"/>
    <cellStyle name="Normal 4 4 4 3 3 2" xfId="13628" xr:uid="{418CB409-B508-4CBF-96BF-5A435AB3461F}"/>
    <cellStyle name="Normal 4 4 4 3 4" xfId="9410" xr:uid="{4398AB54-4FE6-4857-BF23-03307F8EA3CF}"/>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A9FE433C-6292-49EB-9D48-91A658211BB0}"/>
    <cellStyle name="Normal 4 4 4 4 2 3" xfId="11968" xr:uid="{F1C3741B-3AC1-4629-9C78-33C1AC3E3F3C}"/>
    <cellStyle name="Normal 4 4 4 4 3" xfId="5591" xr:uid="{00000000-0005-0000-0000-0000D0150000}"/>
    <cellStyle name="Normal 4 4 4 4 3 2" xfId="14041" xr:uid="{FA85EE7F-BCEF-4FA5-9338-E04DAC525B9B}"/>
    <cellStyle name="Normal 4 4 4 4 4" xfId="9823" xr:uid="{05B386F1-CB45-4CBA-924A-F89F1F4B6CBB}"/>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8D903223-383A-4C9B-871D-33AD87308555}"/>
    <cellStyle name="Normal 4 4 4 5 2 3" xfId="12381" xr:uid="{46814231-9FFA-4626-B738-916A284D6B3F}"/>
    <cellStyle name="Normal 4 4 4 5 3" xfId="6004" xr:uid="{00000000-0005-0000-0000-0000D4150000}"/>
    <cellStyle name="Normal 4 4 4 5 3 2" xfId="14454" xr:uid="{797D0421-4240-4412-B0FC-1293B4EFDB27}"/>
    <cellStyle name="Normal 4 4 4 5 4" xfId="10236" xr:uid="{9508B577-CF8C-4A14-86E2-FCE071297789}"/>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1620CC35-A9DB-4AF7-A70F-981865AF310A}"/>
    <cellStyle name="Normal 4 4 4 6 2 3" xfId="12794" xr:uid="{8901DA8A-522B-400E-B7D9-07F261C2223A}"/>
    <cellStyle name="Normal 4 4 4 6 3" xfId="6417" xr:uid="{00000000-0005-0000-0000-0000D8150000}"/>
    <cellStyle name="Normal 4 4 4 6 3 2" xfId="14867" xr:uid="{4B4BAEC8-660E-4272-B446-BE1CA2E1D916}"/>
    <cellStyle name="Normal 4 4 4 6 4" xfId="10649" xr:uid="{17D3B2C7-6F44-4434-8922-8326A4ED16D6}"/>
    <cellStyle name="Normal 4 4 4 7" xfId="2547" xr:uid="{00000000-0005-0000-0000-0000D9150000}"/>
    <cellStyle name="Normal 4 4 4 7 2" xfId="6830" xr:uid="{00000000-0005-0000-0000-0000DA150000}"/>
    <cellStyle name="Normal 4 4 4 7 2 2" xfId="15280" xr:uid="{EE25F878-EC06-42F1-8816-F4F1E7A2AD44}"/>
    <cellStyle name="Normal 4 4 4 7 3" xfId="11062" xr:uid="{AC1F19FB-61D2-4EBD-930F-A7E0E4F745CF}"/>
    <cellStyle name="Normal 4 4 4 8" xfId="4765" xr:uid="{00000000-0005-0000-0000-0000DB150000}"/>
    <cellStyle name="Normal 4 4 4 8 2" xfId="13215" xr:uid="{C8542051-A12D-4810-A284-D55EF7549C0C}"/>
    <cellStyle name="Normal 4 4 4 9" xfId="8997" xr:uid="{6BF1D235-5597-4C4B-8B72-0E9E09D344A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AAE405AF-B93C-4C51-88B2-C9A6801CD28F}"/>
    <cellStyle name="Normal 4 4 5 2 2 3" xfId="11557" xr:uid="{460AA4FE-D48A-4218-A2EB-221A59E7598C}"/>
    <cellStyle name="Normal 4 4 5 2 3" xfId="5180" xr:uid="{00000000-0005-0000-0000-0000E0150000}"/>
    <cellStyle name="Normal 4 4 5 2 3 2" xfId="13630" xr:uid="{6D4D5868-636E-4802-9DFA-1B8F02D4D95B}"/>
    <cellStyle name="Normal 4 4 5 2 4" xfId="9412" xr:uid="{A791FCF8-E1D9-41A7-A098-53A25F53EF96}"/>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E70EEB2E-3997-43F4-96C6-6A8E76463704}"/>
    <cellStyle name="Normal 4 4 5 3 2 3" xfId="11970" xr:uid="{0A449133-D425-4D93-9C45-6A9B144EF05E}"/>
    <cellStyle name="Normal 4 4 5 3 3" xfId="5593" xr:uid="{00000000-0005-0000-0000-0000E4150000}"/>
    <cellStyle name="Normal 4 4 5 3 3 2" xfId="14043" xr:uid="{707CA8A5-78C3-43C9-9F8E-DEB0D26FDF83}"/>
    <cellStyle name="Normal 4 4 5 3 4" xfId="9825" xr:uid="{5EEBC1AC-B8DE-4DA8-B2EA-5AEBA4FFE8CC}"/>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85104A52-7913-464B-9F98-0E2904624BD6}"/>
    <cellStyle name="Normal 4 4 5 4 2 3" xfId="12383" xr:uid="{03C85FFA-68BF-4860-8DAD-C28094515C89}"/>
    <cellStyle name="Normal 4 4 5 4 3" xfId="6006" xr:uid="{00000000-0005-0000-0000-0000E8150000}"/>
    <cellStyle name="Normal 4 4 5 4 3 2" xfId="14456" xr:uid="{C6372F34-4468-4C70-AAAB-4156103E9729}"/>
    <cellStyle name="Normal 4 4 5 4 4" xfId="10238" xr:uid="{98481717-BCFD-4B83-B8F8-3595B9C9DCD7}"/>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AB9A26A9-22AC-4688-9D29-7970BD40AC00}"/>
    <cellStyle name="Normal 4 4 5 5 2 3" xfId="12796" xr:uid="{3A54C351-EB11-4EC2-9E8A-5DEC40875500}"/>
    <cellStyle name="Normal 4 4 5 5 3" xfId="6419" xr:uid="{00000000-0005-0000-0000-0000EC150000}"/>
    <cellStyle name="Normal 4 4 5 5 3 2" xfId="14869" xr:uid="{0E2E046C-4CA8-4894-820B-24C09D7C44EF}"/>
    <cellStyle name="Normal 4 4 5 5 4" xfId="10651" xr:uid="{91D31F9D-579C-4A4E-AD65-80F6C500F399}"/>
    <cellStyle name="Normal 4 4 5 6" xfId="2549" xr:uid="{00000000-0005-0000-0000-0000ED150000}"/>
    <cellStyle name="Normal 4 4 5 6 2" xfId="6832" xr:uid="{00000000-0005-0000-0000-0000EE150000}"/>
    <cellStyle name="Normal 4 4 5 6 2 2" xfId="15282" xr:uid="{DA9EBCE6-2DFC-4C3B-91BD-389E627095DE}"/>
    <cellStyle name="Normal 4 4 5 6 3" xfId="11064" xr:uid="{4A2AD85D-0E25-4108-950D-A8F1CE35A588}"/>
    <cellStyle name="Normal 4 4 5 7" xfId="4767" xr:uid="{00000000-0005-0000-0000-0000EF150000}"/>
    <cellStyle name="Normal 4 4 5 7 2" xfId="13217" xr:uid="{86599B44-F211-4FD2-9930-AA1C14CB84D4}"/>
    <cellStyle name="Normal 4 4 5 8" xfId="8999" xr:uid="{E6592151-C6D5-460F-A20B-15C3EAD4BC82}"/>
    <cellStyle name="Normal 4 4 6" xfId="853" xr:uid="{00000000-0005-0000-0000-0000F0150000}"/>
    <cellStyle name="Normal 4 4 6 2" xfId="3088" xr:uid="{00000000-0005-0000-0000-0000F1150000}"/>
    <cellStyle name="Normal 4 4 6 2 2" xfId="7310" xr:uid="{00000000-0005-0000-0000-0000F2150000}"/>
    <cellStyle name="Normal 4 4 6 2 2 2" xfId="15760" xr:uid="{690EE09D-0630-494D-8463-A97D809C389C}"/>
    <cellStyle name="Normal 4 4 6 2 3" xfId="11542" xr:uid="{2612A374-24FA-46D2-A90D-4E588F59C09D}"/>
    <cellStyle name="Normal 4 4 6 3" xfId="5165" xr:uid="{00000000-0005-0000-0000-0000F3150000}"/>
    <cellStyle name="Normal 4 4 6 3 2" xfId="13615" xr:uid="{807FE31B-1F6A-43F1-A33B-E6A65321B7FB}"/>
    <cellStyle name="Normal 4 4 6 4" xfId="9397" xr:uid="{DD931963-529F-4A6F-82D9-86369BC063A3}"/>
    <cellStyle name="Normal 4 4 7" xfId="1271" xr:uid="{00000000-0005-0000-0000-0000F4150000}"/>
    <cellStyle name="Normal 4 4 7 2" xfId="3501" xr:uid="{00000000-0005-0000-0000-0000F5150000}"/>
    <cellStyle name="Normal 4 4 7 2 2" xfId="7723" xr:uid="{00000000-0005-0000-0000-0000F6150000}"/>
    <cellStyle name="Normal 4 4 7 2 2 2" xfId="16173" xr:uid="{51C3A1F3-ED73-4B88-8F92-EEC49CD9CDF7}"/>
    <cellStyle name="Normal 4 4 7 2 3" xfId="11955" xr:uid="{2912246E-DF0F-45D2-9F6D-AB58AA6B2D0A}"/>
    <cellStyle name="Normal 4 4 7 3" xfId="5578" xr:uid="{00000000-0005-0000-0000-0000F7150000}"/>
    <cellStyle name="Normal 4 4 7 3 2" xfId="14028" xr:uid="{94A0B415-C22A-49E4-8691-F43B09F6AB96}"/>
    <cellStyle name="Normal 4 4 7 4" xfId="9810" xr:uid="{D1255628-0122-4164-BAE4-4A479026052B}"/>
    <cellStyle name="Normal 4 4 8" xfId="1684" xr:uid="{00000000-0005-0000-0000-0000F8150000}"/>
    <cellStyle name="Normal 4 4 8 2" xfId="3914" xr:uid="{00000000-0005-0000-0000-0000F9150000}"/>
    <cellStyle name="Normal 4 4 8 2 2" xfId="8136" xr:uid="{00000000-0005-0000-0000-0000FA150000}"/>
    <cellStyle name="Normal 4 4 8 2 2 2" xfId="16586" xr:uid="{D3C7FB71-4F65-40C8-8005-0AB7243B5334}"/>
    <cellStyle name="Normal 4 4 8 2 3" xfId="12368" xr:uid="{5DF32417-B5FB-4BEA-B98A-CA3DF2A82F27}"/>
    <cellStyle name="Normal 4 4 8 3" xfId="5991" xr:uid="{00000000-0005-0000-0000-0000FB150000}"/>
    <cellStyle name="Normal 4 4 8 3 2" xfId="14441" xr:uid="{EB356B65-D1B5-490F-9532-153328CF10EB}"/>
    <cellStyle name="Normal 4 4 8 4" xfId="10223" xr:uid="{84151ACF-3116-4ECD-8B89-A1EB3789B75B}"/>
    <cellStyle name="Normal 4 4 9" xfId="2098" xr:uid="{00000000-0005-0000-0000-0000FC150000}"/>
    <cellStyle name="Normal 4 4 9 2" xfId="4327" xr:uid="{00000000-0005-0000-0000-0000FD150000}"/>
    <cellStyle name="Normal 4 4 9 2 2" xfId="8549" xr:uid="{00000000-0005-0000-0000-0000FE150000}"/>
    <cellStyle name="Normal 4 4 9 2 2 2" xfId="16999" xr:uid="{E81D19F4-B985-4C2A-9FF2-EB439D49D76E}"/>
    <cellStyle name="Normal 4 4 9 2 3" xfId="12781" xr:uid="{6DF09B9B-DF38-40D5-B289-59E657FA9F60}"/>
    <cellStyle name="Normal 4 4 9 3" xfId="6404" xr:uid="{00000000-0005-0000-0000-0000FF150000}"/>
    <cellStyle name="Normal 4 4 9 3 2" xfId="14854" xr:uid="{FE7848FE-5C8B-4D8A-A64E-A70BCDB9BC53}"/>
    <cellStyle name="Normal 4 4 9 4" xfId="10636" xr:uid="{67A81CF2-CD88-45BE-B0A3-4E7A3893363D}"/>
    <cellStyle name="Normal 4 5" xfId="394" xr:uid="{00000000-0005-0000-0000-000000160000}"/>
    <cellStyle name="Normal 4 6" xfId="395" xr:uid="{00000000-0005-0000-0000-000001160000}"/>
    <cellStyle name="Normal 4 6 10" xfId="4768" xr:uid="{00000000-0005-0000-0000-000002160000}"/>
    <cellStyle name="Normal 4 6 10 2" xfId="13218" xr:uid="{B8B2D3D6-AD90-44E1-A4DB-3149A397851D}"/>
    <cellStyle name="Normal 4 6 11" xfId="9000" xr:uid="{A6AC3B00-EA5F-44B3-90BE-7756B44813F7}"/>
    <cellStyle name="Normal 4 6 2" xfId="396" xr:uid="{00000000-0005-0000-0000-000003160000}"/>
    <cellStyle name="Normal 4 6 2 10" xfId="9001" xr:uid="{DD22DA68-D101-4A8D-ABE2-5651756290E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1E6A408C-E4D9-4D52-8F1C-854B7237C091}"/>
    <cellStyle name="Normal 4 6 2 2 2 2 2 3" xfId="11561" xr:uid="{1910733A-B679-43C3-B2CF-A913534CD80B}"/>
    <cellStyle name="Normal 4 6 2 2 2 2 3" xfId="5184" xr:uid="{00000000-0005-0000-0000-000009160000}"/>
    <cellStyle name="Normal 4 6 2 2 2 2 3 2" xfId="13634" xr:uid="{DC6B989C-AF4C-404D-90C6-A86F61390158}"/>
    <cellStyle name="Normal 4 6 2 2 2 2 4" xfId="9416" xr:uid="{34BB8C22-1614-44FB-B704-0F8CE107BFF2}"/>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9C45BE94-305E-4701-9E9B-1B83C1665478}"/>
    <cellStyle name="Normal 4 6 2 2 2 3 2 3" xfId="11974" xr:uid="{A9ED9897-8E8A-49E8-A31C-91971ADB8599}"/>
    <cellStyle name="Normal 4 6 2 2 2 3 3" xfId="5597" xr:uid="{00000000-0005-0000-0000-00000D160000}"/>
    <cellStyle name="Normal 4 6 2 2 2 3 3 2" xfId="14047" xr:uid="{193594DD-A950-43C3-99D1-F5CAA09997F3}"/>
    <cellStyle name="Normal 4 6 2 2 2 3 4" xfId="9829" xr:uid="{CF17603F-15AF-4162-9343-6EB6B0FDA42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FE450825-834D-4A2A-8AA3-2AAD85E986BD}"/>
    <cellStyle name="Normal 4 6 2 2 2 4 2 3" xfId="12387" xr:uid="{5C28D344-F616-4513-98E7-5297F069DF25}"/>
    <cellStyle name="Normal 4 6 2 2 2 4 3" xfId="6010" xr:uid="{00000000-0005-0000-0000-000011160000}"/>
    <cellStyle name="Normal 4 6 2 2 2 4 3 2" xfId="14460" xr:uid="{B7FD0B4C-E6E7-4DDA-B96D-174348D9D0E4}"/>
    <cellStyle name="Normal 4 6 2 2 2 4 4" xfId="10242" xr:uid="{795AA9A1-4B5E-4EF5-AAEB-76E1DC92FEA5}"/>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96746430-556D-46D7-BB90-932EF7522EC1}"/>
    <cellStyle name="Normal 4 6 2 2 2 5 2 3" xfId="12800" xr:uid="{B46F2587-F26B-43B0-A45E-B0DB23F4D751}"/>
    <cellStyle name="Normal 4 6 2 2 2 5 3" xfId="6423" xr:uid="{00000000-0005-0000-0000-000015160000}"/>
    <cellStyle name="Normal 4 6 2 2 2 5 3 2" xfId="14873" xr:uid="{A2A06F40-0431-4B0E-B6CE-2032F8BC9BE7}"/>
    <cellStyle name="Normal 4 6 2 2 2 5 4" xfId="10655" xr:uid="{E5110740-A377-4E72-899F-44E75F6185D9}"/>
    <cellStyle name="Normal 4 6 2 2 2 6" xfId="2553" xr:uid="{00000000-0005-0000-0000-000016160000}"/>
    <cellStyle name="Normal 4 6 2 2 2 6 2" xfId="6836" xr:uid="{00000000-0005-0000-0000-000017160000}"/>
    <cellStyle name="Normal 4 6 2 2 2 6 2 2" xfId="15286" xr:uid="{64C5B2AE-469A-47FE-90EC-ED22641F326F}"/>
    <cellStyle name="Normal 4 6 2 2 2 6 3" xfId="11068" xr:uid="{C3A3901E-0E94-4F8A-A367-6F811A0431AF}"/>
    <cellStyle name="Normal 4 6 2 2 2 7" xfId="4771" xr:uid="{00000000-0005-0000-0000-000018160000}"/>
    <cellStyle name="Normal 4 6 2 2 2 7 2" xfId="13221" xr:uid="{09C45632-0B2B-4E6D-9CCB-42DB2E9B9F04}"/>
    <cellStyle name="Normal 4 6 2 2 2 8" xfId="9003" xr:uid="{C95ACCD5-00A3-4021-8C26-B7C559CFD99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B375C034-6B07-4805-8378-F8234ADFE8BF}"/>
    <cellStyle name="Normal 4 6 2 2 3 2 3" xfId="11560" xr:uid="{62ADBEF5-AB8F-461F-8460-EBD4BD8752AC}"/>
    <cellStyle name="Normal 4 6 2 2 3 3" xfId="5183" xr:uid="{00000000-0005-0000-0000-00001C160000}"/>
    <cellStyle name="Normal 4 6 2 2 3 3 2" xfId="13633" xr:uid="{BEE45C22-C6C9-415B-BB1C-9FD0A9358529}"/>
    <cellStyle name="Normal 4 6 2 2 3 4" xfId="9415" xr:uid="{7C1D41FE-6F79-4ACB-9408-0AD48AC2F3C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61CE2D15-D09A-4A15-9DE2-E242F0E839DE}"/>
    <cellStyle name="Normal 4 6 2 2 4 2 3" xfId="11973" xr:uid="{A13A04F0-C497-463F-B3E2-0484E6ED74E3}"/>
    <cellStyle name="Normal 4 6 2 2 4 3" xfId="5596" xr:uid="{00000000-0005-0000-0000-000020160000}"/>
    <cellStyle name="Normal 4 6 2 2 4 3 2" xfId="14046" xr:uid="{C1ECF5DB-1CA8-409B-AD90-6B3DBFD9A878}"/>
    <cellStyle name="Normal 4 6 2 2 4 4" xfId="9828" xr:uid="{4BA9CBB7-B439-4852-BF90-71422A32B4E7}"/>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70BC19CC-D570-4A89-B098-AB69E97D8848}"/>
    <cellStyle name="Normal 4 6 2 2 5 2 3" xfId="12386" xr:uid="{F797DB9A-941F-47EF-BBEA-41A504D59623}"/>
    <cellStyle name="Normal 4 6 2 2 5 3" xfId="6009" xr:uid="{00000000-0005-0000-0000-000024160000}"/>
    <cellStyle name="Normal 4 6 2 2 5 3 2" xfId="14459" xr:uid="{7D7D868F-1319-4801-BD40-26D8A2A50A08}"/>
    <cellStyle name="Normal 4 6 2 2 5 4" xfId="10241" xr:uid="{466ABAFB-D099-4F50-8F61-CD7F4F54E23F}"/>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B7CC55BD-ACF9-4B1A-ADEA-9AB6E8F43227}"/>
    <cellStyle name="Normal 4 6 2 2 6 2 3" xfId="12799" xr:uid="{166EAC68-626E-4CD9-A1EC-63CD68B8F9C1}"/>
    <cellStyle name="Normal 4 6 2 2 6 3" xfId="6422" xr:uid="{00000000-0005-0000-0000-000028160000}"/>
    <cellStyle name="Normal 4 6 2 2 6 3 2" xfId="14872" xr:uid="{72B76612-B741-4E31-BB1B-AF806130C627}"/>
    <cellStyle name="Normal 4 6 2 2 6 4" xfId="10654" xr:uid="{82853863-C607-41EB-A241-86EE2F648E23}"/>
    <cellStyle name="Normal 4 6 2 2 7" xfId="2552" xr:uid="{00000000-0005-0000-0000-000029160000}"/>
    <cellStyle name="Normal 4 6 2 2 7 2" xfId="6835" xr:uid="{00000000-0005-0000-0000-00002A160000}"/>
    <cellStyle name="Normal 4 6 2 2 7 2 2" xfId="15285" xr:uid="{02DC45EA-5785-4A1D-B68A-2CDA8FCC0BC6}"/>
    <cellStyle name="Normal 4 6 2 2 7 3" xfId="11067" xr:uid="{4E239E37-D656-41C8-B0C0-128A8F01F094}"/>
    <cellStyle name="Normal 4 6 2 2 8" xfId="4770" xr:uid="{00000000-0005-0000-0000-00002B160000}"/>
    <cellStyle name="Normal 4 6 2 2 8 2" xfId="13220" xr:uid="{D7252ACE-AE67-40FB-B539-15D4FBB9E818}"/>
    <cellStyle name="Normal 4 6 2 2 9" xfId="9002" xr:uid="{F778712D-0D84-4CBA-8208-170FF9689728}"/>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1CB690E7-5476-45B5-B97D-83F1E56CDFC1}"/>
    <cellStyle name="Normal 4 6 2 3 2 2 3" xfId="11562" xr:uid="{E672CF8F-7550-4B9B-80A5-9D910FC36BEC}"/>
    <cellStyle name="Normal 4 6 2 3 2 3" xfId="5185" xr:uid="{00000000-0005-0000-0000-000030160000}"/>
    <cellStyle name="Normal 4 6 2 3 2 3 2" xfId="13635" xr:uid="{3AF29B1D-4675-4A1C-90EA-C947685DB82E}"/>
    <cellStyle name="Normal 4 6 2 3 2 4" xfId="9417" xr:uid="{EE2BC33E-AA53-4320-AC74-3C772CED909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04714FEC-4C17-4796-AC0F-24FC3AB513DB}"/>
    <cellStyle name="Normal 4 6 2 3 3 2 3" xfId="11975" xr:uid="{39559BD0-AA70-41B9-A264-D6631AF033E6}"/>
    <cellStyle name="Normal 4 6 2 3 3 3" xfId="5598" xr:uid="{00000000-0005-0000-0000-000034160000}"/>
    <cellStyle name="Normal 4 6 2 3 3 3 2" xfId="14048" xr:uid="{70D24AB9-B4B1-43C0-B0DE-2FAA44D723DE}"/>
    <cellStyle name="Normal 4 6 2 3 3 4" xfId="9830" xr:uid="{4DB792BC-2BA6-41D0-9DA9-B4F358257361}"/>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F4C79269-298F-4DCD-B576-69E80DA128BB}"/>
    <cellStyle name="Normal 4 6 2 3 4 2 3" xfId="12388" xr:uid="{B2843BAE-1225-4768-8EF2-52F000208E1D}"/>
    <cellStyle name="Normal 4 6 2 3 4 3" xfId="6011" xr:uid="{00000000-0005-0000-0000-000038160000}"/>
    <cellStyle name="Normal 4 6 2 3 4 3 2" xfId="14461" xr:uid="{7406B08A-47B1-4FC6-9330-1075B2A1DE93}"/>
    <cellStyle name="Normal 4 6 2 3 4 4" xfId="10243" xr:uid="{5FFAACBF-54F3-4DD4-A312-A2AB8BCEFCF8}"/>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D3066CE4-2546-4E77-AD7A-C5F12C4D25F1}"/>
    <cellStyle name="Normal 4 6 2 3 5 2 3" xfId="12801" xr:uid="{46E42848-424E-45DD-A926-8F7E10492812}"/>
    <cellStyle name="Normal 4 6 2 3 5 3" xfId="6424" xr:uid="{00000000-0005-0000-0000-00003C160000}"/>
    <cellStyle name="Normal 4 6 2 3 5 3 2" xfId="14874" xr:uid="{EF25929B-4C20-4DB8-A343-A74DE4559FD8}"/>
    <cellStyle name="Normal 4 6 2 3 5 4" xfId="10656" xr:uid="{38A62FA4-798D-477B-ABFB-4562BF683CBC}"/>
    <cellStyle name="Normal 4 6 2 3 6" xfId="2554" xr:uid="{00000000-0005-0000-0000-00003D160000}"/>
    <cellStyle name="Normal 4 6 2 3 6 2" xfId="6837" xr:uid="{00000000-0005-0000-0000-00003E160000}"/>
    <cellStyle name="Normal 4 6 2 3 6 2 2" xfId="15287" xr:uid="{DC597E7D-3801-444B-80A1-4850EFF2FB39}"/>
    <cellStyle name="Normal 4 6 2 3 6 3" xfId="11069" xr:uid="{01C3E1CC-9647-445D-A29B-45E851531A2A}"/>
    <cellStyle name="Normal 4 6 2 3 7" xfId="4772" xr:uid="{00000000-0005-0000-0000-00003F160000}"/>
    <cellStyle name="Normal 4 6 2 3 7 2" xfId="13222" xr:uid="{480CF25B-A506-4C6E-A511-89BD0F4A1783}"/>
    <cellStyle name="Normal 4 6 2 3 8" xfId="9004" xr:uid="{D3E29E79-C2B6-4BBD-8829-E383918B5C57}"/>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C22C79B8-B1DD-487A-A4E9-61653E80A32B}"/>
    <cellStyle name="Normal 4 6 2 4 2 3" xfId="11559" xr:uid="{ACC4E4B6-C86D-4C64-9E84-00359456090E}"/>
    <cellStyle name="Normal 4 6 2 4 3" xfId="5182" xr:uid="{00000000-0005-0000-0000-000043160000}"/>
    <cellStyle name="Normal 4 6 2 4 3 2" xfId="13632" xr:uid="{3160534C-56A7-4595-A9FB-B6C2B3BF3699}"/>
    <cellStyle name="Normal 4 6 2 4 4" xfId="9414" xr:uid="{1D710EDC-D759-49FE-B200-7AEB4141F0F8}"/>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B097A4EC-44AF-461F-A46B-39FA8CB1E2C6}"/>
    <cellStyle name="Normal 4 6 2 5 2 3" xfId="11972" xr:uid="{538DD998-7055-435B-B49A-A6732D2C1894}"/>
    <cellStyle name="Normal 4 6 2 5 3" xfId="5595" xr:uid="{00000000-0005-0000-0000-000047160000}"/>
    <cellStyle name="Normal 4 6 2 5 3 2" xfId="14045" xr:uid="{02B9785C-A221-4DA4-B55A-5FFA8E10B846}"/>
    <cellStyle name="Normal 4 6 2 5 4" xfId="9827" xr:uid="{0FBF1619-AD4A-46D2-95DF-C0052CF350F8}"/>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FCF16892-D9F4-4643-B324-82E3ED4C9FB0}"/>
    <cellStyle name="Normal 4 6 2 6 2 3" xfId="12385" xr:uid="{D487EAC4-4F94-478D-A4BC-713356C73310}"/>
    <cellStyle name="Normal 4 6 2 6 3" xfId="6008" xr:uid="{00000000-0005-0000-0000-00004B160000}"/>
    <cellStyle name="Normal 4 6 2 6 3 2" xfId="14458" xr:uid="{A131D6FF-7F66-4675-BA3D-E862630C0D8B}"/>
    <cellStyle name="Normal 4 6 2 6 4" xfId="10240" xr:uid="{F7FCADDF-1F1C-4FEB-B126-EB113AE5EA8E}"/>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809CD85B-0714-40B4-B619-DC7261DCAF92}"/>
    <cellStyle name="Normal 4 6 2 7 2 3" xfId="12798" xr:uid="{16BF94E7-6783-4845-A3A9-D4F7E9EB7BD6}"/>
    <cellStyle name="Normal 4 6 2 7 3" xfId="6421" xr:uid="{00000000-0005-0000-0000-00004F160000}"/>
    <cellStyle name="Normal 4 6 2 7 3 2" xfId="14871" xr:uid="{D4ACC221-66A2-4247-AF73-EA21B4873E53}"/>
    <cellStyle name="Normal 4 6 2 7 4" xfId="10653" xr:uid="{FA694908-EF6C-415E-A232-9C9C04C09B55}"/>
    <cellStyle name="Normal 4 6 2 8" xfId="2551" xr:uid="{00000000-0005-0000-0000-000050160000}"/>
    <cellStyle name="Normal 4 6 2 8 2" xfId="6834" xr:uid="{00000000-0005-0000-0000-000051160000}"/>
    <cellStyle name="Normal 4 6 2 8 2 2" xfId="15284" xr:uid="{74F86729-0ABE-4C91-9D37-6CA5E9FC04A3}"/>
    <cellStyle name="Normal 4 6 2 8 3" xfId="11066" xr:uid="{8D05045B-99F8-40F2-A49C-2376E02EB7D6}"/>
    <cellStyle name="Normal 4 6 2 9" xfId="4769" xr:uid="{00000000-0005-0000-0000-000052160000}"/>
    <cellStyle name="Normal 4 6 2 9 2" xfId="13219" xr:uid="{B0B5CE4A-32E2-4106-8BA4-80835DF01A7A}"/>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A6E2A3EF-AC79-427F-AC42-9C68B6C11F17}"/>
    <cellStyle name="Normal 4 6 3 2 2 2 3" xfId="11564" xr:uid="{58776663-1600-4FC3-AFEB-3F3EC6AA0DE3}"/>
    <cellStyle name="Normal 4 6 3 2 2 3" xfId="5187" xr:uid="{00000000-0005-0000-0000-000058160000}"/>
    <cellStyle name="Normal 4 6 3 2 2 3 2" xfId="13637" xr:uid="{4EE3367B-A4B4-4927-AA2C-4B653DC6750A}"/>
    <cellStyle name="Normal 4 6 3 2 2 4" xfId="9419" xr:uid="{70218CC8-69C2-45DC-91E2-E51F7977A11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BA608E7D-1089-41B5-B224-3487D491C1DF}"/>
    <cellStyle name="Normal 4 6 3 2 3 2 3" xfId="11977" xr:uid="{7EB9B31E-7411-47F3-AE69-6AED07D636DF}"/>
    <cellStyle name="Normal 4 6 3 2 3 3" xfId="5600" xr:uid="{00000000-0005-0000-0000-00005C160000}"/>
    <cellStyle name="Normal 4 6 3 2 3 3 2" xfId="14050" xr:uid="{2144C536-BFA2-4787-990E-9D6E6C4A329C}"/>
    <cellStyle name="Normal 4 6 3 2 3 4" xfId="9832" xr:uid="{F6B6E3CE-13C7-4803-BF3A-8A9F051017FB}"/>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8EF0A034-5ED6-4B3B-9484-0A61B8958EAF}"/>
    <cellStyle name="Normal 4 6 3 2 4 2 3" xfId="12390" xr:uid="{E334039E-53BD-4A15-AD70-FA621D0E08D7}"/>
    <cellStyle name="Normal 4 6 3 2 4 3" xfId="6013" xr:uid="{00000000-0005-0000-0000-000060160000}"/>
    <cellStyle name="Normal 4 6 3 2 4 3 2" xfId="14463" xr:uid="{77169724-0063-4971-BC21-BE14E6C79AC4}"/>
    <cellStyle name="Normal 4 6 3 2 4 4" xfId="10245" xr:uid="{D1803156-84D1-42D7-AE35-A8DD828EF86D}"/>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143CBF0D-71B5-42CC-B0A2-6D0364F9EC73}"/>
    <cellStyle name="Normal 4 6 3 2 5 2 3" xfId="12803" xr:uid="{DC5152D4-C69D-4C92-9C95-27ABC4F770AD}"/>
    <cellStyle name="Normal 4 6 3 2 5 3" xfId="6426" xr:uid="{00000000-0005-0000-0000-000064160000}"/>
    <cellStyle name="Normal 4 6 3 2 5 3 2" xfId="14876" xr:uid="{AF3CE7EA-61EF-444F-BEF5-D7386193B728}"/>
    <cellStyle name="Normal 4 6 3 2 5 4" xfId="10658" xr:uid="{5532A385-BEB8-4B9A-9269-2F32251EF3BC}"/>
    <cellStyle name="Normal 4 6 3 2 6" xfId="2556" xr:uid="{00000000-0005-0000-0000-000065160000}"/>
    <cellStyle name="Normal 4 6 3 2 6 2" xfId="6839" xr:uid="{00000000-0005-0000-0000-000066160000}"/>
    <cellStyle name="Normal 4 6 3 2 6 2 2" xfId="15289" xr:uid="{D2E8EFB4-B6F5-4D20-8FB9-1530679802DD}"/>
    <cellStyle name="Normal 4 6 3 2 6 3" xfId="11071" xr:uid="{63A4933E-F4B5-4C01-A762-92A63BB1F797}"/>
    <cellStyle name="Normal 4 6 3 2 7" xfId="4774" xr:uid="{00000000-0005-0000-0000-000067160000}"/>
    <cellStyle name="Normal 4 6 3 2 7 2" xfId="13224" xr:uid="{D581B106-195E-47C8-BEE3-52BD1777FB19}"/>
    <cellStyle name="Normal 4 6 3 2 8" xfId="9006" xr:uid="{95BC86C2-39D0-4A5E-9DB1-E82545C943CF}"/>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6BEC883E-6ECF-4718-BFCA-0D8213551779}"/>
    <cellStyle name="Normal 4 6 3 3 2 3" xfId="11563" xr:uid="{B1A43FE0-36E3-43AB-A648-F93573742934}"/>
    <cellStyle name="Normal 4 6 3 3 3" xfId="5186" xr:uid="{00000000-0005-0000-0000-00006B160000}"/>
    <cellStyle name="Normal 4 6 3 3 3 2" xfId="13636" xr:uid="{6E264750-ABD9-4E65-A9B6-549A67AB7E32}"/>
    <cellStyle name="Normal 4 6 3 3 4" xfId="9418" xr:uid="{3CACA4CF-AD63-4B21-A70B-4D85040E9461}"/>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DCDB2C8E-2AAD-4AEE-A445-D811DCFC4C24}"/>
    <cellStyle name="Normal 4 6 3 4 2 3" xfId="11976" xr:uid="{F4E2A0F8-2EA4-4959-B097-5D84887BC4AE}"/>
    <cellStyle name="Normal 4 6 3 4 3" xfId="5599" xr:uid="{00000000-0005-0000-0000-00006F160000}"/>
    <cellStyle name="Normal 4 6 3 4 3 2" xfId="14049" xr:uid="{FADF79E9-C13D-41B2-9D47-595FB6B959E5}"/>
    <cellStyle name="Normal 4 6 3 4 4" xfId="9831" xr:uid="{EF488C6F-D262-44FB-A1E9-19339E277C14}"/>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C8B6863E-00A5-4421-8117-1C8F75EBA7BA}"/>
    <cellStyle name="Normal 4 6 3 5 2 3" xfId="12389" xr:uid="{A663627A-75AE-47D3-ABA6-38750FBB15C8}"/>
    <cellStyle name="Normal 4 6 3 5 3" xfId="6012" xr:uid="{00000000-0005-0000-0000-000073160000}"/>
    <cellStyle name="Normal 4 6 3 5 3 2" xfId="14462" xr:uid="{F11A3DF3-79B8-4223-8503-BC97DEDE9D7B}"/>
    <cellStyle name="Normal 4 6 3 5 4" xfId="10244" xr:uid="{1DEFEC0A-A1D9-4059-8428-BC34AB814769}"/>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26C195FC-EC07-4031-BD89-1DEC4C059244}"/>
    <cellStyle name="Normal 4 6 3 6 2 3" xfId="12802" xr:uid="{CE0CE015-4EC9-46FA-833A-D26AA2F78BA2}"/>
    <cellStyle name="Normal 4 6 3 6 3" xfId="6425" xr:uid="{00000000-0005-0000-0000-000077160000}"/>
    <cellStyle name="Normal 4 6 3 6 3 2" xfId="14875" xr:uid="{5E791BBA-68D6-48CB-AA30-B09D5BB84D2F}"/>
    <cellStyle name="Normal 4 6 3 6 4" xfId="10657" xr:uid="{6E02F215-DF92-4458-BAF6-AC9A14FAD200}"/>
    <cellStyle name="Normal 4 6 3 7" xfId="2555" xr:uid="{00000000-0005-0000-0000-000078160000}"/>
    <cellStyle name="Normal 4 6 3 7 2" xfId="6838" xr:uid="{00000000-0005-0000-0000-000079160000}"/>
    <cellStyle name="Normal 4 6 3 7 2 2" xfId="15288" xr:uid="{E102E3E2-2620-42A0-AC90-9E0BBA65EEF6}"/>
    <cellStyle name="Normal 4 6 3 7 3" xfId="11070" xr:uid="{279C516D-8EBA-4A30-A80C-3F7DCD2CA1B2}"/>
    <cellStyle name="Normal 4 6 3 8" xfId="4773" xr:uid="{00000000-0005-0000-0000-00007A160000}"/>
    <cellStyle name="Normal 4 6 3 8 2" xfId="13223" xr:uid="{5216A727-6930-4A88-AE32-64FE107A04F9}"/>
    <cellStyle name="Normal 4 6 3 9" xfId="9005" xr:uid="{CA5BE9C3-273D-4971-98DD-21752EA4890B}"/>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27DE0B0E-2F96-49DC-95A7-D73C4F6CD46A}"/>
    <cellStyle name="Normal 4 6 4 2 2 3" xfId="11565" xr:uid="{3FB4EED4-7160-4FBB-A33B-AD2FC69E34AC}"/>
    <cellStyle name="Normal 4 6 4 2 3" xfId="5188" xr:uid="{00000000-0005-0000-0000-00007F160000}"/>
    <cellStyle name="Normal 4 6 4 2 3 2" xfId="13638" xr:uid="{A0FE9CC0-72B9-42DA-A4A6-99C845FDFC1C}"/>
    <cellStyle name="Normal 4 6 4 2 4" xfId="9420" xr:uid="{09B00435-0A39-4186-92DF-AB1F18779879}"/>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410557E0-FE7B-4FB9-A831-A1D05D7463B2}"/>
    <cellStyle name="Normal 4 6 4 3 2 3" xfId="11978" xr:uid="{4C4285FD-CD8D-4A6C-900C-8CC4CD20DFC5}"/>
    <cellStyle name="Normal 4 6 4 3 3" xfId="5601" xr:uid="{00000000-0005-0000-0000-000083160000}"/>
    <cellStyle name="Normal 4 6 4 3 3 2" xfId="14051" xr:uid="{373C5FDD-2130-4A14-9C7E-CA06C9B70A77}"/>
    <cellStyle name="Normal 4 6 4 3 4" xfId="9833" xr:uid="{5B8E0033-61D8-49B1-80B8-C0576EB875F7}"/>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2B1B3A48-2B3C-4422-9A9F-731104731520}"/>
    <cellStyle name="Normal 4 6 4 4 2 3" xfId="12391" xr:uid="{2979A6DB-88F6-4351-B86F-7E14176C6D2C}"/>
    <cellStyle name="Normal 4 6 4 4 3" xfId="6014" xr:uid="{00000000-0005-0000-0000-000087160000}"/>
    <cellStyle name="Normal 4 6 4 4 3 2" xfId="14464" xr:uid="{87EC8AD4-4357-4FAC-B0A1-A38F56C6C22C}"/>
    <cellStyle name="Normal 4 6 4 4 4" xfId="10246" xr:uid="{3BFE3306-E24B-42A8-BDCC-D42AD515A597}"/>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A3614739-0C82-4BFD-9AAE-CDF5A0A4EC91}"/>
    <cellStyle name="Normal 4 6 4 5 2 3" xfId="12804" xr:uid="{F498E42F-50AB-4C1D-A438-6F730C29BB81}"/>
    <cellStyle name="Normal 4 6 4 5 3" xfId="6427" xr:uid="{00000000-0005-0000-0000-00008B160000}"/>
    <cellStyle name="Normal 4 6 4 5 3 2" xfId="14877" xr:uid="{DEF43970-F989-4827-AB55-251EE286CF12}"/>
    <cellStyle name="Normal 4 6 4 5 4" xfId="10659" xr:uid="{6940A1FB-CF84-4B8E-BD34-C7AF8ED311A7}"/>
    <cellStyle name="Normal 4 6 4 6" xfId="2557" xr:uid="{00000000-0005-0000-0000-00008C160000}"/>
    <cellStyle name="Normal 4 6 4 6 2" xfId="6840" xr:uid="{00000000-0005-0000-0000-00008D160000}"/>
    <cellStyle name="Normal 4 6 4 6 2 2" xfId="15290" xr:uid="{A6104898-BCD7-4388-8FE4-FB5591B31E3B}"/>
    <cellStyle name="Normal 4 6 4 6 3" xfId="11072" xr:uid="{1A025E5E-A1C4-45AA-BD32-529D65FABC99}"/>
    <cellStyle name="Normal 4 6 4 7" xfId="4775" xr:uid="{00000000-0005-0000-0000-00008E160000}"/>
    <cellStyle name="Normal 4 6 4 7 2" xfId="13225" xr:uid="{3F00D852-0C6F-4178-8733-190F8BAE61E0}"/>
    <cellStyle name="Normal 4 6 4 8" xfId="9007" xr:uid="{28246E72-ECD9-4DB5-A278-293B28BFEF20}"/>
    <cellStyle name="Normal 4 6 5" xfId="869" xr:uid="{00000000-0005-0000-0000-00008F160000}"/>
    <cellStyle name="Normal 4 6 5 2" xfId="3104" xr:uid="{00000000-0005-0000-0000-000090160000}"/>
    <cellStyle name="Normal 4 6 5 2 2" xfId="7326" xr:uid="{00000000-0005-0000-0000-000091160000}"/>
    <cellStyle name="Normal 4 6 5 2 2 2" xfId="15776" xr:uid="{255A881D-C15F-4DC5-A84C-E7E8FC4B83BC}"/>
    <cellStyle name="Normal 4 6 5 2 3" xfId="11558" xr:uid="{78E14651-3301-4789-97D1-D5FC04047B47}"/>
    <cellStyle name="Normal 4 6 5 3" xfId="5181" xr:uid="{00000000-0005-0000-0000-000092160000}"/>
    <cellStyle name="Normal 4 6 5 3 2" xfId="13631" xr:uid="{FAAC7B56-B82E-41E6-9BD9-999FCEDD7965}"/>
    <cellStyle name="Normal 4 6 5 4" xfId="9413" xr:uid="{A6B57793-ED80-49D4-B54B-0D50DD1CB7C9}"/>
    <cellStyle name="Normal 4 6 6" xfId="1287" xr:uid="{00000000-0005-0000-0000-000093160000}"/>
    <cellStyle name="Normal 4 6 6 2" xfId="3517" xr:uid="{00000000-0005-0000-0000-000094160000}"/>
    <cellStyle name="Normal 4 6 6 2 2" xfId="7739" xr:uid="{00000000-0005-0000-0000-000095160000}"/>
    <cellStyle name="Normal 4 6 6 2 2 2" xfId="16189" xr:uid="{6F172993-3E74-4902-9F43-E20D49AAA8C7}"/>
    <cellStyle name="Normal 4 6 6 2 3" xfId="11971" xr:uid="{E24363A7-1693-4562-9C33-657687D34207}"/>
    <cellStyle name="Normal 4 6 6 3" xfId="5594" xr:uid="{00000000-0005-0000-0000-000096160000}"/>
    <cellStyle name="Normal 4 6 6 3 2" xfId="14044" xr:uid="{DB1ADEA5-9424-4672-AE05-158AD1AFB6F7}"/>
    <cellStyle name="Normal 4 6 6 4" xfId="9826" xr:uid="{5CAC22F9-C4BC-4C08-9509-78B394656C05}"/>
    <cellStyle name="Normal 4 6 7" xfId="1700" xr:uid="{00000000-0005-0000-0000-000097160000}"/>
    <cellStyle name="Normal 4 6 7 2" xfId="3930" xr:uid="{00000000-0005-0000-0000-000098160000}"/>
    <cellStyle name="Normal 4 6 7 2 2" xfId="8152" xr:uid="{00000000-0005-0000-0000-000099160000}"/>
    <cellStyle name="Normal 4 6 7 2 2 2" xfId="16602" xr:uid="{F7069F5C-3020-4076-B11A-2099B6C2AAF3}"/>
    <cellStyle name="Normal 4 6 7 2 3" xfId="12384" xr:uid="{211AB428-7E90-4158-9106-5A1C8F314B70}"/>
    <cellStyle name="Normal 4 6 7 3" xfId="6007" xr:uid="{00000000-0005-0000-0000-00009A160000}"/>
    <cellStyle name="Normal 4 6 7 3 2" xfId="14457" xr:uid="{9A2780DD-D908-4EFB-BDEB-B43BDE175D10}"/>
    <cellStyle name="Normal 4 6 7 4" xfId="10239" xr:uid="{0DC96C7F-4370-45CE-9657-C0C42661A383}"/>
    <cellStyle name="Normal 4 6 8" xfId="2114" xr:uid="{00000000-0005-0000-0000-00009B160000}"/>
    <cellStyle name="Normal 4 6 8 2" xfId="4343" xr:uid="{00000000-0005-0000-0000-00009C160000}"/>
    <cellStyle name="Normal 4 6 8 2 2" xfId="8565" xr:uid="{00000000-0005-0000-0000-00009D160000}"/>
    <cellStyle name="Normal 4 6 8 2 2 2" xfId="17015" xr:uid="{59E6271B-5046-445C-BF8A-B1BB9D9F1724}"/>
    <cellStyle name="Normal 4 6 8 2 3" xfId="12797" xr:uid="{43BC9609-6807-480B-BE4F-E603240D6088}"/>
    <cellStyle name="Normal 4 6 8 3" xfId="6420" xr:uid="{00000000-0005-0000-0000-00009E160000}"/>
    <cellStyle name="Normal 4 6 8 3 2" xfId="14870" xr:uid="{A44E1DA1-B80A-42DC-B294-B1FE1DF192BC}"/>
    <cellStyle name="Normal 4 6 8 4" xfId="10652" xr:uid="{3ED90541-6C08-4399-AAB1-F3B1F53D18D8}"/>
    <cellStyle name="Normal 4 6 9" xfId="2550" xr:uid="{00000000-0005-0000-0000-00009F160000}"/>
    <cellStyle name="Normal 4 6 9 2" xfId="6833" xr:uid="{00000000-0005-0000-0000-0000A0160000}"/>
    <cellStyle name="Normal 4 6 9 2 2" xfId="15283" xr:uid="{4D82406C-6A26-4BD6-82F3-1139C84476A8}"/>
    <cellStyle name="Normal 4 6 9 3" xfId="11065" xr:uid="{5536872F-555D-4777-8E80-EB33C8638853}"/>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2A817802-7536-41FE-950A-BCBA0A4AF699}"/>
    <cellStyle name="Normal 4 7 2 2 2 3" xfId="11567" xr:uid="{059AA30C-0015-419E-87CC-7FBB9F23864B}"/>
    <cellStyle name="Normal 4 7 2 2 3" xfId="5190" xr:uid="{00000000-0005-0000-0000-0000A6160000}"/>
    <cellStyle name="Normal 4 7 2 2 3 2" xfId="13640" xr:uid="{67F4F70C-57B7-44AF-8B30-24C5D2CB6467}"/>
    <cellStyle name="Normal 4 7 2 2 4" xfId="9422" xr:uid="{795A3EB5-B0A6-417B-A6BE-E9162B73C449}"/>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9DBC5898-0026-4304-833E-BB400B2A03AB}"/>
    <cellStyle name="Normal 4 7 2 3 2 3" xfId="11980" xr:uid="{935A33AF-02E5-4F17-B0CA-84E2D56FE7A8}"/>
    <cellStyle name="Normal 4 7 2 3 3" xfId="5603" xr:uid="{00000000-0005-0000-0000-0000AA160000}"/>
    <cellStyle name="Normal 4 7 2 3 3 2" xfId="14053" xr:uid="{08D4BF08-19DC-4601-860E-4A5AB5892B46}"/>
    <cellStyle name="Normal 4 7 2 3 4" xfId="9835" xr:uid="{E1DA5288-5A73-4F30-8EBB-9D2DE187FF07}"/>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9D6E2463-A7DE-4D6C-9399-BFD3B0AF0D8C}"/>
    <cellStyle name="Normal 4 7 2 4 2 3" xfId="12393" xr:uid="{B48E01DB-BD27-4871-A414-A141DFC31747}"/>
    <cellStyle name="Normal 4 7 2 4 3" xfId="6016" xr:uid="{00000000-0005-0000-0000-0000AE160000}"/>
    <cellStyle name="Normal 4 7 2 4 3 2" xfId="14466" xr:uid="{168B6585-99D4-4E25-83DD-2FEA5652DFF1}"/>
    <cellStyle name="Normal 4 7 2 4 4" xfId="10248" xr:uid="{4C0EA3DF-E4EA-4BB8-B873-AF5A1A71E201}"/>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F2B07D94-3DB9-4D5D-8E1C-E4D6410527FD}"/>
    <cellStyle name="Normal 4 7 2 5 2 3" xfId="12806" xr:uid="{B12463F4-7391-4A26-93BE-7AD780D10199}"/>
    <cellStyle name="Normal 4 7 2 5 3" xfId="6429" xr:uid="{00000000-0005-0000-0000-0000B2160000}"/>
    <cellStyle name="Normal 4 7 2 5 3 2" xfId="14879" xr:uid="{4F355735-FB6C-4D93-BC51-DE0A0BA637E3}"/>
    <cellStyle name="Normal 4 7 2 5 4" xfId="10661" xr:uid="{18A5456C-0A65-4992-9742-68E6FD25CB7A}"/>
    <cellStyle name="Normal 4 7 2 6" xfId="2559" xr:uid="{00000000-0005-0000-0000-0000B3160000}"/>
    <cellStyle name="Normal 4 7 2 6 2" xfId="6842" xr:uid="{00000000-0005-0000-0000-0000B4160000}"/>
    <cellStyle name="Normal 4 7 2 6 2 2" xfId="15292" xr:uid="{2BE3FBCB-56C6-402E-B233-581F766245B5}"/>
    <cellStyle name="Normal 4 7 2 6 3" xfId="11074" xr:uid="{DE93C8D1-29E9-4ABD-BA5C-4F232352A5D5}"/>
    <cellStyle name="Normal 4 7 2 7" xfId="4777" xr:uid="{00000000-0005-0000-0000-0000B5160000}"/>
    <cellStyle name="Normal 4 7 2 7 2" xfId="13227" xr:uid="{368C2F90-AC2B-4953-88B7-EAA0132E6717}"/>
    <cellStyle name="Normal 4 7 2 8" xfId="9009" xr:uid="{C6E46E00-977E-4B0C-B7F2-A624F6991B3C}"/>
    <cellStyle name="Normal 4 7 3" xfId="877" xr:uid="{00000000-0005-0000-0000-0000B6160000}"/>
    <cellStyle name="Normal 4 7 3 2" xfId="3112" xr:uid="{00000000-0005-0000-0000-0000B7160000}"/>
    <cellStyle name="Normal 4 7 3 2 2" xfId="7334" xr:uid="{00000000-0005-0000-0000-0000B8160000}"/>
    <cellStyle name="Normal 4 7 3 2 2 2" xfId="15784" xr:uid="{488025A9-C841-4154-8F10-02C168B168BA}"/>
    <cellStyle name="Normal 4 7 3 2 3" xfId="11566" xr:uid="{C8AF1E49-6B27-4D3E-B376-767DEEA33582}"/>
    <cellStyle name="Normal 4 7 3 3" xfId="5189" xr:uid="{00000000-0005-0000-0000-0000B9160000}"/>
    <cellStyle name="Normal 4 7 3 3 2" xfId="13639" xr:uid="{1C60E6E9-AE74-4C87-87FA-5240B24D3019}"/>
    <cellStyle name="Normal 4 7 3 4" xfId="9421" xr:uid="{260A9F54-8829-4751-8D13-6FEBDF2F229B}"/>
    <cellStyle name="Normal 4 7 4" xfId="1295" xr:uid="{00000000-0005-0000-0000-0000BA160000}"/>
    <cellStyle name="Normal 4 7 4 2" xfId="3525" xr:uid="{00000000-0005-0000-0000-0000BB160000}"/>
    <cellStyle name="Normal 4 7 4 2 2" xfId="7747" xr:uid="{00000000-0005-0000-0000-0000BC160000}"/>
    <cellStyle name="Normal 4 7 4 2 2 2" xfId="16197" xr:uid="{7A5E9968-DCF0-4758-8AC7-396BAF0AF934}"/>
    <cellStyle name="Normal 4 7 4 2 3" xfId="11979" xr:uid="{55EC0C34-D055-40DF-8329-E1663FC233F1}"/>
    <cellStyle name="Normal 4 7 4 3" xfId="5602" xr:uid="{00000000-0005-0000-0000-0000BD160000}"/>
    <cellStyle name="Normal 4 7 4 3 2" xfId="14052" xr:uid="{CEEF0631-DEB3-44A0-A67D-BBC1E2627FBD}"/>
    <cellStyle name="Normal 4 7 4 4" xfId="9834" xr:uid="{9A5F09B9-31B0-4A02-8CBC-B677506AD94F}"/>
    <cellStyle name="Normal 4 7 5" xfId="1708" xr:uid="{00000000-0005-0000-0000-0000BE160000}"/>
    <cellStyle name="Normal 4 7 5 2" xfId="3938" xr:uid="{00000000-0005-0000-0000-0000BF160000}"/>
    <cellStyle name="Normal 4 7 5 2 2" xfId="8160" xr:uid="{00000000-0005-0000-0000-0000C0160000}"/>
    <cellStyle name="Normal 4 7 5 2 2 2" xfId="16610" xr:uid="{DBFBF66E-2A4E-4F62-8B56-D121CF1D29C2}"/>
    <cellStyle name="Normal 4 7 5 2 3" xfId="12392" xr:uid="{A44DBBF5-5E6B-465D-9E4A-D0DDFBB406B3}"/>
    <cellStyle name="Normal 4 7 5 3" xfId="6015" xr:uid="{00000000-0005-0000-0000-0000C1160000}"/>
    <cellStyle name="Normal 4 7 5 3 2" xfId="14465" xr:uid="{B9CA0741-92B5-4104-8555-1C1E847A86A9}"/>
    <cellStyle name="Normal 4 7 5 4" xfId="10247" xr:uid="{8BED509D-5FC9-4AC1-97DC-6728809131F0}"/>
    <cellStyle name="Normal 4 7 6" xfId="2122" xr:uid="{00000000-0005-0000-0000-0000C2160000}"/>
    <cellStyle name="Normal 4 7 6 2" xfId="4351" xr:uid="{00000000-0005-0000-0000-0000C3160000}"/>
    <cellStyle name="Normal 4 7 6 2 2" xfId="8573" xr:uid="{00000000-0005-0000-0000-0000C4160000}"/>
    <cellStyle name="Normal 4 7 6 2 2 2" xfId="17023" xr:uid="{C1DAC9F5-7768-4B0C-B64F-F85F6372E28C}"/>
    <cellStyle name="Normal 4 7 6 2 3" xfId="12805" xr:uid="{206503BF-15F5-44EA-A71C-6797C86A5250}"/>
    <cellStyle name="Normal 4 7 6 3" xfId="6428" xr:uid="{00000000-0005-0000-0000-0000C5160000}"/>
    <cellStyle name="Normal 4 7 6 3 2" xfId="14878" xr:uid="{1F7088E4-4678-4C36-B16A-D0B94AC21451}"/>
    <cellStyle name="Normal 4 7 6 4" xfId="10660" xr:uid="{0046216A-6F70-4E3D-BCBF-76C6904CF0C9}"/>
    <cellStyle name="Normal 4 7 7" xfId="2558" xr:uid="{00000000-0005-0000-0000-0000C6160000}"/>
    <cellStyle name="Normal 4 7 7 2" xfId="6841" xr:uid="{00000000-0005-0000-0000-0000C7160000}"/>
    <cellStyle name="Normal 4 7 7 2 2" xfId="15291" xr:uid="{FD3A8FDA-3954-4BE3-AD85-93D56BD85DDB}"/>
    <cellStyle name="Normal 4 7 7 3" xfId="11073" xr:uid="{7A1042E0-B37C-48B6-AFFA-8038DBCB94AF}"/>
    <cellStyle name="Normal 4 7 8" xfId="4776" xr:uid="{00000000-0005-0000-0000-0000C8160000}"/>
    <cellStyle name="Normal 4 7 8 2" xfId="13226" xr:uid="{143A31CE-913E-47BF-B591-155C26055EC7}"/>
    <cellStyle name="Normal 4 7 9" xfId="9008" xr:uid="{B3A96C1C-0F0E-46F3-B166-27B9026D9208}"/>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4733C0E2-4A98-4CD0-AC82-A91E3F763DA8}"/>
    <cellStyle name="Normal 4 8 2 2 3" xfId="11568" xr:uid="{3BB5E55A-2FB1-49EC-BA8F-0D1C86ABCFD9}"/>
    <cellStyle name="Normal 4 8 2 3" xfId="5191" xr:uid="{00000000-0005-0000-0000-0000CD160000}"/>
    <cellStyle name="Normal 4 8 2 3 2" xfId="13641" xr:uid="{8FB284F0-458E-460B-8FDE-4D364E6C1AA7}"/>
    <cellStyle name="Normal 4 8 2 4" xfId="9423" xr:uid="{2C730710-3D54-4AC6-8BA4-1A231FC554D1}"/>
    <cellStyle name="Normal 4 8 3" xfId="1297" xr:uid="{00000000-0005-0000-0000-0000CE160000}"/>
    <cellStyle name="Normal 4 8 3 2" xfId="3527" xr:uid="{00000000-0005-0000-0000-0000CF160000}"/>
    <cellStyle name="Normal 4 8 3 2 2" xfId="7749" xr:uid="{00000000-0005-0000-0000-0000D0160000}"/>
    <cellStyle name="Normal 4 8 3 2 2 2" xfId="16199" xr:uid="{27194E3B-2681-429C-9236-8C34004B3957}"/>
    <cellStyle name="Normal 4 8 3 2 3" xfId="11981" xr:uid="{873EE129-68A9-46D5-B7B3-67CD1D9477A1}"/>
    <cellStyle name="Normal 4 8 3 3" xfId="5604" xr:uid="{00000000-0005-0000-0000-0000D1160000}"/>
    <cellStyle name="Normal 4 8 3 3 2" xfId="14054" xr:uid="{CA314CD3-6E57-4A84-B6C5-8EBF36653BCC}"/>
    <cellStyle name="Normal 4 8 3 4" xfId="9836" xr:uid="{9C7BF90C-7225-45F5-A48E-F4AEA5F773A9}"/>
    <cellStyle name="Normal 4 8 4" xfId="1710" xr:uid="{00000000-0005-0000-0000-0000D2160000}"/>
    <cellStyle name="Normal 4 8 4 2" xfId="3940" xr:uid="{00000000-0005-0000-0000-0000D3160000}"/>
    <cellStyle name="Normal 4 8 4 2 2" xfId="8162" xr:uid="{00000000-0005-0000-0000-0000D4160000}"/>
    <cellStyle name="Normal 4 8 4 2 2 2" xfId="16612" xr:uid="{B13DCB90-A538-4884-8A31-4C6F83837A92}"/>
    <cellStyle name="Normal 4 8 4 2 3" xfId="12394" xr:uid="{BC5A0289-AF72-4473-AF02-5F72EBEE73DB}"/>
    <cellStyle name="Normal 4 8 4 3" xfId="6017" xr:uid="{00000000-0005-0000-0000-0000D5160000}"/>
    <cellStyle name="Normal 4 8 4 3 2" xfId="14467" xr:uid="{EA4B4C25-3646-4888-8773-7A1A1140ECE1}"/>
    <cellStyle name="Normal 4 8 4 4" xfId="10249" xr:uid="{05807FF4-E2BC-41C1-9D10-5536835FDDFB}"/>
    <cellStyle name="Normal 4 8 5" xfId="2124" xr:uid="{00000000-0005-0000-0000-0000D6160000}"/>
    <cellStyle name="Normal 4 8 5 2" xfId="4353" xr:uid="{00000000-0005-0000-0000-0000D7160000}"/>
    <cellStyle name="Normal 4 8 5 2 2" xfId="8575" xr:uid="{00000000-0005-0000-0000-0000D8160000}"/>
    <cellStyle name="Normal 4 8 5 2 2 2" xfId="17025" xr:uid="{6BB64473-41FD-479C-9979-4AE3D4D1E19D}"/>
    <cellStyle name="Normal 4 8 5 2 3" xfId="12807" xr:uid="{97BDEE46-0148-41C2-A6EB-545A33F710A2}"/>
    <cellStyle name="Normal 4 8 5 3" xfId="6430" xr:uid="{00000000-0005-0000-0000-0000D9160000}"/>
    <cellStyle name="Normal 4 8 5 3 2" xfId="14880" xr:uid="{FC8DD373-0954-4D87-9CEB-D7D11720881F}"/>
    <cellStyle name="Normal 4 8 5 4" xfId="10662" xr:uid="{FFAE73F9-9308-49CB-9B64-6671012B09E6}"/>
    <cellStyle name="Normal 4 8 6" xfId="2560" xr:uid="{00000000-0005-0000-0000-0000DA160000}"/>
    <cellStyle name="Normal 4 8 6 2" xfId="6843" xr:uid="{00000000-0005-0000-0000-0000DB160000}"/>
    <cellStyle name="Normal 4 8 6 2 2" xfId="15293" xr:uid="{4EC30E17-D15F-40CC-8AAD-FE0E6D7B3A86}"/>
    <cellStyle name="Normal 4 8 6 3" xfId="11075" xr:uid="{01DCD773-AABC-4BCB-BB1E-B5571CB416B9}"/>
    <cellStyle name="Normal 4 8 7" xfId="4778" xr:uid="{00000000-0005-0000-0000-0000DC160000}"/>
    <cellStyle name="Normal 4 8 7 2" xfId="13228" xr:uid="{0C086981-CCF3-4C70-8A25-62CBCD9ABB5E}"/>
    <cellStyle name="Normal 4 8 8" xfId="9010" xr:uid="{951ED8E5-AAED-4770-9B22-8747602B4BE1}"/>
    <cellStyle name="Normal 4 9" xfId="4715" xr:uid="{00000000-0005-0000-0000-0000DD160000}"/>
    <cellStyle name="Normal 4 9 2" xfId="13165" xr:uid="{5066021D-6DF6-4F0D-9C7D-BAC67CDF51D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3BEF0BE1-16AA-4F10-8F29-04838559CA0E}"/>
    <cellStyle name="Normal 5 10 2 3" xfId="12395" xr:uid="{852E0EE3-D403-4B1B-8410-1ED491690470}"/>
    <cellStyle name="Normal 5 10 3" xfId="6018" xr:uid="{00000000-0005-0000-0000-0000E2160000}"/>
    <cellStyle name="Normal 5 10 3 2" xfId="14468" xr:uid="{C4015063-1A7F-450A-B30D-92E56B7CF859}"/>
    <cellStyle name="Normal 5 10 4" xfId="10250" xr:uid="{82DE3F61-E301-4A6D-98BC-9BD0CADACD51}"/>
    <cellStyle name="Normal 5 11" xfId="2125" xr:uid="{00000000-0005-0000-0000-0000E3160000}"/>
    <cellStyle name="Normal 5 11 2" xfId="4354" xr:uid="{00000000-0005-0000-0000-0000E4160000}"/>
    <cellStyle name="Normal 5 11 2 2" xfId="8576" xr:uid="{00000000-0005-0000-0000-0000E5160000}"/>
    <cellStyle name="Normal 5 11 2 2 2" xfId="17026" xr:uid="{64FC8623-0812-4D9F-8F43-A3CF068A1FC4}"/>
    <cellStyle name="Normal 5 11 2 3" xfId="12808" xr:uid="{28418A1B-4B91-4854-A925-26C625CE625C}"/>
    <cellStyle name="Normal 5 11 3" xfId="6431" xr:uid="{00000000-0005-0000-0000-0000E6160000}"/>
    <cellStyle name="Normal 5 11 3 2" xfId="14881" xr:uid="{EC65849A-A3D3-4ACD-B770-54B5B07C07FD}"/>
    <cellStyle name="Normal 5 11 4" xfId="10663" xr:uid="{1D284237-BA2B-4E33-80D6-27A2EA55DBA8}"/>
    <cellStyle name="Normal 5 12" xfId="2561" xr:uid="{00000000-0005-0000-0000-0000E7160000}"/>
    <cellStyle name="Normal 5 12 2" xfId="6844" xr:uid="{00000000-0005-0000-0000-0000E8160000}"/>
    <cellStyle name="Normal 5 12 2 2" xfId="15294" xr:uid="{1A5EAFD9-91D2-4D53-BB37-0734EE95ADE8}"/>
    <cellStyle name="Normal 5 12 3" xfId="11076" xr:uid="{BF5AB69F-CE91-4327-86D7-361A8158A9FE}"/>
    <cellStyle name="Normal 5 13" xfId="4779" xr:uid="{00000000-0005-0000-0000-0000E9160000}"/>
    <cellStyle name="Normal 5 13 2" xfId="13229" xr:uid="{3C3DD595-C593-42E9-8470-A06C3FAE96D3}"/>
    <cellStyle name="Normal 5 14" xfId="9011" xr:uid="{C0F1487B-32F4-4062-9181-7F02D6ED3708}"/>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35352D8A-B3D1-4AAA-8539-3300CAF5A92B}"/>
    <cellStyle name="Normal 5 2 10 2 3" xfId="12809" xr:uid="{992E9660-72D9-4FC5-A37A-E01DA3313F20}"/>
    <cellStyle name="Normal 5 2 10 3" xfId="6432" xr:uid="{00000000-0005-0000-0000-0000EE160000}"/>
    <cellStyle name="Normal 5 2 10 3 2" xfId="14882" xr:uid="{490353D8-59C0-47F4-9E0C-187E0BA1B51F}"/>
    <cellStyle name="Normal 5 2 10 4" xfId="10664" xr:uid="{C9492871-3C44-40CB-B4B2-26FA08BEA029}"/>
    <cellStyle name="Normal 5 2 11" xfId="2562" xr:uid="{00000000-0005-0000-0000-0000EF160000}"/>
    <cellStyle name="Normal 5 2 11 2" xfId="6845" xr:uid="{00000000-0005-0000-0000-0000F0160000}"/>
    <cellStyle name="Normal 5 2 11 2 2" xfId="15295" xr:uid="{1F87D297-7798-49DE-8776-AED39D6B11C6}"/>
    <cellStyle name="Normal 5 2 11 3" xfId="11077" xr:uid="{181765C4-1C29-40AE-AA69-AF45F73701FE}"/>
    <cellStyle name="Normal 5 2 12" xfId="4780" xr:uid="{00000000-0005-0000-0000-0000F1160000}"/>
    <cellStyle name="Normal 5 2 12 2" xfId="13230" xr:uid="{76FEB3D5-7C97-45B4-974B-9D1ACC502623}"/>
    <cellStyle name="Normal 5 2 13" xfId="9012" xr:uid="{9FDE439E-4893-4E03-A5E6-362CCA543818}"/>
    <cellStyle name="Normal 5 2 2" xfId="408" xr:uid="{00000000-0005-0000-0000-0000F2160000}"/>
    <cellStyle name="Normal 5 2 2 10" xfId="2563" xr:uid="{00000000-0005-0000-0000-0000F3160000}"/>
    <cellStyle name="Normal 5 2 2 10 2" xfId="6846" xr:uid="{00000000-0005-0000-0000-0000F4160000}"/>
    <cellStyle name="Normal 5 2 2 10 2 2" xfId="15296" xr:uid="{3B0D8FAD-BB11-49ED-B389-8825627323FD}"/>
    <cellStyle name="Normal 5 2 2 10 3" xfId="11078" xr:uid="{407DE8F4-599D-41A9-977A-76E26C9549E9}"/>
    <cellStyle name="Normal 5 2 2 11" xfId="4781" xr:uid="{00000000-0005-0000-0000-0000F5160000}"/>
    <cellStyle name="Normal 5 2 2 11 2" xfId="13231" xr:uid="{4D41D80C-D7FA-4BF3-81A7-45B36ECBEE81}"/>
    <cellStyle name="Normal 5 2 2 12" xfId="9013" xr:uid="{B0169C58-F3E6-48B5-B591-F661CF976C24}"/>
    <cellStyle name="Normal 5 2 2 2" xfId="409" xr:uid="{00000000-0005-0000-0000-0000F6160000}"/>
    <cellStyle name="Normal 5 2 2 2 10" xfId="4782" xr:uid="{00000000-0005-0000-0000-0000F7160000}"/>
    <cellStyle name="Normal 5 2 2 2 10 2" xfId="13232" xr:uid="{D887B494-2CD7-47D3-9E52-DCD160F27D3E}"/>
    <cellStyle name="Normal 5 2 2 2 11" xfId="9014" xr:uid="{A9B47ECE-EB87-4176-9910-AFB0FD03E131}"/>
    <cellStyle name="Normal 5 2 2 2 2" xfId="410" xr:uid="{00000000-0005-0000-0000-0000F8160000}"/>
    <cellStyle name="Normal 5 2 2 2 2 10" xfId="9015" xr:uid="{1DB51D88-B051-44FE-8F26-8A4DEC2C984B}"/>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81B8808B-0911-4FBD-BB92-3FCB9F6A97B1}"/>
    <cellStyle name="Normal 5 2 2 2 2 2 2 2 2 3" xfId="11575" xr:uid="{2905671D-FBF6-4851-BD88-3820C0176D15}"/>
    <cellStyle name="Normal 5 2 2 2 2 2 2 2 3" xfId="5198" xr:uid="{00000000-0005-0000-0000-0000FE160000}"/>
    <cellStyle name="Normal 5 2 2 2 2 2 2 2 3 2" xfId="13648" xr:uid="{17087AC2-AACA-4662-B413-34296B7399CF}"/>
    <cellStyle name="Normal 5 2 2 2 2 2 2 2 4" xfId="9430" xr:uid="{39528DC9-6D93-46A2-8EDE-FD90DAC522D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C93160FF-10C7-419A-824B-B7F77575869D}"/>
    <cellStyle name="Normal 5 2 2 2 2 2 2 3 2 3" xfId="11988" xr:uid="{57D746E8-0DA1-46EA-AB0C-075836937E5D}"/>
    <cellStyle name="Normal 5 2 2 2 2 2 2 3 3" xfId="5611" xr:uid="{00000000-0005-0000-0000-000002170000}"/>
    <cellStyle name="Normal 5 2 2 2 2 2 2 3 3 2" xfId="14061" xr:uid="{E7EF89FF-D3E4-4868-ABAF-A5F9CEDB6DDA}"/>
    <cellStyle name="Normal 5 2 2 2 2 2 2 3 4" xfId="9843" xr:uid="{C02B1524-EBBA-41F1-B8D8-BE9341BDB3DD}"/>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DF686171-F695-42B1-8C01-C3830FABC7A2}"/>
    <cellStyle name="Normal 5 2 2 2 2 2 2 4 2 3" xfId="12401" xr:uid="{1A31D227-46B4-4A1A-B13C-2AB6E2205119}"/>
    <cellStyle name="Normal 5 2 2 2 2 2 2 4 3" xfId="6024" xr:uid="{00000000-0005-0000-0000-000006170000}"/>
    <cellStyle name="Normal 5 2 2 2 2 2 2 4 3 2" xfId="14474" xr:uid="{EB336846-2C26-428F-8918-AD10C21D9E61}"/>
    <cellStyle name="Normal 5 2 2 2 2 2 2 4 4" xfId="10256" xr:uid="{6E8423B9-9C56-4E3F-8BCD-3E91BA03314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DC706426-BC6B-4ECE-AE08-8AF9BC3CC8C8}"/>
    <cellStyle name="Normal 5 2 2 2 2 2 2 5 2 3" xfId="12814" xr:uid="{C70ABF33-0FE7-4282-AA2B-9D5EF7342EE9}"/>
    <cellStyle name="Normal 5 2 2 2 2 2 2 5 3" xfId="6437" xr:uid="{00000000-0005-0000-0000-00000A170000}"/>
    <cellStyle name="Normal 5 2 2 2 2 2 2 5 3 2" xfId="14887" xr:uid="{EE1E36A1-0AA7-495D-A4F0-D38EF5CD5EBC}"/>
    <cellStyle name="Normal 5 2 2 2 2 2 2 5 4" xfId="10669" xr:uid="{264ADADC-616A-4312-9B7F-32893A433D38}"/>
    <cellStyle name="Normal 5 2 2 2 2 2 2 6" xfId="2567" xr:uid="{00000000-0005-0000-0000-00000B170000}"/>
    <cellStyle name="Normal 5 2 2 2 2 2 2 6 2" xfId="6850" xr:uid="{00000000-0005-0000-0000-00000C170000}"/>
    <cellStyle name="Normal 5 2 2 2 2 2 2 6 2 2" xfId="15300" xr:uid="{8B58DDB8-21FB-41AD-A9EC-F1AC3F23397D}"/>
    <cellStyle name="Normal 5 2 2 2 2 2 2 6 3" xfId="11082" xr:uid="{7341FC46-172E-4FB0-A44F-1645E9A6E791}"/>
    <cellStyle name="Normal 5 2 2 2 2 2 2 7" xfId="4785" xr:uid="{00000000-0005-0000-0000-00000D170000}"/>
    <cellStyle name="Normal 5 2 2 2 2 2 2 7 2" xfId="13235" xr:uid="{77FE15AD-AAF0-430C-A2D6-5FD2ED317BD9}"/>
    <cellStyle name="Normal 5 2 2 2 2 2 2 8" xfId="9017" xr:uid="{47083663-03D7-41B0-92D2-D3EFC9D16C1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A53831A1-3660-4BAD-B0B6-637D1BA85366}"/>
    <cellStyle name="Normal 5 2 2 2 2 2 3 2 3" xfId="11574" xr:uid="{A609F5CB-D69B-4AE2-9463-F6824C370869}"/>
    <cellStyle name="Normal 5 2 2 2 2 2 3 3" xfId="5197" xr:uid="{00000000-0005-0000-0000-000011170000}"/>
    <cellStyle name="Normal 5 2 2 2 2 2 3 3 2" xfId="13647" xr:uid="{FC30DDF8-A954-4592-95C0-2FC8FBF3B461}"/>
    <cellStyle name="Normal 5 2 2 2 2 2 3 4" xfId="9429" xr:uid="{2CDD8B8D-AC5A-4217-994C-5B20B97B1DBD}"/>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24AB6C08-E406-4D9E-9859-50190BB76E83}"/>
    <cellStyle name="Normal 5 2 2 2 2 2 4 2 3" xfId="11987" xr:uid="{758243D0-BEC2-46E8-8A1D-461DA0A06FF7}"/>
    <cellStyle name="Normal 5 2 2 2 2 2 4 3" xfId="5610" xr:uid="{00000000-0005-0000-0000-000015170000}"/>
    <cellStyle name="Normal 5 2 2 2 2 2 4 3 2" xfId="14060" xr:uid="{B27E34AA-994F-4DED-B201-F5D8CB22D98D}"/>
    <cellStyle name="Normal 5 2 2 2 2 2 4 4" xfId="9842" xr:uid="{172243B5-B03B-4291-AC72-B1E6E992C56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9B03C823-FD00-44B6-A029-822E0CE7F8BE}"/>
    <cellStyle name="Normal 5 2 2 2 2 2 5 2 3" xfId="12400" xr:uid="{1FDDB493-91A3-4F66-B6C5-E1CEF1FDCDDA}"/>
    <cellStyle name="Normal 5 2 2 2 2 2 5 3" xfId="6023" xr:uid="{00000000-0005-0000-0000-000019170000}"/>
    <cellStyle name="Normal 5 2 2 2 2 2 5 3 2" xfId="14473" xr:uid="{55BDF49C-81FA-4487-B462-4F0B41247761}"/>
    <cellStyle name="Normal 5 2 2 2 2 2 5 4" xfId="10255" xr:uid="{5616EBE7-CFE1-47EE-9469-FC14ABB181E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09EC7B36-E139-47B6-94F7-7EED63CC492A}"/>
    <cellStyle name="Normal 5 2 2 2 2 2 6 2 3" xfId="12813" xr:uid="{C78A6A4F-5B49-4545-9682-DBF9FA693E83}"/>
    <cellStyle name="Normal 5 2 2 2 2 2 6 3" xfId="6436" xr:uid="{00000000-0005-0000-0000-00001D170000}"/>
    <cellStyle name="Normal 5 2 2 2 2 2 6 3 2" xfId="14886" xr:uid="{BBB6CDA5-6876-4732-9401-EA1909D0C770}"/>
    <cellStyle name="Normal 5 2 2 2 2 2 6 4" xfId="10668" xr:uid="{83256C4A-8BE0-4D6A-B946-21D63CEC0B73}"/>
    <cellStyle name="Normal 5 2 2 2 2 2 7" xfId="2566" xr:uid="{00000000-0005-0000-0000-00001E170000}"/>
    <cellStyle name="Normal 5 2 2 2 2 2 7 2" xfId="6849" xr:uid="{00000000-0005-0000-0000-00001F170000}"/>
    <cellStyle name="Normal 5 2 2 2 2 2 7 2 2" xfId="15299" xr:uid="{1C2510A5-4247-4284-A141-13F87574D0D3}"/>
    <cellStyle name="Normal 5 2 2 2 2 2 7 3" xfId="11081" xr:uid="{778D739C-C6F0-4296-A787-99D8613A2DF0}"/>
    <cellStyle name="Normal 5 2 2 2 2 2 8" xfId="4784" xr:uid="{00000000-0005-0000-0000-000020170000}"/>
    <cellStyle name="Normal 5 2 2 2 2 2 8 2" xfId="13234" xr:uid="{484FDF0B-4BD6-4ABC-8777-9ADCF7DF84AA}"/>
    <cellStyle name="Normal 5 2 2 2 2 2 9" xfId="9016" xr:uid="{2E86EDA4-B78E-41BC-82F3-57C203750AA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D2C3AA77-255F-4D7E-A5C3-C78E8CA3715C}"/>
    <cellStyle name="Normal 5 2 2 2 2 3 2 2 3" xfId="11576" xr:uid="{F26293BB-C2F8-4C8A-AEF4-AD3BEFC7CE5A}"/>
    <cellStyle name="Normal 5 2 2 2 2 3 2 3" xfId="5199" xr:uid="{00000000-0005-0000-0000-000025170000}"/>
    <cellStyle name="Normal 5 2 2 2 2 3 2 3 2" xfId="13649" xr:uid="{9DE96831-3472-4350-9E17-9E0B494E4B18}"/>
    <cellStyle name="Normal 5 2 2 2 2 3 2 4" xfId="9431" xr:uid="{4D09665D-DA36-4640-ACBA-2E21544B447E}"/>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7D20C357-1FF5-432A-9EC4-6C6C4C8064B4}"/>
    <cellStyle name="Normal 5 2 2 2 2 3 3 2 3" xfId="11989" xr:uid="{C4C21BE5-57F4-4DF5-9E97-28024444D653}"/>
    <cellStyle name="Normal 5 2 2 2 2 3 3 3" xfId="5612" xr:uid="{00000000-0005-0000-0000-000029170000}"/>
    <cellStyle name="Normal 5 2 2 2 2 3 3 3 2" xfId="14062" xr:uid="{10B81FDB-6206-4035-A115-75C0FD831E9F}"/>
    <cellStyle name="Normal 5 2 2 2 2 3 3 4" xfId="9844" xr:uid="{2BBD3E6C-F846-43C1-84C4-CE19779E6D9D}"/>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865636F1-34A2-4704-B360-A3FA4D66BFD7}"/>
    <cellStyle name="Normal 5 2 2 2 2 3 4 2 3" xfId="12402" xr:uid="{D3746048-0703-413B-82FE-1774079FCAA6}"/>
    <cellStyle name="Normal 5 2 2 2 2 3 4 3" xfId="6025" xr:uid="{00000000-0005-0000-0000-00002D170000}"/>
    <cellStyle name="Normal 5 2 2 2 2 3 4 3 2" xfId="14475" xr:uid="{27F73D29-ECA3-47C6-9151-1E0319CAA05F}"/>
    <cellStyle name="Normal 5 2 2 2 2 3 4 4" xfId="10257" xr:uid="{F3795C90-8BC7-4FCC-8977-02AD07277EB5}"/>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F07F1B4D-C84D-47CE-9418-DA24A2E3A6BB}"/>
    <cellStyle name="Normal 5 2 2 2 2 3 5 2 3" xfId="12815" xr:uid="{E8D44E40-CC3B-46B3-AC14-509FF1BA3D4B}"/>
    <cellStyle name="Normal 5 2 2 2 2 3 5 3" xfId="6438" xr:uid="{00000000-0005-0000-0000-000031170000}"/>
    <cellStyle name="Normal 5 2 2 2 2 3 5 3 2" xfId="14888" xr:uid="{4FE29E8C-10F9-4C01-B968-E15138C76CFD}"/>
    <cellStyle name="Normal 5 2 2 2 2 3 5 4" xfId="10670" xr:uid="{A0A33C32-4CAD-4D12-B2D3-9A8506B8653F}"/>
    <cellStyle name="Normal 5 2 2 2 2 3 6" xfId="2568" xr:uid="{00000000-0005-0000-0000-000032170000}"/>
    <cellStyle name="Normal 5 2 2 2 2 3 6 2" xfId="6851" xr:uid="{00000000-0005-0000-0000-000033170000}"/>
    <cellStyle name="Normal 5 2 2 2 2 3 6 2 2" xfId="15301" xr:uid="{3A709ED2-7058-44B2-B50B-F94F66BF3160}"/>
    <cellStyle name="Normal 5 2 2 2 2 3 6 3" xfId="11083" xr:uid="{8C65E3F9-AA5C-43C1-83A8-C4098EBFBB3E}"/>
    <cellStyle name="Normal 5 2 2 2 2 3 7" xfId="4786" xr:uid="{00000000-0005-0000-0000-000034170000}"/>
    <cellStyle name="Normal 5 2 2 2 2 3 7 2" xfId="13236" xr:uid="{E045E101-68CB-438D-A086-AE3EA90C01D1}"/>
    <cellStyle name="Normal 5 2 2 2 2 3 8" xfId="9018" xr:uid="{EFB6DE2F-490E-4B84-8464-043586ADE67E}"/>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DAEA0756-1DA6-4DC3-8FC8-73CF5ECA3C5C}"/>
    <cellStyle name="Normal 5 2 2 2 2 4 2 3" xfId="11573" xr:uid="{37C9D760-188D-4538-8485-8C0E56700EF4}"/>
    <cellStyle name="Normal 5 2 2 2 2 4 3" xfId="5196" xr:uid="{00000000-0005-0000-0000-000038170000}"/>
    <cellStyle name="Normal 5 2 2 2 2 4 3 2" xfId="13646" xr:uid="{65205D3A-8E87-480E-A64E-62D5890A0616}"/>
    <cellStyle name="Normal 5 2 2 2 2 4 4" xfId="9428" xr:uid="{0712F83E-2C88-4E97-BBE8-FD3A798036DA}"/>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7B522D3D-B59C-481B-9485-28B17AAEF6DE}"/>
    <cellStyle name="Normal 5 2 2 2 2 5 2 3" xfId="11986" xr:uid="{AD66CD87-BEB0-40A7-BFA9-028224C048F8}"/>
    <cellStyle name="Normal 5 2 2 2 2 5 3" xfId="5609" xr:uid="{00000000-0005-0000-0000-00003C170000}"/>
    <cellStyle name="Normal 5 2 2 2 2 5 3 2" xfId="14059" xr:uid="{2CC6FFA3-257A-453C-944C-000194F45F98}"/>
    <cellStyle name="Normal 5 2 2 2 2 5 4" xfId="9841" xr:uid="{1CF17224-BA4B-4CDF-BD20-07C71E27DBA6}"/>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6AA32BA7-5911-49BD-8E93-893599B97525}"/>
    <cellStyle name="Normal 5 2 2 2 2 6 2 3" xfId="12399" xr:uid="{CFE51389-7F51-4916-A20E-5DC802520B5B}"/>
    <cellStyle name="Normal 5 2 2 2 2 6 3" xfId="6022" xr:uid="{00000000-0005-0000-0000-000040170000}"/>
    <cellStyle name="Normal 5 2 2 2 2 6 3 2" xfId="14472" xr:uid="{4B5B03E2-0FDE-45DA-97BE-05DCA667EA78}"/>
    <cellStyle name="Normal 5 2 2 2 2 6 4" xfId="10254" xr:uid="{6A39D8EB-310D-47BD-92C6-468FF4314F22}"/>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EB3437D5-6BB3-4AA7-9413-B5F326008F6F}"/>
    <cellStyle name="Normal 5 2 2 2 2 7 2 3" xfId="12812" xr:uid="{63B10494-6FF6-49DD-956F-DBE53DD71CFC}"/>
    <cellStyle name="Normal 5 2 2 2 2 7 3" xfId="6435" xr:uid="{00000000-0005-0000-0000-000044170000}"/>
    <cellStyle name="Normal 5 2 2 2 2 7 3 2" xfId="14885" xr:uid="{D400AD99-080D-4E9D-84BA-AF4A49ACBDD7}"/>
    <cellStyle name="Normal 5 2 2 2 2 7 4" xfId="10667" xr:uid="{06D4F349-76E0-475E-81FE-F9245533A2D8}"/>
    <cellStyle name="Normal 5 2 2 2 2 8" xfId="2565" xr:uid="{00000000-0005-0000-0000-000045170000}"/>
    <cellStyle name="Normal 5 2 2 2 2 8 2" xfId="6848" xr:uid="{00000000-0005-0000-0000-000046170000}"/>
    <cellStyle name="Normal 5 2 2 2 2 8 2 2" xfId="15298" xr:uid="{438F7380-3884-40D3-874F-9DD5946F68F3}"/>
    <cellStyle name="Normal 5 2 2 2 2 8 3" xfId="11080" xr:uid="{92AF7294-DBA8-4C33-98A5-9482324E0865}"/>
    <cellStyle name="Normal 5 2 2 2 2 9" xfId="4783" xr:uid="{00000000-0005-0000-0000-000047170000}"/>
    <cellStyle name="Normal 5 2 2 2 2 9 2" xfId="13233" xr:uid="{372494F3-ADCE-4366-B5CF-A3529277055C}"/>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49079139-5345-4F92-827A-1BF7079B0E17}"/>
    <cellStyle name="Normal 5 2 2 2 3 2 2 2 3" xfId="11578" xr:uid="{D8F9CF4C-4EB6-4C52-82C8-9DB8B0108D8F}"/>
    <cellStyle name="Normal 5 2 2 2 3 2 2 3" xfId="5201" xr:uid="{00000000-0005-0000-0000-00004D170000}"/>
    <cellStyle name="Normal 5 2 2 2 3 2 2 3 2" xfId="13651" xr:uid="{93E4CAF4-DD4F-4265-B34A-2BE4B72AA01E}"/>
    <cellStyle name="Normal 5 2 2 2 3 2 2 4" xfId="9433" xr:uid="{7442D433-08E2-4181-8732-0D1B9B87C70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4624EE4F-A5C7-47A2-87B0-44C4C0E89C2D}"/>
    <cellStyle name="Normal 5 2 2 2 3 2 3 2 3" xfId="11991" xr:uid="{E646D157-BB9C-4F2A-9608-FAEC0FEB5391}"/>
    <cellStyle name="Normal 5 2 2 2 3 2 3 3" xfId="5614" xr:uid="{00000000-0005-0000-0000-000051170000}"/>
    <cellStyle name="Normal 5 2 2 2 3 2 3 3 2" xfId="14064" xr:uid="{C08F9ACE-DE5B-41FD-BF93-10410D64C38A}"/>
    <cellStyle name="Normal 5 2 2 2 3 2 3 4" xfId="9846" xr:uid="{C3264960-089D-4262-BB62-AD67AFBFB61F}"/>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453B6F8B-B9B7-4381-A63D-676A91A003FB}"/>
    <cellStyle name="Normal 5 2 2 2 3 2 4 2 3" xfId="12404" xr:uid="{D0054EF1-DA04-4E68-9404-2C5A73F184FB}"/>
    <cellStyle name="Normal 5 2 2 2 3 2 4 3" xfId="6027" xr:uid="{00000000-0005-0000-0000-000055170000}"/>
    <cellStyle name="Normal 5 2 2 2 3 2 4 3 2" xfId="14477" xr:uid="{A09A3FD6-21F1-42E6-9FC4-A3C3092FD8B7}"/>
    <cellStyle name="Normal 5 2 2 2 3 2 4 4" xfId="10259" xr:uid="{CFCAF465-9419-4910-9955-16DFB9F5C24D}"/>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E9E98090-A279-4246-81AA-BA8E443E9D16}"/>
    <cellStyle name="Normal 5 2 2 2 3 2 5 2 3" xfId="12817" xr:uid="{1C9DCAB9-31C4-4D6B-B7CF-8FDEC94217DD}"/>
    <cellStyle name="Normal 5 2 2 2 3 2 5 3" xfId="6440" xr:uid="{00000000-0005-0000-0000-000059170000}"/>
    <cellStyle name="Normal 5 2 2 2 3 2 5 3 2" xfId="14890" xr:uid="{621916E6-ED17-46C2-B0A9-20BA447FDE47}"/>
    <cellStyle name="Normal 5 2 2 2 3 2 5 4" xfId="10672" xr:uid="{71F14AA0-76A3-41D2-AA0A-9BCE0F4CC7F8}"/>
    <cellStyle name="Normal 5 2 2 2 3 2 6" xfId="2570" xr:uid="{00000000-0005-0000-0000-00005A170000}"/>
    <cellStyle name="Normal 5 2 2 2 3 2 6 2" xfId="6853" xr:uid="{00000000-0005-0000-0000-00005B170000}"/>
    <cellStyle name="Normal 5 2 2 2 3 2 6 2 2" xfId="15303" xr:uid="{A189F1BF-A4DF-4966-AC17-88F138E200A4}"/>
    <cellStyle name="Normal 5 2 2 2 3 2 6 3" xfId="11085" xr:uid="{5FA09000-7C06-4530-851B-8817FB088677}"/>
    <cellStyle name="Normal 5 2 2 2 3 2 7" xfId="4788" xr:uid="{00000000-0005-0000-0000-00005C170000}"/>
    <cellStyle name="Normal 5 2 2 2 3 2 7 2" xfId="13238" xr:uid="{6DA28F4C-F1BF-41F8-B61D-BE7EC8CF995C}"/>
    <cellStyle name="Normal 5 2 2 2 3 2 8" xfId="9020" xr:uid="{07F79DA5-7FED-4DD2-9F4B-435747338369}"/>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1CC6599A-3242-4731-9215-3F8519A7F2B5}"/>
    <cellStyle name="Normal 5 2 2 2 3 3 2 3" xfId="11577" xr:uid="{7135812F-4F86-464C-A3E7-A25F740C5FED}"/>
    <cellStyle name="Normal 5 2 2 2 3 3 3" xfId="5200" xr:uid="{00000000-0005-0000-0000-000060170000}"/>
    <cellStyle name="Normal 5 2 2 2 3 3 3 2" xfId="13650" xr:uid="{0B0D2E72-3C05-48FC-8E60-CB7DCA727CBB}"/>
    <cellStyle name="Normal 5 2 2 2 3 3 4" xfId="9432" xr:uid="{98E68AA0-1589-49CA-B078-91F7453846D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20DE556D-6A2E-4689-90EF-E326B8B4DBFB}"/>
    <cellStyle name="Normal 5 2 2 2 3 4 2 3" xfId="11990" xr:uid="{9918458F-3213-4EAB-B119-45457744A2A6}"/>
    <cellStyle name="Normal 5 2 2 2 3 4 3" xfId="5613" xr:uid="{00000000-0005-0000-0000-000064170000}"/>
    <cellStyle name="Normal 5 2 2 2 3 4 3 2" xfId="14063" xr:uid="{F2174C9F-4848-4088-928E-CE1B7B02F04B}"/>
    <cellStyle name="Normal 5 2 2 2 3 4 4" xfId="9845" xr:uid="{C263C303-34C4-4C70-9DF3-26F38DE7B4F6}"/>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C78D90AB-57B3-4A2A-9C7A-C9FCF925FA6C}"/>
    <cellStyle name="Normal 5 2 2 2 3 5 2 3" xfId="12403" xr:uid="{9C33D253-EFCC-4036-9F0B-834E423867C7}"/>
    <cellStyle name="Normal 5 2 2 2 3 5 3" xfId="6026" xr:uid="{00000000-0005-0000-0000-000068170000}"/>
    <cellStyle name="Normal 5 2 2 2 3 5 3 2" xfId="14476" xr:uid="{02A48BDC-2AFE-4786-9BDC-0AB3B84C2F67}"/>
    <cellStyle name="Normal 5 2 2 2 3 5 4" xfId="10258" xr:uid="{4DFE38E2-103B-4C5F-A231-1A42EF9CBC6D}"/>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FA775646-312B-4996-8E95-0CB34982320D}"/>
    <cellStyle name="Normal 5 2 2 2 3 6 2 3" xfId="12816" xr:uid="{7EE362BE-8C1E-4B41-A23D-952798DE3663}"/>
    <cellStyle name="Normal 5 2 2 2 3 6 3" xfId="6439" xr:uid="{00000000-0005-0000-0000-00006C170000}"/>
    <cellStyle name="Normal 5 2 2 2 3 6 3 2" xfId="14889" xr:uid="{F2BA92D6-E7C1-42CC-80B8-3DC300EEAB53}"/>
    <cellStyle name="Normal 5 2 2 2 3 6 4" xfId="10671" xr:uid="{4F40D07D-84F7-4DE7-8DD7-867FFC850233}"/>
    <cellStyle name="Normal 5 2 2 2 3 7" xfId="2569" xr:uid="{00000000-0005-0000-0000-00006D170000}"/>
    <cellStyle name="Normal 5 2 2 2 3 7 2" xfId="6852" xr:uid="{00000000-0005-0000-0000-00006E170000}"/>
    <cellStyle name="Normal 5 2 2 2 3 7 2 2" xfId="15302" xr:uid="{27206B6D-C713-4C05-9DA0-B8A7B1F368D4}"/>
    <cellStyle name="Normal 5 2 2 2 3 7 3" xfId="11084" xr:uid="{2D002DC2-3313-4FDB-BD93-34D0C57BD236}"/>
    <cellStyle name="Normal 5 2 2 2 3 8" xfId="4787" xr:uid="{00000000-0005-0000-0000-00006F170000}"/>
    <cellStyle name="Normal 5 2 2 2 3 8 2" xfId="13237" xr:uid="{D7D50F45-4C9E-493A-8CD6-7B2973269547}"/>
    <cellStyle name="Normal 5 2 2 2 3 9" xfId="9019" xr:uid="{91A76ABA-B84D-4CA5-93D9-B87817A0617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2AAE8F00-6B2C-49A9-9715-714DF806A4E6}"/>
    <cellStyle name="Normal 5 2 2 2 4 2 2 3" xfId="11579" xr:uid="{B0D7E5EF-3CA0-42AD-B36F-F8F85E5A3864}"/>
    <cellStyle name="Normal 5 2 2 2 4 2 3" xfId="5202" xr:uid="{00000000-0005-0000-0000-000074170000}"/>
    <cellStyle name="Normal 5 2 2 2 4 2 3 2" xfId="13652" xr:uid="{2F3BA4EC-2617-4923-946B-A38815CF474A}"/>
    <cellStyle name="Normal 5 2 2 2 4 2 4" xfId="9434" xr:uid="{943BE4A3-029E-422C-9CAA-BB6E125B3B67}"/>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71D5A8EA-E9FC-447B-BD85-9E5876986EA7}"/>
    <cellStyle name="Normal 5 2 2 2 4 3 2 3" xfId="11992" xr:uid="{4C32F548-66DA-411D-BADE-B4892F4110EA}"/>
    <cellStyle name="Normal 5 2 2 2 4 3 3" xfId="5615" xr:uid="{00000000-0005-0000-0000-000078170000}"/>
    <cellStyle name="Normal 5 2 2 2 4 3 3 2" xfId="14065" xr:uid="{897901CF-8A1A-4438-AE6A-670FC7F07405}"/>
    <cellStyle name="Normal 5 2 2 2 4 3 4" xfId="9847" xr:uid="{5D3C3C59-32FF-46F0-8DA9-A8DEBA2F399A}"/>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10452392-6EB1-43C2-98E3-68D1FF47E502}"/>
    <cellStyle name="Normal 5 2 2 2 4 4 2 3" xfId="12405" xr:uid="{879B055B-C65C-4662-961A-03747DA17AAC}"/>
    <cellStyle name="Normal 5 2 2 2 4 4 3" xfId="6028" xr:uid="{00000000-0005-0000-0000-00007C170000}"/>
    <cellStyle name="Normal 5 2 2 2 4 4 3 2" xfId="14478" xr:uid="{8C5F5278-CAA1-4AE1-BBEB-E2E4A2E6BCA4}"/>
    <cellStyle name="Normal 5 2 2 2 4 4 4" xfId="10260" xr:uid="{2CEC21BC-1AF4-49DB-96E8-015595F0ED32}"/>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1F6C9147-CE6C-4907-B448-BEB9827FD6B8}"/>
    <cellStyle name="Normal 5 2 2 2 4 5 2 3" xfId="12818" xr:uid="{4E9ECD80-2F4E-4BF1-97FF-9EA91B73D978}"/>
    <cellStyle name="Normal 5 2 2 2 4 5 3" xfId="6441" xr:uid="{00000000-0005-0000-0000-000080170000}"/>
    <cellStyle name="Normal 5 2 2 2 4 5 3 2" xfId="14891" xr:uid="{77CEC831-2147-4F95-8443-6E46811D60D5}"/>
    <cellStyle name="Normal 5 2 2 2 4 5 4" xfId="10673" xr:uid="{AAA9790D-04EC-479C-96A3-F2CB9191BB99}"/>
    <cellStyle name="Normal 5 2 2 2 4 6" xfId="2571" xr:uid="{00000000-0005-0000-0000-000081170000}"/>
    <cellStyle name="Normal 5 2 2 2 4 6 2" xfId="6854" xr:uid="{00000000-0005-0000-0000-000082170000}"/>
    <cellStyle name="Normal 5 2 2 2 4 6 2 2" xfId="15304" xr:uid="{071C1F73-E372-4D26-A779-DE78D5F6C3A5}"/>
    <cellStyle name="Normal 5 2 2 2 4 6 3" xfId="11086" xr:uid="{45F04761-FB90-4858-907C-324BB07768F1}"/>
    <cellStyle name="Normal 5 2 2 2 4 7" xfId="4789" xr:uid="{00000000-0005-0000-0000-000083170000}"/>
    <cellStyle name="Normal 5 2 2 2 4 7 2" xfId="13239" xr:uid="{850465D0-6A7A-486C-9E7C-AB128823E958}"/>
    <cellStyle name="Normal 5 2 2 2 4 8" xfId="9021" xr:uid="{843C3F5D-4CF8-4E02-B31E-371B7CF35A0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00152FD5-0F3C-44C0-BB8E-63E08DF9BC60}"/>
    <cellStyle name="Normal 5 2 2 2 5 2 3" xfId="11572" xr:uid="{CB34D094-C7E5-4BC5-99F7-221DCD04EB40}"/>
    <cellStyle name="Normal 5 2 2 2 5 3" xfId="5195" xr:uid="{00000000-0005-0000-0000-000087170000}"/>
    <cellStyle name="Normal 5 2 2 2 5 3 2" xfId="13645" xr:uid="{7EBC0CE3-938F-448C-8F18-DAD8C5CAB921}"/>
    <cellStyle name="Normal 5 2 2 2 5 4" xfId="9427" xr:uid="{401ED811-5768-4025-BB9F-DF158D75318B}"/>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16465751-66F2-48C9-8A18-6BF476817B99}"/>
    <cellStyle name="Normal 5 2 2 2 6 2 3" xfId="11985" xr:uid="{9B417940-367D-4429-9736-B806B736FB4D}"/>
    <cellStyle name="Normal 5 2 2 2 6 3" xfId="5608" xr:uid="{00000000-0005-0000-0000-00008B170000}"/>
    <cellStyle name="Normal 5 2 2 2 6 3 2" xfId="14058" xr:uid="{81B51B02-563A-4D27-B1C5-348CCD3FD40E}"/>
    <cellStyle name="Normal 5 2 2 2 6 4" xfId="9840" xr:uid="{FA3690A7-05A2-47DA-93A0-A1F108A0696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F4C1F1FC-FB71-4D24-81A2-68141A05BDA4}"/>
    <cellStyle name="Normal 5 2 2 2 7 2 3" xfId="12398" xr:uid="{B1150511-A04D-45E1-9ED2-F2E0841CCC47}"/>
    <cellStyle name="Normal 5 2 2 2 7 3" xfId="6021" xr:uid="{00000000-0005-0000-0000-00008F170000}"/>
    <cellStyle name="Normal 5 2 2 2 7 3 2" xfId="14471" xr:uid="{1496A31F-3A66-45F2-87CD-099D7F0279A1}"/>
    <cellStyle name="Normal 5 2 2 2 7 4" xfId="10253" xr:uid="{5E1ED0D8-F1D6-42AC-88E0-DEEC95807814}"/>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8F9962B5-5D97-4D1D-8024-E46808BD72F4}"/>
    <cellStyle name="Normal 5 2 2 2 8 2 3" xfId="12811" xr:uid="{56C175E4-6778-41F5-9DDC-2133A487D7F0}"/>
    <cellStyle name="Normal 5 2 2 2 8 3" xfId="6434" xr:uid="{00000000-0005-0000-0000-000093170000}"/>
    <cellStyle name="Normal 5 2 2 2 8 3 2" xfId="14884" xr:uid="{0DF84C25-3C37-436E-A179-01636235575E}"/>
    <cellStyle name="Normal 5 2 2 2 8 4" xfId="10666" xr:uid="{F2AD4BF6-AB5A-458E-915B-F30F88128A5B}"/>
    <cellStyle name="Normal 5 2 2 2 9" xfId="2564" xr:uid="{00000000-0005-0000-0000-000094170000}"/>
    <cellStyle name="Normal 5 2 2 2 9 2" xfId="6847" xr:uid="{00000000-0005-0000-0000-000095170000}"/>
    <cellStyle name="Normal 5 2 2 2 9 2 2" xfId="15297" xr:uid="{1ED0665D-E204-40C2-9292-B9F073118017}"/>
    <cellStyle name="Normal 5 2 2 2 9 3" xfId="11079" xr:uid="{85AE463D-AED5-41F3-8F70-D37423EC5944}"/>
    <cellStyle name="Normal 5 2 2 3" xfId="417" xr:uid="{00000000-0005-0000-0000-000096170000}"/>
    <cellStyle name="Normal 5 2 2 3 10" xfId="9022" xr:uid="{EC3FAB46-8059-4086-A1AD-230BEFB36626}"/>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9E764D71-AF18-464D-8322-47422D436204}"/>
    <cellStyle name="Normal 5 2 2 3 2 2 2 2 3" xfId="11582" xr:uid="{0CDFE94E-58E0-48B6-82AB-2C43088FC37B}"/>
    <cellStyle name="Normal 5 2 2 3 2 2 2 3" xfId="5205" xr:uid="{00000000-0005-0000-0000-00009C170000}"/>
    <cellStyle name="Normal 5 2 2 3 2 2 2 3 2" xfId="13655" xr:uid="{9F2FFB5A-3D61-4C7C-A24E-0B6CA5C39981}"/>
    <cellStyle name="Normal 5 2 2 3 2 2 2 4" xfId="9437" xr:uid="{7F20C2BD-B1BC-488E-862D-9C8048455427}"/>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EB169EEA-A0FE-45D0-8D0A-246229A4F3CA}"/>
    <cellStyle name="Normal 5 2 2 3 2 2 3 2 3" xfId="11995" xr:uid="{039C2E50-7F92-4460-A1B1-BFF9F4A6E3FB}"/>
    <cellStyle name="Normal 5 2 2 3 2 2 3 3" xfId="5618" xr:uid="{00000000-0005-0000-0000-0000A0170000}"/>
    <cellStyle name="Normal 5 2 2 3 2 2 3 3 2" xfId="14068" xr:uid="{1B2ADC63-4E0F-4F60-8C08-0D20EB64A479}"/>
    <cellStyle name="Normal 5 2 2 3 2 2 3 4" xfId="9850" xr:uid="{9EAFBA23-F1DE-4BE9-8D30-3188392074B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5A018B03-E707-4304-AAAE-C5A42152F6C4}"/>
    <cellStyle name="Normal 5 2 2 3 2 2 4 2 3" xfId="12408" xr:uid="{9A0505D6-9E84-49A8-9EC2-C079C6C9C09D}"/>
    <cellStyle name="Normal 5 2 2 3 2 2 4 3" xfId="6031" xr:uid="{00000000-0005-0000-0000-0000A4170000}"/>
    <cellStyle name="Normal 5 2 2 3 2 2 4 3 2" xfId="14481" xr:uid="{8F0C4A79-A9CE-4B5B-A815-DDE8B734F5B2}"/>
    <cellStyle name="Normal 5 2 2 3 2 2 4 4" xfId="10263" xr:uid="{D0BCACA1-DF55-4E7A-B51D-2EF6CBEF9CE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1FBF074B-BC80-4E8E-A92F-694000F79F9E}"/>
    <cellStyle name="Normal 5 2 2 3 2 2 5 2 3" xfId="12821" xr:uid="{AFDBCD44-3217-4DBD-97CB-7F9D4DBD84EE}"/>
    <cellStyle name="Normal 5 2 2 3 2 2 5 3" xfId="6444" xr:uid="{00000000-0005-0000-0000-0000A8170000}"/>
    <cellStyle name="Normal 5 2 2 3 2 2 5 3 2" xfId="14894" xr:uid="{08E2300A-2701-4F9C-BB85-39E5A1BA9814}"/>
    <cellStyle name="Normal 5 2 2 3 2 2 5 4" xfId="10676" xr:uid="{79609DA9-09DD-4EF5-AF85-2E06368B616A}"/>
    <cellStyle name="Normal 5 2 2 3 2 2 6" xfId="2574" xr:uid="{00000000-0005-0000-0000-0000A9170000}"/>
    <cellStyle name="Normal 5 2 2 3 2 2 6 2" xfId="6857" xr:uid="{00000000-0005-0000-0000-0000AA170000}"/>
    <cellStyle name="Normal 5 2 2 3 2 2 6 2 2" xfId="15307" xr:uid="{F0DC4A9D-28A6-49EE-A268-3A145DE62FDD}"/>
    <cellStyle name="Normal 5 2 2 3 2 2 6 3" xfId="11089" xr:uid="{018F5B17-59E1-4347-A4D4-5D30DDF447BD}"/>
    <cellStyle name="Normal 5 2 2 3 2 2 7" xfId="4792" xr:uid="{00000000-0005-0000-0000-0000AB170000}"/>
    <cellStyle name="Normal 5 2 2 3 2 2 7 2" xfId="13242" xr:uid="{C349F081-05C2-4625-9F60-B715A99708E8}"/>
    <cellStyle name="Normal 5 2 2 3 2 2 8" xfId="9024" xr:uid="{E3CDC155-5736-4F07-A8D2-E16A8E2082A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1F490FE2-BBAD-4721-8893-158BD1DE14C8}"/>
    <cellStyle name="Normal 5 2 2 3 2 3 2 3" xfId="11581" xr:uid="{C26B714C-B2FB-4894-97E4-96589E39C15D}"/>
    <cellStyle name="Normal 5 2 2 3 2 3 3" xfId="5204" xr:uid="{00000000-0005-0000-0000-0000AF170000}"/>
    <cellStyle name="Normal 5 2 2 3 2 3 3 2" xfId="13654" xr:uid="{89FBF984-C23B-4DA6-A0C6-1BA8313985B5}"/>
    <cellStyle name="Normal 5 2 2 3 2 3 4" xfId="9436" xr:uid="{A5152F88-032E-41B9-8255-5B317719BF1F}"/>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3A6E861A-FE14-44CB-80CE-BBA2A5571CEB}"/>
    <cellStyle name="Normal 5 2 2 3 2 4 2 3" xfId="11994" xr:uid="{DF0559DD-6C3B-4123-809E-444BD2344AEC}"/>
    <cellStyle name="Normal 5 2 2 3 2 4 3" xfId="5617" xr:uid="{00000000-0005-0000-0000-0000B3170000}"/>
    <cellStyle name="Normal 5 2 2 3 2 4 3 2" xfId="14067" xr:uid="{38598A38-C0CA-425D-9BD7-5DC446A5BF28}"/>
    <cellStyle name="Normal 5 2 2 3 2 4 4" xfId="9849" xr:uid="{132D2377-28EC-4BBD-B6AD-34044A5CFE7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A79766B6-DDF1-4689-8C3B-175CB043D447}"/>
    <cellStyle name="Normal 5 2 2 3 2 5 2 3" xfId="12407" xr:uid="{B0BB8683-3062-4751-941E-461789C0E880}"/>
    <cellStyle name="Normal 5 2 2 3 2 5 3" xfId="6030" xr:uid="{00000000-0005-0000-0000-0000B7170000}"/>
    <cellStyle name="Normal 5 2 2 3 2 5 3 2" xfId="14480" xr:uid="{0CB61794-02FE-43E1-A86F-1054E21423EB}"/>
    <cellStyle name="Normal 5 2 2 3 2 5 4" xfId="10262" xr:uid="{4B6BD517-6C23-4FAB-B277-9605F0F60306}"/>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7563DA5A-8F02-43C7-A9C2-0BAF80E41BFB}"/>
    <cellStyle name="Normal 5 2 2 3 2 6 2 3" xfId="12820" xr:uid="{D6584AA6-7F2E-42BE-BFB6-E99369E797D8}"/>
    <cellStyle name="Normal 5 2 2 3 2 6 3" xfId="6443" xr:uid="{00000000-0005-0000-0000-0000BB170000}"/>
    <cellStyle name="Normal 5 2 2 3 2 6 3 2" xfId="14893" xr:uid="{B5A75689-5DA7-4C1E-A692-6FBC7522D6A1}"/>
    <cellStyle name="Normal 5 2 2 3 2 6 4" xfId="10675" xr:uid="{FBD40F6E-1B6A-4EC8-868A-B04BE36C5C9E}"/>
    <cellStyle name="Normal 5 2 2 3 2 7" xfId="2573" xr:uid="{00000000-0005-0000-0000-0000BC170000}"/>
    <cellStyle name="Normal 5 2 2 3 2 7 2" xfId="6856" xr:uid="{00000000-0005-0000-0000-0000BD170000}"/>
    <cellStyle name="Normal 5 2 2 3 2 7 2 2" xfId="15306" xr:uid="{A8094288-56B2-4AB7-A464-63D1626A4C00}"/>
    <cellStyle name="Normal 5 2 2 3 2 7 3" xfId="11088" xr:uid="{BF75F520-9029-438B-A947-CCBEB01562E8}"/>
    <cellStyle name="Normal 5 2 2 3 2 8" xfId="4791" xr:uid="{00000000-0005-0000-0000-0000BE170000}"/>
    <cellStyle name="Normal 5 2 2 3 2 8 2" xfId="13241" xr:uid="{CBD6B812-BF32-4222-9034-DE457D48AC4A}"/>
    <cellStyle name="Normal 5 2 2 3 2 9" xfId="9023" xr:uid="{929ED06B-4251-4870-8F4E-E3CB5C9017E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502C8545-FFE6-4F29-9567-C5B3975CF805}"/>
    <cellStyle name="Normal 5 2 2 3 3 2 2 3" xfId="11583" xr:uid="{AC0B272E-0389-4B5C-B6BB-696B1CCAEC50}"/>
    <cellStyle name="Normal 5 2 2 3 3 2 3" xfId="5206" xr:uid="{00000000-0005-0000-0000-0000C3170000}"/>
    <cellStyle name="Normal 5 2 2 3 3 2 3 2" xfId="13656" xr:uid="{33A82CD7-482B-4031-B2A1-282F5404E79E}"/>
    <cellStyle name="Normal 5 2 2 3 3 2 4" xfId="9438" xr:uid="{319B59F9-79FE-4F53-BC2F-C14C56134307}"/>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78AC7638-C279-4A1E-8590-642201F2CDDD}"/>
    <cellStyle name="Normal 5 2 2 3 3 3 2 3" xfId="11996" xr:uid="{BB49E500-AED1-4C54-BBBC-5EFFAAC8546E}"/>
    <cellStyle name="Normal 5 2 2 3 3 3 3" xfId="5619" xr:uid="{00000000-0005-0000-0000-0000C7170000}"/>
    <cellStyle name="Normal 5 2 2 3 3 3 3 2" xfId="14069" xr:uid="{A22F387B-2ABF-4FB8-9DB8-BA06C748C673}"/>
    <cellStyle name="Normal 5 2 2 3 3 3 4" xfId="9851" xr:uid="{D82A576B-5B17-4234-8868-9F39E1A4E86D}"/>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E87828F0-192D-4508-A579-C28DDA902990}"/>
    <cellStyle name="Normal 5 2 2 3 3 4 2 3" xfId="12409" xr:uid="{F4DB63E4-C13D-4B47-8070-D4E7A7E8C254}"/>
    <cellStyle name="Normal 5 2 2 3 3 4 3" xfId="6032" xr:uid="{00000000-0005-0000-0000-0000CB170000}"/>
    <cellStyle name="Normal 5 2 2 3 3 4 3 2" xfId="14482" xr:uid="{ED8DE32C-9B7E-4BE2-B6F8-793EF2CF29DC}"/>
    <cellStyle name="Normal 5 2 2 3 3 4 4" xfId="10264" xr:uid="{4F2532EB-2A58-48BD-913A-E6E9154068CC}"/>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8F21A9CF-70D2-47AF-955A-4D6BDE2F8C59}"/>
    <cellStyle name="Normal 5 2 2 3 3 5 2 3" xfId="12822" xr:uid="{4616EA79-BAB0-4206-B085-7A4209C20B9D}"/>
    <cellStyle name="Normal 5 2 2 3 3 5 3" xfId="6445" xr:uid="{00000000-0005-0000-0000-0000CF170000}"/>
    <cellStyle name="Normal 5 2 2 3 3 5 3 2" xfId="14895" xr:uid="{ABA64D2F-18BC-4207-AC1A-B42E62B7A3A7}"/>
    <cellStyle name="Normal 5 2 2 3 3 5 4" xfId="10677" xr:uid="{401634DE-8368-420A-9843-326D41E7D768}"/>
    <cellStyle name="Normal 5 2 2 3 3 6" xfId="2575" xr:uid="{00000000-0005-0000-0000-0000D0170000}"/>
    <cellStyle name="Normal 5 2 2 3 3 6 2" xfId="6858" xr:uid="{00000000-0005-0000-0000-0000D1170000}"/>
    <cellStyle name="Normal 5 2 2 3 3 6 2 2" xfId="15308" xr:uid="{2EEFE8C0-8076-434B-A084-76DB98A38C31}"/>
    <cellStyle name="Normal 5 2 2 3 3 6 3" xfId="11090" xr:uid="{87D2A3E3-461D-4046-A10B-6D08BB2677C7}"/>
    <cellStyle name="Normal 5 2 2 3 3 7" xfId="4793" xr:uid="{00000000-0005-0000-0000-0000D2170000}"/>
    <cellStyle name="Normal 5 2 2 3 3 7 2" xfId="13243" xr:uid="{BE2D7E5C-D639-4ED2-A4F7-81CB634D73B1}"/>
    <cellStyle name="Normal 5 2 2 3 3 8" xfId="9025" xr:uid="{EABAA452-FDCD-4227-89CA-26F273153ABD}"/>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8475B09E-E9E0-4F10-A3B4-7FD118391B15}"/>
    <cellStyle name="Normal 5 2 2 3 4 2 3" xfId="11580" xr:uid="{AEB7AE06-B074-4264-9710-F1ABAE89C2A0}"/>
    <cellStyle name="Normal 5 2 2 3 4 3" xfId="5203" xr:uid="{00000000-0005-0000-0000-0000D6170000}"/>
    <cellStyle name="Normal 5 2 2 3 4 3 2" xfId="13653" xr:uid="{48A224E1-1F8F-4BB6-8DA3-FDC285FE89FD}"/>
    <cellStyle name="Normal 5 2 2 3 4 4" xfId="9435" xr:uid="{A04686DC-1572-4FBD-8DC4-689EA552DAE8}"/>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0C923A2A-5244-4135-AC84-823A26A0D2A7}"/>
    <cellStyle name="Normal 5 2 2 3 5 2 3" xfId="11993" xr:uid="{0C2FF5C0-2BE8-413C-9A49-D3EBCAD6488F}"/>
    <cellStyle name="Normal 5 2 2 3 5 3" xfId="5616" xr:uid="{00000000-0005-0000-0000-0000DA170000}"/>
    <cellStyle name="Normal 5 2 2 3 5 3 2" xfId="14066" xr:uid="{CBF6B38B-673E-4BCA-96AB-510B2685FACF}"/>
    <cellStyle name="Normal 5 2 2 3 5 4" xfId="9848" xr:uid="{23B5C0AD-9C36-408E-B833-B1C9F1CD600E}"/>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A2C71754-4D4F-4139-AF21-E2E696D1FCAE}"/>
    <cellStyle name="Normal 5 2 2 3 6 2 3" xfId="12406" xr:uid="{F87BA850-EEC7-4919-BFB1-24F0DF7A6A03}"/>
    <cellStyle name="Normal 5 2 2 3 6 3" xfId="6029" xr:uid="{00000000-0005-0000-0000-0000DE170000}"/>
    <cellStyle name="Normal 5 2 2 3 6 3 2" xfId="14479" xr:uid="{124A7189-C640-4D2C-808D-101BBBC741E9}"/>
    <cellStyle name="Normal 5 2 2 3 6 4" xfId="10261" xr:uid="{9F308BA3-CC9A-43D3-AA7A-1EE9C1377771}"/>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C833E7FE-C48C-4F91-A900-107CBEB86F79}"/>
    <cellStyle name="Normal 5 2 2 3 7 2 3" xfId="12819" xr:uid="{E357FF94-8D69-4B6D-93BA-5143090370D1}"/>
    <cellStyle name="Normal 5 2 2 3 7 3" xfId="6442" xr:uid="{00000000-0005-0000-0000-0000E2170000}"/>
    <cellStyle name="Normal 5 2 2 3 7 3 2" xfId="14892" xr:uid="{6D189E20-CBC6-456A-B0CF-174C42D2E327}"/>
    <cellStyle name="Normal 5 2 2 3 7 4" xfId="10674" xr:uid="{B90108D3-8687-44E5-BBDA-C679130692D4}"/>
    <cellStyle name="Normal 5 2 2 3 8" xfId="2572" xr:uid="{00000000-0005-0000-0000-0000E3170000}"/>
    <cellStyle name="Normal 5 2 2 3 8 2" xfId="6855" xr:uid="{00000000-0005-0000-0000-0000E4170000}"/>
    <cellStyle name="Normal 5 2 2 3 8 2 2" xfId="15305" xr:uid="{88235E33-DA6D-45C6-9651-3FA90DA83446}"/>
    <cellStyle name="Normal 5 2 2 3 8 3" xfId="11087" xr:uid="{12D35D0A-40CD-4252-8B84-F956DDDA13C9}"/>
    <cellStyle name="Normal 5 2 2 3 9" xfId="4790" xr:uid="{00000000-0005-0000-0000-0000E5170000}"/>
    <cellStyle name="Normal 5 2 2 3 9 2" xfId="13240" xr:uid="{B3904C40-CC0E-4F1F-AF1D-69D289498A61}"/>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7623BDC9-0A5A-4D14-B0B3-87A11AEB637D}"/>
    <cellStyle name="Normal 5 2 2 4 2 2 2 3" xfId="11585" xr:uid="{81AAD8FD-76AF-423B-9C3F-716327F39203}"/>
    <cellStyle name="Normal 5 2 2 4 2 2 3" xfId="5208" xr:uid="{00000000-0005-0000-0000-0000EB170000}"/>
    <cellStyle name="Normal 5 2 2 4 2 2 3 2" xfId="13658" xr:uid="{59796388-DD38-4B2D-82E6-B93225EE1E29}"/>
    <cellStyle name="Normal 5 2 2 4 2 2 4" xfId="9440" xr:uid="{157CBCE2-4108-44AE-A272-BD612C9547C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D2337C72-BFA0-44FC-B44E-C1BAA6C83467}"/>
    <cellStyle name="Normal 5 2 2 4 2 3 2 3" xfId="11998" xr:uid="{37BA495A-5405-47F9-BD49-9903577F804E}"/>
    <cellStyle name="Normal 5 2 2 4 2 3 3" xfId="5621" xr:uid="{00000000-0005-0000-0000-0000EF170000}"/>
    <cellStyle name="Normal 5 2 2 4 2 3 3 2" xfId="14071" xr:uid="{255ABF18-A8EE-440A-B394-52D73EF3E2E7}"/>
    <cellStyle name="Normal 5 2 2 4 2 3 4" xfId="9853" xr:uid="{76DAE3E4-8453-4711-A6CE-A8C58C2D8C21}"/>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3F18183F-32C0-420F-BC59-ADCCC2E65F7D}"/>
    <cellStyle name="Normal 5 2 2 4 2 4 2 3" xfId="12411" xr:uid="{5F6C55FE-003A-4BFC-8221-59320B30CA9D}"/>
    <cellStyle name="Normal 5 2 2 4 2 4 3" xfId="6034" xr:uid="{00000000-0005-0000-0000-0000F3170000}"/>
    <cellStyle name="Normal 5 2 2 4 2 4 3 2" xfId="14484" xr:uid="{52B4A86F-2D09-4CC5-98FC-AC9655A833DC}"/>
    <cellStyle name="Normal 5 2 2 4 2 4 4" xfId="10266" xr:uid="{A0415DC0-412F-49AD-A9EB-7503B5AEDD9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B65194DF-2331-4FF2-855D-E0D926DE1CB3}"/>
    <cellStyle name="Normal 5 2 2 4 2 5 2 3" xfId="12824" xr:uid="{C5C8B3A3-B06B-4927-979C-7F4418EF25E3}"/>
    <cellStyle name="Normal 5 2 2 4 2 5 3" xfId="6447" xr:uid="{00000000-0005-0000-0000-0000F7170000}"/>
    <cellStyle name="Normal 5 2 2 4 2 5 3 2" xfId="14897" xr:uid="{D35355D7-4D51-4701-9DE8-E33F1ACE0859}"/>
    <cellStyle name="Normal 5 2 2 4 2 5 4" xfId="10679" xr:uid="{29F2C754-4613-4440-A756-E58AA82F30DC}"/>
    <cellStyle name="Normal 5 2 2 4 2 6" xfId="2577" xr:uid="{00000000-0005-0000-0000-0000F8170000}"/>
    <cellStyle name="Normal 5 2 2 4 2 6 2" xfId="6860" xr:uid="{00000000-0005-0000-0000-0000F9170000}"/>
    <cellStyle name="Normal 5 2 2 4 2 6 2 2" xfId="15310" xr:uid="{2EC68922-C426-4B1E-8865-63834E1427DE}"/>
    <cellStyle name="Normal 5 2 2 4 2 6 3" xfId="11092" xr:uid="{D4772E30-B5DE-4877-BFD4-D7EFF0E38D6D}"/>
    <cellStyle name="Normal 5 2 2 4 2 7" xfId="4795" xr:uid="{00000000-0005-0000-0000-0000FA170000}"/>
    <cellStyle name="Normal 5 2 2 4 2 7 2" xfId="13245" xr:uid="{13FE5B16-DC49-4CB5-B7B0-9ACCC7A62A67}"/>
    <cellStyle name="Normal 5 2 2 4 2 8" xfId="9027" xr:uid="{8F9C3079-8652-49AD-A250-A7D5DB164D54}"/>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B478D13F-66D2-4BCC-B3E9-888FC3CEF7C3}"/>
    <cellStyle name="Normal 5 2 2 4 3 2 3" xfId="11584" xr:uid="{66458F68-EC0B-40B1-87CB-6A54F41CB546}"/>
    <cellStyle name="Normal 5 2 2 4 3 3" xfId="5207" xr:uid="{00000000-0005-0000-0000-0000FE170000}"/>
    <cellStyle name="Normal 5 2 2 4 3 3 2" xfId="13657" xr:uid="{91C05DA2-3E26-410C-98D4-B22134E2565E}"/>
    <cellStyle name="Normal 5 2 2 4 3 4" xfId="9439" xr:uid="{817C39F0-A476-4264-9F97-E3CB7501E397}"/>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BD026DE9-A9B5-4112-86AA-ED9AEDD09DF0}"/>
    <cellStyle name="Normal 5 2 2 4 4 2 3" xfId="11997" xr:uid="{06E1E9F9-8C27-4E3F-AE77-44D76919D207}"/>
    <cellStyle name="Normal 5 2 2 4 4 3" xfId="5620" xr:uid="{00000000-0005-0000-0000-000002180000}"/>
    <cellStyle name="Normal 5 2 2 4 4 3 2" xfId="14070" xr:uid="{8EA9DA07-EF64-4B93-AEE7-CA4992E82E27}"/>
    <cellStyle name="Normal 5 2 2 4 4 4" xfId="9852" xr:uid="{2BEEDBA5-5C9C-4F26-A417-49EF422498B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35162611-0CDB-4ABF-AFD5-861FA5F86CCA}"/>
    <cellStyle name="Normal 5 2 2 4 5 2 3" xfId="12410" xr:uid="{ABCCA38D-5400-4578-913B-E20B31935D4D}"/>
    <cellStyle name="Normal 5 2 2 4 5 3" xfId="6033" xr:uid="{00000000-0005-0000-0000-000006180000}"/>
    <cellStyle name="Normal 5 2 2 4 5 3 2" xfId="14483" xr:uid="{DB38FEBA-518F-44D0-85FC-D3D0C5A0A9B0}"/>
    <cellStyle name="Normal 5 2 2 4 5 4" xfId="10265" xr:uid="{81DB13F2-5D96-4C46-8F4D-2E92141206A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1C326F34-1C6D-4AE5-BAB8-19C29E41CC9A}"/>
    <cellStyle name="Normal 5 2 2 4 6 2 3" xfId="12823" xr:uid="{A7BB6343-5FE3-464A-A223-10A983378CC6}"/>
    <cellStyle name="Normal 5 2 2 4 6 3" xfId="6446" xr:uid="{00000000-0005-0000-0000-00000A180000}"/>
    <cellStyle name="Normal 5 2 2 4 6 3 2" xfId="14896" xr:uid="{E8370801-2C7F-4CDC-A078-D41381B69795}"/>
    <cellStyle name="Normal 5 2 2 4 6 4" xfId="10678" xr:uid="{70A76AEB-E787-46D1-83BC-C91E79D1C7A4}"/>
    <cellStyle name="Normal 5 2 2 4 7" xfId="2576" xr:uid="{00000000-0005-0000-0000-00000B180000}"/>
    <cellStyle name="Normal 5 2 2 4 7 2" xfId="6859" xr:uid="{00000000-0005-0000-0000-00000C180000}"/>
    <cellStyle name="Normal 5 2 2 4 7 2 2" xfId="15309" xr:uid="{EE102AE6-56CE-4037-AFA8-73B83E1BAF0A}"/>
    <cellStyle name="Normal 5 2 2 4 7 3" xfId="11091" xr:uid="{D932FBD3-3D1E-4465-9287-C5D175B1FA4B}"/>
    <cellStyle name="Normal 5 2 2 4 8" xfId="4794" xr:uid="{00000000-0005-0000-0000-00000D180000}"/>
    <cellStyle name="Normal 5 2 2 4 8 2" xfId="13244" xr:uid="{B9BB96FD-A8AC-4721-9516-279CBECC771E}"/>
    <cellStyle name="Normal 5 2 2 4 9" xfId="9026" xr:uid="{0E8F2714-ED1C-41D3-B7E8-FB7C80E1795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1D359643-EE36-4F4D-B271-6FA88F1451D4}"/>
    <cellStyle name="Normal 5 2 2 5 2 2 3" xfId="11586" xr:uid="{723713EC-C651-48DB-B045-988A7F57F886}"/>
    <cellStyle name="Normal 5 2 2 5 2 3" xfId="5209" xr:uid="{00000000-0005-0000-0000-000012180000}"/>
    <cellStyle name="Normal 5 2 2 5 2 3 2" xfId="13659" xr:uid="{258F1C4C-3162-42B3-BF8A-4A4047EDFF27}"/>
    <cellStyle name="Normal 5 2 2 5 2 4" xfId="9441" xr:uid="{A0C1DEFF-C553-4DAB-AE2A-35800EBF819F}"/>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64B99A46-B434-4FAD-9717-64E8DF5A5004}"/>
    <cellStyle name="Normal 5 2 2 5 3 2 3" xfId="11999" xr:uid="{0CE2BAA0-2695-4723-A311-326EB79E0F5F}"/>
    <cellStyle name="Normal 5 2 2 5 3 3" xfId="5622" xr:uid="{00000000-0005-0000-0000-000016180000}"/>
    <cellStyle name="Normal 5 2 2 5 3 3 2" xfId="14072" xr:uid="{F79E0C58-7000-4968-8D69-8FDCAC2DFEE8}"/>
    <cellStyle name="Normal 5 2 2 5 3 4" xfId="9854" xr:uid="{CF48AF92-A49C-47EE-A84E-9AFDCB25A7D5}"/>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1E9A33F5-39A2-4924-8878-6C6C5A84E351}"/>
    <cellStyle name="Normal 5 2 2 5 4 2 3" xfId="12412" xr:uid="{9F58EAC3-33AD-4CF6-AEEF-ED06C980F98C}"/>
    <cellStyle name="Normal 5 2 2 5 4 3" xfId="6035" xr:uid="{00000000-0005-0000-0000-00001A180000}"/>
    <cellStyle name="Normal 5 2 2 5 4 3 2" xfId="14485" xr:uid="{EACE66F6-7A0F-4B7A-814B-0E590DC9217B}"/>
    <cellStyle name="Normal 5 2 2 5 4 4" xfId="10267" xr:uid="{24B33150-7A52-4C34-96A0-4062CBCEAF46}"/>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8F1D4628-66CF-49D4-8D8E-65BD3605093C}"/>
    <cellStyle name="Normal 5 2 2 5 5 2 3" xfId="12825" xr:uid="{FAA31508-B7E5-44A7-A56B-FC97E6101987}"/>
    <cellStyle name="Normal 5 2 2 5 5 3" xfId="6448" xr:uid="{00000000-0005-0000-0000-00001E180000}"/>
    <cellStyle name="Normal 5 2 2 5 5 3 2" xfId="14898" xr:uid="{FF352A7A-ABE8-47C6-951A-B1635AF4458D}"/>
    <cellStyle name="Normal 5 2 2 5 5 4" xfId="10680" xr:uid="{2497BE8D-46FB-4223-8A0D-79075816AB1A}"/>
    <cellStyle name="Normal 5 2 2 5 6" xfId="2578" xr:uid="{00000000-0005-0000-0000-00001F180000}"/>
    <cellStyle name="Normal 5 2 2 5 6 2" xfId="6861" xr:uid="{00000000-0005-0000-0000-000020180000}"/>
    <cellStyle name="Normal 5 2 2 5 6 2 2" xfId="15311" xr:uid="{9BCDA730-C051-4284-A19C-1A96C5C481DA}"/>
    <cellStyle name="Normal 5 2 2 5 6 3" xfId="11093" xr:uid="{DDE1FF22-88AD-49B4-809D-3987FE4E2E16}"/>
    <cellStyle name="Normal 5 2 2 5 7" xfId="4796" xr:uid="{00000000-0005-0000-0000-000021180000}"/>
    <cellStyle name="Normal 5 2 2 5 7 2" xfId="13246" xr:uid="{BEF15A19-0ADF-435F-8267-CA8A8BFC5D96}"/>
    <cellStyle name="Normal 5 2 2 5 8" xfId="9028" xr:uid="{1820C64F-BBB6-413F-BB3A-A86012957A35}"/>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F5E0AF0D-5A53-46B5-9B03-B936DD1D4969}"/>
    <cellStyle name="Normal 5 2 2 6 2 3" xfId="11571" xr:uid="{445354A6-C7B1-4AFF-BA9F-E7DE150A4C29}"/>
    <cellStyle name="Normal 5 2 2 6 3" xfId="5194" xr:uid="{00000000-0005-0000-0000-000025180000}"/>
    <cellStyle name="Normal 5 2 2 6 3 2" xfId="13644" xr:uid="{3DBD5891-9E19-4258-8975-F41E909A7DC3}"/>
    <cellStyle name="Normal 5 2 2 6 4" xfId="9426" xr:uid="{A7CF3FD6-7A7F-4A4B-9FAF-6E91325FF264}"/>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0E1A7547-E22A-433A-8E1C-CCEB8006D406}"/>
    <cellStyle name="Normal 5 2 2 7 2 3" xfId="11984" xr:uid="{0ADC192B-2870-49E0-A531-470709211224}"/>
    <cellStyle name="Normal 5 2 2 7 3" xfId="5607" xr:uid="{00000000-0005-0000-0000-000029180000}"/>
    <cellStyle name="Normal 5 2 2 7 3 2" xfId="14057" xr:uid="{F06B70ED-03CF-4911-AC0C-2F04B930F9A8}"/>
    <cellStyle name="Normal 5 2 2 7 4" xfId="9839" xr:uid="{6A29514F-ED5E-4D84-BD74-52596AAA042E}"/>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9B0990B5-7FF7-48B6-9375-796E5619A5E0}"/>
    <cellStyle name="Normal 5 2 2 8 2 3" xfId="12397" xr:uid="{21761F7C-576E-4622-8DF3-FD2B0E177CD9}"/>
    <cellStyle name="Normal 5 2 2 8 3" xfId="6020" xr:uid="{00000000-0005-0000-0000-00002D180000}"/>
    <cellStyle name="Normal 5 2 2 8 3 2" xfId="14470" xr:uid="{C0A55622-EA69-450A-9111-FB2CF60BD03B}"/>
    <cellStyle name="Normal 5 2 2 8 4" xfId="10252" xr:uid="{4EC5D2CB-000D-4183-8973-20EE0B03946E}"/>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592AC7E0-9DB2-4A29-A15B-51564324193B}"/>
    <cellStyle name="Normal 5 2 2 9 2 3" xfId="12810" xr:uid="{50EE3C85-34FB-433B-971E-EDBDDBDDFAEF}"/>
    <cellStyle name="Normal 5 2 2 9 3" xfId="6433" xr:uid="{00000000-0005-0000-0000-000031180000}"/>
    <cellStyle name="Normal 5 2 2 9 3 2" xfId="14883" xr:uid="{FA49F378-873D-41A6-9380-083550C67770}"/>
    <cellStyle name="Normal 5 2 2 9 4" xfId="10665" xr:uid="{8B20C954-F0C4-41A8-9F39-1BBFC5CB4195}"/>
    <cellStyle name="Normal 5 2 3" xfId="424" xr:uid="{00000000-0005-0000-0000-000032180000}"/>
    <cellStyle name="Normal 5 2 3 10" xfId="4797" xr:uid="{00000000-0005-0000-0000-000033180000}"/>
    <cellStyle name="Normal 5 2 3 10 2" xfId="13247" xr:uid="{A8FDA995-5DA5-47A7-B4FC-4051577D0A35}"/>
    <cellStyle name="Normal 5 2 3 11" xfId="9029" xr:uid="{43199EC5-EE0A-464D-A11A-FF2AC16C7123}"/>
    <cellStyle name="Normal 5 2 3 2" xfId="425" xr:uid="{00000000-0005-0000-0000-000034180000}"/>
    <cellStyle name="Normal 5 2 3 2 10" xfId="9030" xr:uid="{18DC6A97-5B1D-4847-B19C-1854836CF903}"/>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5C34E9F0-E71F-4637-AE38-AD4035AA4890}"/>
    <cellStyle name="Normal 5 2 3 2 2 2 2 2 3" xfId="11590" xr:uid="{DAE1CA5D-A27B-41DC-9A66-6B2198CA0F39}"/>
    <cellStyle name="Normal 5 2 3 2 2 2 2 3" xfId="5213" xr:uid="{00000000-0005-0000-0000-00003A180000}"/>
    <cellStyle name="Normal 5 2 3 2 2 2 2 3 2" xfId="13663" xr:uid="{281C1EF6-03F8-4ABF-99A9-42D6ED084A7D}"/>
    <cellStyle name="Normal 5 2 3 2 2 2 2 4" xfId="9445" xr:uid="{5DBCA971-EA0B-4C83-9B33-DCCD8780A155}"/>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7B231C11-60EF-42EC-A4B7-C334F9EB118F}"/>
    <cellStyle name="Normal 5 2 3 2 2 2 3 2 3" xfId="12003" xr:uid="{89B4DC61-806C-4664-B052-FC97BFE4B64E}"/>
    <cellStyle name="Normal 5 2 3 2 2 2 3 3" xfId="5626" xr:uid="{00000000-0005-0000-0000-00003E180000}"/>
    <cellStyle name="Normal 5 2 3 2 2 2 3 3 2" xfId="14076" xr:uid="{8A2CA0BF-F045-44A0-BB49-9B170262A91B}"/>
    <cellStyle name="Normal 5 2 3 2 2 2 3 4" xfId="9858" xr:uid="{24C339B9-DA86-4BED-B1CE-C8C073BF6533}"/>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1C6E08E1-3919-4ABC-9025-0D8B289FD17B}"/>
    <cellStyle name="Normal 5 2 3 2 2 2 4 2 3" xfId="12416" xr:uid="{8DF7D732-6AC7-4264-A740-B5235DB6080E}"/>
    <cellStyle name="Normal 5 2 3 2 2 2 4 3" xfId="6039" xr:uid="{00000000-0005-0000-0000-000042180000}"/>
    <cellStyle name="Normal 5 2 3 2 2 2 4 3 2" xfId="14489" xr:uid="{01307B3D-F64E-42F4-9492-3995C3D165CD}"/>
    <cellStyle name="Normal 5 2 3 2 2 2 4 4" xfId="10271" xr:uid="{4CA404C1-C17D-414D-BD2E-7B312EE26A2A}"/>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37CD49C0-6198-4013-BD56-D7D4675B61BE}"/>
    <cellStyle name="Normal 5 2 3 2 2 2 5 2 3" xfId="12829" xr:uid="{E52E91E2-48CA-4307-8F18-A58B5110D50A}"/>
    <cellStyle name="Normal 5 2 3 2 2 2 5 3" xfId="6452" xr:uid="{00000000-0005-0000-0000-000046180000}"/>
    <cellStyle name="Normal 5 2 3 2 2 2 5 3 2" xfId="14902" xr:uid="{632DF054-74B9-4AFB-B71F-FE528E1B45BE}"/>
    <cellStyle name="Normal 5 2 3 2 2 2 5 4" xfId="10684" xr:uid="{56449C03-7AB3-4300-BC0E-B2F651678BA2}"/>
    <cellStyle name="Normal 5 2 3 2 2 2 6" xfId="2582" xr:uid="{00000000-0005-0000-0000-000047180000}"/>
    <cellStyle name="Normal 5 2 3 2 2 2 6 2" xfId="6865" xr:uid="{00000000-0005-0000-0000-000048180000}"/>
    <cellStyle name="Normal 5 2 3 2 2 2 6 2 2" xfId="15315" xr:uid="{738328C2-72F4-4CC3-8073-53007E6DA48F}"/>
    <cellStyle name="Normal 5 2 3 2 2 2 6 3" xfId="11097" xr:uid="{64CA93F1-8035-4415-B7DE-7B81597EF250}"/>
    <cellStyle name="Normal 5 2 3 2 2 2 7" xfId="4800" xr:uid="{00000000-0005-0000-0000-000049180000}"/>
    <cellStyle name="Normal 5 2 3 2 2 2 7 2" xfId="13250" xr:uid="{1CBEE122-F888-49BD-AB77-A0D09B72D120}"/>
    <cellStyle name="Normal 5 2 3 2 2 2 8" xfId="9032" xr:uid="{3CF3E461-76E4-4E3B-9C67-0EFCB0AEAF6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1C8A1066-B773-4E69-9119-B56337322422}"/>
    <cellStyle name="Normal 5 2 3 2 2 3 2 3" xfId="11589" xr:uid="{46E5E717-2597-4E44-BD07-DF2D392623A5}"/>
    <cellStyle name="Normal 5 2 3 2 2 3 3" xfId="5212" xr:uid="{00000000-0005-0000-0000-00004D180000}"/>
    <cellStyle name="Normal 5 2 3 2 2 3 3 2" xfId="13662" xr:uid="{EF078210-FB46-4FEF-9CAE-B63FA6498961}"/>
    <cellStyle name="Normal 5 2 3 2 2 3 4" xfId="9444" xr:uid="{3AF772AA-A7C7-486B-86B0-0DDDB123602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C92B15EB-86B2-43CB-9804-E2EAD9987176}"/>
    <cellStyle name="Normal 5 2 3 2 2 4 2 3" xfId="12002" xr:uid="{08562CFC-1A45-42D2-A9F9-486318D21007}"/>
    <cellStyle name="Normal 5 2 3 2 2 4 3" xfId="5625" xr:uid="{00000000-0005-0000-0000-000051180000}"/>
    <cellStyle name="Normal 5 2 3 2 2 4 3 2" xfId="14075" xr:uid="{EE87CF5E-048C-4043-9356-8CED2759E990}"/>
    <cellStyle name="Normal 5 2 3 2 2 4 4" xfId="9857" xr:uid="{A5DB8D09-0E03-4817-8204-E184ED393A5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F88AD0E3-C6A4-461D-B332-16DF45B4363C}"/>
    <cellStyle name="Normal 5 2 3 2 2 5 2 3" xfId="12415" xr:uid="{0EAF0772-D932-4BA5-B7C1-3579C6752D17}"/>
    <cellStyle name="Normal 5 2 3 2 2 5 3" xfId="6038" xr:uid="{00000000-0005-0000-0000-000055180000}"/>
    <cellStyle name="Normal 5 2 3 2 2 5 3 2" xfId="14488" xr:uid="{3E2F76E0-1D07-4A97-AA05-564A25966CB2}"/>
    <cellStyle name="Normal 5 2 3 2 2 5 4" xfId="10270" xr:uid="{955BA5EC-B7D1-4FD6-8ABC-6DECA792FA7E}"/>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9F934075-BC7F-4F9D-8B46-7804CE2D95C8}"/>
    <cellStyle name="Normal 5 2 3 2 2 6 2 3" xfId="12828" xr:uid="{01D5D5FD-0D0F-45F7-AACD-39C5E0771BDF}"/>
    <cellStyle name="Normal 5 2 3 2 2 6 3" xfId="6451" xr:uid="{00000000-0005-0000-0000-000059180000}"/>
    <cellStyle name="Normal 5 2 3 2 2 6 3 2" xfId="14901" xr:uid="{F9B52194-1F5D-4730-94EB-4137B14DB06D}"/>
    <cellStyle name="Normal 5 2 3 2 2 6 4" xfId="10683" xr:uid="{307E5A59-61DE-454C-8EE9-4949A714FE26}"/>
    <cellStyle name="Normal 5 2 3 2 2 7" xfId="2581" xr:uid="{00000000-0005-0000-0000-00005A180000}"/>
    <cellStyle name="Normal 5 2 3 2 2 7 2" xfId="6864" xr:uid="{00000000-0005-0000-0000-00005B180000}"/>
    <cellStyle name="Normal 5 2 3 2 2 7 2 2" xfId="15314" xr:uid="{4B1CB8A6-0EB1-453D-9B27-5E0615721514}"/>
    <cellStyle name="Normal 5 2 3 2 2 7 3" xfId="11096" xr:uid="{37C8651A-E5B3-43D0-B19E-1DCE72F23CBE}"/>
    <cellStyle name="Normal 5 2 3 2 2 8" xfId="4799" xr:uid="{00000000-0005-0000-0000-00005C180000}"/>
    <cellStyle name="Normal 5 2 3 2 2 8 2" xfId="13249" xr:uid="{C4D746D3-AB04-45FB-BAF2-A60BE7FB4845}"/>
    <cellStyle name="Normal 5 2 3 2 2 9" xfId="9031" xr:uid="{9077FA10-7A19-4CBE-91ED-8A9D44DCD27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F054EC6A-51C8-4F1A-9B12-A91CEA32E152}"/>
    <cellStyle name="Normal 5 2 3 2 3 2 2 3" xfId="11591" xr:uid="{E0AA91C3-31EC-4A65-AA2A-A079CCAEC65A}"/>
    <cellStyle name="Normal 5 2 3 2 3 2 3" xfId="5214" xr:uid="{00000000-0005-0000-0000-000061180000}"/>
    <cellStyle name="Normal 5 2 3 2 3 2 3 2" xfId="13664" xr:uid="{02E12D94-204F-4A6F-B73C-77F1084649ED}"/>
    <cellStyle name="Normal 5 2 3 2 3 2 4" xfId="9446" xr:uid="{F2D51EB3-40F2-490C-B85F-74026F73349A}"/>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03DD6881-26C4-4706-BE0B-EEB35BAA1CC4}"/>
    <cellStyle name="Normal 5 2 3 2 3 3 2 3" xfId="12004" xr:uid="{84AA375F-92E2-4E0B-B600-73A24ED1245D}"/>
    <cellStyle name="Normal 5 2 3 2 3 3 3" xfId="5627" xr:uid="{00000000-0005-0000-0000-000065180000}"/>
    <cellStyle name="Normal 5 2 3 2 3 3 3 2" xfId="14077" xr:uid="{641F835B-034F-4661-B712-71CFC0FEAE60}"/>
    <cellStyle name="Normal 5 2 3 2 3 3 4" xfId="9859" xr:uid="{DE955259-54FA-4580-B88C-E55E2CD43FDB}"/>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3CCCC2B7-B327-45FA-A7D2-BD4EFD64D684}"/>
    <cellStyle name="Normal 5 2 3 2 3 4 2 3" xfId="12417" xr:uid="{C05871B7-4F84-47FE-8D45-32A0AC711E30}"/>
    <cellStyle name="Normal 5 2 3 2 3 4 3" xfId="6040" xr:uid="{00000000-0005-0000-0000-000069180000}"/>
    <cellStyle name="Normal 5 2 3 2 3 4 3 2" xfId="14490" xr:uid="{EDC59417-8911-4F85-B48F-576A9070D71E}"/>
    <cellStyle name="Normal 5 2 3 2 3 4 4" xfId="10272" xr:uid="{393D4325-D640-4183-8FBC-5A7EB923ADB7}"/>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D6087E8C-9228-4B93-BC44-85BB510C101C}"/>
    <cellStyle name="Normal 5 2 3 2 3 5 2 3" xfId="12830" xr:uid="{39FFCB91-56C1-461A-8597-B752923FA8B7}"/>
    <cellStyle name="Normal 5 2 3 2 3 5 3" xfId="6453" xr:uid="{00000000-0005-0000-0000-00006D180000}"/>
    <cellStyle name="Normal 5 2 3 2 3 5 3 2" xfId="14903" xr:uid="{BC0A3CFA-3510-456C-A342-2076F5AFA3F3}"/>
    <cellStyle name="Normal 5 2 3 2 3 5 4" xfId="10685" xr:uid="{5C8C6B68-0A6E-400C-B96D-6EC10BD10241}"/>
    <cellStyle name="Normal 5 2 3 2 3 6" xfId="2583" xr:uid="{00000000-0005-0000-0000-00006E180000}"/>
    <cellStyle name="Normal 5 2 3 2 3 6 2" xfId="6866" xr:uid="{00000000-0005-0000-0000-00006F180000}"/>
    <cellStyle name="Normal 5 2 3 2 3 6 2 2" xfId="15316" xr:uid="{44EFCDA7-011C-47E6-BD31-131B22DB13D7}"/>
    <cellStyle name="Normal 5 2 3 2 3 6 3" xfId="11098" xr:uid="{09C1F154-F171-4CB8-8CFC-03A36931D6E8}"/>
    <cellStyle name="Normal 5 2 3 2 3 7" xfId="4801" xr:uid="{00000000-0005-0000-0000-000070180000}"/>
    <cellStyle name="Normal 5 2 3 2 3 7 2" xfId="13251" xr:uid="{ECE0A223-F997-44C2-B86E-5061EA6005F6}"/>
    <cellStyle name="Normal 5 2 3 2 3 8" xfId="9033" xr:uid="{7009CA3C-EB5A-4437-922F-DC88EBAB0D02}"/>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B4010F62-5D0D-4721-AACA-18C3B6C80C16}"/>
    <cellStyle name="Normal 5 2 3 2 4 2 3" xfId="11588" xr:uid="{85A3EDCA-9489-4E6B-B24C-4E5220386E61}"/>
    <cellStyle name="Normal 5 2 3 2 4 3" xfId="5211" xr:uid="{00000000-0005-0000-0000-000074180000}"/>
    <cellStyle name="Normal 5 2 3 2 4 3 2" xfId="13661" xr:uid="{33B2458C-FDA3-4CFC-A158-46CF3109BA00}"/>
    <cellStyle name="Normal 5 2 3 2 4 4" xfId="9443" xr:uid="{7A9813C9-84F9-462C-8836-E0AAE95FB557}"/>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D0836254-DE20-4D4A-8BC4-4DE21C5E4181}"/>
    <cellStyle name="Normal 5 2 3 2 5 2 3" xfId="12001" xr:uid="{D668ABFA-1082-42B4-A308-045AD6561432}"/>
    <cellStyle name="Normal 5 2 3 2 5 3" xfId="5624" xr:uid="{00000000-0005-0000-0000-000078180000}"/>
    <cellStyle name="Normal 5 2 3 2 5 3 2" xfId="14074" xr:uid="{B3FDBC7F-5A64-4F44-B296-685F1D843E1E}"/>
    <cellStyle name="Normal 5 2 3 2 5 4" xfId="9856" xr:uid="{1ED831B2-0F8C-49F6-9D5C-BC7569D08648}"/>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2F67E8D2-210D-4616-8B4A-02C524D438A8}"/>
    <cellStyle name="Normal 5 2 3 2 6 2 3" xfId="12414" xr:uid="{00233EEF-F9A9-45BD-B1A1-267F26BDF435}"/>
    <cellStyle name="Normal 5 2 3 2 6 3" xfId="6037" xr:uid="{00000000-0005-0000-0000-00007C180000}"/>
    <cellStyle name="Normal 5 2 3 2 6 3 2" xfId="14487" xr:uid="{A20B9F99-1AA5-4239-9E65-7BB29E6AACA4}"/>
    <cellStyle name="Normal 5 2 3 2 6 4" xfId="10269" xr:uid="{9AC5ABB5-6388-4993-B868-DA67D43DE86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A9DE1047-328C-4D8A-B900-C7E0339D45E0}"/>
    <cellStyle name="Normal 5 2 3 2 7 2 3" xfId="12827" xr:uid="{4D209C47-B1E7-42B2-97E8-5BA502D7158D}"/>
    <cellStyle name="Normal 5 2 3 2 7 3" xfId="6450" xr:uid="{00000000-0005-0000-0000-000080180000}"/>
    <cellStyle name="Normal 5 2 3 2 7 3 2" xfId="14900" xr:uid="{A2361F28-965E-480F-B4DF-2224F6982E56}"/>
    <cellStyle name="Normal 5 2 3 2 7 4" xfId="10682" xr:uid="{F50FD896-2927-4D28-ADBA-15A6CD7FEA47}"/>
    <cellStyle name="Normal 5 2 3 2 8" xfId="2580" xr:uid="{00000000-0005-0000-0000-000081180000}"/>
    <cellStyle name="Normal 5 2 3 2 8 2" xfId="6863" xr:uid="{00000000-0005-0000-0000-000082180000}"/>
    <cellStyle name="Normal 5 2 3 2 8 2 2" xfId="15313" xr:uid="{A4BD1CDB-4E11-438A-B594-175AB957D2E8}"/>
    <cellStyle name="Normal 5 2 3 2 8 3" xfId="11095" xr:uid="{85480A49-3F15-46FE-A135-70E67894DDE1}"/>
    <cellStyle name="Normal 5 2 3 2 9" xfId="4798" xr:uid="{00000000-0005-0000-0000-000083180000}"/>
    <cellStyle name="Normal 5 2 3 2 9 2" xfId="13248" xr:uid="{21AE3B2F-2DF6-43B8-8294-2FEA8B4844D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D7ED0E6E-5867-4DBA-98B7-C957BBFB6ABD}"/>
    <cellStyle name="Normal 5 2 3 3 2 2 2 3" xfId="11593" xr:uid="{E4201126-9EDD-465D-AD67-D776A69F5E36}"/>
    <cellStyle name="Normal 5 2 3 3 2 2 3" xfId="5216" xr:uid="{00000000-0005-0000-0000-000089180000}"/>
    <cellStyle name="Normal 5 2 3 3 2 2 3 2" xfId="13666" xr:uid="{279A2F9F-19F4-4E6F-9BF1-EA7359E0D28A}"/>
    <cellStyle name="Normal 5 2 3 3 2 2 4" xfId="9448" xr:uid="{42E21620-C020-4F5A-AF60-E10A8FA05917}"/>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6B4AF8E6-39E5-445D-8960-D5D6EA8F5286}"/>
    <cellStyle name="Normal 5 2 3 3 2 3 2 3" xfId="12006" xr:uid="{31BB5D33-AD0C-46E8-8C0C-ADCFBAEAF17F}"/>
    <cellStyle name="Normal 5 2 3 3 2 3 3" xfId="5629" xr:uid="{00000000-0005-0000-0000-00008D180000}"/>
    <cellStyle name="Normal 5 2 3 3 2 3 3 2" xfId="14079" xr:uid="{3349076D-F6B6-4A6B-8F01-326F1618F5CD}"/>
    <cellStyle name="Normal 5 2 3 3 2 3 4" xfId="9861" xr:uid="{7B776B59-9133-48A7-A6BE-B27EF4558633}"/>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B1138ACE-2DA3-4B52-BEA6-7F56F048D4D0}"/>
    <cellStyle name="Normal 5 2 3 3 2 4 2 3" xfId="12419" xr:uid="{BBF51F1E-793D-42BC-BEAE-F4204C3E8734}"/>
    <cellStyle name="Normal 5 2 3 3 2 4 3" xfId="6042" xr:uid="{00000000-0005-0000-0000-000091180000}"/>
    <cellStyle name="Normal 5 2 3 3 2 4 3 2" xfId="14492" xr:uid="{9B89E57B-8982-4A4A-9451-7AECCA9CC327}"/>
    <cellStyle name="Normal 5 2 3 3 2 4 4" xfId="10274" xr:uid="{945015C4-5719-460F-BD17-B90D0022E78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6FB75730-5027-4A96-9F3C-AA6FEBF4331E}"/>
    <cellStyle name="Normal 5 2 3 3 2 5 2 3" xfId="12832" xr:uid="{7E8F4E25-AE17-46BF-94AF-71AD3CFB6DB3}"/>
    <cellStyle name="Normal 5 2 3 3 2 5 3" xfId="6455" xr:uid="{00000000-0005-0000-0000-000095180000}"/>
    <cellStyle name="Normal 5 2 3 3 2 5 3 2" xfId="14905" xr:uid="{B3FCC9ED-25FC-4121-B4FE-65D1ECA708E0}"/>
    <cellStyle name="Normal 5 2 3 3 2 5 4" xfId="10687" xr:uid="{852979A6-5146-4174-A9C8-9BB8B91D05F8}"/>
    <cellStyle name="Normal 5 2 3 3 2 6" xfId="2585" xr:uid="{00000000-0005-0000-0000-000096180000}"/>
    <cellStyle name="Normal 5 2 3 3 2 6 2" xfId="6868" xr:uid="{00000000-0005-0000-0000-000097180000}"/>
    <cellStyle name="Normal 5 2 3 3 2 6 2 2" xfId="15318" xr:uid="{0F51D940-1D7C-467A-AF2B-10D5E9A82F5F}"/>
    <cellStyle name="Normal 5 2 3 3 2 6 3" xfId="11100" xr:uid="{2DC1DC50-4854-4B64-AAA2-5F853773E422}"/>
    <cellStyle name="Normal 5 2 3 3 2 7" xfId="4803" xr:uid="{00000000-0005-0000-0000-000098180000}"/>
    <cellStyle name="Normal 5 2 3 3 2 7 2" xfId="13253" xr:uid="{DDD40761-3A90-464E-9FF2-C2877CA97533}"/>
    <cellStyle name="Normal 5 2 3 3 2 8" xfId="9035" xr:uid="{3D6C6946-A308-4FC8-AE6F-B1DF3399BDE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FE4D371C-C85B-4E0A-B5C0-FAF95801679E}"/>
    <cellStyle name="Normal 5 2 3 3 3 2 3" xfId="11592" xr:uid="{B7AA94AC-CBC9-4630-8BCC-6F10AF2AC5A5}"/>
    <cellStyle name="Normal 5 2 3 3 3 3" xfId="5215" xr:uid="{00000000-0005-0000-0000-00009C180000}"/>
    <cellStyle name="Normal 5 2 3 3 3 3 2" xfId="13665" xr:uid="{C1D56027-EA1A-4660-9DC0-BF29518C3607}"/>
    <cellStyle name="Normal 5 2 3 3 3 4" xfId="9447" xr:uid="{51CE8F2F-66CE-4A16-BD5E-C469747A7A44}"/>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387BC7CE-4E0D-4FD1-814F-B330F5A32B5E}"/>
    <cellStyle name="Normal 5 2 3 3 4 2 3" xfId="12005" xr:uid="{C7AC13CF-0957-4235-9327-EE7F55C2DE80}"/>
    <cellStyle name="Normal 5 2 3 3 4 3" xfId="5628" xr:uid="{00000000-0005-0000-0000-0000A0180000}"/>
    <cellStyle name="Normal 5 2 3 3 4 3 2" xfId="14078" xr:uid="{A57074E6-AD4E-4B5B-B8A2-184293173DA9}"/>
    <cellStyle name="Normal 5 2 3 3 4 4" xfId="9860" xr:uid="{1AABC1D9-A69E-4728-9EA5-84AF24096113}"/>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566D3501-321B-4767-A9CD-0B6BB4B3B6A0}"/>
    <cellStyle name="Normal 5 2 3 3 5 2 3" xfId="12418" xr:uid="{38E15ECA-7646-441C-8303-717BA8D043CF}"/>
    <cellStyle name="Normal 5 2 3 3 5 3" xfId="6041" xr:uid="{00000000-0005-0000-0000-0000A4180000}"/>
    <cellStyle name="Normal 5 2 3 3 5 3 2" xfId="14491" xr:uid="{76FE5E2B-C9BD-4124-8EE1-BA1DCBDD7CD1}"/>
    <cellStyle name="Normal 5 2 3 3 5 4" xfId="10273" xr:uid="{4B0CCBCF-E08F-4760-813B-1A7FD76ABA50}"/>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3756D2A2-6297-46DB-8151-A19C12C18A86}"/>
    <cellStyle name="Normal 5 2 3 3 6 2 3" xfId="12831" xr:uid="{7A44D12E-F3ED-4192-A428-15795DA4C92E}"/>
    <cellStyle name="Normal 5 2 3 3 6 3" xfId="6454" xr:uid="{00000000-0005-0000-0000-0000A8180000}"/>
    <cellStyle name="Normal 5 2 3 3 6 3 2" xfId="14904" xr:uid="{DA7ECCD0-CE98-4DB6-98E8-D63995A562D8}"/>
    <cellStyle name="Normal 5 2 3 3 6 4" xfId="10686" xr:uid="{4DEBE4D5-578D-41B1-A69D-88C323581FB4}"/>
    <cellStyle name="Normal 5 2 3 3 7" xfId="2584" xr:uid="{00000000-0005-0000-0000-0000A9180000}"/>
    <cellStyle name="Normal 5 2 3 3 7 2" xfId="6867" xr:uid="{00000000-0005-0000-0000-0000AA180000}"/>
    <cellStyle name="Normal 5 2 3 3 7 2 2" xfId="15317" xr:uid="{B6CB64F4-2D85-4F6E-A182-111C1D4D9D93}"/>
    <cellStyle name="Normal 5 2 3 3 7 3" xfId="11099" xr:uid="{EC7BFBDE-34CE-4B77-8FC3-20B2F0246C2C}"/>
    <cellStyle name="Normal 5 2 3 3 8" xfId="4802" xr:uid="{00000000-0005-0000-0000-0000AB180000}"/>
    <cellStyle name="Normal 5 2 3 3 8 2" xfId="13252" xr:uid="{8608446F-B743-4C8A-9AFB-1A751EEE63D6}"/>
    <cellStyle name="Normal 5 2 3 3 9" xfId="9034" xr:uid="{1A8799B2-C001-4D87-9B8A-7BF2A3FFB37E}"/>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CB3C5BE7-AE1C-4868-89BF-4B399E4E9606}"/>
    <cellStyle name="Normal 5 2 3 4 2 2 3" xfId="11594" xr:uid="{631353AD-BDD5-4E93-A545-F33F09946B54}"/>
    <cellStyle name="Normal 5 2 3 4 2 3" xfId="5217" xr:uid="{00000000-0005-0000-0000-0000B0180000}"/>
    <cellStyle name="Normal 5 2 3 4 2 3 2" xfId="13667" xr:uid="{9099AB2B-D24B-4CBC-9B67-0CF5C1392224}"/>
    <cellStyle name="Normal 5 2 3 4 2 4" xfId="9449" xr:uid="{0F2F750B-D8B7-4C8B-858A-4857F1067C81}"/>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3C365A70-4398-4845-88AD-B38F2B2598BD}"/>
    <cellStyle name="Normal 5 2 3 4 3 2 3" xfId="12007" xr:uid="{22D1629A-A1B5-4F8F-A124-7F37BC786D72}"/>
    <cellStyle name="Normal 5 2 3 4 3 3" xfId="5630" xr:uid="{00000000-0005-0000-0000-0000B4180000}"/>
    <cellStyle name="Normal 5 2 3 4 3 3 2" xfId="14080" xr:uid="{31D2A1A2-865F-4B82-8E73-7DC49B46CF0D}"/>
    <cellStyle name="Normal 5 2 3 4 3 4" xfId="9862" xr:uid="{F279A097-0D51-49CA-B03C-608C88777B1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6BCAF49F-EF22-47D0-A323-188B15AF691A}"/>
    <cellStyle name="Normal 5 2 3 4 4 2 3" xfId="12420" xr:uid="{D8455FD3-2E22-44D2-809B-34F3FC7E2401}"/>
    <cellStyle name="Normal 5 2 3 4 4 3" xfId="6043" xr:uid="{00000000-0005-0000-0000-0000B8180000}"/>
    <cellStyle name="Normal 5 2 3 4 4 3 2" xfId="14493" xr:uid="{71AE1C94-7625-4160-A834-E7CE12FE8A02}"/>
    <cellStyle name="Normal 5 2 3 4 4 4" xfId="10275" xr:uid="{82D58487-D318-4FF5-B475-FEE3D70BD9DE}"/>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DAB98856-3073-4217-BAC2-333994ABCF83}"/>
    <cellStyle name="Normal 5 2 3 4 5 2 3" xfId="12833" xr:uid="{07D4211C-EC6D-47D6-802E-23F9152DF6D3}"/>
    <cellStyle name="Normal 5 2 3 4 5 3" xfId="6456" xr:uid="{00000000-0005-0000-0000-0000BC180000}"/>
    <cellStyle name="Normal 5 2 3 4 5 3 2" xfId="14906" xr:uid="{1DB3CF79-6E08-44AB-8175-2017B6E908EB}"/>
    <cellStyle name="Normal 5 2 3 4 5 4" xfId="10688" xr:uid="{3C8C6CE4-E1CA-46B3-8485-A8875444E47A}"/>
    <cellStyle name="Normal 5 2 3 4 6" xfId="2586" xr:uid="{00000000-0005-0000-0000-0000BD180000}"/>
    <cellStyle name="Normal 5 2 3 4 6 2" xfId="6869" xr:uid="{00000000-0005-0000-0000-0000BE180000}"/>
    <cellStyle name="Normal 5 2 3 4 6 2 2" xfId="15319" xr:uid="{AD092596-E864-44DA-B43A-10CF5E592660}"/>
    <cellStyle name="Normal 5 2 3 4 6 3" xfId="11101" xr:uid="{42B69917-ED7F-4AE3-8905-B75ED556F960}"/>
    <cellStyle name="Normal 5 2 3 4 7" xfId="4804" xr:uid="{00000000-0005-0000-0000-0000BF180000}"/>
    <cellStyle name="Normal 5 2 3 4 7 2" xfId="13254" xr:uid="{4A6B0D9E-2BAF-4C74-9AFD-CDC7A68C455A}"/>
    <cellStyle name="Normal 5 2 3 4 8" xfId="9036" xr:uid="{66B67181-EBE6-4BB4-AAA1-5FCB8D928701}"/>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137862E7-EB3F-43E3-882C-D5640950AEDF}"/>
    <cellStyle name="Normal 5 2 3 5 2 3" xfId="11587" xr:uid="{76496163-93B0-45B8-B709-F514BCF6394A}"/>
    <cellStyle name="Normal 5 2 3 5 3" xfId="5210" xr:uid="{00000000-0005-0000-0000-0000C3180000}"/>
    <cellStyle name="Normal 5 2 3 5 3 2" xfId="13660" xr:uid="{C328E5F2-7813-4735-A0F6-DEC0DF718C83}"/>
    <cellStyle name="Normal 5 2 3 5 4" xfId="9442" xr:uid="{013CF558-EFEF-41E2-A5E3-F7EFBEF0D52B}"/>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6728E325-06E5-4431-98FB-CB58C6C9871D}"/>
    <cellStyle name="Normal 5 2 3 6 2 3" xfId="12000" xr:uid="{3FA243CF-71C6-4F2C-81C2-27D2BF2D7B39}"/>
    <cellStyle name="Normal 5 2 3 6 3" xfId="5623" xr:uid="{00000000-0005-0000-0000-0000C7180000}"/>
    <cellStyle name="Normal 5 2 3 6 3 2" xfId="14073" xr:uid="{0CEB3D85-0A96-4C04-89BC-9AC8689A9E2E}"/>
    <cellStyle name="Normal 5 2 3 6 4" xfId="9855" xr:uid="{4D9F1799-F409-4CED-8A46-73D6DA3F0BA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18F1B8AA-2162-4519-9105-53B30B8AD10E}"/>
    <cellStyle name="Normal 5 2 3 7 2 3" xfId="12413" xr:uid="{38503BA2-5D1A-4ADA-B11B-A5FF9692D509}"/>
    <cellStyle name="Normal 5 2 3 7 3" xfId="6036" xr:uid="{00000000-0005-0000-0000-0000CB180000}"/>
    <cellStyle name="Normal 5 2 3 7 3 2" xfId="14486" xr:uid="{1B125B5C-583E-4249-B7FB-BF62D8190528}"/>
    <cellStyle name="Normal 5 2 3 7 4" xfId="10268" xr:uid="{DED4C929-F142-4704-82C5-7F5E371636C3}"/>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AAEB4B56-CA34-48B4-9B1B-64072F4D609E}"/>
    <cellStyle name="Normal 5 2 3 8 2 3" xfId="12826" xr:uid="{ADAF21CB-E7C9-4BDE-BE4E-AA3ADD82FF0D}"/>
    <cellStyle name="Normal 5 2 3 8 3" xfId="6449" xr:uid="{00000000-0005-0000-0000-0000CF180000}"/>
    <cellStyle name="Normal 5 2 3 8 3 2" xfId="14899" xr:uid="{5A0A39BB-7D11-4E9F-8327-7CC0D175D857}"/>
    <cellStyle name="Normal 5 2 3 8 4" xfId="10681" xr:uid="{7DD59340-D71F-4DEF-9CE3-CF540F03E381}"/>
    <cellStyle name="Normal 5 2 3 9" xfId="2579" xr:uid="{00000000-0005-0000-0000-0000D0180000}"/>
    <cellStyle name="Normal 5 2 3 9 2" xfId="6862" xr:uid="{00000000-0005-0000-0000-0000D1180000}"/>
    <cellStyle name="Normal 5 2 3 9 2 2" xfId="15312" xr:uid="{FBA9DFC4-9E68-4089-BD56-E6CF81A1BF2F}"/>
    <cellStyle name="Normal 5 2 3 9 3" xfId="11094" xr:uid="{EA1E3CCC-26BD-41B1-9CDF-C90C4510FDED}"/>
    <cellStyle name="Normal 5 2 4" xfId="432" xr:uid="{00000000-0005-0000-0000-0000D2180000}"/>
    <cellStyle name="Normal 5 2 4 10" xfId="9037" xr:uid="{9911F038-A93C-4E79-B273-951E7E123A3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BCD5871D-768E-4B53-8C74-73F28176C394}"/>
    <cellStyle name="Normal 5 2 4 2 2 2 2 3" xfId="11597" xr:uid="{E7379422-58C1-4832-A5D1-263C620EA057}"/>
    <cellStyle name="Normal 5 2 4 2 2 2 3" xfId="5220" xr:uid="{00000000-0005-0000-0000-0000D8180000}"/>
    <cellStyle name="Normal 5 2 4 2 2 2 3 2" xfId="13670" xr:uid="{408287DE-3B5A-414A-BD34-BE45FFBBD6E9}"/>
    <cellStyle name="Normal 5 2 4 2 2 2 4" xfId="9452" xr:uid="{D6B32B22-6F96-4D35-8181-EF78635BA35A}"/>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36E70DF1-2C4C-434D-A0E5-8BDDB4DD8B9D}"/>
    <cellStyle name="Normal 5 2 4 2 2 3 2 3" xfId="12010" xr:uid="{18B38481-AEB0-4172-AD98-5376435CC535}"/>
    <cellStyle name="Normal 5 2 4 2 2 3 3" xfId="5633" xr:uid="{00000000-0005-0000-0000-0000DC180000}"/>
    <cellStyle name="Normal 5 2 4 2 2 3 3 2" xfId="14083" xr:uid="{1BE41933-E271-402D-B070-995A8A903B32}"/>
    <cellStyle name="Normal 5 2 4 2 2 3 4" xfId="9865" xr:uid="{E251B820-A6B9-48B4-B920-C89FAFBC98FF}"/>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B6E68EA1-4E04-4A4D-B1FD-5133BB03D379}"/>
    <cellStyle name="Normal 5 2 4 2 2 4 2 3" xfId="12423" xr:uid="{680E74A5-0A67-47C2-932C-13E007116659}"/>
    <cellStyle name="Normal 5 2 4 2 2 4 3" xfId="6046" xr:uid="{00000000-0005-0000-0000-0000E0180000}"/>
    <cellStyle name="Normal 5 2 4 2 2 4 3 2" xfId="14496" xr:uid="{7BA8FD6E-AC62-4F82-A3F2-7C7E488C0BEC}"/>
    <cellStyle name="Normal 5 2 4 2 2 4 4" xfId="10278" xr:uid="{148D4B32-B7F0-4B83-9966-6C33C5BC54B7}"/>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ED2F03AC-615E-4030-9BB9-F8785292774F}"/>
    <cellStyle name="Normal 5 2 4 2 2 5 2 3" xfId="12836" xr:uid="{15D03325-6FBC-44B0-B353-AF8A046532BE}"/>
    <cellStyle name="Normal 5 2 4 2 2 5 3" xfId="6459" xr:uid="{00000000-0005-0000-0000-0000E4180000}"/>
    <cellStyle name="Normal 5 2 4 2 2 5 3 2" xfId="14909" xr:uid="{E5A0F4AD-719B-423B-882D-5EB8D63EDFC0}"/>
    <cellStyle name="Normal 5 2 4 2 2 5 4" xfId="10691" xr:uid="{60B0581E-4062-491C-A20E-9A80100EC82F}"/>
    <cellStyle name="Normal 5 2 4 2 2 6" xfId="2589" xr:uid="{00000000-0005-0000-0000-0000E5180000}"/>
    <cellStyle name="Normal 5 2 4 2 2 6 2" xfId="6872" xr:uid="{00000000-0005-0000-0000-0000E6180000}"/>
    <cellStyle name="Normal 5 2 4 2 2 6 2 2" xfId="15322" xr:uid="{59872F9E-94C7-4E1E-BD18-6E13F3C5952E}"/>
    <cellStyle name="Normal 5 2 4 2 2 6 3" xfId="11104" xr:uid="{56567FBB-4C4A-4A28-9857-5DA711E06E8E}"/>
    <cellStyle name="Normal 5 2 4 2 2 7" xfId="4807" xr:uid="{00000000-0005-0000-0000-0000E7180000}"/>
    <cellStyle name="Normal 5 2 4 2 2 7 2" xfId="13257" xr:uid="{95E7335E-76CA-4B26-B527-5F9D1452A584}"/>
    <cellStyle name="Normal 5 2 4 2 2 8" xfId="9039" xr:uid="{8F4452F2-3E8D-4EBF-9626-278C21B45B59}"/>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D1DBE6CC-21DA-4A57-A58A-8085EF2A0178}"/>
    <cellStyle name="Normal 5 2 4 2 3 2 3" xfId="11596" xr:uid="{678095CC-6A86-4CE0-9AB5-0701FEAB0CE0}"/>
    <cellStyle name="Normal 5 2 4 2 3 3" xfId="5219" xr:uid="{00000000-0005-0000-0000-0000EB180000}"/>
    <cellStyle name="Normal 5 2 4 2 3 3 2" xfId="13669" xr:uid="{5F8CB81B-DB1E-4242-B820-017C13C6AAFA}"/>
    <cellStyle name="Normal 5 2 4 2 3 4" xfId="9451" xr:uid="{0BECFF04-4C75-4231-89A7-8AD3943B4018}"/>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C04D1FB7-8B8F-4A7D-98C8-835E32963239}"/>
    <cellStyle name="Normal 5 2 4 2 4 2 3" xfId="12009" xr:uid="{375F3DBB-67CB-4551-A0E8-3F1E6EC8F6E2}"/>
    <cellStyle name="Normal 5 2 4 2 4 3" xfId="5632" xr:uid="{00000000-0005-0000-0000-0000EF180000}"/>
    <cellStyle name="Normal 5 2 4 2 4 3 2" xfId="14082" xr:uid="{320064F5-6588-4AF1-A750-7C28E037BBB9}"/>
    <cellStyle name="Normal 5 2 4 2 4 4" xfId="9864" xr:uid="{BA2CE7D7-59D1-447D-9A0C-F1A220C9EDE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DB8B9A4A-4FF4-4F98-8233-D49157442D5D}"/>
    <cellStyle name="Normal 5 2 4 2 5 2 3" xfId="12422" xr:uid="{278483D3-C6FD-4FA9-B0DE-D0672A508983}"/>
    <cellStyle name="Normal 5 2 4 2 5 3" xfId="6045" xr:uid="{00000000-0005-0000-0000-0000F3180000}"/>
    <cellStyle name="Normal 5 2 4 2 5 3 2" xfId="14495" xr:uid="{FF5579C9-D2DA-43B9-BB1C-13583EAAF0F8}"/>
    <cellStyle name="Normal 5 2 4 2 5 4" xfId="10277" xr:uid="{A89AAEEA-3BED-493F-9863-7D1622A61264}"/>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BC1589BF-6E77-477E-8B23-AF768A3CB86D}"/>
    <cellStyle name="Normal 5 2 4 2 6 2 3" xfId="12835" xr:uid="{D191ABC4-27FD-4962-A5AB-869CDAD7E4D5}"/>
    <cellStyle name="Normal 5 2 4 2 6 3" xfId="6458" xr:uid="{00000000-0005-0000-0000-0000F7180000}"/>
    <cellStyle name="Normal 5 2 4 2 6 3 2" xfId="14908" xr:uid="{06D0E0A6-B522-479B-9E4C-49C704419509}"/>
    <cellStyle name="Normal 5 2 4 2 6 4" xfId="10690" xr:uid="{DC9F1821-B8C2-4CB0-AE2C-A7EB99AF42F1}"/>
    <cellStyle name="Normal 5 2 4 2 7" xfId="2588" xr:uid="{00000000-0005-0000-0000-0000F8180000}"/>
    <cellStyle name="Normal 5 2 4 2 7 2" xfId="6871" xr:uid="{00000000-0005-0000-0000-0000F9180000}"/>
    <cellStyle name="Normal 5 2 4 2 7 2 2" xfId="15321" xr:uid="{A1660892-CD27-4025-B14F-1AC06190CFD6}"/>
    <cellStyle name="Normal 5 2 4 2 7 3" xfId="11103" xr:uid="{9C0B69F9-0FFE-4122-8C8C-C86195E7FC5F}"/>
    <cellStyle name="Normal 5 2 4 2 8" xfId="4806" xr:uid="{00000000-0005-0000-0000-0000FA180000}"/>
    <cellStyle name="Normal 5 2 4 2 8 2" xfId="13256" xr:uid="{BB47993E-3B7F-4DAF-8EDC-995212E9CB79}"/>
    <cellStyle name="Normal 5 2 4 2 9" xfId="9038" xr:uid="{D5FCEE82-A15D-4A49-9618-002EFAF20A31}"/>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9695466A-F48B-4AD7-8711-92A2451BDE74}"/>
    <cellStyle name="Normal 5 2 4 3 2 2 3" xfId="11598" xr:uid="{707106B5-9204-4B72-8641-3125D8E9679B}"/>
    <cellStyle name="Normal 5 2 4 3 2 3" xfId="5221" xr:uid="{00000000-0005-0000-0000-0000FF180000}"/>
    <cellStyle name="Normal 5 2 4 3 2 3 2" xfId="13671" xr:uid="{9D91CCDB-33C6-4E92-83C2-C820C962E517}"/>
    <cellStyle name="Normal 5 2 4 3 2 4" xfId="9453" xr:uid="{0DB80547-0596-4A85-8EEC-181962FF5A86}"/>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703B2E25-51D6-4B10-B528-BB8485CAD61B}"/>
    <cellStyle name="Normal 5 2 4 3 3 2 3" xfId="12011" xr:uid="{21BA05F5-1844-4D12-BFDF-BFFB5000980E}"/>
    <cellStyle name="Normal 5 2 4 3 3 3" xfId="5634" xr:uid="{00000000-0005-0000-0000-000003190000}"/>
    <cellStyle name="Normal 5 2 4 3 3 3 2" xfId="14084" xr:uid="{A629B102-499E-46CE-8963-B76EA5D8C63F}"/>
    <cellStyle name="Normal 5 2 4 3 3 4" xfId="9866" xr:uid="{47EBB262-7923-4A7A-ACC9-0A1097C5B9A2}"/>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8AC9CB8-7871-4FB8-9341-0FAB5E52B31C}"/>
    <cellStyle name="Normal 5 2 4 3 4 2 3" xfId="12424" xr:uid="{55946997-DB71-442A-8333-1F9088620F73}"/>
    <cellStyle name="Normal 5 2 4 3 4 3" xfId="6047" xr:uid="{00000000-0005-0000-0000-000007190000}"/>
    <cellStyle name="Normal 5 2 4 3 4 3 2" xfId="14497" xr:uid="{4BDE8847-55FA-42F0-B352-278FFE9CD588}"/>
    <cellStyle name="Normal 5 2 4 3 4 4" xfId="10279" xr:uid="{B9AD6434-5E6B-4101-B9A7-5FFDECCBCDBF}"/>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27E3B2E2-069A-43F1-BA64-A03DA8B28984}"/>
    <cellStyle name="Normal 5 2 4 3 5 2 3" xfId="12837" xr:uid="{912ED685-0B58-46BC-AE10-565F9B637BEE}"/>
    <cellStyle name="Normal 5 2 4 3 5 3" xfId="6460" xr:uid="{00000000-0005-0000-0000-00000B190000}"/>
    <cellStyle name="Normal 5 2 4 3 5 3 2" xfId="14910" xr:uid="{7105EEDD-E96E-49C2-885C-772EECF02BB6}"/>
    <cellStyle name="Normal 5 2 4 3 5 4" xfId="10692" xr:uid="{E5BDF4A2-7CB6-45B3-989D-F611FF32F24E}"/>
    <cellStyle name="Normal 5 2 4 3 6" xfId="2590" xr:uid="{00000000-0005-0000-0000-00000C190000}"/>
    <cellStyle name="Normal 5 2 4 3 6 2" xfId="6873" xr:uid="{00000000-0005-0000-0000-00000D190000}"/>
    <cellStyle name="Normal 5 2 4 3 6 2 2" xfId="15323" xr:uid="{8B254A06-CE65-4CDA-AF31-DEB0713638F2}"/>
    <cellStyle name="Normal 5 2 4 3 6 3" xfId="11105" xr:uid="{8A4BDAC6-472D-4BDE-9A6F-FE1BB969BA00}"/>
    <cellStyle name="Normal 5 2 4 3 7" xfId="4808" xr:uid="{00000000-0005-0000-0000-00000E190000}"/>
    <cellStyle name="Normal 5 2 4 3 7 2" xfId="13258" xr:uid="{3E7799C1-6CD5-4A8C-8DE2-E3E6C7B9785C}"/>
    <cellStyle name="Normal 5 2 4 3 8" xfId="9040" xr:uid="{0257918B-8D77-4560-A98E-E1E8AAADD771}"/>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D16075EE-446C-4686-8A19-C5FDA4CE4229}"/>
    <cellStyle name="Normal 5 2 4 4 2 3" xfId="11595" xr:uid="{4D524D0D-E378-44E2-9664-39B7E17EBDF0}"/>
    <cellStyle name="Normal 5 2 4 4 3" xfId="5218" xr:uid="{00000000-0005-0000-0000-000012190000}"/>
    <cellStyle name="Normal 5 2 4 4 3 2" xfId="13668" xr:uid="{6ADB037A-D73E-4D6C-942D-628C668F36CD}"/>
    <cellStyle name="Normal 5 2 4 4 4" xfId="9450" xr:uid="{FE1A6F87-1CE3-42C8-951E-8FEE39DFF5E3}"/>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B7B85B30-0653-46E7-874D-EFED47DF16C3}"/>
    <cellStyle name="Normal 5 2 4 5 2 3" xfId="12008" xr:uid="{6F10DE48-103F-42C9-8330-F1BF06E7A4BD}"/>
    <cellStyle name="Normal 5 2 4 5 3" xfId="5631" xr:uid="{00000000-0005-0000-0000-000016190000}"/>
    <cellStyle name="Normal 5 2 4 5 3 2" xfId="14081" xr:uid="{B6258ED5-6F90-441C-A233-17FBFB7F71C0}"/>
    <cellStyle name="Normal 5 2 4 5 4" xfId="9863" xr:uid="{27A5BFA2-5051-460E-B06B-E6FEE96D4605}"/>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783271B7-CD5E-4F2D-B87F-A9CE5EFD4278}"/>
    <cellStyle name="Normal 5 2 4 6 2 3" xfId="12421" xr:uid="{EAFE1996-F3BA-4A90-AAEB-3D7EFCA70267}"/>
    <cellStyle name="Normal 5 2 4 6 3" xfId="6044" xr:uid="{00000000-0005-0000-0000-00001A190000}"/>
    <cellStyle name="Normal 5 2 4 6 3 2" xfId="14494" xr:uid="{E5C86167-CA7E-4AE6-AEEA-75A29712DB9C}"/>
    <cellStyle name="Normal 5 2 4 6 4" xfId="10276" xr:uid="{72899ED4-4C04-44F1-AD3B-C9C0F54D6159}"/>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61281D14-C9F0-4A1C-89AC-B1EE99041684}"/>
    <cellStyle name="Normal 5 2 4 7 2 3" xfId="12834" xr:uid="{463F0B5F-D10F-45CC-9314-2DB346FE185A}"/>
    <cellStyle name="Normal 5 2 4 7 3" xfId="6457" xr:uid="{00000000-0005-0000-0000-00001E190000}"/>
    <cellStyle name="Normal 5 2 4 7 3 2" xfId="14907" xr:uid="{638B8183-4D1E-4061-AA99-E49684C2DE72}"/>
    <cellStyle name="Normal 5 2 4 7 4" xfId="10689" xr:uid="{458F4A6E-4EFD-4E38-9014-51FD3D922F3B}"/>
    <cellStyle name="Normal 5 2 4 8" xfId="2587" xr:uid="{00000000-0005-0000-0000-00001F190000}"/>
    <cellStyle name="Normal 5 2 4 8 2" xfId="6870" xr:uid="{00000000-0005-0000-0000-000020190000}"/>
    <cellStyle name="Normal 5 2 4 8 2 2" xfId="15320" xr:uid="{F3932137-6667-42E8-B579-0B48502FBEAF}"/>
    <cellStyle name="Normal 5 2 4 8 3" xfId="11102" xr:uid="{FBDDA9DD-E229-4FD5-AB81-BCA8B4831F13}"/>
    <cellStyle name="Normal 5 2 4 9" xfId="4805" xr:uid="{00000000-0005-0000-0000-000021190000}"/>
    <cellStyle name="Normal 5 2 4 9 2" xfId="13255" xr:uid="{204536ED-4BB8-4D7B-93A6-512C498E723C}"/>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1E2E6B33-2AF6-4C9A-A698-982D5A62DE32}"/>
    <cellStyle name="Normal 5 2 5 2 2 2 3" xfId="11600" xr:uid="{B1300141-CA9E-44FD-8B45-43FF6FBAAA9F}"/>
    <cellStyle name="Normal 5 2 5 2 2 3" xfId="5223" xr:uid="{00000000-0005-0000-0000-000027190000}"/>
    <cellStyle name="Normal 5 2 5 2 2 3 2" xfId="13673" xr:uid="{4B8094AF-00E9-451E-B8C5-0EA76E05F4A1}"/>
    <cellStyle name="Normal 5 2 5 2 2 4" xfId="9455" xr:uid="{5A618573-EBE6-4BA5-B22B-A3A7A01FA492}"/>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82610ADD-E6B3-4996-B464-1B9DEF7C1360}"/>
    <cellStyle name="Normal 5 2 5 2 3 2 3" xfId="12013" xr:uid="{23EAE1AB-BD28-43E0-B353-4C7D94FC8DA8}"/>
    <cellStyle name="Normal 5 2 5 2 3 3" xfId="5636" xr:uid="{00000000-0005-0000-0000-00002B190000}"/>
    <cellStyle name="Normal 5 2 5 2 3 3 2" xfId="14086" xr:uid="{6FCE9055-46E9-4BA1-A504-ED1C1EEB5A16}"/>
    <cellStyle name="Normal 5 2 5 2 3 4" xfId="9868" xr:uid="{49243FBD-6D5F-43C8-8F9D-ABCD37A04DA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1F550588-EF68-4480-BBF4-70B6C75FE5A0}"/>
    <cellStyle name="Normal 5 2 5 2 4 2 3" xfId="12426" xr:uid="{A634A5F4-3669-4A14-BE72-96F21F8EFF9A}"/>
    <cellStyle name="Normal 5 2 5 2 4 3" xfId="6049" xr:uid="{00000000-0005-0000-0000-00002F190000}"/>
    <cellStyle name="Normal 5 2 5 2 4 3 2" xfId="14499" xr:uid="{680FF066-3963-4C5C-919E-38848D80E021}"/>
    <cellStyle name="Normal 5 2 5 2 4 4" xfId="10281" xr:uid="{D313BE46-210E-49CB-8612-CC4FE78CA3C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5DDCD3A9-3424-4BD9-AE90-1E956616F9D7}"/>
    <cellStyle name="Normal 5 2 5 2 5 2 3" xfId="12839" xr:uid="{640337D2-04C5-409B-B7B9-07BAB6C2C35F}"/>
    <cellStyle name="Normal 5 2 5 2 5 3" xfId="6462" xr:uid="{00000000-0005-0000-0000-000033190000}"/>
    <cellStyle name="Normal 5 2 5 2 5 3 2" xfId="14912" xr:uid="{D13F7CFB-7783-4059-86FB-0813A7D36AA7}"/>
    <cellStyle name="Normal 5 2 5 2 5 4" xfId="10694" xr:uid="{D37F34F1-01C4-40CC-92E2-496E72B25163}"/>
    <cellStyle name="Normal 5 2 5 2 6" xfId="2592" xr:uid="{00000000-0005-0000-0000-000034190000}"/>
    <cellStyle name="Normal 5 2 5 2 6 2" xfId="6875" xr:uid="{00000000-0005-0000-0000-000035190000}"/>
    <cellStyle name="Normal 5 2 5 2 6 2 2" xfId="15325" xr:uid="{EB967A00-32EE-48C8-9BCD-F2CE1888D930}"/>
    <cellStyle name="Normal 5 2 5 2 6 3" xfId="11107" xr:uid="{E9097A0C-C6B0-4E17-B1A8-3CCA04AEFA1B}"/>
    <cellStyle name="Normal 5 2 5 2 7" xfId="4810" xr:uid="{00000000-0005-0000-0000-000036190000}"/>
    <cellStyle name="Normal 5 2 5 2 7 2" xfId="13260" xr:uid="{74A42B99-459F-464D-82E4-BBCC20673925}"/>
    <cellStyle name="Normal 5 2 5 2 8" xfId="9042" xr:uid="{DFBC18F6-24DF-41A1-9ED7-3FA3F51607EC}"/>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385D45AC-69BF-484F-90FC-9878BADC42B8}"/>
    <cellStyle name="Normal 5 2 5 3 2 3" xfId="11599" xr:uid="{73880D5D-9073-4168-B58C-2E14C55A8DDF}"/>
    <cellStyle name="Normal 5 2 5 3 3" xfId="5222" xr:uid="{00000000-0005-0000-0000-00003A190000}"/>
    <cellStyle name="Normal 5 2 5 3 3 2" xfId="13672" xr:uid="{7043DC08-3182-4A4B-B01C-22BE4D388622}"/>
    <cellStyle name="Normal 5 2 5 3 4" xfId="9454" xr:uid="{ECE35785-8836-457D-999F-86E8041BBCED}"/>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04492FD5-684D-4634-B7A3-DA49BBEBC208}"/>
    <cellStyle name="Normal 5 2 5 4 2 3" xfId="12012" xr:uid="{3316916A-A07C-49BB-83A6-95A7070E0E72}"/>
    <cellStyle name="Normal 5 2 5 4 3" xfId="5635" xr:uid="{00000000-0005-0000-0000-00003E190000}"/>
    <cellStyle name="Normal 5 2 5 4 3 2" xfId="14085" xr:uid="{80A4E8BC-702C-4E5D-B71B-C7DB22BF9180}"/>
    <cellStyle name="Normal 5 2 5 4 4" xfId="9867" xr:uid="{89044498-DF99-440B-9289-C4B0561ECE06}"/>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BE18E1E4-5046-44AE-BA06-43BA0C0140FC}"/>
    <cellStyle name="Normal 5 2 5 5 2 3" xfId="12425" xr:uid="{5ECF4208-5ECD-4F28-A395-5F1899B50586}"/>
    <cellStyle name="Normal 5 2 5 5 3" xfId="6048" xr:uid="{00000000-0005-0000-0000-000042190000}"/>
    <cellStyle name="Normal 5 2 5 5 3 2" xfId="14498" xr:uid="{9628099F-CDBE-4E79-A49B-5BD8886948E1}"/>
    <cellStyle name="Normal 5 2 5 5 4" xfId="10280" xr:uid="{2CD50A50-28AC-4E72-A836-4EE8D2F10600}"/>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4CD4B277-513D-4CD5-9EFF-A5AE9D8370F9}"/>
    <cellStyle name="Normal 5 2 5 6 2 3" xfId="12838" xr:uid="{97AFF8DF-2269-4EEB-9DDE-0ADE793DDE6E}"/>
    <cellStyle name="Normal 5 2 5 6 3" xfId="6461" xr:uid="{00000000-0005-0000-0000-000046190000}"/>
    <cellStyle name="Normal 5 2 5 6 3 2" xfId="14911" xr:uid="{A1BA91CE-5552-4D30-9546-3EAB152D3823}"/>
    <cellStyle name="Normal 5 2 5 6 4" xfId="10693" xr:uid="{12D593D7-D08C-40DE-9C17-A7A0D003F484}"/>
    <cellStyle name="Normal 5 2 5 7" xfId="2591" xr:uid="{00000000-0005-0000-0000-000047190000}"/>
    <cellStyle name="Normal 5 2 5 7 2" xfId="6874" xr:uid="{00000000-0005-0000-0000-000048190000}"/>
    <cellStyle name="Normal 5 2 5 7 2 2" xfId="15324" xr:uid="{8BB380D3-F339-4F4F-BFE9-037B86ADD43A}"/>
    <cellStyle name="Normal 5 2 5 7 3" xfId="11106" xr:uid="{51CE1A6B-1A4D-4620-B3BB-C4968662166F}"/>
    <cellStyle name="Normal 5 2 5 8" xfId="4809" xr:uid="{00000000-0005-0000-0000-000049190000}"/>
    <cellStyle name="Normal 5 2 5 8 2" xfId="13259" xr:uid="{0F1B6418-84B1-4126-A27F-B4DC4B0B44FA}"/>
    <cellStyle name="Normal 5 2 5 9" xfId="9041" xr:uid="{402E823E-034D-4B54-BA2A-E63BBE23BB4D}"/>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586380F2-ADCD-445E-8EB3-4334FBF65DC9}"/>
    <cellStyle name="Normal 5 2 6 2 2 3" xfId="11601" xr:uid="{EFD265A0-30A6-4034-A496-2B410A60978E}"/>
    <cellStyle name="Normal 5 2 6 2 3" xfId="5224" xr:uid="{00000000-0005-0000-0000-00004E190000}"/>
    <cellStyle name="Normal 5 2 6 2 3 2" xfId="13674" xr:uid="{86370FD8-DFA3-4C4F-BEA1-01724D9C71C4}"/>
    <cellStyle name="Normal 5 2 6 2 4" xfId="9456" xr:uid="{0FD4160F-2789-4987-98B6-C8DC1D5681A1}"/>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F37FBC37-53ED-4F71-ACA0-8ED1522676EC}"/>
    <cellStyle name="Normal 5 2 6 3 2 3" xfId="12014" xr:uid="{3837948E-1FBB-42D5-A941-69C2C9A0308F}"/>
    <cellStyle name="Normal 5 2 6 3 3" xfId="5637" xr:uid="{00000000-0005-0000-0000-000052190000}"/>
    <cellStyle name="Normal 5 2 6 3 3 2" xfId="14087" xr:uid="{1A39AEC4-5436-4BF0-97BD-E10AFB006E14}"/>
    <cellStyle name="Normal 5 2 6 3 4" xfId="9869" xr:uid="{1F5F8B9B-F68E-4A92-A983-7CFD1102358E}"/>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673CD311-6F45-448D-BC35-04F6498B96A1}"/>
    <cellStyle name="Normal 5 2 6 4 2 3" xfId="12427" xr:uid="{95D4AFAA-D703-44A0-8FA0-9515BE0CDD6E}"/>
    <cellStyle name="Normal 5 2 6 4 3" xfId="6050" xr:uid="{00000000-0005-0000-0000-000056190000}"/>
    <cellStyle name="Normal 5 2 6 4 3 2" xfId="14500" xr:uid="{5FA227B5-DD09-4DEA-BC5B-DBD7BCE2D240}"/>
    <cellStyle name="Normal 5 2 6 4 4" xfId="10282" xr:uid="{EF64AD1C-0674-48B9-A3F5-8EA7D79190AB}"/>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0023CD60-2565-426F-99CE-D394F149A7A5}"/>
    <cellStyle name="Normal 5 2 6 5 2 3" xfId="12840" xr:uid="{A904F5AF-A14D-4CA2-AB35-FEE5B108A09C}"/>
    <cellStyle name="Normal 5 2 6 5 3" xfId="6463" xr:uid="{00000000-0005-0000-0000-00005A190000}"/>
    <cellStyle name="Normal 5 2 6 5 3 2" xfId="14913" xr:uid="{F6C45969-0CF0-48B3-BAAC-FF0A7EC1CA64}"/>
    <cellStyle name="Normal 5 2 6 5 4" xfId="10695" xr:uid="{882C2227-D118-4003-B5D5-CD77F84D0B54}"/>
    <cellStyle name="Normal 5 2 6 6" xfId="2593" xr:uid="{00000000-0005-0000-0000-00005B190000}"/>
    <cellStyle name="Normal 5 2 6 6 2" xfId="6876" xr:uid="{00000000-0005-0000-0000-00005C190000}"/>
    <cellStyle name="Normal 5 2 6 6 2 2" xfId="15326" xr:uid="{4F45389B-556E-4FED-A03F-85C30AB75C1E}"/>
    <cellStyle name="Normal 5 2 6 6 3" xfId="11108" xr:uid="{FE9BAC58-661E-43F8-B171-8E7A9324FA1D}"/>
    <cellStyle name="Normal 5 2 6 7" xfId="4811" xr:uid="{00000000-0005-0000-0000-00005D190000}"/>
    <cellStyle name="Normal 5 2 6 7 2" xfId="13261" xr:uid="{FB2880AA-8084-4F0B-9D2C-813A719AC480}"/>
    <cellStyle name="Normal 5 2 6 8" xfId="9043" xr:uid="{42D00260-406B-445C-993A-A63A2EA6A9F5}"/>
    <cellStyle name="Normal 5 2 7" xfId="881" xr:uid="{00000000-0005-0000-0000-00005E190000}"/>
    <cellStyle name="Normal 5 2 7 2" xfId="3116" xr:uid="{00000000-0005-0000-0000-00005F190000}"/>
    <cellStyle name="Normal 5 2 7 2 2" xfId="7338" xr:uid="{00000000-0005-0000-0000-000060190000}"/>
    <cellStyle name="Normal 5 2 7 2 2 2" xfId="15788" xr:uid="{94E2DBE6-9B17-41DC-B82C-D4A2FD767E03}"/>
    <cellStyle name="Normal 5 2 7 2 3" xfId="11570" xr:uid="{0BA51949-E491-4ACD-A69D-C4A8028B7A56}"/>
    <cellStyle name="Normal 5 2 7 3" xfId="5193" xr:uid="{00000000-0005-0000-0000-000061190000}"/>
    <cellStyle name="Normal 5 2 7 3 2" xfId="13643" xr:uid="{01EF7396-C81C-48EC-AAF6-F96416CE3645}"/>
    <cellStyle name="Normal 5 2 7 4" xfId="9425" xr:uid="{08D89930-3093-450E-87B0-651DD5666B09}"/>
    <cellStyle name="Normal 5 2 8" xfId="1299" xr:uid="{00000000-0005-0000-0000-000062190000}"/>
    <cellStyle name="Normal 5 2 8 2" xfId="3529" xr:uid="{00000000-0005-0000-0000-000063190000}"/>
    <cellStyle name="Normal 5 2 8 2 2" xfId="7751" xr:uid="{00000000-0005-0000-0000-000064190000}"/>
    <cellStyle name="Normal 5 2 8 2 2 2" xfId="16201" xr:uid="{48C1F6BF-E938-489A-B03E-C17AEF3173B2}"/>
    <cellStyle name="Normal 5 2 8 2 3" xfId="11983" xr:uid="{70F264FF-5F51-4D1F-8402-6EC2A484FC64}"/>
    <cellStyle name="Normal 5 2 8 3" xfId="5606" xr:uid="{00000000-0005-0000-0000-000065190000}"/>
    <cellStyle name="Normal 5 2 8 3 2" xfId="14056" xr:uid="{7CD8067B-3B9B-48C4-9DFB-011B83D6CE9D}"/>
    <cellStyle name="Normal 5 2 8 4" xfId="9838" xr:uid="{39D85A80-BE0D-4FFE-A6C8-AD398904A69D}"/>
    <cellStyle name="Normal 5 2 9" xfId="1712" xr:uid="{00000000-0005-0000-0000-000066190000}"/>
    <cellStyle name="Normal 5 2 9 2" xfId="3942" xr:uid="{00000000-0005-0000-0000-000067190000}"/>
    <cellStyle name="Normal 5 2 9 2 2" xfId="8164" xr:uid="{00000000-0005-0000-0000-000068190000}"/>
    <cellStyle name="Normal 5 2 9 2 2 2" xfId="16614" xr:uid="{BD45FA1C-9F03-47B2-86A6-98E91AB2FA3D}"/>
    <cellStyle name="Normal 5 2 9 2 3" xfId="12396" xr:uid="{872B775F-B2A6-4CA1-B753-6EC907517613}"/>
    <cellStyle name="Normal 5 2 9 3" xfId="6019" xr:uid="{00000000-0005-0000-0000-000069190000}"/>
    <cellStyle name="Normal 5 2 9 3 2" xfId="14469" xr:uid="{C3F63292-C1F6-43EE-BF7A-D91A2A6DA355}"/>
    <cellStyle name="Normal 5 2 9 4" xfId="10251" xr:uid="{B3923684-7EF9-4457-990F-5A861B745726}"/>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B7D49633-711B-48F1-A4AF-246FC411DE95}"/>
    <cellStyle name="Normal 5 3 10 2 3" xfId="12841" xr:uid="{44FB07A6-E010-40D1-A579-660EE1E42FD5}"/>
    <cellStyle name="Normal 5 3 10 3" xfId="6464" xr:uid="{00000000-0005-0000-0000-00006E190000}"/>
    <cellStyle name="Normal 5 3 10 3 2" xfId="14914" xr:uid="{957EE658-4A18-4CCE-9280-FA893D02E942}"/>
    <cellStyle name="Normal 5 3 10 4" xfId="10696" xr:uid="{85B6A58A-1F39-4967-A10A-3E3F750ADFD1}"/>
    <cellStyle name="Normal 5 3 11" xfId="2594" xr:uid="{00000000-0005-0000-0000-00006F190000}"/>
    <cellStyle name="Normal 5 3 11 2" xfId="6877" xr:uid="{00000000-0005-0000-0000-000070190000}"/>
    <cellStyle name="Normal 5 3 11 2 2" xfId="15327" xr:uid="{7C2A1776-5E88-4AFB-9C68-A5D8867F8DF1}"/>
    <cellStyle name="Normal 5 3 11 3" xfId="11109" xr:uid="{BCAFCA20-CBE4-4E77-B7AE-978E6475889C}"/>
    <cellStyle name="Normal 5 3 12" xfId="4812" xr:uid="{00000000-0005-0000-0000-000071190000}"/>
    <cellStyle name="Normal 5 3 12 2" xfId="13262" xr:uid="{11DEC682-FDE8-4077-B66A-E158CC511D7D}"/>
    <cellStyle name="Normal 5 3 13" xfId="9044" xr:uid="{24B88FD2-FFA1-4124-89FE-1F52A772DD8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359A5D48-92D6-485A-AEAF-DD0AD6FEBE91}"/>
    <cellStyle name="Normal 5 3 3 11" xfId="9045" xr:uid="{F6796BFC-0F1B-4EB8-AFD3-2C613FD1FD96}"/>
    <cellStyle name="Normal 5 3 3 2" xfId="442" xr:uid="{00000000-0005-0000-0000-000076190000}"/>
    <cellStyle name="Normal 5 3 3 2 10" xfId="9046" xr:uid="{2699C46E-737F-4A19-B7DA-5F0A0860EF0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F2197C3B-FAE6-4E0E-9B18-4A3FFF98767C}"/>
    <cellStyle name="Normal 5 3 3 2 2 2 2 2 3" xfId="11606" xr:uid="{27303E61-7C7C-4D41-B9A2-94395B9A3A05}"/>
    <cellStyle name="Normal 5 3 3 2 2 2 2 3" xfId="5229" xr:uid="{00000000-0005-0000-0000-00007C190000}"/>
    <cellStyle name="Normal 5 3 3 2 2 2 2 3 2" xfId="13679" xr:uid="{21C36535-F5AA-40A7-AA1A-8C3129E20B79}"/>
    <cellStyle name="Normal 5 3 3 2 2 2 2 4" xfId="9461" xr:uid="{BB1F9779-1F8F-47D3-8B92-2A7DE7A35CB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C50A3291-3FC7-493D-AB40-95523FBC974E}"/>
    <cellStyle name="Normal 5 3 3 2 2 2 3 2 3" xfId="12019" xr:uid="{71EFFCA4-9E1E-44CE-A69C-7C47F16D9E3B}"/>
    <cellStyle name="Normal 5 3 3 2 2 2 3 3" xfId="5642" xr:uid="{00000000-0005-0000-0000-000080190000}"/>
    <cellStyle name="Normal 5 3 3 2 2 2 3 3 2" xfId="14092" xr:uid="{7BF2824E-8D57-4CFF-BB5E-EDCCA6F0E554}"/>
    <cellStyle name="Normal 5 3 3 2 2 2 3 4" xfId="9874" xr:uid="{D26BC97D-C5B9-420A-8727-3686B0D68EE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1ACBFB43-F6F1-48AB-96DE-DC5F380B1E68}"/>
    <cellStyle name="Normal 5 3 3 2 2 2 4 2 3" xfId="12432" xr:uid="{9A5AFFCC-2B6D-4257-9ADB-1FA2DD43000F}"/>
    <cellStyle name="Normal 5 3 3 2 2 2 4 3" xfId="6055" xr:uid="{00000000-0005-0000-0000-000084190000}"/>
    <cellStyle name="Normal 5 3 3 2 2 2 4 3 2" xfId="14505" xr:uid="{7EE58CE9-3397-4F50-9ED7-E324F93F28F5}"/>
    <cellStyle name="Normal 5 3 3 2 2 2 4 4" xfId="10287" xr:uid="{B8D5293E-6AF2-42CF-9148-40A66E32E573}"/>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3574AFC0-E3EE-489F-9AA2-3A34C0EAAF4F}"/>
    <cellStyle name="Normal 5 3 3 2 2 2 5 2 3" xfId="12845" xr:uid="{2171E369-AAC5-40D0-8A6F-44165A74E1BD}"/>
    <cellStyle name="Normal 5 3 3 2 2 2 5 3" xfId="6468" xr:uid="{00000000-0005-0000-0000-000088190000}"/>
    <cellStyle name="Normal 5 3 3 2 2 2 5 3 2" xfId="14918" xr:uid="{6DA64C04-AA45-4BEC-8A31-A810DE52A486}"/>
    <cellStyle name="Normal 5 3 3 2 2 2 5 4" xfId="10700" xr:uid="{F92717DB-BA80-4B91-826E-5A74AF6FC776}"/>
    <cellStyle name="Normal 5 3 3 2 2 2 6" xfId="2598" xr:uid="{00000000-0005-0000-0000-000089190000}"/>
    <cellStyle name="Normal 5 3 3 2 2 2 6 2" xfId="6881" xr:uid="{00000000-0005-0000-0000-00008A190000}"/>
    <cellStyle name="Normal 5 3 3 2 2 2 6 2 2" xfId="15331" xr:uid="{F7DEAB0A-4581-41AB-BC2F-A45003B40E2F}"/>
    <cellStyle name="Normal 5 3 3 2 2 2 6 3" xfId="11113" xr:uid="{EBC1C450-46BD-4663-9AC3-8881B74744A5}"/>
    <cellStyle name="Normal 5 3 3 2 2 2 7" xfId="4816" xr:uid="{00000000-0005-0000-0000-00008B190000}"/>
    <cellStyle name="Normal 5 3 3 2 2 2 7 2" xfId="13266" xr:uid="{9FC8A4AB-B3A4-4F57-A828-8AB704AA7F0B}"/>
    <cellStyle name="Normal 5 3 3 2 2 2 8" xfId="9048" xr:uid="{1140D3FA-72E2-4ABB-8175-7260BB2500D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432A5339-1A90-48C6-9F54-0EF0E8125676}"/>
    <cellStyle name="Normal 5 3 3 2 2 3 2 3" xfId="11605" xr:uid="{841E0BB5-CA49-40CE-883A-6BE667703B78}"/>
    <cellStyle name="Normal 5 3 3 2 2 3 3" xfId="5228" xr:uid="{00000000-0005-0000-0000-00008F190000}"/>
    <cellStyle name="Normal 5 3 3 2 2 3 3 2" xfId="13678" xr:uid="{FB018A56-DA53-46AE-8E3C-15953CF0E270}"/>
    <cellStyle name="Normal 5 3 3 2 2 3 4" xfId="9460" xr:uid="{A6150AEB-AAE1-48FF-A686-CAA218F6460D}"/>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C0BE73D2-2112-43E3-AAEA-670A5CD322A8}"/>
    <cellStyle name="Normal 5 3 3 2 2 4 2 3" xfId="12018" xr:uid="{0F19DA33-E75B-45BD-B066-CFFFDD842F4B}"/>
    <cellStyle name="Normal 5 3 3 2 2 4 3" xfId="5641" xr:uid="{00000000-0005-0000-0000-000093190000}"/>
    <cellStyle name="Normal 5 3 3 2 2 4 3 2" xfId="14091" xr:uid="{A10909EB-048A-4E68-98F6-0E564EB1AD63}"/>
    <cellStyle name="Normal 5 3 3 2 2 4 4" xfId="9873" xr:uid="{A1970D54-06AB-48F6-B5CC-24D219B20CA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E473E24F-1630-451D-82D5-F4D8BBB99CA0}"/>
    <cellStyle name="Normal 5 3 3 2 2 5 2 3" xfId="12431" xr:uid="{44248F7B-120A-4FA7-8031-C75ACEB5137E}"/>
    <cellStyle name="Normal 5 3 3 2 2 5 3" xfId="6054" xr:uid="{00000000-0005-0000-0000-000097190000}"/>
    <cellStyle name="Normal 5 3 3 2 2 5 3 2" xfId="14504" xr:uid="{B3EDC989-5D01-4801-ACF0-93660C42B660}"/>
    <cellStyle name="Normal 5 3 3 2 2 5 4" xfId="10286" xr:uid="{4980CDAC-7426-445E-AE82-B88C96525C3E}"/>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71D2EFE2-68DA-4CB8-9669-08A36FFFE88F}"/>
    <cellStyle name="Normal 5 3 3 2 2 6 2 3" xfId="12844" xr:uid="{4E944D09-6FDE-4348-B432-3660C5C6B39A}"/>
    <cellStyle name="Normal 5 3 3 2 2 6 3" xfId="6467" xr:uid="{00000000-0005-0000-0000-00009B190000}"/>
    <cellStyle name="Normal 5 3 3 2 2 6 3 2" xfId="14917" xr:uid="{525D6940-F96D-43A2-9D5F-5E82DEC99486}"/>
    <cellStyle name="Normal 5 3 3 2 2 6 4" xfId="10699" xr:uid="{7811FD93-0B65-41DE-A7E5-351782C85306}"/>
    <cellStyle name="Normal 5 3 3 2 2 7" xfId="2597" xr:uid="{00000000-0005-0000-0000-00009C190000}"/>
    <cellStyle name="Normal 5 3 3 2 2 7 2" xfId="6880" xr:uid="{00000000-0005-0000-0000-00009D190000}"/>
    <cellStyle name="Normal 5 3 3 2 2 7 2 2" xfId="15330" xr:uid="{D0B8627B-71B3-4EB4-99DA-3D24875333DD}"/>
    <cellStyle name="Normal 5 3 3 2 2 7 3" xfId="11112" xr:uid="{4B32E74A-1222-45F6-980B-31A7B6666673}"/>
    <cellStyle name="Normal 5 3 3 2 2 8" xfId="4815" xr:uid="{00000000-0005-0000-0000-00009E190000}"/>
    <cellStyle name="Normal 5 3 3 2 2 8 2" xfId="13265" xr:uid="{C9730C2D-BBAA-407D-A272-B6C99EA10D4C}"/>
    <cellStyle name="Normal 5 3 3 2 2 9" xfId="9047" xr:uid="{497ED00A-D617-43E0-9543-9CBBC60D8BFF}"/>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8371C296-7748-4C67-97BA-4A7C458A80C5}"/>
    <cellStyle name="Normal 5 3 3 2 3 2 2 3" xfId="11607" xr:uid="{CE92DEF0-ED43-470E-A104-8A6A418FFF62}"/>
    <cellStyle name="Normal 5 3 3 2 3 2 3" xfId="5230" xr:uid="{00000000-0005-0000-0000-0000A3190000}"/>
    <cellStyle name="Normal 5 3 3 2 3 2 3 2" xfId="13680" xr:uid="{F5A109AB-6DDC-4347-9475-597D84AE97AD}"/>
    <cellStyle name="Normal 5 3 3 2 3 2 4" xfId="9462" xr:uid="{945E0116-F721-46E0-89CE-05908B41C521}"/>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3A352073-8D3B-4365-9619-5E855C7217EE}"/>
    <cellStyle name="Normal 5 3 3 2 3 3 2 3" xfId="12020" xr:uid="{28398243-8C9D-444B-BCC6-1CCC2BCAE8C5}"/>
    <cellStyle name="Normal 5 3 3 2 3 3 3" xfId="5643" xr:uid="{00000000-0005-0000-0000-0000A7190000}"/>
    <cellStyle name="Normal 5 3 3 2 3 3 3 2" xfId="14093" xr:uid="{166E6998-E4BB-4E58-A782-80277963D3CA}"/>
    <cellStyle name="Normal 5 3 3 2 3 3 4" xfId="9875" xr:uid="{9CE559AA-54E7-4E24-95AD-E5F1C52558C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6E5AC8C4-9013-4436-AACF-41B715C28814}"/>
    <cellStyle name="Normal 5 3 3 2 3 4 2 3" xfId="12433" xr:uid="{D501E48F-8B6C-480B-83E1-4BBA5F14E9A8}"/>
    <cellStyle name="Normal 5 3 3 2 3 4 3" xfId="6056" xr:uid="{00000000-0005-0000-0000-0000AB190000}"/>
    <cellStyle name="Normal 5 3 3 2 3 4 3 2" xfId="14506" xr:uid="{8D72EF70-D960-4CD5-AF95-0C1B616CC17E}"/>
    <cellStyle name="Normal 5 3 3 2 3 4 4" xfId="10288" xr:uid="{F8B1F005-360B-471C-BC39-72B0FA927412}"/>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7564B8E1-A200-4833-ACBF-ED1DAB8E0B45}"/>
    <cellStyle name="Normal 5 3 3 2 3 5 2 3" xfId="12846" xr:uid="{62973400-6E7E-4739-BD5A-D92159479A22}"/>
    <cellStyle name="Normal 5 3 3 2 3 5 3" xfId="6469" xr:uid="{00000000-0005-0000-0000-0000AF190000}"/>
    <cellStyle name="Normal 5 3 3 2 3 5 3 2" xfId="14919" xr:uid="{795F1BD9-C13B-45F4-85DF-356C90AAE85A}"/>
    <cellStyle name="Normal 5 3 3 2 3 5 4" xfId="10701" xr:uid="{4AA815B9-9E33-4806-9C08-8159AF13B350}"/>
    <cellStyle name="Normal 5 3 3 2 3 6" xfId="2599" xr:uid="{00000000-0005-0000-0000-0000B0190000}"/>
    <cellStyle name="Normal 5 3 3 2 3 6 2" xfId="6882" xr:uid="{00000000-0005-0000-0000-0000B1190000}"/>
    <cellStyle name="Normal 5 3 3 2 3 6 2 2" xfId="15332" xr:uid="{0350CB7F-9545-4C98-8036-D94F456FCA8E}"/>
    <cellStyle name="Normal 5 3 3 2 3 6 3" xfId="11114" xr:uid="{05D7F3F7-1F3D-4A1C-A581-2423CB594237}"/>
    <cellStyle name="Normal 5 3 3 2 3 7" xfId="4817" xr:uid="{00000000-0005-0000-0000-0000B2190000}"/>
    <cellStyle name="Normal 5 3 3 2 3 7 2" xfId="13267" xr:uid="{B0BFBD8D-9947-40AE-BE11-10FFC56521CB}"/>
    <cellStyle name="Normal 5 3 3 2 3 8" xfId="9049" xr:uid="{5156FDA8-1EC3-4F08-B178-2D8E27642F5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1C0CDD40-D999-4C4D-9489-680CC066C78E}"/>
    <cellStyle name="Normal 5 3 3 2 4 2 3" xfId="11604" xr:uid="{9FAFB625-A8D5-4487-B2F6-74200A584BD9}"/>
    <cellStyle name="Normal 5 3 3 2 4 3" xfId="5227" xr:uid="{00000000-0005-0000-0000-0000B6190000}"/>
    <cellStyle name="Normal 5 3 3 2 4 3 2" xfId="13677" xr:uid="{D9745BEE-8D6C-4351-9FFF-C8E98EB360F0}"/>
    <cellStyle name="Normal 5 3 3 2 4 4" xfId="9459" xr:uid="{02A79ACF-AB09-4BA8-89CA-56A4FA1818EC}"/>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D4C82ED5-24B0-4E95-9EBC-CBF7801BC45D}"/>
    <cellStyle name="Normal 5 3 3 2 5 2 3" xfId="12017" xr:uid="{F120615C-A5C6-441B-B3D7-F1F3DCE99B84}"/>
    <cellStyle name="Normal 5 3 3 2 5 3" xfId="5640" xr:uid="{00000000-0005-0000-0000-0000BA190000}"/>
    <cellStyle name="Normal 5 3 3 2 5 3 2" xfId="14090" xr:uid="{ABFD25CF-9CC9-4214-96F9-92AEFC9DAA43}"/>
    <cellStyle name="Normal 5 3 3 2 5 4" xfId="9872" xr:uid="{DAC2D478-B729-46DC-9E7C-668B94F83993}"/>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AB8A609A-684D-4AF8-ADD9-3225063C200A}"/>
    <cellStyle name="Normal 5 3 3 2 6 2 3" xfId="12430" xr:uid="{65AF7636-7724-4A74-8631-D4D480433682}"/>
    <cellStyle name="Normal 5 3 3 2 6 3" xfId="6053" xr:uid="{00000000-0005-0000-0000-0000BE190000}"/>
    <cellStyle name="Normal 5 3 3 2 6 3 2" xfId="14503" xr:uid="{A84B9076-A4E7-4D6E-BB18-11EFF38DAED4}"/>
    <cellStyle name="Normal 5 3 3 2 6 4" xfId="10285" xr:uid="{1AA9E000-375D-4A0A-8A98-E21C0DAFCFA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5AFC913C-1B86-4B9D-A444-D3336BABEEA7}"/>
    <cellStyle name="Normal 5 3 3 2 7 2 3" xfId="12843" xr:uid="{4EAF6D04-498C-4FF5-B13B-9698F93DF107}"/>
    <cellStyle name="Normal 5 3 3 2 7 3" xfId="6466" xr:uid="{00000000-0005-0000-0000-0000C2190000}"/>
    <cellStyle name="Normal 5 3 3 2 7 3 2" xfId="14916" xr:uid="{ABE923E1-CD36-4850-9113-D38744321151}"/>
    <cellStyle name="Normal 5 3 3 2 7 4" xfId="10698" xr:uid="{7EC3BACD-7E18-4D80-8F4F-B4225F011028}"/>
    <cellStyle name="Normal 5 3 3 2 8" xfId="2596" xr:uid="{00000000-0005-0000-0000-0000C3190000}"/>
    <cellStyle name="Normal 5 3 3 2 8 2" xfId="6879" xr:uid="{00000000-0005-0000-0000-0000C4190000}"/>
    <cellStyle name="Normal 5 3 3 2 8 2 2" xfId="15329" xr:uid="{E6E172CE-1B3B-49CE-9D2A-A01CDC15065F}"/>
    <cellStyle name="Normal 5 3 3 2 8 3" xfId="11111" xr:uid="{AAD86A25-E2B5-4BBF-BE4E-AF518EBAE1FB}"/>
    <cellStyle name="Normal 5 3 3 2 9" xfId="4814" xr:uid="{00000000-0005-0000-0000-0000C5190000}"/>
    <cellStyle name="Normal 5 3 3 2 9 2" xfId="13264" xr:uid="{5022A3D3-6DF4-4E7B-A4F2-64FF337A36F7}"/>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AE37BC5F-A58F-4AFE-B72C-8FAF8D5EB044}"/>
    <cellStyle name="Normal 5 3 3 3 2 2 2 3" xfId="11609" xr:uid="{57CE2125-4A11-46F8-8C91-87D91D0103BD}"/>
    <cellStyle name="Normal 5 3 3 3 2 2 3" xfId="5232" xr:uid="{00000000-0005-0000-0000-0000CB190000}"/>
    <cellStyle name="Normal 5 3 3 3 2 2 3 2" xfId="13682" xr:uid="{DF5BE4F6-27A2-4CC2-A5DC-96F49EEA788C}"/>
    <cellStyle name="Normal 5 3 3 3 2 2 4" xfId="9464" xr:uid="{61E35684-1B80-4FF9-BEC1-07595785E865}"/>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9723E586-AD9F-4EF6-934F-4281F9624E24}"/>
    <cellStyle name="Normal 5 3 3 3 2 3 2 3" xfId="12022" xr:uid="{97ED22C3-9F4C-4164-89FB-A23A9D222202}"/>
    <cellStyle name="Normal 5 3 3 3 2 3 3" xfId="5645" xr:uid="{00000000-0005-0000-0000-0000CF190000}"/>
    <cellStyle name="Normal 5 3 3 3 2 3 3 2" xfId="14095" xr:uid="{602FB088-8755-496B-B6EC-33BE4C76CA37}"/>
    <cellStyle name="Normal 5 3 3 3 2 3 4" xfId="9877" xr:uid="{4F799BC1-4C61-4978-9F44-15D2C620E584}"/>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0C6F22AF-4010-4D33-AA45-B04E4ECFEC01}"/>
    <cellStyle name="Normal 5 3 3 3 2 4 2 3" xfId="12435" xr:uid="{8F0C9C80-B9C5-4246-8370-4336D3BD5F8B}"/>
    <cellStyle name="Normal 5 3 3 3 2 4 3" xfId="6058" xr:uid="{00000000-0005-0000-0000-0000D3190000}"/>
    <cellStyle name="Normal 5 3 3 3 2 4 3 2" xfId="14508" xr:uid="{7A11B2D4-66F5-4235-B73D-A4F60429708A}"/>
    <cellStyle name="Normal 5 3 3 3 2 4 4" xfId="10290" xr:uid="{35C9C2B9-E614-495B-8D5B-8AA9E0535C68}"/>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1B28E91-589F-43E5-BD61-50C855924718}"/>
    <cellStyle name="Normal 5 3 3 3 2 5 2 3" xfId="12848" xr:uid="{95895FF4-3E25-4859-A93D-8DC65A0C6CDE}"/>
    <cellStyle name="Normal 5 3 3 3 2 5 3" xfId="6471" xr:uid="{00000000-0005-0000-0000-0000D7190000}"/>
    <cellStyle name="Normal 5 3 3 3 2 5 3 2" xfId="14921" xr:uid="{2AA7CEE9-2C40-4441-960D-603D854E8B47}"/>
    <cellStyle name="Normal 5 3 3 3 2 5 4" xfId="10703" xr:uid="{96878E9E-121D-4DEF-B5CB-4D96FBFF0735}"/>
    <cellStyle name="Normal 5 3 3 3 2 6" xfId="2601" xr:uid="{00000000-0005-0000-0000-0000D8190000}"/>
    <cellStyle name="Normal 5 3 3 3 2 6 2" xfId="6884" xr:uid="{00000000-0005-0000-0000-0000D9190000}"/>
    <cellStyle name="Normal 5 3 3 3 2 6 2 2" xfId="15334" xr:uid="{A62A6681-B6E5-4FC2-B1BC-F0BE731C6555}"/>
    <cellStyle name="Normal 5 3 3 3 2 6 3" xfId="11116" xr:uid="{FDB0D38D-0A82-4FEA-86B5-7F93F8F545A4}"/>
    <cellStyle name="Normal 5 3 3 3 2 7" xfId="4819" xr:uid="{00000000-0005-0000-0000-0000DA190000}"/>
    <cellStyle name="Normal 5 3 3 3 2 7 2" xfId="13269" xr:uid="{A3427E2C-125D-4135-BF48-B26DCBE781AA}"/>
    <cellStyle name="Normal 5 3 3 3 2 8" xfId="9051" xr:uid="{BAA9E0D4-8A5C-4437-913F-75C3AF48BCFE}"/>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2FBD5B87-FEC3-48BE-B407-64308B46829E}"/>
    <cellStyle name="Normal 5 3 3 3 3 2 3" xfId="11608" xr:uid="{C4B32CD4-A93E-4922-84A4-4150923CB69D}"/>
    <cellStyle name="Normal 5 3 3 3 3 3" xfId="5231" xr:uid="{00000000-0005-0000-0000-0000DE190000}"/>
    <cellStyle name="Normal 5 3 3 3 3 3 2" xfId="13681" xr:uid="{09CA91F2-43AB-49FA-879D-C6D8D5E8530A}"/>
    <cellStyle name="Normal 5 3 3 3 3 4" xfId="9463" xr:uid="{9FCE5A9A-AFC9-48B3-94A2-319AB094F38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49A1BA3D-01D6-4DF8-AD8C-273E2659227B}"/>
    <cellStyle name="Normal 5 3 3 3 4 2 3" xfId="12021" xr:uid="{D99BC5FF-79B5-43FB-A009-18B7F88B78F8}"/>
    <cellStyle name="Normal 5 3 3 3 4 3" xfId="5644" xr:uid="{00000000-0005-0000-0000-0000E2190000}"/>
    <cellStyle name="Normal 5 3 3 3 4 3 2" xfId="14094" xr:uid="{812FC0D5-06CD-46CE-B975-267872D430EA}"/>
    <cellStyle name="Normal 5 3 3 3 4 4" xfId="9876" xr:uid="{31FB5F31-3168-46C2-BACC-269528DCF1A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1631144D-771D-458D-B7D6-20B0D3804F7A}"/>
    <cellStyle name="Normal 5 3 3 3 5 2 3" xfId="12434" xr:uid="{38E1923C-A053-4D34-8667-721A2DA8C6BC}"/>
    <cellStyle name="Normal 5 3 3 3 5 3" xfId="6057" xr:uid="{00000000-0005-0000-0000-0000E6190000}"/>
    <cellStyle name="Normal 5 3 3 3 5 3 2" xfId="14507" xr:uid="{E30C2202-773B-4F01-8CAF-49FD8768086F}"/>
    <cellStyle name="Normal 5 3 3 3 5 4" xfId="10289" xr:uid="{FBA76810-F67B-4A2D-9D21-E1D34FC4CC27}"/>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F066DA17-07DF-4A5E-B861-B10E7FD29154}"/>
    <cellStyle name="Normal 5 3 3 3 6 2 3" xfId="12847" xr:uid="{53B17338-8EEE-48C7-84C2-B1E6C9E75336}"/>
    <cellStyle name="Normal 5 3 3 3 6 3" xfId="6470" xr:uid="{00000000-0005-0000-0000-0000EA190000}"/>
    <cellStyle name="Normal 5 3 3 3 6 3 2" xfId="14920" xr:uid="{9C6B709B-0198-4990-A8FB-BB8A5E9B9D36}"/>
    <cellStyle name="Normal 5 3 3 3 6 4" xfId="10702" xr:uid="{9DD197CC-A411-4C64-A624-8238763F24CA}"/>
    <cellStyle name="Normal 5 3 3 3 7" xfId="2600" xr:uid="{00000000-0005-0000-0000-0000EB190000}"/>
    <cellStyle name="Normal 5 3 3 3 7 2" xfId="6883" xr:uid="{00000000-0005-0000-0000-0000EC190000}"/>
    <cellStyle name="Normal 5 3 3 3 7 2 2" xfId="15333" xr:uid="{5723AC73-534A-4C2F-8FC9-1DD0FFD460DF}"/>
    <cellStyle name="Normal 5 3 3 3 7 3" xfId="11115" xr:uid="{5E914F7E-1524-469F-8078-03D8A69C646B}"/>
    <cellStyle name="Normal 5 3 3 3 8" xfId="4818" xr:uid="{00000000-0005-0000-0000-0000ED190000}"/>
    <cellStyle name="Normal 5 3 3 3 8 2" xfId="13268" xr:uid="{CCA83B92-3227-4ACB-9C4C-A834AB265CDE}"/>
    <cellStyle name="Normal 5 3 3 3 9" xfId="9050" xr:uid="{9B0AD1F6-E610-4760-ACCA-09C9CE3A0AB1}"/>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09C34CDF-D735-47BD-82CF-6B9C1958D41F}"/>
    <cellStyle name="Normal 5 3 3 4 2 2 3" xfId="11610" xr:uid="{A880BB23-1844-4EF5-B02B-5B561D3FD210}"/>
    <cellStyle name="Normal 5 3 3 4 2 3" xfId="5233" xr:uid="{00000000-0005-0000-0000-0000F2190000}"/>
    <cellStyle name="Normal 5 3 3 4 2 3 2" xfId="13683" xr:uid="{458EE2E6-C2C1-4631-A3E7-9114D82E662A}"/>
    <cellStyle name="Normal 5 3 3 4 2 4" xfId="9465" xr:uid="{694ECED2-21F2-4769-B3D2-55257D280AD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CC790C97-B590-4530-9D47-6AD45DFCD27B}"/>
    <cellStyle name="Normal 5 3 3 4 3 2 3" xfId="12023" xr:uid="{3507CC4C-CFCB-4793-87A5-C3DCF3F935AE}"/>
    <cellStyle name="Normal 5 3 3 4 3 3" xfId="5646" xr:uid="{00000000-0005-0000-0000-0000F6190000}"/>
    <cellStyle name="Normal 5 3 3 4 3 3 2" xfId="14096" xr:uid="{505A2240-0CA2-4813-8EC9-9451584386DC}"/>
    <cellStyle name="Normal 5 3 3 4 3 4" xfId="9878" xr:uid="{A529A562-7338-469E-A85F-552B042DC31B}"/>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A550B7E3-F83C-45AE-B3D9-ABCFA9131FD1}"/>
    <cellStyle name="Normal 5 3 3 4 4 2 3" xfId="12436" xr:uid="{84236D4B-A397-473A-9A5E-EA56F2CB68EE}"/>
    <cellStyle name="Normal 5 3 3 4 4 3" xfId="6059" xr:uid="{00000000-0005-0000-0000-0000FA190000}"/>
    <cellStyle name="Normal 5 3 3 4 4 3 2" xfId="14509" xr:uid="{AC524690-CDAD-4A23-9CF5-76F77BD5AA4D}"/>
    <cellStyle name="Normal 5 3 3 4 4 4" xfId="10291" xr:uid="{35C9FFCD-9FD6-4381-800D-2BC33E250584}"/>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5DF28C6C-4BF3-4B34-9A6C-4D12AEC25C17}"/>
    <cellStyle name="Normal 5 3 3 4 5 2 3" xfId="12849" xr:uid="{68547308-B8D2-4456-B2DC-BEE3DA109655}"/>
    <cellStyle name="Normal 5 3 3 4 5 3" xfId="6472" xr:uid="{00000000-0005-0000-0000-0000FE190000}"/>
    <cellStyle name="Normal 5 3 3 4 5 3 2" xfId="14922" xr:uid="{4BC0E6E5-25D7-4329-AC8A-F0776DE8AAD7}"/>
    <cellStyle name="Normal 5 3 3 4 5 4" xfId="10704" xr:uid="{F2CE6A4E-4D44-4C69-BDBC-2BA379C336D2}"/>
    <cellStyle name="Normal 5 3 3 4 6" xfId="2602" xr:uid="{00000000-0005-0000-0000-0000FF190000}"/>
    <cellStyle name="Normal 5 3 3 4 6 2" xfId="6885" xr:uid="{00000000-0005-0000-0000-0000001A0000}"/>
    <cellStyle name="Normal 5 3 3 4 6 2 2" xfId="15335" xr:uid="{568D99F5-59AD-448E-B648-4BD2B043F81C}"/>
    <cellStyle name="Normal 5 3 3 4 6 3" xfId="11117" xr:uid="{6F45B99E-C2B9-4D64-A58C-6AB6FF495A3E}"/>
    <cellStyle name="Normal 5 3 3 4 7" xfId="4820" xr:uid="{00000000-0005-0000-0000-0000011A0000}"/>
    <cellStyle name="Normal 5 3 3 4 7 2" xfId="13270" xr:uid="{A57E82F2-E671-45AC-A9B3-F28898B90F47}"/>
    <cellStyle name="Normal 5 3 3 4 8" xfId="9052" xr:uid="{4B57376E-7E77-416D-A82A-64DD3DD126CB}"/>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B5D1D1C1-EA0C-4271-95F4-4880F39568AC}"/>
    <cellStyle name="Normal 5 3 3 5 2 3" xfId="11603" xr:uid="{01A4DC0D-8926-47EF-9117-A4DD152D8C00}"/>
    <cellStyle name="Normal 5 3 3 5 3" xfId="5226" xr:uid="{00000000-0005-0000-0000-0000051A0000}"/>
    <cellStyle name="Normal 5 3 3 5 3 2" xfId="13676" xr:uid="{61C51646-0C62-48E8-9DC2-2293CE86CE58}"/>
    <cellStyle name="Normal 5 3 3 5 4" xfId="9458" xr:uid="{BAC7640F-6862-43C4-B799-D1A5C52F2895}"/>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2280AC36-91E2-49A3-AF4D-16E05B97B5D5}"/>
    <cellStyle name="Normal 5 3 3 6 2 3" xfId="12016" xr:uid="{331ECFBA-AC20-41C4-8C0B-0D6BC26D06AF}"/>
    <cellStyle name="Normal 5 3 3 6 3" xfId="5639" xr:uid="{00000000-0005-0000-0000-0000091A0000}"/>
    <cellStyle name="Normal 5 3 3 6 3 2" xfId="14089" xr:uid="{A8A9E39E-27EB-47E0-8E8B-0581C0C972AC}"/>
    <cellStyle name="Normal 5 3 3 6 4" xfId="9871" xr:uid="{5769EA2E-B1B0-48B3-9BE6-C9C0DF6470F1}"/>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501B0238-2918-44C2-BF89-BC922350A779}"/>
    <cellStyle name="Normal 5 3 3 7 2 3" xfId="12429" xr:uid="{A2DB8E11-94F7-4611-A889-F6CCB01F84A3}"/>
    <cellStyle name="Normal 5 3 3 7 3" xfId="6052" xr:uid="{00000000-0005-0000-0000-00000D1A0000}"/>
    <cellStyle name="Normal 5 3 3 7 3 2" xfId="14502" xr:uid="{B9B4524F-4182-468F-AF2C-8CF9467671D4}"/>
    <cellStyle name="Normal 5 3 3 7 4" xfId="10284" xr:uid="{5A2BFB12-1BCE-457D-92AA-E7A80DBA52CB}"/>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4BC0F9C0-424E-4242-AE21-5F8FE13E2698}"/>
    <cellStyle name="Normal 5 3 3 8 2 3" xfId="12842" xr:uid="{BB4841A6-5659-4ABA-B7A2-4278C21A0712}"/>
    <cellStyle name="Normal 5 3 3 8 3" xfId="6465" xr:uid="{00000000-0005-0000-0000-0000111A0000}"/>
    <cellStyle name="Normal 5 3 3 8 3 2" xfId="14915" xr:uid="{212E4061-577E-444B-9E90-FDB25E54153D}"/>
    <cellStyle name="Normal 5 3 3 8 4" xfId="10697" xr:uid="{81F0BB75-039E-4EE7-BB0C-211DF6DF14D2}"/>
    <cellStyle name="Normal 5 3 3 9" xfId="2595" xr:uid="{00000000-0005-0000-0000-0000121A0000}"/>
    <cellStyle name="Normal 5 3 3 9 2" xfId="6878" xr:uid="{00000000-0005-0000-0000-0000131A0000}"/>
    <cellStyle name="Normal 5 3 3 9 2 2" xfId="15328" xr:uid="{0A7317D8-9BF1-48D1-A910-B23933AF697F}"/>
    <cellStyle name="Normal 5 3 3 9 3" xfId="11110" xr:uid="{89D9895F-86EB-480B-A557-ADFF9D6B1C3F}"/>
    <cellStyle name="Normal 5 3 4" xfId="449" xr:uid="{00000000-0005-0000-0000-0000141A0000}"/>
    <cellStyle name="Normal 5 3 4 10" xfId="9053" xr:uid="{99024E7A-2E15-482F-8F1D-0132A8BAFB32}"/>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A6CFA4D6-45BF-441B-ABE9-E4D6DFFC819B}"/>
    <cellStyle name="Normal 5 3 4 2 2 2 2 3" xfId="11613" xr:uid="{9DA028A4-E556-4A05-8645-5D611F732C86}"/>
    <cellStyle name="Normal 5 3 4 2 2 2 3" xfId="5236" xr:uid="{00000000-0005-0000-0000-00001A1A0000}"/>
    <cellStyle name="Normal 5 3 4 2 2 2 3 2" xfId="13686" xr:uid="{60257213-8388-4B29-9C54-0302A05B04B3}"/>
    <cellStyle name="Normal 5 3 4 2 2 2 4" xfId="9468" xr:uid="{AF9D05E5-1CE4-4025-8E1F-7FCAECBA9C3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B5AE1B84-284D-4894-B422-59B61491A477}"/>
    <cellStyle name="Normal 5 3 4 2 2 3 2 3" xfId="12026" xr:uid="{63AC3F20-2A95-4C48-A578-F6716BBCDE7C}"/>
    <cellStyle name="Normal 5 3 4 2 2 3 3" xfId="5649" xr:uid="{00000000-0005-0000-0000-00001E1A0000}"/>
    <cellStyle name="Normal 5 3 4 2 2 3 3 2" xfId="14099" xr:uid="{9DCAF5A1-87C0-48D2-BAF1-1421A92294F2}"/>
    <cellStyle name="Normal 5 3 4 2 2 3 4" xfId="9881" xr:uid="{E0B29CFC-4BA1-4EC9-BC28-5DE8A44FFF8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C573B5AE-4AFF-4B11-98E5-04B849613E52}"/>
    <cellStyle name="Normal 5 3 4 2 2 4 2 3" xfId="12439" xr:uid="{4B7F7573-7257-493C-BA61-C12E03B78B14}"/>
    <cellStyle name="Normal 5 3 4 2 2 4 3" xfId="6062" xr:uid="{00000000-0005-0000-0000-0000221A0000}"/>
    <cellStyle name="Normal 5 3 4 2 2 4 3 2" xfId="14512" xr:uid="{883AFCA5-F65D-4F0F-A1DA-D090157DFEC3}"/>
    <cellStyle name="Normal 5 3 4 2 2 4 4" xfId="10294" xr:uid="{F7D57140-0208-46E9-B0D0-1ACD3F09FF5B}"/>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96E30CBE-0C57-4F8B-9089-1A5E156FD607}"/>
    <cellStyle name="Normal 5 3 4 2 2 5 2 3" xfId="12852" xr:uid="{46F9937F-5941-4734-95A9-6D2FBF4E998A}"/>
    <cellStyle name="Normal 5 3 4 2 2 5 3" xfId="6475" xr:uid="{00000000-0005-0000-0000-0000261A0000}"/>
    <cellStyle name="Normal 5 3 4 2 2 5 3 2" xfId="14925" xr:uid="{0E5E2261-9E24-469E-9F0B-8DAE8794AD2D}"/>
    <cellStyle name="Normal 5 3 4 2 2 5 4" xfId="10707" xr:uid="{CCEE4749-7C04-4B5F-BFD0-B932795AD9E8}"/>
    <cellStyle name="Normal 5 3 4 2 2 6" xfId="2605" xr:uid="{00000000-0005-0000-0000-0000271A0000}"/>
    <cellStyle name="Normal 5 3 4 2 2 6 2" xfId="6888" xr:uid="{00000000-0005-0000-0000-0000281A0000}"/>
    <cellStyle name="Normal 5 3 4 2 2 6 2 2" xfId="15338" xr:uid="{C84A157D-8B54-41C7-829A-095CFA6373D1}"/>
    <cellStyle name="Normal 5 3 4 2 2 6 3" xfId="11120" xr:uid="{25D606FE-0EFF-4292-8E28-D4320D11BCB0}"/>
    <cellStyle name="Normal 5 3 4 2 2 7" xfId="4823" xr:uid="{00000000-0005-0000-0000-0000291A0000}"/>
    <cellStyle name="Normal 5 3 4 2 2 7 2" xfId="13273" xr:uid="{74DD99C9-296E-4CFB-8719-BD6B02491FDC}"/>
    <cellStyle name="Normal 5 3 4 2 2 8" xfId="9055" xr:uid="{166BDD38-121A-427B-96D1-9B24120B0EF8}"/>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0016EE7C-42A1-4CC7-9F63-50704869BB03}"/>
    <cellStyle name="Normal 5 3 4 2 3 2 3" xfId="11612" xr:uid="{F584E3AE-8FFB-4543-9C74-8A7658377FC0}"/>
    <cellStyle name="Normal 5 3 4 2 3 3" xfId="5235" xr:uid="{00000000-0005-0000-0000-00002D1A0000}"/>
    <cellStyle name="Normal 5 3 4 2 3 3 2" xfId="13685" xr:uid="{BA0BF3B4-AF72-4260-8F8A-EA5C8A203D31}"/>
    <cellStyle name="Normal 5 3 4 2 3 4" xfId="9467" xr:uid="{D34F3DFF-F0C9-4AB2-B985-16EC7B8F669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1D0FA15A-A453-4392-AC69-5A93051DF6E4}"/>
    <cellStyle name="Normal 5 3 4 2 4 2 3" xfId="12025" xr:uid="{440CA747-F7BB-40F3-A07A-17E644CE474D}"/>
    <cellStyle name="Normal 5 3 4 2 4 3" xfId="5648" xr:uid="{00000000-0005-0000-0000-0000311A0000}"/>
    <cellStyle name="Normal 5 3 4 2 4 3 2" xfId="14098" xr:uid="{6FD02D45-7A20-488B-B27C-08E53E42BBC4}"/>
    <cellStyle name="Normal 5 3 4 2 4 4" xfId="9880" xr:uid="{9DED7865-FE5B-48ED-B1DA-15763264A6B2}"/>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90A2A3B7-46F3-4621-8524-33F06C983231}"/>
    <cellStyle name="Normal 5 3 4 2 5 2 3" xfId="12438" xr:uid="{F54971F8-33C0-44CF-9BDE-127485BB344A}"/>
    <cellStyle name="Normal 5 3 4 2 5 3" xfId="6061" xr:uid="{00000000-0005-0000-0000-0000351A0000}"/>
    <cellStyle name="Normal 5 3 4 2 5 3 2" xfId="14511" xr:uid="{E92F3939-8FE5-48EC-89B9-9F65F39E7253}"/>
    <cellStyle name="Normal 5 3 4 2 5 4" xfId="10293" xr:uid="{C9D873D8-8E74-4913-9F5F-982A042BCA2E}"/>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D61E444E-C652-40DE-AB71-981FE7B200F1}"/>
    <cellStyle name="Normal 5 3 4 2 6 2 3" xfId="12851" xr:uid="{4F6AD263-7662-483A-A487-0CC5EE52CF3E}"/>
    <cellStyle name="Normal 5 3 4 2 6 3" xfId="6474" xr:uid="{00000000-0005-0000-0000-0000391A0000}"/>
    <cellStyle name="Normal 5 3 4 2 6 3 2" xfId="14924" xr:uid="{A91EDE36-1469-4F30-AC01-247F27E3138D}"/>
    <cellStyle name="Normal 5 3 4 2 6 4" xfId="10706" xr:uid="{221F6A41-0DF0-4C0A-8162-54572702B670}"/>
    <cellStyle name="Normal 5 3 4 2 7" xfId="2604" xr:uid="{00000000-0005-0000-0000-00003A1A0000}"/>
    <cellStyle name="Normal 5 3 4 2 7 2" xfId="6887" xr:uid="{00000000-0005-0000-0000-00003B1A0000}"/>
    <cellStyle name="Normal 5 3 4 2 7 2 2" xfId="15337" xr:uid="{AC22C122-E1A5-494C-A46F-AE128F904418}"/>
    <cellStyle name="Normal 5 3 4 2 7 3" xfId="11119" xr:uid="{0F0F5BDA-EE12-4610-A474-ADF52E3A2C9F}"/>
    <cellStyle name="Normal 5 3 4 2 8" xfId="4822" xr:uid="{00000000-0005-0000-0000-00003C1A0000}"/>
    <cellStyle name="Normal 5 3 4 2 8 2" xfId="13272" xr:uid="{051B09BC-336C-4258-A125-50179B4E314F}"/>
    <cellStyle name="Normal 5 3 4 2 9" xfId="9054" xr:uid="{50DB0411-D285-4AED-9FA7-529A1C54EC9A}"/>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DA44E3BF-B067-4F6D-9EA3-A47730FAA2A3}"/>
    <cellStyle name="Normal 5 3 4 3 2 2 3" xfId="11614" xr:uid="{169F3FF8-820D-446E-8481-3233FBDABEC0}"/>
    <cellStyle name="Normal 5 3 4 3 2 3" xfId="5237" xr:uid="{00000000-0005-0000-0000-0000411A0000}"/>
    <cellStyle name="Normal 5 3 4 3 2 3 2" xfId="13687" xr:uid="{0839535E-E3E0-4E69-9F58-5AD0CFAC406A}"/>
    <cellStyle name="Normal 5 3 4 3 2 4" xfId="9469" xr:uid="{A6D088FC-CE58-4F7A-B601-7FD5A5F448CC}"/>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E89E3C12-12D2-449D-86C3-A0163DBB5515}"/>
    <cellStyle name="Normal 5 3 4 3 3 2 3" xfId="12027" xr:uid="{76B92791-1F3A-4323-A950-96A544EE0D2C}"/>
    <cellStyle name="Normal 5 3 4 3 3 3" xfId="5650" xr:uid="{00000000-0005-0000-0000-0000451A0000}"/>
    <cellStyle name="Normal 5 3 4 3 3 3 2" xfId="14100" xr:uid="{48C02B3A-0CC2-45E9-83A0-90A599B7CDD8}"/>
    <cellStyle name="Normal 5 3 4 3 3 4" xfId="9882" xr:uid="{0BEA50BB-BF50-47B2-8068-75BCE142721C}"/>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66B1A44B-AD4F-47D0-9AE6-C4A586DECCA0}"/>
    <cellStyle name="Normal 5 3 4 3 4 2 3" xfId="12440" xr:uid="{A992FC63-AD5F-4AA9-9E75-80CFF2345E5D}"/>
    <cellStyle name="Normal 5 3 4 3 4 3" xfId="6063" xr:uid="{00000000-0005-0000-0000-0000491A0000}"/>
    <cellStyle name="Normal 5 3 4 3 4 3 2" xfId="14513" xr:uid="{059EC8D1-6CFB-4496-855A-AB72268834B2}"/>
    <cellStyle name="Normal 5 3 4 3 4 4" xfId="10295" xr:uid="{C657FF5E-9DD1-408C-BD0F-3232088203BE}"/>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A7D4BF1D-2758-489D-A5B2-FB63963415C5}"/>
    <cellStyle name="Normal 5 3 4 3 5 2 3" xfId="12853" xr:uid="{1051B038-73EF-496E-B9B6-BF63C10A9345}"/>
    <cellStyle name="Normal 5 3 4 3 5 3" xfId="6476" xr:uid="{00000000-0005-0000-0000-00004D1A0000}"/>
    <cellStyle name="Normal 5 3 4 3 5 3 2" xfId="14926" xr:uid="{0C3F7A62-53FF-4ED9-A752-5B74D94B2B6A}"/>
    <cellStyle name="Normal 5 3 4 3 5 4" xfId="10708" xr:uid="{0CA6199D-9EA9-4A2D-8B33-1564E2338DCD}"/>
    <cellStyle name="Normal 5 3 4 3 6" xfId="2606" xr:uid="{00000000-0005-0000-0000-00004E1A0000}"/>
    <cellStyle name="Normal 5 3 4 3 6 2" xfId="6889" xr:uid="{00000000-0005-0000-0000-00004F1A0000}"/>
    <cellStyle name="Normal 5 3 4 3 6 2 2" xfId="15339" xr:uid="{F8B7CD0F-704E-4A3D-AC28-D5C4648ECAC2}"/>
    <cellStyle name="Normal 5 3 4 3 6 3" xfId="11121" xr:uid="{9228F764-ED3D-45FA-984B-030498A505A0}"/>
    <cellStyle name="Normal 5 3 4 3 7" xfId="4824" xr:uid="{00000000-0005-0000-0000-0000501A0000}"/>
    <cellStyle name="Normal 5 3 4 3 7 2" xfId="13274" xr:uid="{464D468D-4159-4F42-88C2-ED67F4B04B8B}"/>
    <cellStyle name="Normal 5 3 4 3 8" xfId="9056" xr:uid="{4F1490D5-7AF6-4EDB-81D1-DFC6059507F8}"/>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ED892CD-2467-49CE-9F8F-9547B1FC9206}"/>
    <cellStyle name="Normal 5 3 4 4 2 3" xfId="11611" xr:uid="{C2354DC4-5ED7-4B92-92FD-576533C4CFD6}"/>
    <cellStyle name="Normal 5 3 4 4 3" xfId="5234" xr:uid="{00000000-0005-0000-0000-0000541A0000}"/>
    <cellStyle name="Normal 5 3 4 4 3 2" xfId="13684" xr:uid="{778D3E44-7E2A-463E-97BE-61151AA20A67}"/>
    <cellStyle name="Normal 5 3 4 4 4" xfId="9466" xr:uid="{CA499193-900F-406E-A0C7-802E1E3FC3E6}"/>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95BF5892-4D05-4CE6-A6D8-065BC2D5E406}"/>
    <cellStyle name="Normal 5 3 4 5 2 3" xfId="12024" xr:uid="{7CB35F79-FD49-4AB6-BCD0-B94ED45DC442}"/>
    <cellStyle name="Normal 5 3 4 5 3" xfId="5647" xr:uid="{00000000-0005-0000-0000-0000581A0000}"/>
    <cellStyle name="Normal 5 3 4 5 3 2" xfId="14097" xr:uid="{73CEDF32-E60C-4EF2-B31C-96CB4AF428A6}"/>
    <cellStyle name="Normal 5 3 4 5 4" xfId="9879" xr:uid="{5F0DD12E-7B9E-4FF2-85E4-065D234E6AE7}"/>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B11DE49A-4F84-4157-B13C-60C81757288D}"/>
    <cellStyle name="Normal 5 3 4 6 2 3" xfId="12437" xr:uid="{9082D95E-B257-477F-9E28-FF326918AA2D}"/>
    <cellStyle name="Normal 5 3 4 6 3" xfId="6060" xr:uid="{00000000-0005-0000-0000-00005C1A0000}"/>
    <cellStyle name="Normal 5 3 4 6 3 2" xfId="14510" xr:uid="{CB240A3F-9A42-4290-8268-68F2FADC2F67}"/>
    <cellStyle name="Normal 5 3 4 6 4" xfId="10292" xr:uid="{96D8FA50-6DB9-4C76-9BA1-C869633B04E9}"/>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9DA1DBBC-6164-484F-AFB6-6C190C485B64}"/>
    <cellStyle name="Normal 5 3 4 7 2 3" xfId="12850" xr:uid="{44458C5F-A197-49CB-8273-34659D1B1223}"/>
    <cellStyle name="Normal 5 3 4 7 3" xfId="6473" xr:uid="{00000000-0005-0000-0000-0000601A0000}"/>
    <cellStyle name="Normal 5 3 4 7 3 2" xfId="14923" xr:uid="{4880F989-14FF-4145-9E1D-7D102275543C}"/>
    <cellStyle name="Normal 5 3 4 7 4" xfId="10705" xr:uid="{78B66676-C3B3-464A-BDAA-9DDEFCA6B781}"/>
    <cellStyle name="Normal 5 3 4 8" xfId="2603" xr:uid="{00000000-0005-0000-0000-0000611A0000}"/>
    <cellStyle name="Normal 5 3 4 8 2" xfId="6886" xr:uid="{00000000-0005-0000-0000-0000621A0000}"/>
    <cellStyle name="Normal 5 3 4 8 2 2" xfId="15336" xr:uid="{0CF5D20A-04C8-4D79-BF25-C4694746E668}"/>
    <cellStyle name="Normal 5 3 4 8 3" xfId="11118" xr:uid="{4C441E8B-8A6B-484C-BE2F-4C06FDCE9DCC}"/>
    <cellStyle name="Normal 5 3 4 9" xfId="4821" xr:uid="{00000000-0005-0000-0000-0000631A0000}"/>
    <cellStyle name="Normal 5 3 4 9 2" xfId="13271" xr:uid="{18805A07-33F0-48A7-9801-018395DE7AA1}"/>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3FE10C3E-3480-46BE-BAC2-0D974EFBDBE3}"/>
    <cellStyle name="Normal 5 3 5 2 2 2 3" xfId="11616" xr:uid="{1177F665-5A78-4CAA-974D-0A007C683973}"/>
    <cellStyle name="Normal 5 3 5 2 2 3" xfId="5239" xr:uid="{00000000-0005-0000-0000-0000691A0000}"/>
    <cellStyle name="Normal 5 3 5 2 2 3 2" xfId="13689" xr:uid="{57698C06-0352-48B2-8EBA-2EC234306C3E}"/>
    <cellStyle name="Normal 5 3 5 2 2 4" xfId="9471" xr:uid="{5E0907FA-4BC4-4D63-9A2B-5A7782774C7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995A206D-2E99-4E73-B337-32A6CA0E7EF5}"/>
    <cellStyle name="Normal 5 3 5 2 3 2 3" xfId="12029" xr:uid="{54245C29-617F-445D-B7A3-8413DAD208C2}"/>
    <cellStyle name="Normal 5 3 5 2 3 3" xfId="5652" xr:uid="{00000000-0005-0000-0000-00006D1A0000}"/>
    <cellStyle name="Normal 5 3 5 2 3 3 2" xfId="14102" xr:uid="{EC343EF4-61F1-4211-9014-660E7FA8D1A1}"/>
    <cellStyle name="Normal 5 3 5 2 3 4" xfId="9884" xr:uid="{44F70130-CC89-41BD-AB11-B54B6EF327C8}"/>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60ABDC33-EFB4-4CD6-B173-68DA8E90164F}"/>
    <cellStyle name="Normal 5 3 5 2 4 2 3" xfId="12442" xr:uid="{C273A9DF-235E-408F-92BD-A19C1CDD90F3}"/>
    <cellStyle name="Normal 5 3 5 2 4 3" xfId="6065" xr:uid="{00000000-0005-0000-0000-0000711A0000}"/>
    <cellStyle name="Normal 5 3 5 2 4 3 2" xfId="14515" xr:uid="{EB4B7DF0-40FD-4B5C-B86A-E4DA7740155A}"/>
    <cellStyle name="Normal 5 3 5 2 4 4" xfId="10297" xr:uid="{F273BF5F-B5BB-4989-929A-21EF340429F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915B6D2B-4CEC-40D5-AA57-2FEB37E7A783}"/>
    <cellStyle name="Normal 5 3 5 2 5 2 3" xfId="12855" xr:uid="{88406368-B0C3-4347-8527-9086F210B46F}"/>
    <cellStyle name="Normal 5 3 5 2 5 3" xfId="6478" xr:uid="{00000000-0005-0000-0000-0000751A0000}"/>
    <cellStyle name="Normal 5 3 5 2 5 3 2" xfId="14928" xr:uid="{EAA0D7AA-ED60-42C3-AAF5-3AC10370C89E}"/>
    <cellStyle name="Normal 5 3 5 2 5 4" xfId="10710" xr:uid="{E9C367B3-5050-41E1-A7FA-6CA0B7622211}"/>
    <cellStyle name="Normal 5 3 5 2 6" xfId="2608" xr:uid="{00000000-0005-0000-0000-0000761A0000}"/>
    <cellStyle name="Normal 5 3 5 2 6 2" xfId="6891" xr:uid="{00000000-0005-0000-0000-0000771A0000}"/>
    <cellStyle name="Normal 5 3 5 2 6 2 2" xfId="15341" xr:uid="{8ED037A5-3941-45BD-A794-8AD96A98BB53}"/>
    <cellStyle name="Normal 5 3 5 2 6 3" xfId="11123" xr:uid="{64DA5D43-1CC5-4692-B70D-1ECC3771904A}"/>
    <cellStyle name="Normal 5 3 5 2 7" xfId="4826" xr:uid="{00000000-0005-0000-0000-0000781A0000}"/>
    <cellStyle name="Normal 5 3 5 2 7 2" xfId="13276" xr:uid="{8240641B-440A-40C6-9FF4-B5FEB896BE7F}"/>
    <cellStyle name="Normal 5 3 5 2 8" xfId="9058" xr:uid="{2D0F94AE-B0A1-4C98-ADCC-AB007A6E7154}"/>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D2D8C1C2-D574-4D67-ACBF-4A2D410524B7}"/>
    <cellStyle name="Normal 5 3 5 3 2 3" xfId="11615" xr:uid="{D28CCD89-15C3-4355-93EE-179AEC2155F8}"/>
    <cellStyle name="Normal 5 3 5 3 3" xfId="5238" xr:uid="{00000000-0005-0000-0000-00007C1A0000}"/>
    <cellStyle name="Normal 5 3 5 3 3 2" xfId="13688" xr:uid="{1358107A-480D-478F-A6C7-67FFE932EEA2}"/>
    <cellStyle name="Normal 5 3 5 3 4" xfId="9470" xr:uid="{56EE937B-720C-47E1-9AAA-346B2D0E8325}"/>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CEEAEEB3-048B-41D2-A066-44E0CA4E9519}"/>
    <cellStyle name="Normal 5 3 5 4 2 3" xfId="12028" xr:uid="{4A158494-8806-4D06-923D-1C49FEA1C43E}"/>
    <cellStyle name="Normal 5 3 5 4 3" xfId="5651" xr:uid="{00000000-0005-0000-0000-0000801A0000}"/>
    <cellStyle name="Normal 5 3 5 4 3 2" xfId="14101" xr:uid="{B8751B10-5D69-4FB7-BFBC-C4A7E099A374}"/>
    <cellStyle name="Normal 5 3 5 4 4" xfId="9883" xr:uid="{1869D33B-22E3-4A33-9DBE-1DCBDACAB464}"/>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6BBE3A81-0CD9-4A6C-A0D6-C2EFFC77D02A}"/>
    <cellStyle name="Normal 5 3 5 5 2 3" xfId="12441" xr:uid="{B29845C9-E163-4F25-A4F7-10757DCF2DE7}"/>
    <cellStyle name="Normal 5 3 5 5 3" xfId="6064" xr:uid="{00000000-0005-0000-0000-0000841A0000}"/>
    <cellStyle name="Normal 5 3 5 5 3 2" xfId="14514" xr:uid="{3CA52647-9C65-449F-9A6F-A6AA4EDDC18F}"/>
    <cellStyle name="Normal 5 3 5 5 4" xfId="10296" xr:uid="{BA7D2E80-0808-4AF5-BCF4-5162536F2DFB}"/>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324031D4-3FAF-4896-A29A-6A8027DEC3F6}"/>
    <cellStyle name="Normal 5 3 5 6 2 3" xfId="12854" xr:uid="{5550FB36-70A5-4EE7-8F1D-BE5B92216A54}"/>
    <cellStyle name="Normal 5 3 5 6 3" xfId="6477" xr:uid="{00000000-0005-0000-0000-0000881A0000}"/>
    <cellStyle name="Normal 5 3 5 6 3 2" xfId="14927" xr:uid="{E6ECBC93-7DD9-47B8-9C5A-790E408B6A78}"/>
    <cellStyle name="Normal 5 3 5 6 4" xfId="10709" xr:uid="{E0ADA9E0-EFC4-4F9E-9550-C03CC550CC73}"/>
    <cellStyle name="Normal 5 3 5 7" xfId="2607" xr:uid="{00000000-0005-0000-0000-0000891A0000}"/>
    <cellStyle name="Normal 5 3 5 7 2" xfId="6890" xr:uid="{00000000-0005-0000-0000-00008A1A0000}"/>
    <cellStyle name="Normal 5 3 5 7 2 2" xfId="15340" xr:uid="{FEDB992F-29F4-4F37-B141-53AAFA59BEF7}"/>
    <cellStyle name="Normal 5 3 5 7 3" xfId="11122" xr:uid="{01E5B4AB-6E35-4FA4-A136-EACC3ECCA0CC}"/>
    <cellStyle name="Normal 5 3 5 8" xfId="4825" xr:uid="{00000000-0005-0000-0000-00008B1A0000}"/>
    <cellStyle name="Normal 5 3 5 8 2" xfId="13275" xr:uid="{395D2AD3-B5EE-4724-97D4-36A9D45DBC22}"/>
    <cellStyle name="Normal 5 3 5 9" xfId="9057" xr:uid="{D82A7EA6-93FE-42DF-A603-16908DA96673}"/>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A23B730D-7B86-41BF-97A2-768912DE8B57}"/>
    <cellStyle name="Normal 5 3 6 2 2 3" xfId="11617" xr:uid="{8F89C04B-7CD0-47C4-92F8-6B230CEF5E48}"/>
    <cellStyle name="Normal 5 3 6 2 3" xfId="5240" xr:uid="{00000000-0005-0000-0000-0000901A0000}"/>
    <cellStyle name="Normal 5 3 6 2 3 2" xfId="13690" xr:uid="{09B4673E-9B8B-40FC-B852-BAEFEEDCB16C}"/>
    <cellStyle name="Normal 5 3 6 2 4" xfId="9472" xr:uid="{8C445A1A-3A59-4657-AA10-53021C2E72EE}"/>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5C6E8242-E866-4C9C-B4E8-13EDA854F9BC}"/>
    <cellStyle name="Normal 5 3 6 3 2 3" xfId="12030" xr:uid="{C6F69769-408B-4C87-8BDA-2A4C7B8A3790}"/>
    <cellStyle name="Normal 5 3 6 3 3" xfId="5653" xr:uid="{00000000-0005-0000-0000-0000941A0000}"/>
    <cellStyle name="Normal 5 3 6 3 3 2" xfId="14103" xr:uid="{D4824B50-C22D-45FA-8962-316988E83F7D}"/>
    <cellStyle name="Normal 5 3 6 3 4" xfId="9885" xr:uid="{C4473B32-4D78-48DA-9819-B39C0B64A7B7}"/>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8AB533E9-042F-4FDE-B88D-8DEE6523713D}"/>
    <cellStyle name="Normal 5 3 6 4 2 3" xfId="12443" xr:uid="{47DAC622-6BD2-4F57-87EF-336D343D96CA}"/>
    <cellStyle name="Normal 5 3 6 4 3" xfId="6066" xr:uid="{00000000-0005-0000-0000-0000981A0000}"/>
    <cellStyle name="Normal 5 3 6 4 3 2" xfId="14516" xr:uid="{FD64B510-E2FC-4CA8-9480-0A70E385691C}"/>
    <cellStyle name="Normal 5 3 6 4 4" xfId="10298" xr:uid="{B2F0B659-2DBD-4F50-9806-D9679D526222}"/>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CED86B6D-2ADD-48DD-887D-4AF9382CF55A}"/>
    <cellStyle name="Normal 5 3 6 5 2 3" xfId="12856" xr:uid="{E70DDC83-F7BE-4A2A-8C60-3D46836C0852}"/>
    <cellStyle name="Normal 5 3 6 5 3" xfId="6479" xr:uid="{00000000-0005-0000-0000-00009C1A0000}"/>
    <cellStyle name="Normal 5 3 6 5 3 2" xfId="14929" xr:uid="{C5765F2D-671D-47CF-9752-27E0E9033E76}"/>
    <cellStyle name="Normal 5 3 6 5 4" xfId="10711" xr:uid="{00C0D88A-93A4-4A93-8F0F-1F004FDD59F3}"/>
    <cellStyle name="Normal 5 3 6 6" xfId="2609" xr:uid="{00000000-0005-0000-0000-00009D1A0000}"/>
    <cellStyle name="Normal 5 3 6 6 2" xfId="6892" xr:uid="{00000000-0005-0000-0000-00009E1A0000}"/>
    <cellStyle name="Normal 5 3 6 6 2 2" xfId="15342" xr:uid="{F76A35D5-AFC4-48B5-8F3D-2AD5F1515CAB}"/>
    <cellStyle name="Normal 5 3 6 6 3" xfId="11124" xr:uid="{8EC6238B-D8DD-4245-B0D9-0C7E36A2EC14}"/>
    <cellStyle name="Normal 5 3 6 7" xfId="4827" xr:uid="{00000000-0005-0000-0000-00009F1A0000}"/>
    <cellStyle name="Normal 5 3 6 7 2" xfId="13277" xr:uid="{2BCCD06B-27A6-44C0-ADE2-973C6F733063}"/>
    <cellStyle name="Normal 5 3 6 8" xfId="9059" xr:uid="{CC6BEA69-432E-49EA-B61B-8B1DAD8E4D2D}"/>
    <cellStyle name="Normal 5 3 7" xfId="913" xr:uid="{00000000-0005-0000-0000-0000A01A0000}"/>
    <cellStyle name="Normal 5 3 7 2" xfId="3148" xr:uid="{00000000-0005-0000-0000-0000A11A0000}"/>
    <cellStyle name="Normal 5 3 7 2 2" xfId="7370" xr:uid="{00000000-0005-0000-0000-0000A21A0000}"/>
    <cellStyle name="Normal 5 3 7 2 2 2" xfId="15820" xr:uid="{D925F725-BA19-4764-BA96-E6B287E287B7}"/>
    <cellStyle name="Normal 5 3 7 2 3" xfId="11602" xr:uid="{0FB8C68E-1F53-4D57-A1E5-0B890F942FAC}"/>
    <cellStyle name="Normal 5 3 7 3" xfId="5225" xr:uid="{00000000-0005-0000-0000-0000A31A0000}"/>
    <cellStyle name="Normal 5 3 7 3 2" xfId="13675" xr:uid="{B65AC6C2-0B70-440B-ADD0-8B48225D1895}"/>
    <cellStyle name="Normal 5 3 7 4" xfId="9457" xr:uid="{3A845704-AC90-4EA6-AD98-FCAFFB1F6511}"/>
    <cellStyle name="Normal 5 3 8" xfId="1331" xr:uid="{00000000-0005-0000-0000-0000A41A0000}"/>
    <cellStyle name="Normal 5 3 8 2" xfId="3561" xr:uid="{00000000-0005-0000-0000-0000A51A0000}"/>
    <cellStyle name="Normal 5 3 8 2 2" xfId="7783" xr:uid="{00000000-0005-0000-0000-0000A61A0000}"/>
    <cellStyle name="Normal 5 3 8 2 2 2" xfId="16233" xr:uid="{E4DF978E-19B2-4572-B4CF-F7C3BCC8A100}"/>
    <cellStyle name="Normal 5 3 8 2 3" xfId="12015" xr:uid="{4FB8B498-E1BA-4B03-9D7D-C291ECBD5E5B}"/>
    <cellStyle name="Normal 5 3 8 3" xfId="5638" xr:uid="{00000000-0005-0000-0000-0000A71A0000}"/>
    <cellStyle name="Normal 5 3 8 3 2" xfId="14088" xr:uid="{9739FF85-D049-440B-86FD-9EFAE73116A4}"/>
    <cellStyle name="Normal 5 3 8 4" xfId="9870" xr:uid="{8757A72F-38B5-4267-9858-C1C5B6DF492E}"/>
    <cellStyle name="Normal 5 3 9" xfId="1744" xr:uid="{00000000-0005-0000-0000-0000A81A0000}"/>
    <cellStyle name="Normal 5 3 9 2" xfId="3974" xr:uid="{00000000-0005-0000-0000-0000A91A0000}"/>
    <cellStyle name="Normal 5 3 9 2 2" xfId="8196" xr:uid="{00000000-0005-0000-0000-0000AA1A0000}"/>
    <cellStyle name="Normal 5 3 9 2 2 2" xfId="16646" xr:uid="{CFCBB9D1-30C3-447D-BB0D-7D6676084E9E}"/>
    <cellStyle name="Normal 5 3 9 2 3" xfId="12428" xr:uid="{A8C70807-220E-4709-BE3A-DF7EAA0307E5}"/>
    <cellStyle name="Normal 5 3 9 3" xfId="6051" xr:uid="{00000000-0005-0000-0000-0000AB1A0000}"/>
    <cellStyle name="Normal 5 3 9 3 2" xfId="14501" xr:uid="{62B21E5F-976A-416F-A057-5F8A512E4B35}"/>
    <cellStyle name="Normal 5 3 9 4" xfId="10283" xr:uid="{8C03B5B5-6323-4B95-B075-CE8C47086353}"/>
    <cellStyle name="Normal 5 4" xfId="456" xr:uid="{00000000-0005-0000-0000-0000AC1A0000}"/>
    <cellStyle name="Normal 5 4 10" xfId="4828" xr:uid="{00000000-0005-0000-0000-0000AD1A0000}"/>
    <cellStyle name="Normal 5 4 10 2" xfId="13278" xr:uid="{82967ED7-086F-4CF9-847A-EB16CFD97F22}"/>
    <cellStyle name="Normal 5 4 11" xfId="9060" xr:uid="{6E20112B-58CA-4BC6-96B5-80BBABAA447E}"/>
    <cellStyle name="Normal 5 4 2" xfId="457" xr:uid="{00000000-0005-0000-0000-0000AE1A0000}"/>
    <cellStyle name="Normal 5 4 2 10" xfId="9061" xr:uid="{78B6A3F3-50A2-486D-857C-634D1E252468}"/>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DF7C67C5-D984-4699-8C77-40791E29657F}"/>
    <cellStyle name="Normal 5 4 2 2 2 2 2 3" xfId="11621" xr:uid="{88EDBDF8-8BC4-4777-8955-A4D7D9CA053C}"/>
    <cellStyle name="Normal 5 4 2 2 2 2 3" xfId="5244" xr:uid="{00000000-0005-0000-0000-0000B41A0000}"/>
    <cellStyle name="Normal 5 4 2 2 2 2 3 2" xfId="13694" xr:uid="{87FB26C7-6FCB-4EDD-82CA-A607260D77DF}"/>
    <cellStyle name="Normal 5 4 2 2 2 2 4" xfId="9476" xr:uid="{FEF99013-FC74-4626-9243-673D624CA023}"/>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71ED9A65-870E-48E4-A831-3BA6DEC2273F}"/>
    <cellStyle name="Normal 5 4 2 2 2 3 2 3" xfId="12034" xr:uid="{FB3E0343-99FD-4C43-B563-F97318232CD5}"/>
    <cellStyle name="Normal 5 4 2 2 2 3 3" xfId="5657" xr:uid="{00000000-0005-0000-0000-0000B81A0000}"/>
    <cellStyle name="Normal 5 4 2 2 2 3 3 2" xfId="14107" xr:uid="{A88D9435-2B18-4462-ADD7-7007AA60EF21}"/>
    <cellStyle name="Normal 5 4 2 2 2 3 4" xfId="9889" xr:uid="{0FC6D6CF-FB0D-435D-A11A-CEFE4A1F4A62}"/>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233CE0D5-D688-4085-B9AB-470FF67298B1}"/>
    <cellStyle name="Normal 5 4 2 2 2 4 2 3" xfId="12447" xr:uid="{1F02BA14-BA37-46ED-8201-7B652FBD76FC}"/>
    <cellStyle name="Normal 5 4 2 2 2 4 3" xfId="6070" xr:uid="{00000000-0005-0000-0000-0000BC1A0000}"/>
    <cellStyle name="Normal 5 4 2 2 2 4 3 2" xfId="14520" xr:uid="{13BB44DA-7413-4C2C-B441-63A2618093F0}"/>
    <cellStyle name="Normal 5 4 2 2 2 4 4" xfId="10302" xr:uid="{4D6F5A01-5D15-4075-B0CC-F91B84F9C7B9}"/>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548F6E38-92A1-4ABD-B2DD-ADD8F0529032}"/>
    <cellStyle name="Normal 5 4 2 2 2 5 2 3" xfId="12860" xr:uid="{44691A4D-71BB-4253-8971-FF2A7AC6B9E0}"/>
    <cellStyle name="Normal 5 4 2 2 2 5 3" xfId="6483" xr:uid="{00000000-0005-0000-0000-0000C01A0000}"/>
    <cellStyle name="Normal 5 4 2 2 2 5 3 2" xfId="14933" xr:uid="{40BD8E9A-AC17-42AD-BE21-EBF91C8B8B57}"/>
    <cellStyle name="Normal 5 4 2 2 2 5 4" xfId="10715" xr:uid="{EAE058B1-DF09-4B75-8B98-5AEFDDED4969}"/>
    <cellStyle name="Normal 5 4 2 2 2 6" xfId="2613" xr:uid="{00000000-0005-0000-0000-0000C11A0000}"/>
    <cellStyle name="Normal 5 4 2 2 2 6 2" xfId="6896" xr:uid="{00000000-0005-0000-0000-0000C21A0000}"/>
    <cellStyle name="Normal 5 4 2 2 2 6 2 2" xfId="15346" xr:uid="{100FDE55-06F2-4BFD-8D7E-5796F21A855D}"/>
    <cellStyle name="Normal 5 4 2 2 2 6 3" xfId="11128" xr:uid="{8CDF226D-E5B4-4A78-B6DC-BCF70FA9A7FA}"/>
    <cellStyle name="Normal 5 4 2 2 2 7" xfId="4831" xr:uid="{00000000-0005-0000-0000-0000C31A0000}"/>
    <cellStyle name="Normal 5 4 2 2 2 7 2" xfId="13281" xr:uid="{E1C9F896-A8FD-4336-A5A8-23A6B25ADB25}"/>
    <cellStyle name="Normal 5 4 2 2 2 8" xfId="9063" xr:uid="{5EBB0854-BD81-43F3-B0AE-E7680BE053DD}"/>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34EAF873-DD8C-4548-93AF-ACE3A79A8C16}"/>
    <cellStyle name="Normal 5 4 2 2 3 2 3" xfId="11620" xr:uid="{E8E55950-9DDC-493E-A091-0FF89EF68DEB}"/>
    <cellStyle name="Normal 5 4 2 2 3 3" xfId="5243" xr:uid="{00000000-0005-0000-0000-0000C71A0000}"/>
    <cellStyle name="Normal 5 4 2 2 3 3 2" xfId="13693" xr:uid="{F703A5B8-9CD5-4C28-A6FC-5E8F90479806}"/>
    <cellStyle name="Normal 5 4 2 2 3 4" xfId="9475" xr:uid="{9737DD83-D63D-426E-89F2-AC472D7693AF}"/>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CF351E2F-3CA6-48C6-AC63-CAB4D8495496}"/>
    <cellStyle name="Normal 5 4 2 2 4 2 3" xfId="12033" xr:uid="{05D0FA26-2849-458E-B948-8D9F9405336F}"/>
    <cellStyle name="Normal 5 4 2 2 4 3" xfId="5656" xr:uid="{00000000-0005-0000-0000-0000CB1A0000}"/>
    <cellStyle name="Normal 5 4 2 2 4 3 2" xfId="14106" xr:uid="{C853364E-A92D-4628-A026-B0A1EEB3994E}"/>
    <cellStyle name="Normal 5 4 2 2 4 4" xfId="9888" xr:uid="{49ADC731-F21A-4CB7-A0FB-A64F4210EEA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1DED65E7-E8DF-4A96-867B-2E564D2F784F}"/>
    <cellStyle name="Normal 5 4 2 2 5 2 3" xfId="12446" xr:uid="{F3400FAD-6B7C-46C0-A027-708A9E23BB39}"/>
    <cellStyle name="Normal 5 4 2 2 5 3" xfId="6069" xr:uid="{00000000-0005-0000-0000-0000CF1A0000}"/>
    <cellStyle name="Normal 5 4 2 2 5 3 2" xfId="14519" xr:uid="{33C02328-6015-42B7-B405-49D7C5D3B218}"/>
    <cellStyle name="Normal 5 4 2 2 5 4" xfId="10301" xr:uid="{9D9AF174-FE41-4A4B-985B-6C602E62350A}"/>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9B4E0EFD-D00A-4534-A786-22890FFD2417}"/>
    <cellStyle name="Normal 5 4 2 2 6 2 3" xfId="12859" xr:uid="{3840A3FF-ABC4-4CF2-B6AA-4AD6C2D1D9C8}"/>
    <cellStyle name="Normal 5 4 2 2 6 3" xfId="6482" xr:uid="{00000000-0005-0000-0000-0000D31A0000}"/>
    <cellStyle name="Normal 5 4 2 2 6 3 2" xfId="14932" xr:uid="{03316520-BEA6-4237-93B9-18D3CB016331}"/>
    <cellStyle name="Normal 5 4 2 2 6 4" xfId="10714" xr:uid="{4655C11E-E34E-434D-9F82-FB7E7C2F9316}"/>
    <cellStyle name="Normal 5 4 2 2 7" xfId="2612" xr:uid="{00000000-0005-0000-0000-0000D41A0000}"/>
    <cellStyle name="Normal 5 4 2 2 7 2" xfId="6895" xr:uid="{00000000-0005-0000-0000-0000D51A0000}"/>
    <cellStyle name="Normal 5 4 2 2 7 2 2" xfId="15345" xr:uid="{D25FB834-54F5-4702-BA68-302AB740E86E}"/>
    <cellStyle name="Normal 5 4 2 2 7 3" xfId="11127" xr:uid="{D7C1DDF5-2497-447B-9F2A-B4E0BCDF2A63}"/>
    <cellStyle name="Normal 5 4 2 2 8" xfId="4830" xr:uid="{00000000-0005-0000-0000-0000D61A0000}"/>
    <cellStyle name="Normal 5 4 2 2 8 2" xfId="13280" xr:uid="{03BE9B1D-5670-4590-8086-C4B4597A412D}"/>
    <cellStyle name="Normal 5 4 2 2 9" xfId="9062" xr:uid="{17C1A434-4279-40A9-8F5D-0AA5DCCC7E8B}"/>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D18DA77C-D06C-42C9-B70B-0D80BC871465}"/>
    <cellStyle name="Normal 5 4 2 3 2 2 3" xfId="11622" xr:uid="{FCFA223E-03A3-4465-A7F7-6B180B1FF575}"/>
    <cellStyle name="Normal 5 4 2 3 2 3" xfId="5245" xr:uid="{00000000-0005-0000-0000-0000DB1A0000}"/>
    <cellStyle name="Normal 5 4 2 3 2 3 2" xfId="13695" xr:uid="{9386635D-8AC6-40F0-99BB-CEAF65EFBFF4}"/>
    <cellStyle name="Normal 5 4 2 3 2 4" xfId="9477" xr:uid="{364A314C-7ACA-4DCA-A71F-369A1B300F33}"/>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9DB7D060-40A8-4306-96AD-CF40D9568C60}"/>
    <cellStyle name="Normal 5 4 2 3 3 2 3" xfId="12035" xr:uid="{0C200239-C525-4EEC-87CB-4354B0D34C2F}"/>
    <cellStyle name="Normal 5 4 2 3 3 3" xfId="5658" xr:uid="{00000000-0005-0000-0000-0000DF1A0000}"/>
    <cellStyle name="Normal 5 4 2 3 3 3 2" xfId="14108" xr:uid="{B4593C3E-491C-4F0A-90E3-60357556FCB8}"/>
    <cellStyle name="Normal 5 4 2 3 3 4" xfId="9890" xr:uid="{3D5C712F-C9CF-464D-936B-AB71438BE56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A4CF36C2-545B-4BD5-BEB3-954C884FDFB1}"/>
    <cellStyle name="Normal 5 4 2 3 4 2 3" xfId="12448" xr:uid="{AA6B2934-2A18-4827-A9E3-2C659D654C1E}"/>
    <cellStyle name="Normal 5 4 2 3 4 3" xfId="6071" xr:uid="{00000000-0005-0000-0000-0000E31A0000}"/>
    <cellStyle name="Normal 5 4 2 3 4 3 2" xfId="14521" xr:uid="{D94F4313-2160-4973-A6F1-D3DAE5BD5081}"/>
    <cellStyle name="Normal 5 4 2 3 4 4" xfId="10303" xr:uid="{D9497E51-35C8-4AE5-8CC4-369D3FF8D30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0CB23B3D-5069-4B8C-8EA7-D5F8A367B6E1}"/>
    <cellStyle name="Normal 5 4 2 3 5 2 3" xfId="12861" xr:uid="{525094F4-0AB8-4E0B-8AD8-D3E2D8BEABC7}"/>
    <cellStyle name="Normal 5 4 2 3 5 3" xfId="6484" xr:uid="{00000000-0005-0000-0000-0000E71A0000}"/>
    <cellStyle name="Normal 5 4 2 3 5 3 2" xfId="14934" xr:uid="{F6CB90F1-E9B5-4C13-8345-C54388E94E72}"/>
    <cellStyle name="Normal 5 4 2 3 5 4" xfId="10716" xr:uid="{D93DD9E0-6FD6-48F0-892A-F408A3D58485}"/>
    <cellStyle name="Normal 5 4 2 3 6" xfId="2614" xr:uid="{00000000-0005-0000-0000-0000E81A0000}"/>
    <cellStyle name="Normal 5 4 2 3 6 2" xfId="6897" xr:uid="{00000000-0005-0000-0000-0000E91A0000}"/>
    <cellStyle name="Normal 5 4 2 3 6 2 2" xfId="15347" xr:uid="{AB0B22C4-3D52-4F2A-AAAF-1B664D0AB25A}"/>
    <cellStyle name="Normal 5 4 2 3 6 3" xfId="11129" xr:uid="{E042478B-22B3-416A-849A-30584C61CCD3}"/>
    <cellStyle name="Normal 5 4 2 3 7" xfId="4832" xr:uid="{00000000-0005-0000-0000-0000EA1A0000}"/>
    <cellStyle name="Normal 5 4 2 3 7 2" xfId="13282" xr:uid="{775E5AE9-C055-4772-B295-BA88A1CAF8D2}"/>
    <cellStyle name="Normal 5 4 2 3 8" xfId="9064" xr:uid="{A7B0E68A-D86B-4C1B-BC8A-5D883D49BC1B}"/>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622088A8-79DF-41CA-9B37-53C498E1C39E}"/>
    <cellStyle name="Normal 5 4 2 4 2 3" xfId="11619" xr:uid="{9675767E-7073-40D4-85F8-10434D303D4F}"/>
    <cellStyle name="Normal 5 4 2 4 3" xfId="5242" xr:uid="{00000000-0005-0000-0000-0000EE1A0000}"/>
    <cellStyle name="Normal 5 4 2 4 3 2" xfId="13692" xr:uid="{3ADEB878-EFB6-4E2B-8BC5-D49AF4BB0D9F}"/>
    <cellStyle name="Normal 5 4 2 4 4" xfId="9474" xr:uid="{2E7AA1C6-25B3-4F2B-A735-FF12FC8896BC}"/>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94A2FC61-D30E-4F42-9C96-DBD938EEEDE7}"/>
    <cellStyle name="Normal 5 4 2 5 2 3" xfId="12032" xr:uid="{3CD4A2F3-5532-4C6D-A3A2-9104C0C68755}"/>
    <cellStyle name="Normal 5 4 2 5 3" xfId="5655" xr:uid="{00000000-0005-0000-0000-0000F21A0000}"/>
    <cellStyle name="Normal 5 4 2 5 3 2" xfId="14105" xr:uid="{9ECB0B4E-5B79-46DA-A92B-576E337D8234}"/>
    <cellStyle name="Normal 5 4 2 5 4" xfId="9887" xr:uid="{D67798EF-A455-46EA-AAA2-F80BEE453F6D}"/>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06B50633-EC05-4C41-A855-0A8065BFC54D}"/>
    <cellStyle name="Normal 5 4 2 6 2 3" xfId="12445" xr:uid="{3236E3C1-E963-4931-A515-A8F48F6A4294}"/>
    <cellStyle name="Normal 5 4 2 6 3" xfId="6068" xr:uid="{00000000-0005-0000-0000-0000F61A0000}"/>
    <cellStyle name="Normal 5 4 2 6 3 2" xfId="14518" xr:uid="{31110FAE-1EB6-421C-94DB-40132B167C18}"/>
    <cellStyle name="Normal 5 4 2 6 4" xfId="10300" xr:uid="{E221C2FB-C8BA-4CEA-AE84-4726E0C45A7A}"/>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E01C49F0-47CF-4BF2-A713-8D4DEABA0A31}"/>
    <cellStyle name="Normal 5 4 2 7 2 3" xfId="12858" xr:uid="{CB31FC87-250B-41EC-A759-C0358BF75482}"/>
    <cellStyle name="Normal 5 4 2 7 3" xfId="6481" xr:uid="{00000000-0005-0000-0000-0000FA1A0000}"/>
    <cellStyle name="Normal 5 4 2 7 3 2" xfId="14931" xr:uid="{51E80078-14C8-4E94-B065-C16D8D69C60F}"/>
    <cellStyle name="Normal 5 4 2 7 4" xfId="10713" xr:uid="{8174E32D-A173-4D68-BD7F-2D833226AB33}"/>
    <cellStyle name="Normal 5 4 2 8" xfId="2611" xr:uid="{00000000-0005-0000-0000-0000FB1A0000}"/>
    <cellStyle name="Normal 5 4 2 8 2" xfId="6894" xr:uid="{00000000-0005-0000-0000-0000FC1A0000}"/>
    <cellStyle name="Normal 5 4 2 8 2 2" xfId="15344" xr:uid="{289D537E-24BD-4D81-B69A-ED5713049111}"/>
    <cellStyle name="Normal 5 4 2 8 3" xfId="11126" xr:uid="{4C73E41E-1ED8-47AF-A7FE-00A7DBA9B478}"/>
    <cellStyle name="Normal 5 4 2 9" xfId="4829" xr:uid="{00000000-0005-0000-0000-0000FD1A0000}"/>
    <cellStyle name="Normal 5 4 2 9 2" xfId="13279" xr:uid="{0D0AFC90-63C3-4426-9CFB-62A3AE2E225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2E0E7B0D-E084-4274-B990-27A5B815CE6C}"/>
    <cellStyle name="Normal 5 4 3 2 2 2 3" xfId="11624" xr:uid="{19FA72D2-AB79-40C9-B713-712A818B45D7}"/>
    <cellStyle name="Normal 5 4 3 2 2 3" xfId="5247" xr:uid="{00000000-0005-0000-0000-0000031B0000}"/>
    <cellStyle name="Normal 5 4 3 2 2 3 2" xfId="13697" xr:uid="{D403B82C-032D-4E88-9833-9CDE89638414}"/>
    <cellStyle name="Normal 5 4 3 2 2 4" xfId="9479" xr:uid="{0C242E44-F101-4C65-9D66-003F0417547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1C5AF8A4-BC7E-44B5-AAF6-EA5155503AB7}"/>
    <cellStyle name="Normal 5 4 3 2 3 2 3" xfId="12037" xr:uid="{D34ADD1A-3325-465F-BAA9-A4FF62A363A5}"/>
    <cellStyle name="Normal 5 4 3 2 3 3" xfId="5660" xr:uid="{00000000-0005-0000-0000-0000071B0000}"/>
    <cellStyle name="Normal 5 4 3 2 3 3 2" xfId="14110" xr:uid="{DB3D483B-BA1B-40B4-A967-E3B73B85EEE0}"/>
    <cellStyle name="Normal 5 4 3 2 3 4" xfId="9892" xr:uid="{D1133508-D401-4991-91CB-D9D78D0E8B14}"/>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88F5FE53-7289-43B4-AAFB-A33B7414ACA3}"/>
    <cellStyle name="Normal 5 4 3 2 4 2 3" xfId="12450" xr:uid="{020C373A-C114-4AF7-9C7C-BA8494053BF1}"/>
    <cellStyle name="Normal 5 4 3 2 4 3" xfId="6073" xr:uid="{00000000-0005-0000-0000-00000B1B0000}"/>
    <cellStyle name="Normal 5 4 3 2 4 3 2" xfId="14523" xr:uid="{0CC0F597-A025-4F64-B168-81DA7C67240A}"/>
    <cellStyle name="Normal 5 4 3 2 4 4" xfId="10305" xr:uid="{FFAD9B81-61A3-4B67-9A33-3DF111513867}"/>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DBF6667C-E25D-4A7A-B439-A0EA58B6D174}"/>
    <cellStyle name="Normal 5 4 3 2 5 2 3" xfId="12863" xr:uid="{4F35D1E0-66B2-466F-8CAF-2BA977EBA975}"/>
    <cellStyle name="Normal 5 4 3 2 5 3" xfId="6486" xr:uid="{00000000-0005-0000-0000-00000F1B0000}"/>
    <cellStyle name="Normal 5 4 3 2 5 3 2" xfId="14936" xr:uid="{B999A40B-602F-4A5C-8418-8CA4B7D23515}"/>
    <cellStyle name="Normal 5 4 3 2 5 4" xfId="10718" xr:uid="{28699701-B32C-4C89-BB2A-0647E7CCAA1F}"/>
    <cellStyle name="Normal 5 4 3 2 6" xfId="2616" xr:uid="{00000000-0005-0000-0000-0000101B0000}"/>
    <cellStyle name="Normal 5 4 3 2 6 2" xfId="6899" xr:uid="{00000000-0005-0000-0000-0000111B0000}"/>
    <cellStyle name="Normal 5 4 3 2 6 2 2" xfId="15349" xr:uid="{5B36422E-A20F-40A6-92A0-89918F849F4A}"/>
    <cellStyle name="Normal 5 4 3 2 6 3" xfId="11131" xr:uid="{8BDED8D7-894B-4FB8-AB61-EE219A11E421}"/>
    <cellStyle name="Normal 5 4 3 2 7" xfId="4834" xr:uid="{00000000-0005-0000-0000-0000121B0000}"/>
    <cellStyle name="Normal 5 4 3 2 7 2" xfId="13284" xr:uid="{3781847B-E6E7-472B-8DC3-0FCA53DDCC57}"/>
    <cellStyle name="Normal 5 4 3 2 8" xfId="9066" xr:uid="{B3E09A61-9897-47C6-9EE6-A50E6BD9F6FA}"/>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62941F55-2857-4B5E-A109-36021F825CCD}"/>
    <cellStyle name="Normal 5 4 3 3 2 3" xfId="11623" xr:uid="{EA38493D-90A0-4102-B9C3-FBA4165D2C3F}"/>
    <cellStyle name="Normal 5 4 3 3 3" xfId="5246" xr:uid="{00000000-0005-0000-0000-0000161B0000}"/>
    <cellStyle name="Normal 5 4 3 3 3 2" xfId="13696" xr:uid="{1ACE2104-E8FF-473E-8CBD-DD0B8B36B2A0}"/>
    <cellStyle name="Normal 5 4 3 3 4" xfId="9478" xr:uid="{7096CEEC-8CFF-4131-91BF-0EFDB79966D6}"/>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0BE31C3F-56A1-4D6D-A020-46F2BD58DB4E}"/>
    <cellStyle name="Normal 5 4 3 4 2 3" xfId="12036" xr:uid="{24792683-D839-4265-93D1-03BA97A063A5}"/>
    <cellStyle name="Normal 5 4 3 4 3" xfId="5659" xr:uid="{00000000-0005-0000-0000-00001A1B0000}"/>
    <cellStyle name="Normal 5 4 3 4 3 2" xfId="14109" xr:uid="{DCED3757-FB16-4277-A6EF-0A1304C3F5D0}"/>
    <cellStyle name="Normal 5 4 3 4 4" xfId="9891" xr:uid="{3EC3CE0E-5194-4468-8AD3-09E91F3922AF}"/>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5E3BCA56-C206-4156-BCEA-0B17FBCF7E05}"/>
    <cellStyle name="Normal 5 4 3 5 2 3" xfId="12449" xr:uid="{AF9CDF9B-C7FF-441E-9308-DB30A190811F}"/>
    <cellStyle name="Normal 5 4 3 5 3" xfId="6072" xr:uid="{00000000-0005-0000-0000-00001E1B0000}"/>
    <cellStyle name="Normal 5 4 3 5 3 2" xfId="14522" xr:uid="{C2D64024-2691-470A-9E94-A9764106F55F}"/>
    <cellStyle name="Normal 5 4 3 5 4" xfId="10304" xr:uid="{E48A8C6D-8095-45A6-90AA-EC8A9A14677F}"/>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604DD8E5-143A-4511-BE97-770EEFB57042}"/>
    <cellStyle name="Normal 5 4 3 6 2 3" xfId="12862" xr:uid="{4E1E4D21-856B-4218-ADD8-1B6F423696E6}"/>
    <cellStyle name="Normal 5 4 3 6 3" xfId="6485" xr:uid="{00000000-0005-0000-0000-0000221B0000}"/>
    <cellStyle name="Normal 5 4 3 6 3 2" xfId="14935" xr:uid="{95B7F18F-3455-4764-A20E-FF2482BCF145}"/>
    <cellStyle name="Normal 5 4 3 6 4" xfId="10717" xr:uid="{BA5C2B05-B776-4478-A2D1-1861D801A046}"/>
    <cellStyle name="Normal 5 4 3 7" xfId="2615" xr:uid="{00000000-0005-0000-0000-0000231B0000}"/>
    <cellStyle name="Normal 5 4 3 7 2" xfId="6898" xr:uid="{00000000-0005-0000-0000-0000241B0000}"/>
    <cellStyle name="Normal 5 4 3 7 2 2" xfId="15348" xr:uid="{59F4B2FC-AFCC-4A23-901C-E4D0521D8096}"/>
    <cellStyle name="Normal 5 4 3 7 3" xfId="11130" xr:uid="{CB459909-137F-49EA-953C-DD26A44FB807}"/>
    <cellStyle name="Normal 5 4 3 8" xfId="4833" xr:uid="{00000000-0005-0000-0000-0000251B0000}"/>
    <cellStyle name="Normal 5 4 3 8 2" xfId="13283" xr:uid="{1CB4946E-55E3-4CAE-8195-9F7E86BA23DC}"/>
    <cellStyle name="Normal 5 4 3 9" xfId="9065" xr:uid="{3088146B-58AC-4474-A6FB-FE1FB4CE70BF}"/>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2EEA0355-93C8-4CD3-9D49-DBF16BDBE8D3}"/>
    <cellStyle name="Normal 5 4 4 2 2 3" xfId="11625" xr:uid="{D51FD5FE-F04E-47DE-97D4-DC0AEEBFC686}"/>
    <cellStyle name="Normal 5 4 4 2 3" xfId="5248" xr:uid="{00000000-0005-0000-0000-00002A1B0000}"/>
    <cellStyle name="Normal 5 4 4 2 3 2" xfId="13698" xr:uid="{EA74BDAF-6ED8-4A64-984B-9CBA1DF2D158}"/>
    <cellStyle name="Normal 5 4 4 2 4" xfId="9480" xr:uid="{A2CF5DDC-9D59-417D-866D-59812F36A546}"/>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EEBD6518-BB53-4661-AA43-1DB3CA844CC9}"/>
    <cellStyle name="Normal 5 4 4 3 2 3" xfId="12038" xr:uid="{4D5E8B5C-F9E1-4CFA-960A-55EE400DD5D8}"/>
    <cellStyle name="Normal 5 4 4 3 3" xfId="5661" xr:uid="{00000000-0005-0000-0000-00002E1B0000}"/>
    <cellStyle name="Normal 5 4 4 3 3 2" xfId="14111" xr:uid="{B0C39BEF-A9FB-4690-891A-232460FB154C}"/>
    <cellStyle name="Normal 5 4 4 3 4" xfId="9893" xr:uid="{AA7AA5E6-9C5A-4F21-906B-BD0BD438D3DC}"/>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03162E4D-FB87-4CF0-8353-0FDBEB706029}"/>
    <cellStyle name="Normal 5 4 4 4 2 3" xfId="12451" xr:uid="{C458A1C5-FA2C-47BB-A0C7-7E41009AC2A6}"/>
    <cellStyle name="Normal 5 4 4 4 3" xfId="6074" xr:uid="{00000000-0005-0000-0000-0000321B0000}"/>
    <cellStyle name="Normal 5 4 4 4 3 2" xfId="14524" xr:uid="{4E46F207-DF75-466E-A661-6DE0EEB948DD}"/>
    <cellStyle name="Normal 5 4 4 4 4" xfId="10306" xr:uid="{C7DD01AA-0AE2-4B60-B7C5-3C53A8001E71}"/>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904A58F2-0E73-4489-BF73-87167C64CE33}"/>
    <cellStyle name="Normal 5 4 4 5 2 3" xfId="12864" xr:uid="{4F382FFF-7C56-4EAB-BF91-48399D4D9FF5}"/>
    <cellStyle name="Normal 5 4 4 5 3" xfId="6487" xr:uid="{00000000-0005-0000-0000-0000361B0000}"/>
    <cellStyle name="Normal 5 4 4 5 3 2" xfId="14937" xr:uid="{D5550F04-4D6A-4928-AF9A-420B1D57D229}"/>
    <cellStyle name="Normal 5 4 4 5 4" xfId="10719" xr:uid="{2FE41E85-BAA1-4248-8218-870B5F53D099}"/>
    <cellStyle name="Normal 5 4 4 6" xfId="2617" xr:uid="{00000000-0005-0000-0000-0000371B0000}"/>
    <cellStyle name="Normal 5 4 4 6 2" xfId="6900" xr:uid="{00000000-0005-0000-0000-0000381B0000}"/>
    <cellStyle name="Normal 5 4 4 6 2 2" xfId="15350" xr:uid="{13A3CD96-0F3C-4621-8B9E-2818E8494348}"/>
    <cellStyle name="Normal 5 4 4 6 3" xfId="11132" xr:uid="{D3F496DF-643B-4848-888A-DDA4B4AF6150}"/>
    <cellStyle name="Normal 5 4 4 7" xfId="4835" xr:uid="{00000000-0005-0000-0000-0000391B0000}"/>
    <cellStyle name="Normal 5 4 4 7 2" xfId="13285" xr:uid="{98B4C556-F5D4-4AAD-B132-3B8F7AC3FBB9}"/>
    <cellStyle name="Normal 5 4 4 8" xfId="9067" xr:uid="{0375D3C9-5E1F-405E-A11E-65342444506F}"/>
    <cellStyle name="Normal 5 4 5" xfId="930" xr:uid="{00000000-0005-0000-0000-00003A1B0000}"/>
    <cellStyle name="Normal 5 4 5 2" xfId="3164" xr:uid="{00000000-0005-0000-0000-00003B1B0000}"/>
    <cellStyle name="Normal 5 4 5 2 2" xfId="7386" xr:uid="{00000000-0005-0000-0000-00003C1B0000}"/>
    <cellStyle name="Normal 5 4 5 2 2 2" xfId="15836" xr:uid="{E4823A34-0B30-42C9-8FCE-6FEEB6430976}"/>
    <cellStyle name="Normal 5 4 5 2 3" xfId="11618" xr:uid="{1301DCF6-C569-44C9-81D2-0EEE3F133114}"/>
    <cellStyle name="Normal 5 4 5 3" xfId="5241" xr:uid="{00000000-0005-0000-0000-00003D1B0000}"/>
    <cellStyle name="Normal 5 4 5 3 2" xfId="13691" xr:uid="{1CF759C7-C8C2-4BE4-9401-90B20A1C9BDE}"/>
    <cellStyle name="Normal 5 4 5 4" xfId="9473" xr:uid="{0B56CCA5-FA7D-4F85-88F2-52124A670A92}"/>
    <cellStyle name="Normal 5 4 6" xfId="1347" xr:uid="{00000000-0005-0000-0000-00003E1B0000}"/>
    <cellStyle name="Normal 5 4 6 2" xfId="3577" xr:uid="{00000000-0005-0000-0000-00003F1B0000}"/>
    <cellStyle name="Normal 5 4 6 2 2" xfId="7799" xr:uid="{00000000-0005-0000-0000-0000401B0000}"/>
    <cellStyle name="Normal 5 4 6 2 2 2" xfId="16249" xr:uid="{258E606A-3090-48C8-A841-5BE379DFAA46}"/>
    <cellStyle name="Normal 5 4 6 2 3" xfId="12031" xr:uid="{670FFA07-28C2-4277-9DA7-3357DC904D37}"/>
    <cellStyle name="Normal 5 4 6 3" xfId="5654" xr:uid="{00000000-0005-0000-0000-0000411B0000}"/>
    <cellStyle name="Normal 5 4 6 3 2" xfId="14104" xr:uid="{DA001947-07DD-430F-B69A-B3DCB222E9F6}"/>
    <cellStyle name="Normal 5 4 6 4" xfId="9886" xr:uid="{500126AA-58E7-4A2B-A675-7CA3792EFD3A}"/>
    <cellStyle name="Normal 5 4 7" xfId="1760" xr:uid="{00000000-0005-0000-0000-0000421B0000}"/>
    <cellStyle name="Normal 5 4 7 2" xfId="3990" xr:uid="{00000000-0005-0000-0000-0000431B0000}"/>
    <cellStyle name="Normal 5 4 7 2 2" xfId="8212" xr:uid="{00000000-0005-0000-0000-0000441B0000}"/>
    <cellStyle name="Normal 5 4 7 2 2 2" xfId="16662" xr:uid="{D43A00AD-777B-446B-BEE2-4C6802732830}"/>
    <cellStyle name="Normal 5 4 7 2 3" xfId="12444" xr:uid="{D7D1F19E-4F66-4F04-BF05-2301109A04D7}"/>
    <cellStyle name="Normal 5 4 7 3" xfId="6067" xr:uid="{00000000-0005-0000-0000-0000451B0000}"/>
    <cellStyle name="Normal 5 4 7 3 2" xfId="14517" xr:uid="{1AB3D6E9-0DFE-4604-9018-C5D4FB56A8A4}"/>
    <cellStyle name="Normal 5 4 7 4" xfId="10299" xr:uid="{1AFBE4E3-FB11-4D82-96DD-9A4DF054B89E}"/>
    <cellStyle name="Normal 5 4 8" xfId="2174" xr:uid="{00000000-0005-0000-0000-0000461B0000}"/>
    <cellStyle name="Normal 5 4 8 2" xfId="4403" xr:uid="{00000000-0005-0000-0000-0000471B0000}"/>
    <cellStyle name="Normal 5 4 8 2 2" xfId="8625" xr:uid="{00000000-0005-0000-0000-0000481B0000}"/>
    <cellStyle name="Normal 5 4 8 2 2 2" xfId="17075" xr:uid="{D423E476-EB1D-4018-BD2A-A4597D059C3C}"/>
    <cellStyle name="Normal 5 4 8 2 3" xfId="12857" xr:uid="{C26B0FD4-FFF0-4C70-B530-034C27B08D98}"/>
    <cellStyle name="Normal 5 4 8 3" xfId="6480" xr:uid="{00000000-0005-0000-0000-0000491B0000}"/>
    <cellStyle name="Normal 5 4 8 3 2" xfId="14930" xr:uid="{77C9B3D2-C25F-4C35-9E7D-37AC0E91B9DD}"/>
    <cellStyle name="Normal 5 4 8 4" xfId="10712" xr:uid="{B031D8C6-57FE-411B-AD0F-1163FB3213F4}"/>
    <cellStyle name="Normal 5 4 9" xfId="2610" xr:uid="{00000000-0005-0000-0000-00004A1B0000}"/>
    <cellStyle name="Normal 5 4 9 2" xfId="6893" xr:uid="{00000000-0005-0000-0000-00004B1B0000}"/>
    <cellStyle name="Normal 5 4 9 2 2" xfId="15343" xr:uid="{0D14AF60-4099-4214-92EC-07178657123C}"/>
    <cellStyle name="Normal 5 4 9 3" xfId="11125" xr:uid="{8B407E30-C4C9-4A77-8EE0-F57C3B83BAB5}"/>
    <cellStyle name="Normal 5 5" xfId="464" xr:uid="{00000000-0005-0000-0000-00004C1B0000}"/>
    <cellStyle name="Normal 5 5 10" xfId="9068" xr:uid="{70FCACE7-BD69-42D0-B188-6F3F575B147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B50B0187-D696-4E04-A7DB-398A5DCAA905}"/>
    <cellStyle name="Normal 5 5 2 2 2 2 3" xfId="11628" xr:uid="{60C3D0F2-06FE-4DBC-9398-854E19AFE922}"/>
    <cellStyle name="Normal 5 5 2 2 2 3" xfId="5251" xr:uid="{00000000-0005-0000-0000-0000521B0000}"/>
    <cellStyle name="Normal 5 5 2 2 2 3 2" xfId="13701" xr:uid="{B4173E49-A81E-408A-82BE-59AFCF1DB493}"/>
    <cellStyle name="Normal 5 5 2 2 2 4" xfId="9483" xr:uid="{3F9A5DE4-6EF2-4089-8061-E28B0E84B78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9B26C5F6-C47E-47D3-B3EA-51F114D489C4}"/>
    <cellStyle name="Normal 5 5 2 2 3 2 3" xfId="12041" xr:uid="{D81F7AF1-D8F1-4DEA-A3DF-25FFB451558B}"/>
    <cellStyle name="Normal 5 5 2 2 3 3" xfId="5664" xr:uid="{00000000-0005-0000-0000-0000561B0000}"/>
    <cellStyle name="Normal 5 5 2 2 3 3 2" xfId="14114" xr:uid="{1EB4CD18-FD0C-4850-AAED-10A62EEA718E}"/>
    <cellStyle name="Normal 5 5 2 2 3 4" xfId="9896" xr:uid="{3AF3712C-9AB2-4E54-B741-4532E1DF07B6}"/>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C524B616-2A8E-48A4-B59C-9ECA84881BD5}"/>
    <cellStyle name="Normal 5 5 2 2 4 2 3" xfId="12454" xr:uid="{0CC12365-BB66-49C5-930E-0E085492E99E}"/>
    <cellStyle name="Normal 5 5 2 2 4 3" xfId="6077" xr:uid="{00000000-0005-0000-0000-00005A1B0000}"/>
    <cellStyle name="Normal 5 5 2 2 4 3 2" xfId="14527" xr:uid="{BDA3A87B-8DE5-4F0E-97DE-4E6AC117669C}"/>
    <cellStyle name="Normal 5 5 2 2 4 4" xfId="10309" xr:uid="{BE1C710F-D24E-4223-8284-86E9BDDAD89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E97737C3-8889-4FA2-A577-99E1A7388887}"/>
    <cellStyle name="Normal 5 5 2 2 5 2 3" xfId="12867" xr:uid="{AEB8C6B5-0D4F-4A6B-BB68-0C595AC6A952}"/>
    <cellStyle name="Normal 5 5 2 2 5 3" xfId="6490" xr:uid="{00000000-0005-0000-0000-00005E1B0000}"/>
    <cellStyle name="Normal 5 5 2 2 5 3 2" xfId="14940" xr:uid="{412B25F2-EBD0-4CD2-8DD9-B78E25C1076A}"/>
    <cellStyle name="Normal 5 5 2 2 5 4" xfId="10722" xr:uid="{E25B74DF-B134-42F2-8BAC-3526F5C077C9}"/>
    <cellStyle name="Normal 5 5 2 2 6" xfId="2620" xr:uid="{00000000-0005-0000-0000-00005F1B0000}"/>
    <cellStyle name="Normal 5 5 2 2 6 2" xfId="6903" xr:uid="{00000000-0005-0000-0000-0000601B0000}"/>
    <cellStyle name="Normal 5 5 2 2 6 2 2" xfId="15353" xr:uid="{543FF88F-C0A6-4F9C-B988-64132B5B0F51}"/>
    <cellStyle name="Normal 5 5 2 2 6 3" xfId="11135" xr:uid="{828C1858-D86D-4E6D-9F54-3C3ADD097BCA}"/>
    <cellStyle name="Normal 5 5 2 2 7" xfId="4838" xr:uid="{00000000-0005-0000-0000-0000611B0000}"/>
    <cellStyle name="Normal 5 5 2 2 7 2" xfId="13288" xr:uid="{5AA4489A-9B89-4A73-80DA-A4806A0D9889}"/>
    <cellStyle name="Normal 5 5 2 2 8" xfId="9070" xr:uid="{0F11F6AF-D44D-4062-9514-FD2628E8AF76}"/>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179BC3B0-8872-48A3-99CC-A30C123E1068}"/>
    <cellStyle name="Normal 5 5 2 3 2 3" xfId="11627" xr:uid="{52289612-33CB-470E-B530-9152B7D3B940}"/>
    <cellStyle name="Normal 5 5 2 3 3" xfId="5250" xr:uid="{00000000-0005-0000-0000-0000651B0000}"/>
    <cellStyle name="Normal 5 5 2 3 3 2" xfId="13700" xr:uid="{3E4A2797-1A97-436F-9D61-C82EE86D8F04}"/>
    <cellStyle name="Normal 5 5 2 3 4" xfId="9482" xr:uid="{D7B1D8BB-2BA2-4019-8ABB-7AF9725A722C}"/>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E1A8FFCE-C749-46F7-AD2A-FB4E826A7A74}"/>
    <cellStyle name="Normal 5 5 2 4 2 3" xfId="12040" xr:uid="{925FB72A-8301-40A1-935B-5DA641A070AD}"/>
    <cellStyle name="Normal 5 5 2 4 3" xfId="5663" xr:uid="{00000000-0005-0000-0000-0000691B0000}"/>
    <cellStyle name="Normal 5 5 2 4 3 2" xfId="14113" xr:uid="{FFE77649-2907-4D04-9071-66E73B4DE10F}"/>
    <cellStyle name="Normal 5 5 2 4 4" xfId="9895" xr:uid="{ADFBE222-CF9E-4DB1-862C-303506E30AB1}"/>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53EF4074-B2E3-437B-8592-6A04B9BCA343}"/>
    <cellStyle name="Normal 5 5 2 5 2 3" xfId="12453" xr:uid="{ED2A802C-E272-491D-8CBB-8175CB87690C}"/>
    <cellStyle name="Normal 5 5 2 5 3" xfId="6076" xr:uid="{00000000-0005-0000-0000-00006D1B0000}"/>
    <cellStyle name="Normal 5 5 2 5 3 2" xfId="14526" xr:uid="{00AD5417-F5E4-4999-923B-562836F2D01C}"/>
    <cellStyle name="Normal 5 5 2 5 4" xfId="10308" xr:uid="{FD8E4478-7B62-44D1-A0F7-496CC6689D87}"/>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BFB3B518-436A-4C98-B77D-E3AD8BD8A830}"/>
    <cellStyle name="Normal 5 5 2 6 2 3" xfId="12866" xr:uid="{95A62F96-9A66-465A-B753-F6F12A46BF74}"/>
    <cellStyle name="Normal 5 5 2 6 3" xfId="6489" xr:uid="{00000000-0005-0000-0000-0000711B0000}"/>
    <cellStyle name="Normal 5 5 2 6 3 2" xfId="14939" xr:uid="{F414CE3D-D0F0-44A3-A44A-2357235C3C35}"/>
    <cellStyle name="Normal 5 5 2 6 4" xfId="10721" xr:uid="{01AD3061-7C01-4901-8913-C3A5CB3FDB0B}"/>
    <cellStyle name="Normal 5 5 2 7" xfId="2619" xr:uid="{00000000-0005-0000-0000-0000721B0000}"/>
    <cellStyle name="Normal 5 5 2 7 2" xfId="6902" xr:uid="{00000000-0005-0000-0000-0000731B0000}"/>
    <cellStyle name="Normal 5 5 2 7 2 2" xfId="15352" xr:uid="{83180B38-FA03-4134-994F-07464DA6EE1B}"/>
    <cellStyle name="Normal 5 5 2 7 3" xfId="11134" xr:uid="{29129F69-81AF-4E93-88D6-0DF91F9305E2}"/>
    <cellStyle name="Normal 5 5 2 8" xfId="4837" xr:uid="{00000000-0005-0000-0000-0000741B0000}"/>
    <cellStyle name="Normal 5 5 2 8 2" xfId="13287" xr:uid="{E6F57EA7-4CB8-4AE5-88B4-4865AAB29B9E}"/>
    <cellStyle name="Normal 5 5 2 9" xfId="9069" xr:uid="{D9A60AE8-98F5-45FD-BDD6-32585868787C}"/>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23322860-3E21-456D-BC7D-B6B62AC622D2}"/>
    <cellStyle name="Normal 5 5 3 2 2 3" xfId="11629" xr:uid="{60223508-A032-4974-9997-54DD755EBEDF}"/>
    <cellStyle name="Normal 5 5 3 2 3" xfId="5252" xr:uid="{00000000-0005-0000-0000-0000791B0000}"/>
    <cellStyle name="Normal 5 5 3 2 3 2" xfId="13702" xr:uid="{E3914B6F-E895-4C01-AD7F-A0B34AA747D3}"/>
    <cellStyle name="Normal 5 5 3 2 4" xfId="9484" xr:uid="{809FFB74-C0BE-4386-83C5-17C87F52BCF9}"/>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2C5BEB8B-7E81-4D47-9849-00F3EFDA5EC8}"/>
    <cellStyle name="Normal 5 5 3 3 2 3" xfId="12042" xr:uid="{7F2AFF43-092A-4ECE-BC43-AD70D38F711C}"/>
    <cellStyle name="Normal 5 5 3 3 3" xfId="5665" xr:uid="{00000000-0005-0000-0000-00007D1B0000}"/>
    <cellStyle name="Normal 5 5 3 3 3 2" xfId="14115" xr:uid="{28AF9314-75B2-4D10-B92C-6DCAC1ECD27F}"/>
    <cellStyle name="Normal 5 5 3 3 4" xfId="9897" xr:uid="{809D3212-2726-47B0-8A26-E0726A96D135}"/>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2F5C49BA-949F-41E6-ACFC-9652550C935F}"/>
    <cellStyle name="Normal 5 5 3 4 2 3" xfId="12455" xr:uid="{4C63087B-F737-4A83-A6EC-7BD8A84502B9}"/>
    <cellStyle name="Normal 5 5 3 4 3" xfId="6078" xr:uid="{00000000-0005-0000-0000-0000811B0000}"/>
    <cellStyle name="Normal 5 5 3 4 3 2" xfId="14528" xr:uid="{2BB5D33B-AE42-40DD-BB25-224CD8D0F1B2}"/>
    <cellStyle name="Normal 5 5 3 4 4" xfId="10310" xr:uid="{E8F09897-3D17-40B5-B132-1625FA489A6D}"/>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CD4D2824-21BC-4B8C-8611-E10157D06F5B}"/>
    <cellStyle name="Normal 5 5 3 5 2 3" xfId="12868" xr:uid="{C4B7B7AC-DA3F-4D17-8FF2-AB5733889465}"/>
    <cellStyle name="Normal 5 5 3 5 3" xfId="6491" xr:uid="{00000000-0005-0000-0000-0000851B0000}"/>
    <cellStyle name="Normal 5 5 3 5 3 2" xfId="14941" xr:uid="{14DF43C4-6AD1-4684-9359-229B14F544AB}"/>
    <cellStyle name="Normal 5 5 3 5 4" xfId="10723" xr:uid="{AE278EF7-FE1C-4240-A8ED-C8C76AAE7701}"/>
    <cellStyle name="Normal 5 5 3 6" xfId="2621" xr:uid="{00000000-0005-0000-0000-0000861B0000}"/>
    <cellStyle name="Normal 5 5 3 6 2" xfId="6904" xr:uid="{00000000-0005-0000-0000-0000871B0000}"/>
    <cellStyle name="Normal 5 5 3 6 2 2" xfId="15354" xr:uid="{EC2AE0DC-0D1A-4A83-952E-F6928A4B5425}"/>
    <cellStyle name="Normal 5 5 3 6 3" xfId="11136" xr:uid="{778DF112-DAE1-491F-9C6F-F7B0EFB9E745}"/>
    <cellStyle name="Normal 5 5 3 7" xfId="4839" xr:uid="{00000000-0005-0000-0000-0000881B0000}"/>
    <cellStyle name="Normal 5 5 3 7 2" xfId="13289" xr:uid="{E798FC5C-7919-4E5A-A42C-08F3D45C50FC}"/>
    <cellStyle name="Normal 5 5 3 8" xfId="9071" xr:uid="{0434B651-9D42-43F9-A885-D0BAA675F63B}"/>
    <cellStyle name="Normal 5 5 4" xfId="938" xr:uid="{00000000-0005-0000-0000-0000891B0000}"/>
    <cellStyle name="Normal 5 5 4 2" xfId="3172" xr:uid="{00000000-0005-0000-0000-00008A1B0000}"/>
    <cellStyle name="Normal 5 5 4 2 2" xfId="7394" xr:uid="{00000000-0005-0000-0000-00008B1B0000}"/>
    <cellStyle name="Normal 5 5 4 2 2 2" xfId="15844" xr:uid="{12624DB6-7C72-4158-B1F1-F31D390228BC}"/>
    <cellStyle name="Normal 5 5 4 2 3" xfId="11626" xr:uid="{30335940-2740-4D1F-BC49-1F8487340092}"/>
    <cellStyle name="Normal 5 5 4 3" xfId="5249" xr:uid="{00000000-0005-0000-0000-00008C1B0000}"/>
    <cellStyle name="Normal 5 5 4 3 2" xfId="13699" xr:uid="{85D03ABE-1CE5-46FF-B126-DB285CB89A0C}"/>
    <cellStyle name="Normal 5 5 4 4" xfId="9481" xr:uid="{82217EC6-960D-455B-A90A-4B41AD154C9D}"/>
    <cellStyle name="Normal 5 5 5" xfId="1355" xr:uid="{00000000-0005-0000-0000-00008D1B0000}"/>
    <cellStyle name="Normal 5 5 5 2" xfId="3585" xr:uid="{00000000-0005-0000-0000-00008E1B0000}"/>
    <cellStyle name="Normal 5 5 5 2 2" xfId="7807" xr:uid="{00000000-0005-0000-0000-00008F1B0000}"/>
    <cellStyle name="Normal 5 5 5 2 2 2" xfId="16257" xr:uid="{C30CD344-ED55-4563-8AD4-6BE9734CEF86}"/>
    <cellStyle name="Normal 5 5 5 2 3" xfId="12039" xr:uid="{4D35482E-F3C9-49CD-A031-9ACF873CEF5D}"/>
    <cellStyle name="Normal 5 5 5 3" xfId="5662" xr:uid="{00000000-0005-0000-0000-0000901B0000}"/>
    <cellStyle name="Normal 5 5 5 3 2" xfId="14112" xr:uid="{762C68E6-3239-4B27-AC99-D0B91AE79E60}"/>
    <cellStyle name="Normal 5 5 5 4" xfId="9894" xr:uid="{A17B40C7-5B4D-4AC0-8458-C2F7869E433F}"/>
    <cellStyle name="Normal 5 5 6" xfId="1768" xr:uid="{00000000-0005-0000-0000-0000911B0000}"/>
    <cellStyle name="Normal 5 5 6 2" xfId="3998" xr:uid="{00000000-0005-0000-0000-0000921B0000}"/>
    <cellStyle name="Normal 5 5 6 2 2" xfId="8220" xr:uid="{00000000-0005-0000-0000-0000931B0000}"/>
    <cellStyle name="Normal 5 5 6 2 2 2" xfId="16670" xr:uid="{F56B7BFE-51E4-473F-A6ED-84F4C8EBD771}"/>
    <cellStyle name="Normal 5 5 6 2 3" xfId="12452" xr:uid="{841CACF8-9EB7-4E71-A8A7-2403E53B9571}"/>
    <cellStyle name="Normal 5 5 6 3" xfId="6075" xr:uid="{00000000-0005-0000-0000-0000941B0000}"/>
    <cellStyle name="Normal 5 5 6 3 2" xfId="14525" xr:uid="{C254E292-443D-4C43-900B-E187220FF048}"/>
    <cellStyle name="Normal 5 5 6 4" xfId="10307" xr:uid="{3D10ADCD-98F7-4F88-A09C-F57A5EE66FED}"/>
    <cellStyle name="Normal 5 5 7" xfId="2182" xr:uid="{00000000-0005-0000-0000-0000951B0000}"/>
    <cellStyle name="Normal 5 5 7 2" xfId="4411" xr:uid="{00000000-0005-0000-0000-0000961B0000}"/>
    <cellStyle name="Normal 5 5 7 2 2" xfId="8633" xr:uid="{00000000-0005-0000-0000-0000971B0000}"/>
    <cellStyle name="Normal 5 5 7 2 2 2" xfId="17083" xr:uid="{8338C85D-168D-4B3F-9C14-48B7CE68A365}"/>
    <cellStyle name="Normal 5 5 7 2 3" xfId="12865" xr:uid="{0B460324-C1A9-468B-93E0-532658C19D9F}"/>
    <cellStyle name="Normal 5 5 7 3" xfId="6488" xr:uid="{00000000-0005-0000-0000-0000981B0000}"/>
    <cellStyle name="Normal 5 5 7 3 2" xfId="14938" xr:uid="{D6D1A712-8EAA-4F5B-B29E-04216B1C6ED4}"/>
    <cellStyle name="Normal 5 5 7 4" xfId="10720" xr:uid="{704E4325-8EB2-4488-8D1E-926C8CBA8828}"/>
    <cellStyle name="Normal 5 5 8" xfId="2618" xr:uid="{00000000-0005-0000-0000-0000991B0000}"/>
    <cellStyle name="Normal 5 5 8 2" xfId="6901" xr:uid="{00000000-0005-0000-0000-00009A1B0000}"/>
    <cellStyle name="Normal 5 5 8 2 2" xfId="15351" xr:uid="{BDE2F2DF-E70F-471F-9E25-E06A6933C8C9}"/>
    <cellStyle name="Normal 5 5 8 3" xfId="11133" xr:uid="{8059F1D1-AF6A-47C9-9B6E-EE2A57D42E7A}"/>
    <cellStyle name="Normal 5 5 9" xfId="4836" xr:uid="{00000000-0005-0000-0000-00009B1B0000}"/>
    <cellStyle name="Normal 5 5 9 2" xfId="13286" xr:uid="{7540A6A7-43C1-4933-A86E-2C2A31D9A61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162A872B-C7E3-4C85-B45D-92103E5E765B}"/>
    <cellStyle name="Normal 5 6 2 2 2 3" xfId="11631" xr:uid="{BD56DB55-95FC-4FE8-9ED1-4EEEF2D56A63}"/>
    <cellStyle name="Normal 5 6 2 2 3" xfId="5254" xr:uid="{00000000-0005-0000-0000-0000A11B0000}"/>
    <cellStyle name="Normal 5 6 2 2 3 2" xfId="13704" xr:uid="{12FA9171-CE11-469D-9231-8C4301C7ED7E}"/>
    <cellStyle name="Normal 5 6 2 2 4" xfId="9486" xr:uid="{03AD42E1-F629-41C9-B61D-D6C2580B9D03}"/>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30AE8D27-0807-4085-A5A6-AD40BB760CB6}"/>
    <cellStyle name="Normal 5 6 2 3 2 3" xfId="12044" xr:uid="{67F6F126-C09F-40F8-BB9E-5DCA1BE2F9D4}"/>
    <cellStyle name="Normal 5 6 2 3 3" xfId="5667" xr:uid="{00000000-0005-0000-0000-0000A51B0000}"/>
    <cellStyle name="Normal 5 6 2 3 3 2" xfId="14117" xr:uid="{5C2D3010-DB50-4D0F-BADA-95FA19AA5443}"/>
    <cellStyle name="Normal 5 6 2 3 4" xfId="9899" xr:uid="{D2507C5B-AB75-41DD-B586-CF2FFCB3D601}"/>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B5B8BFBB-26BD-4001-9075-B77C9B70079F}"/>
    <cellStyle name="Normal 5 6 2 4 2 3" xfId="12457" xr:uid="{0473BF36-5E83-4308-818C-18B508FC8536}"/>
    <cellStyle name="Normal 5 6 2 4 3" xfId="6080" xr:uid="{00000000-0005-0000-0000-0000A91B0000}"/>
    <cellStyle name="Normal 5 6 2 4 3 2" xfId="14530" xr:uid="{588C85C7-4484-4606-B183-DC540006CF73}"/>
    <cellStyle name="Normal 5 6 2 4 4" xfId="10312" xr:uid="{C847A4B9-EFC8-46BD-B5AE-24CBF63A2FDB}"/>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6F0EAED4-5213-4D29-938B-29B5CDF70891}"/>
    <cellStyle name="Normal 5 6 2 5 2 3" xfId="12870" xr:uid="{E0EF4A3A-1776-4171-BB9D-1CC220DCA725}"/>
    <cellStyle name="Normal 5 6 2 5 3" xfId="6493" xr:uid="{00000000-0005-0000-0000-0000AD1B0000}"/>
    <cellStyle name="Normal 5 6 2 5 3 2" xfId="14943" xr:uid="{656F46A2-693F-4124-913B-CA43DFD093AC}"/>
    <cellStyle name="Normal 5 6 2 5 4" xfId="10725" xr:uid="{0BCD028B-4104-4563-95A2-3B8549654783}"/>
    <cellStyle name="Normal 5 6 2 6" xfId="2623" xr:uid="{00000000-0005-0000-0000-0000AE1B0000}"/>
    <cellStyle name="Normal 5 6 2 6 2" xfId="6906" xr:uid="{00000000-0005-0000-0000-0000AF1B0000}"/>
    <cellStyle name="Normal 5 6 2 6 2 2" xfId="15356" xr:uid="{2E7CB0A2-29A4-47E5-A0AB-3A3E2B93D792}"/>
    <cellStyle name="Normal 5 6 2 6 3" xfId="11138" xr:uid="{B55AFFA8-1556-4D1F-93EC-D0AC526A34D2}"/>
    <cellStyle name="Normal 5 6 2 7" xfId="4841" xr:uid="{00000000-0005-0000-0000-0000B01B0000}"/>
    <cellStyle name="Normal 5 6 2 7 2" xfId="13291" xr:uid="{597F7A3B-8715-4EA2-9FF7-81846C2759B3}"/>
    <cellStyle name="Normal 5 6 2 8" xfId="9073" xr:uid="{48D7E020-067A-435E-B821-32E22D261911}"/>
    <cellStyle name="Normal 5 6 3" xfId="942" xr:uid="{00000000-0005-0000-0000-0000B11B0000}"/>
    <cellStyle name="Normal 5 6 3 2" xfId="3176" xr:uid="{00000000-0005-0000-0000-0000B21B0000}"/>
    <cellStyle name="Normal 5 6 3 2 2" xfId="7398" xr:uid="{00000000-0005-0000-0000-0000B31B0000}"/>
    <cellStyle name="Normal 5 6 3 2 2 2" xfId="15848" xr:uid="{CBE37746-CA20-4C3F-A0F2-8BD7A2160A22}"/>
    <cellStyle name="Normal 5 6 3 2 3" xfId="11630" xr:uid="{FD564041-8018-4121-A476-942E0CFCE1C7}"/>
    <cellStyle name="Normal 5 6 3 3" xfId="5253" xr:uid="{00000000-0005-0000-0000-0000B41B0000}"/>
    <cellStyle name="Normal 5 6 3 3 2" xfId="13703" xr:uid="{16B5E483-E6F3-4FA1-9B48-74358E7C80B7}"/>
    <cellStyle name="Normal 5 6 3 4" xfId="9485" xr:uid="{751CFBF0-D57A-4676-99A0-585A9EBF94F3}"/>
    <cellStyle name="Normal 5 6 4" xfId="1359" xr:uid="{00000000-0005-0000-0000-0000B51B0000}"/>
    <cellStyle name="Normal 5 6 4 2" xfId="3589" xr:uid="{00000000-0005-0000-0000-0000B61B0000}"/>
    <cellStyle name="Normal 5 6 4 2 2" xfId="7811" xr:uid="{00000000-0005-0000-0000-0000B71B0000}"/>
    <cellStyle name="Normal 5 6 4 2 2 2" xfId="16261" xr:uid="{DC36B256-6758-4007-8D6F-4CAE9400B3C2}"/>
    <cellStyle name="Normal 5 6 4 2 3" xfId="12043" xr:uid="{E4CBC512-ABB9-4490-8D97-A6FB3578D63C}"/>
    <cellStyle name="Normal 5 6 4 3" xfId="5666" xr:uid="{00000000-0005-0000-0000-0000B81B0000}"/>
    <cellStyle name="Normal 5 6 4 3 2" xfId="14116" xr:uid="{E50EAF06-C7B4-4972-A823-EE0AA930F8A3}"/>
    <cellStyle name="Normal 5 6 4 4" xfId="9898" xr:uid="{48E83536-196E-4902-93F9-6F619CB58413}"/>
    <cellStyle name="Normal 5 6 5" xfId="1772" xr:uid="{00000000-0005-0000-0000-0000B91B0000}"/>
    <cellStyle name="Normal 5 6 5 2" xfId="4002" xr:uid="{00000000-0005-0000-0000-0000BA1B0000}"/>
    <cellStyle name="Normal 5 6 5 2 2" xfId="8224" xr:uid="{00000000-0005-0000-0000-0000BB1B0000}"/>
    <cellStyle name="Normal 5 6 5 2 2 2" xfId="16674" xr:uid="{89D216AD-406F-40D8-876C-9605A6223282}"/>
    <cellStyle name="Normal 5 6 5 2 3" xfId="12456" xr:uid="{427DEA6E-E6F4-4A38-9FF5-AA3F464DC3CA}"/>
    <cellStyle name="Normal 5 6 5 3" xfId="6079" xr:uid="{00000000-0005-0000-0000-0000BC1B0000}"/>
    <cellStyle name="Normal 5 6 5 3 2" xfId="14529" xr:uid="{AE519636-C420-475C-8683-5239E0A248F6}"/>
    <cellStyle name="Normal 5 6 5 4" xfId="10311" xr:uid="{614BFD5E-F238-4F45-B5E9-8A1C197CDC00}"/>
    <cellStyle name="Normal 5 6 6" xfId="2186" xr:uid="{00000000-0005-0000-0000-0000BD1B0000}"/>
    <cellStyle name="Normal 5 6 6 2" xfId="4415" xr:uid="{00000000-0005-0000-0000-0000BE1B0000}"/>
    <cellStyle name="Normal 5 6 6 2 2" xfId="8637" xr:uid="{00000000-0005-0000-0000-0000BF1B0000}"/>
    <cellStyle name="Normal 5 6 6 2 2 2" xfId="17087" xr:uid="{1423F236-C512-4542-9916-4559AA94F4A8}"/>
    <cellStyle name="Normal 5 6 6 2 3" xfId="12869" xr:uid="{D2BCC065-E60E-49F9-8102-4274FCF3D6B0}"/>
    <cellStyle name="Normal 5 6 6 3" xfId="6492" xr:uid="{00000000-0005-0000-0000-0000C01B0000}"/>
    <cellStyle name="Normal 5 6 6 3 2" xfId="14942" xr:uid="{F773A53B-F9AE-4192-8BB4-453A18C2374B}"/>
    <cellStyle name="Normal 5 6 6 4" xfId="10724" xr:uid="{8260FBC5-D06E-4F85-B7ED-68F25E580033}"/>
    <cellStyle name="Normal 5 6 7" xfId="2622" xr:uid="{00000000-0005-0000-0000-0000C11B0000}"/>
    <cellStyle name="Normal 5 6 7 2" xfId="6905" xr:uid="{00000000-0005-0000-0000-0000C21B0000}"/>
    <cellStyle name="Normal 5 6 7 2 2" xfId="15355" xr:uid="{604506A0-0AA6-4F14-A2A2-5D8A7D389703}"/>
    <cellStyle name="Normal 5 6 7 3" xfId="11137" xr:uid="{3E5E6AF6-3F3A-483D-8D0C-ED8BF6E0FA1F}"/>
    <cellStyle name="Normal 5 6 8" xfId="4840" xr:uid="{00000000-0005-0000-0000-0000C31B0000}"/>
    <cellStyle name="Normal 5 6 8 2" xfId="13290" xr:uid="{5B152295-9829-44D0-B240-AC107FC617AC}"/>
    <cellStyle name="Normal 5 6 9" xfId="9072" xr:uid="{1F2A85E2-80EF-4578-8E38-A4307C27F725}"/>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98E160B7-F7D0-4797-A57A-E22473273865}"/>
    <cellStyle name="Normal 5 7 2 2 3" xfId="11632" xr:uid="{EBFBE6BD-1E6E-43C1-99E4-607B6C73EAEC}"/>
    <cellStyle name="Normal 5 7 2 3" xfId="5255" xr:uid="{00000000-0005-0000-0000-0000C81B0000}"/>
    <cellStyle name="Normal 5 7 2 3 2" xfId="13705" xr:uid="{C4DCBDDD-89F3-4698-B330-33E96DE1F992}"/>
    <cellStyle name="Normal 5 7 2 4" xfId="9487" xr:uid="{C04DE6EF-15F4-4274-93BD-41983FD8BDA6}"/>
    <cellStyle name="Normal 5 7 3" xfId="1361" xr:uid="{00000000-0005-0000-0000-0000C91B0000}"/>
    <cellStyle name="Normal 5 7 3 2" xfId="3591" xr:uid="{00000000-0005-0000-0000-0000CA1B0000}"/>
    <cellStyle name="Normal 5 7 3 2 2" xfId="7813" xr:uid="{00000000-0005-0000-0000-0000CB1B0000}"/>
    <cellStyle name="Normal 5 7 3 2 2 2" xfId="16263" xr:uid="{C113C550-0976-404B-A70D-DE6FEE724ED8}"/>
    <cellStyle name="Normal 5 7 3 2 3" xfId="12045" xr:uid="{584095B9-243B-4C92-B677-64EF1E90AB26}"/>
    <cellStyle name="Normal 5 7 3 3" xfId="5668" xr:uid="{00000000-0005-0000-0000-0000CC1B0000}"/>
    <cellStyle name="Normal 5 7 3 3 2" xfId="14118" xr:uid="{96B4793F-7370-4FD6-9EAA-69068E734A36}"/>
    <cellStyle name="Normal 5 7 3 4" xfId="9900" xr:uid="{E69AC11C-47D0-4B19-8A8B-B58DFED10E98}"/>
    <cellStyle name="Normal 5 7 4" xfId="1774" xr:uid="{00000000-0005-0000-0000-0000CD1B0000}"/>
    <cellStyle name="Normal 5 7 4 2" xfId="4004" xr:uid="{00000000-0005-0000-0000-0000CE1B0000}"/>
    <cellStyle name="Normal 5 7 4 2 2" xfId="8226" xr:uid="{00000000-0005-0000-0000-0000CF1B0000}"/>
    <cellStyle name="Normal 5 7 4 2 2 2" xfId="16676" xr:uid="{D5EE9B23-9374-47BB-88A4-3FD281E3A486}"/>
    <cellStyle name="Normal 5 7 4 2 3" xfId="12458" xr:uid="{D11C083D-6039-4E86-BAD7-1850F75F2036}"/>
    <cellStyle name="Normal 5 7 4 3" xfId="6081" xr:uid="{00000000-0005-0000-0000-0000D01B0000}"/>
    <cellStyle name="Normal 5 7 4 3 2" xfId="14531" xr:uid="{E0388628-BA0A-4CE0-AE01-3E4197AE244F}"/>
    <cellStyle name="Normal 5 7 4 4" xfId="10313" xr:uid="{EDCCDEE4-81CA-4D6B-B8C7-71461C6878ED}"/>
    <cellStyle name="Normal 5 7 5" xfId="2188" xr:uid="{00000000-0005-0000-0000-0000D11B0000}"/>
    <cellStyle name="Normal 5 7 5 2" xfId="4417" xr:uid="{00000000-0005-0000-0000-0000D21B0000}"/>
    <cellStyle name="Normal 5 7 5 2 2" xfId="8639" xr:uid="{00000000-0005-0000-0000-0000D31B0000}"/>
    <cellStyle name="Normal 5 7 5 2 2 2" xfId="17089" xr:uid="{D0AFE30D-EB80-4CAF-91F4-D0C362783A62}"/>
    <cellStyle name="Normal 5 7 5 2 3" xfId="12871" xr:uid="{477A0FA2-29CD-4AAB-B126-86CA89F4DDAB}"/>
    <cellStyle name="Normal 5 7 5 3" xfId="6494" xr:uid="{00000000-0005-0000-0000-0000D41B0000}"/>
    <cellStyle name="Normal 5 7 5 3 2" xfId="14944" xr:uid="{580F4D49-4EC9-4A26-90E8-68FB5CA0E3C1}"/>
    <cellStyle name="Normal 5 7 5 4" xfId="10726" xr:uid="{EA743B58-781A-48CB-A4BD-517288C756D3}"/>
    <cellStyle name="Normal 5 7 6" xfId="2624" xr:uid="{00000000-0005-0000-0000-0000D51B0000}"/>
    <cellStyle name="Normal 5 7 6 2" xfId="6907" xr:uid="{00000000-0005-0000-0000-0000D61B0000}"/>
    <cellStyle name="Normal 5 7 6 2 2" xfId="15357" xr:uid="{E6DED29F-E6EC-453A-B667-ADB855B88E64}"/>
    <cellStyle name="Normal 5 7 6 3" xfId="11139" xr:uid="{B6C51614-58F3-4D3B-98E9-22D6F1E970EE}"/>
    <cellStyle name="Normal 5 7 7" xfId="4842" xr:uid="{00000000-0005-0000-0000-0000D71B0000}"/>
    <cellStyle name="Normal 5 7 7 2" xfId="13292" xr:uid="{7E92DCD7-DADF-45CA-AE36-0EFD7524FF8F}"/>
    <cellStyle name="Normal 5 7 8" xfId="9074" xr:uid="{CDFB09BF-746F-4C4B-A8E5-08F81DDA34D1}"/>
    <cellStyle name="Normal 5 8" xfId="880" xr:uid="{00000000-0005-0000-0000-0000D81B0000}"/>
    <cellStyle name="Normal 5 8 2" xfId="3115" xr:uid="{00000000-0005-0000-0000-0000D91B0000}"/>
    <cellStyle name="Normal 5 8 2 2" xfId="7337" xr:uid="{00000000-0005-0000-0000-0000DA1B0000}"/>
    <cellStyle name="Normal 5 8 2 2 2" xfId="15787" xr:uid="{1ABA0F2B-80C4-42B0-BB3F-47642C99E35F}"/>
    <cellStyle name="Normal 5 8 2 3" xfId="11569" xr:uid="{A993A3F7-9E59-4B70-A38D-708809DCC237}"/>
    <cellStyle name="Normal 5 8 3" xfId="5192" xr:uid="{00000000-0005-0000-0000-0000DB1B0000}"/>
    <cellStyle name="Normal 5 8 3 2" xfId="13642" xr:uid="{1C642110-E7FB-4F49-A3CF-497E77C264A4}"/>
    <cellStyle name="Normal 5 8 4" xfId="9424" xr:uid="{D8EAC6EF-4EA5-4BE4-902A-2BCA9853F5F5}"/>
    <cellStyle name="Normal 5 9" xfId="1298" xr:uid="{00000000-0005-0000-0000-0000DC1B0000}"/>
    <cellStyle name="Normal 5 9 2" xfId="3528" xr:uid="{00000000-0005-0000-0000-0000DD1B0000}"/>
    <cellStyle name="Normal 5 9 2 2" xfId="7750" xr:uid="{00000000-0005-0000-0000-0000DE1B0000}"/>
    <cellStyle name="Normal 5 9 2 2 2" xfId="16200" xr:uid="{F48858FC-ECB4-45FA-878C-85A0343CCB88}"/>
    <cellStyle name="Normal 5 9 2 3" xfId="11982" xr:uid="{449701F4-F9AD-4310-8288-A9A142C11D61}"/>
    <cellStyle name="Normal 5 9 3" xfId="5605" xr:uid="{00000000-0005-0000-0000-0000DF1B0000}"/>
    <cellStyle name="Normal 5 9 3 2" xfId="14055" xr:uid="{D95B37CE-E208-4509-95FA-E99AA6844185}"/>
    <cellStyle name="Normal 5 9 4" xfId="9837" xr:uid="{895C6F50-4122-46E6-8263-83977030DE5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9BF9C937-F628-4BE6-AF5A-929A207BE156}"/>
    <cellStyle name="Normal 8 10 2 3" xfId="12872" xr:uid="{4B3E6C85-9E1F-49DB-936A-FCAFD7AB6DA0}"/>
    <cellStyle name="Normal 8 10 3" xfId="6495" xr:uid="{00000000-0005-0000-0000-0000EB1B0000}"/>
    <cellStyle name="Normal 8 10 3 2" xfId="14945" xr:uid="{A63F94AD-175A-41E5-870F-26E52B894248}"/>
    <cellStyle name="Normal 8 10 4" xfId="10727" xr:uid="{21585C7B-9BF4-4166-98E8-7BBF3C3DCA3F}"/>
    <cellStyle name="Normal 8 11" xfId="2625" xr:uid="{00000000-0005-0000-0000-0000EC1B0000}"/>
    <cellStyle name="Normal 8 11 2" xfId="6908" xr:uid="{00000000-0005-0000-0000-0000ED1B0000}"/>
    <cellStyle name="Normal 8 11 2 2" xfId="15358" xr:uid="{4C75A85B-1D49-410D-B19A-CAB2ACBFD294}"/>
    <cellStyle name="Normal 8 11 3" xfId="11140" xr:uid="{3CD86603-FD52-4061-B620-08DE62463F45}"/>
    <cellStyle name="Normal 8 12" xfId="4843" xr:uid="{00000000-0005-0000-0000-0000EE1B0000}"/>
    <cellStyle name="Normal 8 12 2" xfId="13293" xr:uid="{3D0AE762-6932-448B-B8B5-BB5E8C45EE4B}"/>
    <cellStyle name="Normal 8 13" xfId="9075" xr:uid="{A69EEBC5-BE38-4410-8417-F504CAFDE712}"/>
    <cellStyle name="Normal 8 2" xfId="479" xr:uid="{00000000-0005-0000-0000-0000EF1B0000}"/>
    <cellStyle name="Normal 8 2 10" xfId="2626" xr:uid="{00000000-0005-0000-0000-0000F01B0000}"/>
    <cellStyle name="Normal 8 2 10 2" xfId="6909" xr:uid="{00000000-0005-0000-0000-0000F11B0000}"/>
    <cellStyle name="Normal 8 2 10 2 2" xfId="15359" xr:uid="{E0D23094-8EA4-4A34-A230-EB73EB3E04EF}"/>
    <cellStyle name="Normal 8 2 10 3" xfId="11141" xr:uid="{C1A53E4E-8B86-46B8-A7BE-F42DBEBA8A87}"/>
    <cellStyle name="Normal 8 2 11" xfId="4844" xr:uid="{00000000-0005-0000-0000-0000F21B0000}"/>
    <cellStyle name="Normal 8 2 11 2" xfId="13294" xr:uid="{BF4D241A-5086-45E3-A971-EAC09D1BFF2E}"/>
    <cellStyle name="Normal 8 2 12" xfId="9076" xr:uid="{3E3C29A6-224A-4596-B006-CBF83CECB279}"/>
    <cellStyle name="Normal 8 2 2" xfId="480" xr:uid="{00000000-0005-0000-0000-0000F31B0000}"/>
    <cellStyle name="Normal 8 2 2 10" xfId="4845" xr:uid="{00000000-0005-0000-0000-0000F41B0000}"/>
    <cellStyle name="Normal 8 2 2 10 2" xfId="13295" xr:uid="{2F108C3F-E6CF-45FB-BB86-DC711AD53382}"/>
    <cellStyle name="Normal 8 2 2 11" xfId="9077" xr:uid="{839DBD18-3A46-4B87-877A-565C87DFE04B}"/>
    <cellStyle name="Normal 8 2 2 2" xfId="481" xr:uid="{00000000-0005-0000-0000-0000F51B0000}"/>
    <cellStyle name="Normal 8 2 2 2 10" xfId="9078" xr:uid="{43B396C9-967A-4F18-84FD-1D2D147D6316}"/>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6C242ECD-9B82-4757-A60C-FBECC3969FC0}"/>
    <cellStyle name="Normal 8 2 2 2 2 2 2 2 3" xfId="11638" xr:uid="{473C75A6-2099-49A5-8CA2-174591245BE5}"/>
    <cellStyle name="Normal 8 2 2 2 2 2 2 3" xfId="5261" xr:uid="{00000000-0005-0000-0000-0000FB1B0000}"/>
    <cellStyle name="Normal 8 2 2 2 2 2 2 3 2" xfId="13711" xr:uid="{D880BFF4-C6F3-498E-94EE-8DEEC045B890}"/>
    <cellStyle name="Normal 8 2 2 2 2 2 2 4" xfId="9493" xr:uid="{E5ED68D5-4026-45FA-97A5-10A68A8305C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9014B176-9138-49BA-9C2C-21E1601826C5}"/>
    <cellStyle name="Normal 8 2 2 2 2 2 3 2 3" xfId="12051" xr:uid="{A1E90202-2B14-48E8-AA68-9B49C69C3431}"/>
    <cellStyle name="Normal 8 2 2 2 2 2 3 3" xfId="5674" xr:uid="{00000000-0005-0000-0000-0000FF1B0000}"/>
    <cellStyle name="Normal 8 2 2 2 2 2 3 3 2" xfId="14124" xr:uid="{C979067C-0039-4911-AA78-1EA7C0B38778}"/>
    <cellStyle name="Normal 8 2 2 2 2 2 3 4" xfId="9906" xr:uid="{BC70141E-AD21-44FD-BD9E-827593905AD8}"/>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B155CF35-D3C0-4F6C-831F-E872E0C512CA}"/>
    <cellStyle name="Normal 8 2 2 2 2 2 4 2 3" xfId="12464" xr:uid="{A5536C29-18D4-4BBF-9D77-CD31712CADE9}"/>
    <cellStyle name="Normal 8 2 2 2 2 2 4 3" xfId="6087" xr:uid="{00000000-0005-0000-0000-0000031C0000}"/>
    <cellStyle name="Normal 8 2 2 2 2 2 4 3 2" xfId="14537" xr:uid="{3336EFE9-749A-4F68-9DDE-ED9D0F448BCA}"/>
    <cellStyle name="Normal 8 2 2 2 2 2 4 4" xfId="10319" xr:uid="{CDE91C65-0D28-4155-85ED-3B1AE367751A}"/>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DF301390-69B4-40FD-9BCE-DE5AADF3279C}"/>
    <cellStyle name="Normal 8 2 2 2 2 2 5 2 3" xfId="12877" xr:uid="{A91B3CD3-8D3D-4611-9B8B-EAF99017C6D1}"/>
    <cellStyle name="Normal 8 2 2 2 2 2 5 3" xfId="6500" xr:uid="{00000000-0005-0000-0000-0000071C0000}"/>
    <cellStyle name="Normal 8 2 2 2 2 2 5 3 2" xfId="14950" xr:uid="{17BF6421-697D-4F76-9CC6-1DC5AE1D45E5}"/>
    <cellStyle name="Normal 8 2 2 2 2 2 5 4" xfId="10732" xr:uid="{C7159AB3-2618-4085-B643-3E0C40D1ECE5}"/>
    <cellStyle name="Normal 8 2 2 2 2 2 6" xfId="2630" xr:uid="{00000000-0005-0000-0000-0000081C0000}"/>
    <cellStyle name="Normal 8 2 2 2 2 2 6 2" xfId="6913" xr:uid="{00000000-0005-0000-0000-0000091C0000}"/>
    <cellStyle name="Normal 8 2 2 2 2 2 6 2 2" xfId="15363" xr:uid="{11D844AA-0C6C-40D4-AF4A-1944F99B696A}"/>
    <cellStyle name="Normal 8 2 2 2 2 2 6 3" xfId="11145" xr:uid="{4D3DF6D6-EF6C-4FF5-87C2-0636D8FF7FAE}"/>
    <cellStyle name="Normal 8 2 2 2 2 2 7" xfId="4848" xr:uid="{00000000-0005-0000-0000-00000A1C0000}"/>
    <cellStyle name="Normal 8 2 2 2 2 2 7 2" xfId="13298" xr:uid="{A13DA99C-8345-4429-9A4C-3F6CDBA68AE1}"/>
    <cellStyle name="Normal 8 2 2 2 2 2 8" xfId="9080" xr:uid="{9F6A140F-6BC4-4F59-8694-662226CBDF6A}"/>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0F8DEACF-7641-451B-8E1C-0B0DD847D234}"/>
    <cellStyle name="Normal 8 2 2 2 2 3 2 3" xfId="11637" xr:uid="{7DFA32C4-8C0B-446E-87B6-590E4B12620E}"/>
    <cellStyle name="Normal 8 2 2 2 2 3 3" xfId="5260" xr:uid="{00000000-0005-0000-0000-00000E1C0000}"/>
    <cellStyle name="Normal 8 2 2 2 2 3 3 2" xfId="13710" xr:uid="{0DC0C215-D16C-4D3F-818B-13384808E23D}"/>
    <cellStyle name="Normal 8 2 2 2 2 3 4" xfId="9492" xr:uid="{932CD7B0-12C6-47B6-9E02-754491BC81C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6E18A756-939B-41C9-A1A5-84A33CC5BA32}"/>
    <cellStyle name="Normal 8 2 2 2 2 4 2 3" xfId="12050" xr:uid="{26476721-BF8B-49C5-85D5-97D68C03486B}"/>
    <cellStyle name="Normal 8 2 2 2 2 4 3" xfId="5673" xr:uid="{00000000-0005-0000-0000-0000121C0000}"/>
    <cellStyle name="Normal 8 2 2 2 2 4 3 2" xfId="14123" xr:uid="{29411D24-2B48-44A6-89D3-E909ECAF253E}"/>
    <cellStyle name="Normal 8 2 2 2 2 4 4" xfId="9905" xr:uid="{AA590D77-392F-4BE3-B9CF-1F043A281C31}"/>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021861CE-3C3D-4ABE-B871-4379C2A57B9E}"/>
    <cellStyle name="Normal 8 2 2 2 2 5 2 3" xfId="12463" xr:uid="{DE281431-625C-4E9D-A14E-C5C774A165E4}"/>
    <cellStyle name="Normal 8 2 2 2 2 5 3" xfId="6086" xr:uid="{00000000-0005-0000-0000-0000161C0000}"/>
    <cellStyle name="Normal 8 2 2 2 2 5 3 2" xfId="14536" xr:uid="{2B309929-CF33-4AF1-8EB4-2130099C820A}"/>
    <cellStyle name="Normal 8 2 2 2 2 5 4" xfId="10318" xr:uid="{4F4D8A2B-B855-4EFE-B08C-CB89C64EF37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20F46D64-98D3-4262-94CD-270E44F0EAE5}"/>
    <cellStyle name="Normal 8 2 2 2 2 6 2 3" xfId="12876" xr:uid="{AEF26CF4-5B13-4CE1-95A7-F8EB5C64A9E9}"/>
    <cellStyle name="Normal 8 2 2 2 2 6 3" xfId="6499" xr:uid="{00000000-0005-0000-0000-00001A1C0000}"/>
    <cellStyle name="Normal 8 2 2 2 2 6 3 2" xfId="14949" xr:uid="{4DA99919-8E25-492E-9EEF-C7322BDA3434}"/>
    <cellStyle name="Normal 8 2 2 2 2 6 4" xfId="10731" xr:uid="{2A97949D-E2F0-43C5-B25D-6FB2D399563D}"/>
    <cellStyle name="Normal 8 2 2 2 2 7" xfId="2629" xr:uid="{00000000-0005-0000-0000-00001B1C0000}"/>
    <cellStyle name="Normal 8 2 2 2 2 7 2" xfId="6912" xr:uid="{00000000-0005-0000-0000-00001C1C0000}"/>
    <cellStyle name="Normal 8 2 2 2 2 7 2 2" xfId="15362" xr:uid="{A1288F35-1F57-4A10-A2A1-6F5B8937FD6C}"/>
    <cellStyle name="Normal 8 2 2 2 2 7 3" xfId="11144" xr:uid="{1960CC61-457F-4F09-88AE-759632D82647}"/>
    <cellStyle name="Normal 8 2 2 2 2 8" xfId="4847" xr:uid="{00000000-0005-0000-0000-00001D1C0000}"/>
    <cellStyle name="Normal 8 2 2 2 2 8 2" xfId="13297" xr:uid="{24CA7F50-C52E-4763-9E5D-CC3D962394E1}"/>
    <cellStyle name="Normal 8 2 2 2 2 9" xfId="9079" xr:uid="{F2E96519-2D4E-4CA6-AB1E-53DBF43BE78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8F34D60D-863D-4BEA-A459-FD57EA488DFF}"/>
    <cellStyle name="Normal 8 2 2 2 3 2 2 3" xfId="11639" xr:uid="{A6507BC1-D0E8-4D58-941C-A30A57A8C8DC}"/>
    <cellStyle name="Normal 8 2 2 2 3 2 3" xfId="5262" xr:uid="{00000000-0005-0000-0000-0000221C0000}"/>
    <cellStyle name="Normal 8 2 2 2 3 2 3 2" xfId="13712" xr:uid="{AB5AE471-4A4E-4ACD-9564-DDB313A77673}"/>
    <cellStyle name="Normal 8 2 2 2 3 2 4" xfId="9494" xr:uid="{6EF4A706-1399-476A-9EEE-41E2272D26F5}"/>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5CE623C7-428A-469A-A8C4-526752AC63F0}"/>
    <cellStyle name="Normal 8 2 2 2 3 3 2 3" xfId="12052" xr:uid="{94FFFBBD-2BA3-4BA5-8B98-91A57B279659}"/>
    <cellStyle name="Normal 8 2 2 2 3 3 3" xfId="5675" xr:uid="{00000000-0005-0000-0000-0000261C0000}"/>
    <cellStyle name="Normal 8 2 2 2 3 3 3 2" xfId="14125" xr:uid="{00D56CB1-2E29-4BAB-ACF9-096A7101B3B7}"/>
    <cellStyle name="Normal 8 2 2 2 3 3 4" xfId="9907" xr:uid="{41962A2C-8143-4477-B066-9D8728902869}"/>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6488E4CD-F2BB-4EE3-BD45-CFA71FBDA9EF}"/>
    <cellStyle name="Normal 8 2 2 2 3 4 2 3" xfId="12465" xr:uid="{10746801-72B5-4E14-8B80-0368C04B67D7}"/>
    <cellStyle name="Normal 8 2 2 2 3 4 3" xfId="6088" xr:uid="{00000000-0005-0000-0000-00002A1C0000}"/>
    <cellStyle name="Normal 8 2 2 2 3 4 3 2" xfId="14538" xr:uid="{011BECE4-3588-4808-8AD9-48C5DA2A416C}"/>
    <cellStyle name="Normal 8 2 2 2 3 4 4" xfId="10320" xr:uid="{474D97E5-A88F-408D-AC95-4D1F1A0B5C8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A6C80CAA-FB9D-4887-9D95-892E737341C5}"/>
    <cellStyle name="Normal 8 2 2 2 3 5 2 3" xfId="12878" xr:uid="{C0DE1C8A-491B-44E0-9FDF-48C9A636759A}"/>
    <cellStyle name="Normal 8 2 2 2 3 5 3" xfId="6501" xr:uid="{00000000-0005-0000-0000-00002E1C0000}"/>
    <cellStyle name="Normal 8 2 2 2 3 5 3 2" xfId="14951" xr:uid="{AEAA1AB2-B2DC-4F21-B12C-CCD6092531CD}"/>
    <cellStyle name="Normal 8 2 2 2 3 5 4" xfId="10733" xr:uid="{319873E8-45AD-4392-97D4-10BDC2781D97}"/>
    <cellStyle name="Normal 8 2 2 2 3 6" xfId="2631" xr:uid="{00000000-0005-0000-0000-00002F1C0000}"/>
    <cellStyle name="Normal 8 2 2 2 3 6 2" xfId="6914" xr:uid="{00000000-0005-0000-0000-0000301C0000}"/>
    <cellStyle name="Normal 8 2 2 2 3 6 2 2" xfId="15364" xr:uid="{C441270B-45A1-4260-B911-2E2D55C005AA}"/>
    <cellStyle name="Normal 8 2 2 2 3 6 3" xfId="11146" xr:uid="{7C226943-4EDE-4592-8722-258748F9A106}"/>
    <cellStyle name="Normal 8 2 2 2 3 7" xfId="4849" xr:uid="{00000000-0005-0000-0000-0000311C0000}"/>
    <cellStyle name="Normal 8 2 2 2 3 7 2" xfId="13299" xr:uid="{4D5B27E0-4D6E-47B0-8944-CAC6C575F603}"/>
    <cellStyle name="Normal 8 2 2 2 3 8" xfId="9081" xr:uid="{A17EAEAA-A2C1-4910-AF14-4685D31B816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DE818E7E-EDA9-41BA-8878-EF29CE5C3001}"/>
    <cellStyle name="Normal 8 2 2 2 4 2 3" xfId="11636" xr:uid="{3AD7AB8E-BE29-419C-A389-3FAAF80FDCCC}"/>
    <cellStyle name="Normal 8 2 2 2 4 3" xfId="5259" xr:uid="{00000000-0005-0000-0000-0000351C0000}"/>
    <cellStyle name="Normal 8 2 2 2 4 3 2" xfId="13709" xr:uid="{8CF9730B-E683-4C45-8233-AF22AD827827}"/>
    <cellStyle name="Normal 8 2 2 2 4 4" xfId="9491" xr:uid="{3B8BEC24-1B74-4A25-9DFA-C4EA7C023ACA}"/>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22298F63-509E-4E14-ABF6-C2C820983C36}"/>
    <cellStyle name="Normal 8 2 2 2 5 2 3" xfId="12049" xr:uid="{CBB4B405-416D-4B87-B5A8-D8163B9EDC32}"/>
    <cellStyle name="Normal 8 2 2 2 5 3" xfId="5672" xr:uid="{00000000-0005-0000-0000-0000391C0000}"/>
    <cellStyle name="Normal 8 2 2 2 5 3 2" xfId="14122" xr:uid="{1C3F7CFF-5861-42B0-A4FF-B2562C900F28}"/>
    <cellStyle name="Normal 8 2 2 2 5 4" xfId="9904" xr:uid="{2A898DB3-A4FA-4901-A1CC-0D87F98D05F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540E6143-0F4B-4FBF-B296-B4ED65F48411}"/>
    <cellStyle name="Normal 8 2 2 2 6 2 3" xfId="12462" xr:uid="{1EA7E214-6617-4069-9EDC-6EA1347420B5}"/>
    <cellStyle name="Normal 8 2 2 2 6 3" xfId="6085" xr:uid="{00000000-0005-0000-0000-00003D1C0000}"/>
    <cellStyle name="Normal 8 2 2 2 6 3 2" xfId="14535" xr:uid="{CC3F3DF0-27F1-440D-88C6-13D702BC4FD3}"/>
    <cellStyle name="Normal 8 2 2 2 6 4" xfId="10317" xr:uid="{14CBE64A-0D6D-4146-817B-CB9EDD694CF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13262836-2BEE-4FCE-AF65-EBA812595A8B}"/>
    <cellStyle name="Normal 8 2 2 2 7 2 3" xfId="12875" xr:uid="{070831A9-9640-4D74-874C-54C1981DD526}"/>
    <cellStyle name="Normal 8 2 2 2 7 3" xfId="6498" xr:uid="{00000000-0005-0000-0000-0000411C0000}"/>
    <cellStyle name="Normal 8 2 2 2 7 3 2" xfId="14948" xr:uid="{CC29210C-D2C0-40D9-9327-093C477B8F48}"/>
    <cellStyle name="Normal 8 2 2 2 7 4" xfId="10730" xr:uid="{B8ADE8BC-F53F-4606-AF8D-6FF723AD2877}"/>
    <cellStyle name="Normal 8 2 2 2 8" xfId="2628" xr:uid="{00000000-0005-0000-0000-0000421C0000}"/>
    <cellStyle name="Normal 8 2 2 2 8 2" xfId="6911" xr:uid="{00000000-0005-0000-0000-0000431C0000}"/>
    <cellStyle name="Normal 8 2 2 2 8 2 2" xfId="15361" xr:uid="{FE39D2BC-FBAF-4D12-8903-1FB09D20DD1B}"/>
    <cellStyle name="Normal 8 2 2 2 8 3" xfId="11143" xr:uid="{33ADAF4B-AB80-4EFB-8311-BAD75985C0E3}"/>
    <cellStyle name="Normal 8 2 2 2 9" xfId="4846" xr:uid="{00000000-0005-0000-0000-0000441C0000}"/>
    <cellStyle name="Normal 8 2 2 2 9 2" xfId="13296" xr:uid="{F6B9B3F1-C25D-43B4-936E-5BBE0A815254}"/>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9399C446-52AF-40E6-8C22-492FCBF29857}"/>
    <cellStyle name="Normal 8 2 2 3 2 2 2 3" xfId="11641" xr:uid="{0DF8DFBA-0684-450C-8733-25AF6802BAAA}"/>
    <cellStyle name="Normal 8 2 2 3 2 2 3" xfId="5264" xr:uid="{00000000-0005-0000-0000-00004A1C0000}"/>
    <cellStyle name="Normal 8 2 2 3 2 2 3 2" xfId="13714" xr:uid="{28F5D7D0-994C-485A-A2CE-09588E977644}"/>
    <cellStyle name="Normal 8 2 2 3 2 2 4" xfId="9496" xr:uid="{748BC757-AC23-4DF8-BE6B-69A60B94027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D283BE3C-65EE-4C18-A4D7-2FC85819736E}"/>
    <cellStyle name="Normal 8 2 2 3 2 3 2 3" xfId="12054" xr:uid="{15236A1C-DD89-4A3F-9D5C-33641B689472}"/>
    <cellStyle name="Normal 8 2 2 3 2 3 3" xfId="5677" xr:uid="{00000000-0005-0000-0000-00004E1C0000}"/>
    <cellStyle name="Normal 8 2 2 3 2 3 3 2" xfId="14127" xr:uid="{0E19F1F6-57BF-46E6-A0AF-9D8D4B70E5E2}"/>
    <cellStyle name="Normal 8 2 2 3 2 3 4" xfId="9909" xr:uid="{C681BDFE-3FD0-435E-BA4A-32C0A40DA294}"/>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8B77351A-6600-4077-A345-2665656C5F8C}"/>
    <cellStyle name="Normal 8 2 2 3 2 4 2 3" xfId="12467" xr:uid="{8B7507D8-FBC3-46A2-AD0F-3AF8A9A24EAA}"/>
    <cellStyle name="Normal 8 2 2 3 2 4 3" xfId="6090" xr:uid="{00000000-0005-0000-0000-0000521C0000}"/>
    <cellStyle name="Normal 8 2 2 3 2 4 3 2" xfId="14540" xr:uid="{1FC0AA7E-041F-48BE-A523-A66DEF87E3EA}"/>
    <cellStyle name="Normal 8 2 2 3 2 4 4" xfId="10322" xr:uid="{C3F91B5D-6218-4241-A2C4-5B376AE4196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C2C48657-6A09-4F5D-A999-EE71A9DC8AE7}"/>
    <cellStyle name="Normal 8 2 2 3 2 5 2 3" xfId="12880" xr:uid="{2F515601-BFB9-45AA-A177-79F55712A4AF}"/>
    <cellStyle name="Normal 8 2 2 3 2 5 3" xfId="6503" xr:uid="{00000000-0005-0000-0000-0000561C0000}"/>
    <cellStyle name="Normal 8 2 2 3 2 5 3 2" xfId="14953" xr:uid="{CCCB0192-86B3-40CD-9A15-5B9B44EE8676}"/>
    <cellStyle name="Normal 8 2 2 3 2 5 4" xfId="10735" xr:uid="{05340A61-2281-4A46-BCF7-E75B4D9B9CE7}"/>
    <cellStyle name="Normal 8 2 2 3 2 6" xfId="2633" xr:uid="{00000000-0005-0000-0000-0000571C0000}"/>
    <cellStyle name="Normal 8 2 2 3 2 6 2" xfId="6916" xr:uid="{00000000-0005-0000-0000-0000581C0000}"/>
    <cellStyle name="Normal 8 2 2 3 2 6 2 2" xfId="15366" xr:uid="{3E7CD6ED-037B-41C5-A71F-831B3B8D38CC}"/>
    <cellStyle name="Normal 8 2 2 3 2 6 3" xfId="11148" xr:uid="{3A566951-8DC0-4529-9A69-858BD193F29D}"/>
    <cellStyle name="Normal 8 2 2 3 2 7" xfId="4851" xr:uid="{00000000-0005-0000-0000-0000591C0000}"/>
    <cellStyle name="Normal 8 2 2 3 2 7 2" xfId="13301" xr:uid="{0E9CC43B-15C1-49B2-B9D6-1C22296C93EF}"/>
    <cellStyle name="Normal 8 2 2 3 2 8" xfId="9083" xr:uid="{4B792709-D130-4E72-A3F8-8B3C3BE4EAD5}"/>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13441699-DF0E-472E-B925-A4DB517025A4}"/>
    <cellStyle name="Normal 8 2 2 3 3 2 3" xfId="11640" xr:uid="{451143B2-7FD0-49CF-B114-C16BD5C46E47}"/>
    <cellStyle name="Normal 8 2 2 3 3 3" xfId="5263" xr:uid="{00000000-0005-0000-0000-00005D1C0000}"/>
    <cellStyle name="Normal 8 2 2 3 3 3 2" xfId="13713" xr:uid="{DC6E4AD6-42C5-4A4E-BC1C-3D6C5F1C02F5}"/>
    <cellStyle name="Normal 8 2 2 3 3 4" xfId="9495" xr:uid="{DCE58CB6-2995-4945-BCFB-BEE2B6EA982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C1C17191-10D8-4EDE-B6EE-1DC1AA6F53FF}"/>
    <cellStyle name="Normal 8 2 2 3 4 2 3" xfId="12053" xr:uid="{AD050B8D-062C-4A39-8997-4E797357764F}"/>
    <cellStyle name="Normal 8 2 2 3 4 3" xfId="5676" xr:uid="{00000000-0005-0000-0000-0000611C0000}"/>
    <cellStyle name="Normal 8 2 2 3 4 3 2" xfId="14126" xr:uid="{5A4D5197-1194-4E2C-9652-886B82DD2CCE}"/>
    <cellStyle name="Normal 8 2 2 3 4 4" xfId="9908" xr:uid="{67327F45-1378-4B96-A087-8023333D5A80}"/>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17D14075-6D60-4F9C-B95D-51A6D7CBA2EE}"/>
    <cellStyle name="Normal 8 2 2 3 5 2 3" xfId="12466" xr:uid="{E8FAFB07-4837-46C3-8346-37A593D83F8A}"/>
    <cellStyle name="Normal 8 2 2 3 5 3" xfId="6089" xr:uid="{00000000-0005-0000-0000-0000651C0000}"/>
    <cellStyle name="Normal 8 2 2 3 5 3 2" xfId="14539" xr:uid="{CD61F4E5-16EE-4C3B-9676-37A2C7A22607}"/>
    <cellStyle name="Normal 8 2 2 3 5 4" xfId="10321" xr:uid="{85795631-D1DD-4F4B-8171-B817CE839B0C}"/>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71B9CDB6-C64A-4DAC-9C0C-7FFC1D0DBBEF}"/>
    <cellStyle name="Normal 8 2 2 3 6 2 3" xfId="12879" xr:uid="{93487C4B-CF19-4078-96E7-B0263E9AA602}"/>
    <cellStyle name="Normal 8 2 2 3 6 3" xfId="6502" xr:uid="{00000000-0005-0000-0000-0000691C0000}"/>
    <cellStyle name="Normal 8 2 2 3 6 3 2" xfId="14952" xr:uid="{3B988995-488F-45EE-ACF9-4584F80771F3}"/>
    <cellStyle name="Normal 8 2 2 3 6 4" xfId="10734" xr:uid="{D6199913-D36F-449C-A65B-C449ED471A5B}"/>
    <cellStyle name="Normal 8 2 2 3 7" xfId="2632" xr:uid="{00000000-0005-0000-0000-00006A1C0000}"/>
    <cellStyle name="Normal 8 2 2 3 7 2" xfId="6915" xr:uid="{00000000-0005-0000-0000-00006B1C0000}"/>
    <cellStyle name="Normal 8 2 2 3 7 2 2" xfId="15365" xr:uid="{300C9D67-F59F-4483-AD39-456BE9CDACEC}"/>
    <cellStyle name="Normal 8 2 2 3 7 3" xfId="11147" xr:uid="{1C75F12A-03D0-4F63-9F3E-08FB5387BFC0}"/>
    <cellStyle name="Normal 8 2 2 3 8" xfId="4850" xr:uid="{00000000-0005-0000-0000-00006C1C0000}"/>
    <cellStyle name="Normal 8 2 2 3 8 2" xfId="13300" xr:uid="{64E646F0-52BC-4078-9108-777CF25A7D5A}"/>
    <cellStyle name="Normal 8 2 2 3 9" xfId="9082" xr:uid="{04B0874C-B6BE-4EB9-9141-D6603E814D06}"/>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3DA270DA-A332-4A43-BC85-790884B732AC}"/>
    <cellStyle name="Normal 8 2 2 4 2 2 3" xfId="11642" xr:uid="{80CCBCD9-E3CB-4F57-8A68-EFA6ABBC7D5A}"/>
    <cellStyle name="Normal 8 2 2 4 2 3" xfId="5265" xr:uid="{00000000-0005-0000-0000-0000711C0000}"/>
    <cellStyle name="Normal 8 2 2 4 2 3 2" xfId="13715" xr:uid="{855F1D1E-9D0E-41BC-BDC1-6CBFD6DCA81F}"/>
    <cellStyle name="Normal 8 2 2 4 2 4" xfId="9497" xr:uid="{BD3EC945-D892-42CD-A370-00A2276D0F0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32B4D96E-02A1-4127-8018-89732454BE1E}"/>
    <cellStyle name="Normal 8 2 2 4 3 2 3" xfId="12055" xr:uid="{F093B4EE-9330-4500-A181-B90510263B6E}"/>
    <cellStyle name="Normal 8 2 2 4 3 3" xfId="5678" xr:uid="{00000000-0005-0000-0000-0000751C0000}"/>
    <cellStyle name="Normal 8 2 2 4 3 3 2" xfId="14128" xr:uid="{50B6EF49-4658-4292-B9B5-B695E393BE6F}"/>
    <cellStyle name="Normal 8 2 2 4 3 4" xfId="9910" xr:uid="{91CFC397-C27C-407B-BC64-462305B1812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16998E9C-63EB-4E97-879B-6238ED6970D5}"/>
    <cellStyle name="Normal 8 2 2 4 4 2 3" xfId="12468" xr:uid="{F51CC897-67D4-45A1-A9EF-5C550883C38E}"/>
    <cellStyle name="Normal 8 2 2 4 4 3" xfId="6091" xr:uid="{00000000-0005-0000-0000-0000791C0000}"/>
    <cellStyle name="Normal 8 2 2 4 4 3 2" xfId="14541" xr:uid="{0FA6A713-D9E2-4E18-B0F8-4B225CB29A05}"/>
    <cellStyle name="Normal 8 2 2 4 4 4" xfId="10323" xr:uid="{B0104116-7412-4CA5-8489-DD0FD15A2E2C}"/>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C83E9F88-1DC6-48BA-80C2-7E7A4855EBF1}"/>
    <cellStyle name="Normal 8 2 2 4 5 2 3" xfId="12881" xr:uid="{6462F659-7462-41B3-91E1-9B4C01C4204A}"/>
    <cellStyle name="Normal 8 2 2 4 5 3" xfId="6504" xr:uid="{00000000-0005-0000-0000-00007D1C0000}"/>
    <cellStyle name="Normal 8 2 2 4 5 3 2" xfId="14954" xr:uid="{53B52BB0-058A-4DB8-BB0C-DAB9689B2072}"/>
    <cellStyle name="Normal 8 2 2 4 5 4" xfId="10736" xr:uid="{BC3A0B1B-9192-498C-A0E7-B04CC82285A5}"/>
    <cellStyle name="Normal 8 2 2 4 6" xfId="2634" xr:uid="{00000000-0005-0000-0000-00007E1C0000}"/>
    <cellStyle name="Normal 8 2 2 4 6 2" xfId="6917" xr:uid="{00000000-0005-0000-0000-00007F1C0000}"/>
    <cellStyle name="Normal 8 2 2 4 6 2 2" xfId="15367" xr:uid="{653831BD-4EF4-41FE-847B-C922A2FFFAFC}"/>
    <cellStyle name="Normal 8 2 2 4 6 3" xfId="11149" xr:uid="{9935C951-9B6F-419D-9A24-F974D606A793}"/>
    <cellStyle name="Normal 8 2 2 4 7" xfId="4852" xr:uid="{00000000-0005-0000-0000-0000801C0000}"/>
    <cellStyle name="Normal 8 2 2 4 7 2" xfId="13302" xr:uid="{B2154BE4-79DA-442C-92B1-2A23085B5C9D}"/>
    <cellStyle name="Normal 8 2 2 4 8" xfId="9084" xr:uid="{ED550386-CA14-4784-8360-6DBBE56BC751}"/>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522451D4-BE28-4E74-8E8B-D8CBFC4F2A83}"/>
    <cellStyle name="Normal 8 2 2 5 2 3" xfId="11635" xr:uid="{D4B6AA0E-82CD-4D26-BF2B-711E65ED87E2}"/>
    <cellStyle name="Normal 8 2 2 5 3" xfId="5258" xr:uid="{00000000-0005-0000-0000-0000841C0000}"/>
    <cellStyle name="Normal 8 2 2 5 3 2" xfId="13708" xr:uid="{13E09DCF-2E25-4687-BD81-9E9C65D48FF0}"/>
    <cellStyle name="Normal 8 2 2 5 4" xfId="9490" xr:uid="{64F752D6-9E36-4B24-9C4F-004B76E786F4}"/>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08EC77DF-AEC8-4F7B-BCE6-5F43BEA0716C}"/>
    <cellStyle name="Normal 8 2 2 6 2 3" xfId="12048" xr:uid="{A55B7028-6602-43E0-AE44-E5840AE98921}"/>
    <cellStyle name="Normal 8 2 2 6 3" xfId="5671" xr:uid="{00000000-0005-0000-0000-0000881C0000}"/>
    <cellStyle name="Normal 8 2 2 6 3 2" xfId="14121" xr:uid="{BB598415-1B2F-4EC3-89A9-3C8CA2F7A47A}"/>
    <cellStyle name="Normal 8 2 2 6 4" xfId="9903" xr:uid="{2094E7C4-7A31-40EF-83EB-9F5F44AFDEC9}"/>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0FE9FA62-C9C0-465B-AA2A-A5053A069334}"/>
    <cellStyle name="Normal 8 2 2 7 2 3" xfId="12461" xr:uid="{7CE3DC10-EF47-4889-AF96-610E10F1BBB7}"/>
    <cellStyle name="Normal 8 2 2 7 3" xfId="6084" xr:uid="{00000000-0005-0000-0000-00008C1C0000}"/>
    <cellStyle name="Normal 8 2 2 7 3 2" xfId="14534" xr:uid="{5FEEFEB7-0786-44BF-B88E-46207DCBEA36}"/>
    <cellStyle name="Normal 8 2 2 7 4" xfId="10316" xr:uid="{E49A2A20-7C7A-44F7-8901-6603D00338D5}"/>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0B06EB31-3EE2-4F87-820D-507C9873A0D7}"/>
    <cellStyle name="Normal 8 2 2 8 2 3" xfId="12874" xr:uid="{35DD461B-9CA0-4AFC-BA02-A4E80B8BCED5}"/>
    <cellStyle name="Normal 8 2 2 8 3" xfId="6497" xr:uid="{00000000-0005-0000-0000-0000901C0000}"/>
    <cellStyle name="Normal 8 2 2 8 3 2" xfId="14947" xr:uid="{82E6F3D8-C3E3-4C2D-81D3-A7B970564EBE}"/>
    <cellStyle name="Normal 8 2 2 8 4" xfId="10729" xr:uid="{F8FA8163-613F-44B9-BC3C-5A341B00861E}"/>
    <cellStyle name="Normal 8 2 2 9" xfId="2627" xr:uid="{00000000-0005-0000-0000-0000911C0000}"/>
    <cellStyle name="Normal 8 2 2 9 2" xfId="6910" xr:uid="{00000000-0005-0000-0000-0000921C0000}"/>
    <cellStyle name="Normal 8 2 2 9 2 2" xfId="15360" xr:uid="{D73B154C-B5BD-4B5B-991E-E66CCE0E55AB}"/>
    <cellStyle name="Normal 8 2 2 9 3" xfId="11142" xr:uid="{95222A11-0F5E-4F0C-84B6-809A371D985E}"/>
    <cellStyle name="Normal 8 2 3" xfId="488" xr:uid="{00000000-0005-0000-0000-0000931C0000}"/>
    <cellStyle name="Normal 8 2 3 10" xfId="9085" xr:uid="{82554E72-4781-4826-85BE-1190DAAC423B}"/>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EC6A1195-CA6A-4076-B834-8F1120C165E9}"/>
    <cellStyle name="Normal 8 2 3 2 2 2 2 3" xfId="11645" xr:uid="{A4279F16-105F-4505-828C-477C976A8F3A}"/>
    <cellStyle name="Normal 8 2 3 2 2 2 3" xfId="5268" xr:uid="{00000000-0005-0000-0000-0000991C0000}"/>
    <cellStyle name="Normal 8 2 3 2 2 2 3 2" xfId="13718" xr:uid="{9B0978EB-DA54-46E1-BC10-2D2ADA32384C}"/>
    <cellStyle name="Normal 8 2 3 2 2 2 4" xfId="9500" xr:uid="{DE5DB3B5-7943-4D35-BC2B-73B239100742}"/>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9A6DDC62-CD58-4CCD-B30E-9357D802C7E6}"/>
    <cellStyle name="Normal 8 2 3 2 2 3 2 3" xfId="12058" xr:uid="{7833CA34-E2A0-4DA9-8D32-31AA029FFEA3}"/>
    <cellStyle name="Normal 8 2 3 2 2 3 3" xfId="5681" xr:uid="{00000000-0005-0000-0000-00009D1C0000}"/>
    <cellStyle name="Normal 8 2 3 2 2 3 3 2" xfId="14131" xr:uid="{74D96A41-F6B1-42F7-8814-665F8E4FB21D}"/>
    <cellStyle name="Normal 8 2 3 2 2 3 4" xfId="9913" xr:uid="{264E72BF-F0F3-4539-8ED5-6E88FAC9AC8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4DB28BDF-E61D-4863-9AE3-CB78A012474A}"/>
    <cellStyle name="Normal 8 2 3 2 2 4 2 3" xfId="12471" xr:uid="{3B6506D7-5096-4267-8320-3E066380BE74}"/>
    <cellStyle name="Normal 8 2 3 2 2 4 3" xfId="6094" xr:uid="{00000000-0005-0000-0000-0000A11C0000}"/>
    <cellStyle name="Normal 8 2 3 2 2 4 3 2" xfId="14544" xr:uid="{8709344D-9298-4CFF-B151-059450B5DD12}"/>
    <cellStyle name="Normal 8 2 3 2 2 4 4" xfId="10326" xr:uid="{FF4C7A9E-56F9-40E9-853E-91E94B53BB5B}"/>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3B13051C-9F27-4794-B60A-93942B13A48B}"/>
    <cellStyle name="Normal 8 2 3 2 2 5 2 3" xfId="12884" xr:uid="{9B2C9E4A-F4CE-453E-A96F-DD6FB6C4EA2F}"/>
    <cellStyle name="Normal 8 2 3 2 2 5 3" xfId="6507" xr:uid="{00000000-0005-0000-0000-0000A51C0000}"/>
    <cellStyle name="Normal 8 2 3 2 2 5 3 2" xfId="14957" xr:uid="{E0E58325-A49D-455F-AC9E-E38CA8FA3537}"/>
    <cellStyle name="Normal 8 2 3 2 2 5 4" xfId="10739" xr:uid="{B55C2B9D-8020-45B1-B36B-2EE52DC7FB0E}"/>
    <cellStyle name="Normal 8 2 3 2 2 6" xfId="2637" xr:uid="{00000000-0005-0000-0000-0000A61C0000}"/>
    <cellStyle name="Normal 8 2 3 2 2 6 2" xfId="6920" xr:uid="{00000000-0005-0000-0000-0000A71C0000}"/>
    <cellStyle name="Normal 8 2 3 2 2 6 2 2" xfId="15370" xr:uid="{70C8E10D-5F60-4D01-906C-DD367C6859A0}"/>
    <cellStyle name="Normal 8 2 3 2 2 6 3" xfId="11152" xr:uid="{C0CCADB0-C819-446B-8012-E3AAB0541FC8}"/>
    <cellStyle name="Normal 8 2 3 2 2 7" xfId="4855" xr:uid="{00000000-0005-0000-0000-0000A81C0000}"/>
    <cellStyle name="Normal 8 2 3 2 2 7 2" xfId="13305" xr:uid="{F6A7E537-8806-4FD1-9EF3-3A3373062C27}"/>
    <cellStyle name="Normal 8 2 3 2 2 8" xfId="9087" xr:uid="{7D6D0C37-ECCA-418D-927F-0352123C4CD0}"/>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83562982-6571-4BFF-B6DD-7722E8CD44BE}"/>
    <cellStyle name="Normal 8 2 3 2 3 2 3" xfId="11644" xr:uid="{3866910C-3E63-4427-B8C5-3C151EF3D2ED}"/>
    <cellStyle name="Normal 8 2 3 2 3 3" xfId="5267" xr:uid="{00000000-0005-0000-0000-0000AC1C0000}"/>
    <cellStyle name="Normal 8 2 3 2 3 3 2" xfId="13717" xr:uid="{37AEFE7C-1D29-465A-BAA3-F9959A4EA9AF}"/>
    <cellStyle name="Normal 8 2 3 2 3 4" xfId="9499" xr:uid="{D7A2A7C5-E874-46E0-8565-F244EDDA89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AA7ED98A-D1A2-4818-89D2-DFCA5F443849}"/>
    <cellStyle name="Normal 8 2 3 2 4 2 3" xfId="12057" xr:uid="{D8C4C746-973C-4CC8-9959-A436308690E6}"/>
    <cellStyle name="Normal 8 2 3 2 4 3" xfId="5680" xr:uid="{00000000-0005-0000-0000-0000B01C0000}"/>
    <cellStyle name="Normal 8 2 3 2 4 3 2" xfId="14130" xr:uid="{DA81D3DD-3A42-44EB-A329-CE45B76DE4DD}"/>
    <cellStyle name="Normal 8 2 3 2 4 4" xfId="9912" xr:uid="{76C46530-7742-42F6-9460-6F6D53BD8ED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B23237A4-0D4D-4411-B5CA-6815FD0C612D}"/>
    <cellStyle name="Normal 8 2 3 2 5 2 3" xfId="12470" xr:uid="{909CED47-AC13-4FF6-9EDA-25AF6317B7D5}"/>
    <cellStyle name="Normal 8 2 3 2 5 3" xfId="6093" xr:uid="{00000000-0005-0000-0000-0000B41C0000}"/>
    <cellStyle name="Normal 8 2 3 2 5 3 2" xfId="14543" xr:uid="{F63D49DD-3D33-475C-8564-FC12E9C7DF6E}"/>
    <cellStyle name="Normal 8 2 3 2 5 4" xfId="10325" xr:uid="{8D7288E3-38AB-4544-9530-582620CCB71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2CB00DB1-D523-4C5E-B2D8-05AC36A1C660}"/>
    <cellStyle name="Normal 8 2 3 2 6 2 3" xfId="12883" xr:uid="{55388885-63CC-4A30-B767-1E607C29C77D}"/>
    <cellStyle name="Normal 8 2 3 2 6 3" xfId="6506" xr:uid="{00000000-0005-0000-0000-0000B81C0000}"/>
    <cellStyle name="Normal 8 2 3 2 6 3 2" xfId="14956" xr:uid="{8D14C4AE-3C3B-4832-BD96-1AA8EC6428A7}"/>
    <cellStyle name="Normal 8 2 3 2 6 4" xfId="10738" xr:uid="{ED0DA4BD-E070-4E62-B574-4A03BB77D14F}"/>
    <cellStyle name="Normal 8 2 3 2 7" xfId="2636" xr:uid="{00000000-0005-0000-0000-0000B91C0000}"/>
    <cellStyle name="Normal 8 2 3 2 7 2" xfId="6919" xr:uid="{00000000-0005-0000-0000-0000BA1C0000}"/>
    <cellStyle name="Normal 8 2 3 2 7 2 2" xfId="15369" xr:uid="{EB2C0D5A-5821-4DA5-91A1-51638D185281}"/>
    <cellStyle name="Normal 8 2 3 2 7 3" xfId="11151" xr:uid="{FDB803BA-7E30-44FF-BBAF-06CC8C9B978E}"/>
    <cellStyle name="Normal 8 2 3 2 8" xfId="4854" xr:uid="{00000000-0005-0000-0000-0000BB1C0000}"/>
    <cellStyle name="Normal 8 2 3 2 8 2" xfId="13304" xr:uid="{34F7908B-22BC-4BB9-BEC2-431C80F35417}"/>
    <cellStyle name="Normal 8 2 3 2 9" xfId="9086" xr:uid="{701E2328-1E87-41CD-9DBB-40B4D7455624}"/>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B901E87B-977D-407C-8260-410A311E931E}"/>
    <cellStyle name="Normal 8 2 3 3 2 2 3" xfId="11646" xr:uid="{1AC8F1BE-81B1-4E60-8D98-F05B9025EDDF}"/>
    <cellStyle name="Normal 8 2 3 3 2 3" xfId="5269" xr:uid="{00000000-0005-0000-0000-0000C01C0000}"/>
    <cellStyle name="Normal 8 2 3 3 2 3 2" xfId="13719" xr:uid="{6633C56C-19FC-43B4-A89F-C6BCA3487568}"/>
    <cellStyle name="Normal 8 2 3 3 2 4" xfId="9501" xr:uid="{B9E10079-A23A-4F3E-9858-53655DBF2BDF}"/>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0C0DD218-530A-47A0-A70A-9E95D1AF07F9}"/>
    <cellStyle name="Normal 8 2 3 3 3 2 3" xfId="12059" xr:uid="{09886FC8-32BE-4BA8-89B3-12C648CD7853}"/>
    <cellStyle name="Normal 8 2 3 3 3 3" xfId="5682" xr:uid="{00000000-0005-0000-0000-0000C41C0000}"/>
    <cellStyle name="Normal 8 2 3 3 3 3 2" xfId="14132" xr:uid="{76E5AB4E-5F1B-42B3-ABBE-05B6626505B9}"/>
    <cellStyle name="Normal 8 2 3 3 3 4" xfId="9914" xr:uid="{23D85BAA-7A38-4FB8-82C3-A6C97A43B21E}"/>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9BDEFDFB-5C7A-4221-BBAD-1955EF9997F1}"/>
    <cellStyle name="Normal 8 2 3 3 4 2 3" xfId="12472" xr:uid="{EF377AB7-7547-4FB5-981C-FCC7A7158A8D}"/>
    <cellStyle name="Normal 8 2 3 3 4 3" xfId="6095" xr:uid="{00000000-0005-0000-0000-0000C81C0000}"/>
    <cellStyle name="Normal 8 2 3 3 4 3 2" xfId="14545" xr:uid="{F4DC1546-9B08-4044-85D6-EBAF03AF2A42}"/>
    <cellStyle name="Normal 8 2 3 3 4 4" xfId="10327" xr:uid="{14634843-20C9-4CF6-8182-2A8D684229E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CC1FD11A-BCA9-4951-A2CB-9C824F9771C9}"/>
    <cellStyle name="Normal 8 2 3 3 5 2 3" xfId="12885" xr:uid="{CE0986A2-8472-4AAF-B863-0AEE1553091E}"/>
    <cellStyle name="Normal 8 2 3 3 5 3" xfId="6508" xr:uid="{00000000-0005-0000-0000-0000CC1C0000}"/>
    <cellStyle name="Normal 8 2 3 3 5 3 2" xfId="14958" xr:uid="{A03E04AE-040F-46DA-BDBB-230759A48368}"/>
    <cellStyle name="Normal 8 2 3 3 5 4" xfId="10740" xr:uid="{7746DA7D-AE77-44CF-9AB7-943FFF8C38CD}"/>
    <cellStyle name="Normal 8 2 3 3 6" xfId="2638" xr:uid="{00000000-0005-0000-0000-0000CD1C0000}"/>
    <cellStyle name="Normal 8 2 3 3 6 2" xfId="6921" xr:uid="{00000000-0005-0000-0000-0000CE1C0000}"/>
    <cellStyle name="Normal 8 2 3 3 6 2 2" xfId="15371" xr:uid="{70453E69-A1B8-47DA-8778-982B534CAF74}"/>
    <cellStyle name="Normal 8 2 3 3 6 3" xfId="11153" xr:uid="{C34AF715-6F97-4D1C-B849-B958464223C5}"/>
    <cellStyle name="Normal 8 2 3 3 7" xfId="4856" xr:uid="{00000000-0005-0000-0000-0000CF1C0000}"/>
    <cellStyle name="Normal 8 2 3 3 7 2" xfId="13306" xr:uid="{17380106-4FC2-4B6F-8897-3448982D0A6A}"/>
    <cellStyle name="Normal 8 2 3 3 8" xfId="9088" xr:uid="{18460023-3CCD-4546-95F6-02A46BF61E4C}"/>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6CDA4C82-F3C7-4DA3-A52A-BB633BAE33C6}"/>
    <cellStyle name="Normal 8 2 3 4 2 3" xfId="11643" xr:uid="{AEEF8F15-9C16-487D-A67B-0C56DFBBBD97}"/>
    <cellStyle name="Normal 8 2 3 4 3" xfId="5266" xr:uid="{00000000-0005-0000-0000-0000D31C0000}"/>
    <cellStyle name="Normal 8 2 3 4 3 2" xfId="13716" xr:uid="{796BF8FE-69F8-4775-AF44-1E82D1CAE2AF}"/>
    <cellStyle name="Normal 8 2 3 4 4" xfId="9498" xr:uid="{10617BEB-6A50-46D5-856A-4165BA0D8936}"/>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7A1C38F4-7CB0-4EEF-8DFE-A297E2F4A025}"/>
    <cellStyle name="Normal 8 2 3 5 2 3" xfId="12056" xr:uid="{E3AA1506-824D-4EE0-AB1D-1155938089C3}"/>
    <cellStyle name="Normal 8 2 3 5 3" xfId="5679" xr:uid="{00000000-0005-0000-0000-0000D71C0000}"/>
    <cellStyle name="Normal 8 2 3 5 3 2" xfId="14129" xr:uid="{F0A7C618-9B40-4BEC-AF39-3BF86DC5A2C6}"/>
    <cellStyle name="Normal 8 2 3 5 4" xfId="9911" xr:uid="{689782D5-7BCC-47AC-9ED4-A59BAF94F7AC}"/>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8F4AEA32-FCD9-4A7D-A67F-38D83A6F38E9}"/>
    <cellStyle name="Normal 8 2 3 6 2 3" xfId="12469" xr:uid="{FA369D96-B327-49DE-A8A4-8952BDC257F9}"/>
    <cellStyle name="Normal 8 2 3 6 3" xfId="6092" xr:uid="{00000000-0005-0000-0000-0000DB1C0000}"/>
    <cellStyle name="Normal 8 2 3 6 3 2" xfId="14542" xr:uid="{955B8F77-67FC-4F46-8F7B-D841416AB61D}"/>
    <cellStyle name="Normal 8 2 3 6 4" xfId="10324" xr:uid="{7DA9693F-7C56-46D0-A4B5-DA0FAC865278}"/>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399F294A-B30E-48F6-9FC1-2AAEF24A0E05}"/>
    <cellStyle name="Normal 8 2 3 7 2 3" xfId="12882" xr:uid="{F4882A3D-4AA3-48C5-9F30-F8873CED6220}"/>
    <cellStyle name="Normal 8 2 3 7 3" xfId="6505" xr:uid="{00000000-0005-0000-0000-0000DF1C0000}"/>
    <cellStyle name="Normal 8 2 3 7 3 2" xfId="14955" xr:uid="{40050F65-7DA4-4F04-994E-C6B6D6EDC651}"/>
    <cellStyle name="Normal 8 2 3 7 4" xfId="10737" xr:uid="{2E724857-709D-4FB9-83D0-B2D849335DDC}"/>
    <cellStyle name="Normal 8 2 3 8" xfId="2635" xr:uid="{00000000-0005-0000-0000-0000E01C0000}"/>
    <cellStyle name="Normal 8 2 3 8 2" xfId="6918" xr:uid="{00000000-0005-0000-0000-0000E11C0000}"/>
    <cellStyle name="Normal 8 2 3 8 2 2" xfId="15368" xr:uid="{B3D76526-8682-43B7-89D6-6523F814FD2F}"/>
    <cellStyle name="Normal 8 2 3 8 3" xfId="11150" xr:uid="{113BD02F-2E51-411E-9BBD-F603C5C2A824}"/>
    <cellStyle name="Normal 8 2 3 9" xfId="4853" xr:uid="{00000000-0005-0000-0000-0000E21C0000}"/>
    <cellStyle name="Normal 8 2 3 9 2" xfId="13303" xr:uid="{F3430C8E-322E-4E34-B3AE-2F72AF406B58}"/>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9167570D-1097-4A06-91F6-8D8DB3C67507}"/>
    <cellStyle name="Normal 8 2 4 2 2 2 3" xfId="11648" xr:uid="{9C011C18-8368-4D8D-A402-D9CAF07A89CA}"/>
    <cellStyle name="Normal 8 2 4 2 2 3" xfId="5271" xr:uid="{00000000-0005-0000-0000-0000E81C0000}"/>
    <cellStyle name="Normal 8 2 4 2 2 3 2" xfId="13721" xr:uid="{EF495928-4433-43A4-9779-EB5E03F29C5A}"/>
    <cellStyle name="Normal 8 2 4 2 2 4" xfId="9503" xr:uid="{70B5A0A6-0873-48D2-9E30-C28DF50DBBE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DA550560-C5D4-4667-A3F5-1CE41B6A72C1}"/>
    <cellStyle name="Normal 8 2 4 2 3 2 3" xfId="12061" xr:uid="{BB11028C-2BAB-4B40-AC67-AF656F4CA909}"/>
    <cellStyle name="Normal 8 2 4 2 3 3" xfId="5684" xr:uid="{00000000-0005-0000-0000-0000EC1C0000}"/>
    <cellStyle name="Normal 8 2 4 2 3 3 2" xfId="14134" xr:uid="{701272BF-D522-406D-8370-74D0EEA376B6}"/>
    <cellStyle name="Normal 8 2 4 2 3 4" xfId="9916" xr:uid="{06E3E3AD-9434-48BA-AF6F-D0C782D19467}"/>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0426B819-E288-4BFA-B48D-6872B4048DAE}"/>
    <cellStyle name="Normal 8 2 4 2 4 2 3" xfId="12474" xr:uid="{0D29E289-1663-4160-A5B0-05CF691808F0}"/>
    <cellStyle name="Normal 8 2 4 2 4 3" xfId="6097" xr:uid="{00000000-0005-0000-0000-0000F01C0000}"/>
    <cellStyle name="Normal 8 2 4 2 4 3 2" xfId="14547" xr:uid="{22D3D5D8-35C2-44D1-9C7D-FA541112E6BD}"/>
    <cellStyle name="Normal 8 2 4 2 4 4" xfId="10329" xr:uid="{3F9A6BC5-0EC5-4AD0-B0FB-DCB2915E168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27E8AE64-750D-4BBC-B07A-F9024DB1E581}"/>
    <cellStyle name="Normal 8 2 4 2 5 2 3" xfId="12887" xr:uid="{2D58BC59-A366-4381-9BC7-DBFB704EF1ED}"/>
    <cellStyle name="Normal 8 2 4 2 5 3" xfId="6510" xr:uid="{00000000-0005-0000-0000-0000F41C0000}"/>
    <cellStyle name="Normal 8 2 4 2 5 3 2" xfId="14960" xr:uid="{44BC8908-464E-485E-A77E-91EE5B3BE7A7}"/>
    <cellStyle name="Normal 8 2 4 2 5 4" xfId="10742" xr:uid="{933C4145-A3C5-474A-8BDD-BA11D0D307AD}"/>
    <cellStyle name="Normal 8 2 4 2 6" xfId="2640" xr:uid="{00000000-0005-0000-0000-0000F51C0000}"/>
    <cellStyle name="Normal 8 2 4 2 6 2" xfId="6923" xr:uid="{00000000-0005-0000-0000-0000F61C0000}"/>
    <cellStyle name="Normal 8 2 4 2 6 2 2" xfId="15373" xr:uid="{6DD6ED9B-9830-44A7-B967-C45DBCBE26E7}"/>
    <cellStyle name="Normal 8 2 4 2 6 3" xfId="11155" xr:uid="{51E6D270-906F-4BFC-A288-E1AFA1248E41}"/>
    <cellStyle name="Normal 8 2 4 2 7" xfId="4858" xr:uid="{00000000-0005-0000-0000-0000F71C0000}"/>
    <cellStyle name="Normal 8 2 4 2 7 2" xfId="13308" xr:uid="{480AFCC9-CC9A-4E94-9235-C51F1E33590D}"/>
    <cellStyle name="Normal 8 2 4 2 8" xfId="9090" xr:uid="{E9A7CDC6-A765-42B3-9897-F63B47DFEAFA}"/>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945228C7-687B-4DA8-8B7E-3601B876B663}"/>
    <cellStyle name="Normal 8 2 4 3 2 3" xfId="11647" xr:uid="{656DB02C-C3D8-4803-908A-A9D02B0C4A8E}"/>
    <cellStyle name="Normal 8 2 4 3 3" xfId="5270" xr:uid="{00000000-0005-0000-0000-0000FB1C0000}"/>
    <cellStyle name="Normal 8 2 4 3 3 2" xfId="13720" xr:uid="{356452E9-391F-4A67-B91E-B2C9FDEAFE3E}"/>
    <cellStyle name="Normal 8 2 4 3 4" xfId="9502" xr:uid="{D6258468-3AE0-4D04-AF96-7353A955F8DC}"/>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50F2D450-DB1F-40FA-BF5D-4E8E6E2EB1A1}"/>
    <cellStyle name="Normal 8 2 4 4 2 3" xfId="12060" xr:uid="{1B7BE6D0-EC53-477D-A89A-6D8720E921CB}"/>
    <cellStyle name="Normal 8 2 4 4 3" xfId="5683" xr:uid="{00000000-0005-0000-0000-0000FF1C0000}"/>
    <cellStyle name="Normal 8 2 4 4 3 2" xfId="14133" xr:uid="{8EABE44E-A0DE-46A6-BCBB-E0E2A67C7353}"/>
    <cellStyle name="Normal 8 2 4 4 4" xfId="9915" xr:uid="{7D25715B-2565-4DD1-AE98-00CE4F1B131C}"/>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C9640BAF-74AC-4DD8-B4E0-846361DAE996}"/>
    <cellStyle name="Normal 8 2 4 5 2 3" xfId="12473" xr:uid="{C562FC27-285C-43D4-B3F1-B37085965DCE}"/>
    <cellStyle name="Normal 8 2 4 5 3" xfId="6096" xr:uid="{00000000-0005-0000-0000-0000031D0000}"/>
    <cellStyle name="Normal 8 2 4 5 3 2" xfId="14546" xr:uid="{D42EE71B-856D-4A8E-865F-08572B57965E}"/>
    <cellStyle name="Normal 8 2 4 5 4" xfId="10328" xr:uid="{289AE995-D5F0-4807-8975-70852866B637}"/>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5BCF8BD8-05F4-4C28-9D13-197DCBE8F347}"/>
    <cellStyle name="Normal 8 2 4 6 2 3" xfId="12886" xr:uid="{E041C2C9-EDC5-4518-8968-C5C1D6B2ED12}"/>
    <cellStyle name="Normal 8 2 4 6 3" xfId="6509" xr:uid="{00000000-0005-0000-0000-0000071D0000}"/>
    <cellStyle name="Normal 8 2 4 6 3 2" xfId="14959" xr:uid="{E2B5E8EC-BF16-42A0-AB3A-AB27811AE0E9}"/>
    <cellStyle name="Normal 8 2 4 6 4" xfId="10741" xr:uid="{28BAFA40-81AD-47F7-BECE-89E8E19F133F}"/>
    <cellStyle name="Normal 8 2 4 7" xfId="2639" xr:uid="{00000000-0005-0000-0000-0000081D0000}"/>
    <cellStyle name="Normal 8 2 4 7 2" xfId="6922" xr:uid="{00000000-0005-0000-0000-0000091D0000}"/>
    <cellStyle name="Normal 8 2 4 7 2 2" xfId="15372" xr:uid="{5DE1075C-0FBB-4DF0-A4AC-B5B99909E832}"/>
    <cellStyle name="Normal 8 2 4 7 3" xfId="11154" xr:uid="{FC166482-B863-4A12-8033-CB399B150602}"/>
    <cellStyle name="Normal 8 2 4 8" xfId="4857" xr:uid="{00000000-0005-0000-0000-00000A1D0000}"/>
    <cellStyle name="Normal 8 2 4 8 2" xfId="13307" xr:uid="{263C2B6A-FF19-43C6-A6D9-CDCE733EEB5C}"/>
    <cellStyle name="Normal 8 2 4 9" xfId="9089" xr:uid="{CA6FE710-85D4-4C07-A938-3090CEA72A5E}"/>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FFD099E7-01B0-42CF-AE21-C873068ABE27}"/>
    <cellStyle name="Normal 8 2 5 2 2 3" xfId="11649" xr:uid="{192C0479-8A87-4FF6-B9DB-69DA8CDE771C}"/>
    <cellStyle name="Normal 8 2 5 2 3" xfId="5272" xr:uid="{00000000-0005-0000-0000-00000F1D0000}"/>
    <cellStyle name="Normal 8 2 5 2 3 2" xfId="13722" xr:uid="{5185FE57-3DC2-422B-9B6D-98558ADC9C16}"/>
    <cellStyle name="Normal 8 2 5 2 4" xfId="9504" xr:uid="{0A467D51-1CBC-43F7-B89A-0D1BD3A08136}"/>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02CE7CD4-EF52-49A3-8340-04F732364202}"/>
    <cellStyle name="Normal 8 2 5 3 2 3" xfId="12062" xr:uid="{59CF7A5F-151C-4B48-A8FC-A15F4FA761F4}"/>
    <cellStyle name="Normal 8 2 5 3 3" xfId="5685" xr:uid="{00000000-0005-0000-0000-0000131D0000}"/>
    <cellStyle name="Normal 8 2 5 3 3 2" xfId="14135" xr:uid="{A39B8DC4-16D6-4EA3-8E70-1056495E5BB5}"/>
    <cellStyle name="Normal 8 2 5 3 4" xfId="9917" xr:uid="{AC1FF289-167E-4EB1-9C21-3A3B5E7D9516}"/>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3849B071-D8B5-4F58-8666-C3DEA688FE01}"/>
    <cellStyle name="Normal 8 2 5 4 2 3" xfId="12475" xr:uid="{0838C572-E077-406F-8A99-2C395AAD7101}"/>
    <cellStyle name="Normal 8 2 5 4 3" xfId="6098" xr:uid="{00000000-0005-0000-0000-0000171D0000}"/>
    <cellStyle name="Normal 8 2 5 4 3 2" xfId="14548" xr:uid="{7D49B329-CB40-43DC-B8A4-EDB379246FF9}"/>
    <cellStyle name="Normal 8 2 5 4 4" xfId="10330" xr:uid="{B5547909-4901-44D0-B667-2D2D85D2E962}"/>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DF66F3AA-C843-46A8-90FA-E2E9E63714A6}"/>
    <cellStyle name="Normal 8 2 5 5 2 3" xfId="12888" xr:uid="{5A5F06C4-97CB-48C7-BFFF-34D182C68A34}"/>
    <cellStyle name="Normal 8 2 5 5 3" xfId="6511" xr:uid="{00000000-0005-0000-0000-00001B1D0000}"/>
    <cellStyle name="Normal 8 2 5 5 3 2" xfId="14961" xr:uid="{A99F565B-568B-4F34-ADDB-CCD36C01D6CE}"/>
    <cellStyle name="Normal 8 2 5 5 4" xfId="10743" xr:uid="{D976A171-3FBA-4FDB-A5C9-4D2329664C61}"/>
    <cellStyle name="Normal 8 2 5 6" xfId="2641" xr:uid="{00000000-0005-0000-0000-00001C1D0000}"/>
    <cellStyle name="Normal 8 2 5 6 2" xfId="6924" xr:uid="{00000000-0005-0000-0000-00001D1D0000}"/>
    <cellStyle name="Normal 8 2 5 6 2 2" xfId="15374" xr:uid="{C6E6B961-7E4B-4F44-80E9-2BF1330C6FF7}"/>
    <cellStyle name="Normal 8 2 5 6 3" xfId="11156" xr:uid="{B81DDC3B-2092-44B6-B823-B88F06AC5FF0}"/>
    <cellStyle name="Normal 8 2 5 7" xfId="4859" xr:uid="{00000000-0005-0000-0000-00001E1D0000}"/>
    <cellStyle name="Normal 8 2 5 7 2" xfId="13309" xr:uid="{A1F95C46-E0A0-43C5-83AF-3D2253F643C1}"/>
    <cellStyle name="Normal 8 2 5 8" xfId="9091" xr:uid="{225543F2-2787-442E-91F5-39E979C27B16}"/>
    <cellStyle name="Normal 8 2 6" xfId="946" xr:uid="{00000000-0005-0000-0000-00001F1D0000}"/>
    <cellStyle name="Normal 8 2 6 2" xfId="3180" xr:uid="{00000000-0005-0000-0000-0000201D0000}"/>
    <cellStyle name="Normal 8 2 6 2 2" xfId="7402" xr:uid="{00000000-0005-0000-0000-0000211D0000}"/>
    <cellStyle name="Normal 8 2 6 2 2 2" xfId="15852" xr:uid="{B16EA964-5892-496F-83E2-69372486B9D7}"/>
    <cellStyle name="Normal 8 2 6 2 3" xfId="11634" xr:uid="{B9029566-23EB-439B-BC27-66D64463FE2E}"/>
    <cellStyle name="Normal 8 2 6 3" xfId="5257" xr:uid="{00000000-0005-0000-0000-0000221D0000}"/>
    <cellStyle name="Normal 8 2 6 3 2" xfId="13707" xr:uid="{1E8E28C2-7656-495E-B2A5-D85AF41CE6AD}"/>
    <cellStyle name="Normal 8 2 6 4" xfId="9489" xr:uid="{20070234-359E-4107-B6AB-21DE850C70D3}"/>
    <cellStyle name="Normal 8 2 7" xfId="1363" xr:uid="{00000000-0005-0000-0000-0000231D0000}"/>
    <cellStyle name="Normal 8 2 7 2" xfId="3593" xr:uid="{00000000-0005-0000-0000-0000241D0000}"/>
    <cellStyle name="Normal 8 2 7 2 2" xfId="7815" xr:uid="{00000000-0005-0000-0000-0000251D0000}"/>
    <cellStyle name="Normal 8 2 7 2 2 2" xfId="16265" xr:uid="{88313464-3EE5-4C5A-B819-FE9F0F6BDCD8}"/>
    <cellStyle name="Normal 8 2 7 2 3" xfId="12047" xr:uid="{CF378BAF-F74F-44AD-A935-BC801B2841C1}"/>
    <cellStyle name="Normal 8 2 7 3" xfId="5670" xr:uid="{00000000-0005-0000-0000-0000261D0000}"/>
    <cellStyle name="Normal 8 2 7 3 2" xfId="14120" xr:uid="{B8C65120-021B-4BF9-B937-D566D1DC1BC9}"/>
    <cellStyle name="Normal 8 2 7 4" xfId="9902" xr:uid="{72EDAE9F-CB69-4887-B790-803A4AC58CFE}"/>
    <cellStyle name="Normal 8 2 8" xfId="1776" xr:uid="{00000000-0005-0000-0000-0000271D0000}"/>
    <cellStyle name="Normal 8 2 8 2" xfId="4006" xr:uid="{00000000-0005-0000-0000-0000281D0000}"/>
    <cellStyle name="Normal 8 2 8 2 2" xfId="8228" xr:uid="{00000000-0005-0000-0000-0000291D0000}"/>
    <cellStyle name="Normal 8 2 8 2 2 2" xfId="16678" xr:uid="{BF0C9A84-8552-46E3-BEFE-7B98A4AEA586}"/>
    <cellStyle name="Normal 8 2 8 2 3" xfId="12460" xr:uid="{D67E1402-2CC1-41F7-B1E7-74C783F9D63C}"/>
    <cellStyle name="Normal 8 2 8 3" xfId="6083" xr:uid="{00000000-0005-0000-0000-00002A1D0000}"/>
    <cellStyle name="Normal 8 2 8 3 2" xfId="14533" xr:uid="{E1A432F5-F865-4925-91DB-293763EB0DE7}"/>
    <cellStyle name="Normal 8 2 8 4" xfId="10315" xr:uid="{42D4F494-6BC5-4A5F-A1A5-810D116D754C}"/>
    <cellStyle name="Normal 8 2 9" xfId="2190" xr:uid="{00000000-0005-0000-0000-00002B1D0000}"/>
    <cellStyle name="Normal 8 2 9 2" xfId="4419" xr:uid="{00000000-0005-0000-0000-00002C1D0000}"/>
    <cellStyle name="Normal 8 2 9 2 2" xfId="8641" xr:uid="{00000000-0005-0000-0000-00002D1D0000}"/>
    <cellStyle name="Normal 8 2 9 2 2 2" xfId="17091" xr:uid="{ADF22567-B13B-46BF-9802-8274A129A7AA}"/>
    <cellStyle name="Normal 8 2 9 2 3" xfId="12873" xr:uid="{7E68F2CB-27C0-4EB0-A3DA-71A95FB46A2C}"/>
    <cellStyle name="Normal 8 2 9 3" xfId="6496" xr:uid="{00000000-0005-0000-0000-00002E1D0000}"/>
    <cellStyle name="Normal 8 2 9 3 2" xfId="14946" xr:uid="{6CE761B5-2E40-47F1-B43F-F13A83413CF2}"/>
    <cellStyle name="Normal 8 2 9 4" xfId="10728" xr:uid="{61543C8C-4DF3-4F30-B424-10E1AACD3817}"/>
    <cellStyle name="Normal 8 3" xfId="495" xr:uid="{00000000-0005-0000-0000-00002F1D0000}"/>
    <cellStyle name="Normal 8 3 10" xfId="4860" xr:uid="{00000000-0005-0000-0000-0000301D0000}"/>
    <cellStyle name="Normal 8 3 10 2" xfId="13310" xr:uid="{60651126-61EE-4449-B797-BC15627F189A}"/>
    <cellStyle name="Normal 8 3 11" xfId="9092" xr:uid="{742DEABF-253E-41D0-9CC4-26445641D09F}"/>
    <cellStyle name="Normal 8 3 2" xfId="496" xr:uid="{00000000-0005-0000-0000-0000311D0000}"/>
    <cellStyle name="Normal 8 3 2 10" xfId="9093" xr:uid="{F9C74444-EDC1-47AF-ACA9-D6869AFD1DDC}"/>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FD35DEEC-EBA6-4051-BBDE-329079930B8C}"/>
    <cellStyle name="Normal 8 3 2 2 2 2 2 3" xfId="11653" xr:uid="{56F4F33B-03D5-407B-80FD-B5CA0D27CF17}"/>
    <cellStyle name="Normal 8 3 2 2 2 2 3" xfId="5276" xr:uid="{00000000-0005-0000-0000-0000371D0000}"/>
    <cellStyle name="Normal 8 3 2 2 2 2 3 2" xfId="13726" xr:uid="{0753576D-86AB-4F0C-A622-F23E50AA1C8C}"/>
    <cellStyle name="Normal 8 3 2 2 2 2 4" xfId="9508" xr:uid="{EFC84BAA-12E1-48E7-B582-236B748004D6}"/>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4BD01F4C-056F-4FFD-9E5B-761E37607D79}"/>
    <cellStyle name="Normal 8 3 2 2 2 3 2 3" xfId="12066" xr:uid="{5F37FFE5-5BCA-4624-A31E-DE8300890722}"/>
    <cellStyle name="Normal 8 3 2 2 2 3 3" xfId="5689" xr:uid="{00000000-0005-0000-0000-00003B1D0000}"/>
    <cellStyle name="Normal 8 3 2 2 2 3 3 2" xfId="14139" xr:uid="{54130D83-3D7A-4102-BED1-CC05DFA9323F}"/>
    <cellStyle name="Normal 8 3 2 2 2 3 4" xfId="9921" xr:uid="{24397A60-B3BB-4530-ADA0-D82A6D0C30AE}"/>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CB4E1ADC-B8D2-4C9A-B864-1261A412D46D}"/>
    <cellStyle name="Normal 8 3 2 2 2 4 2 3" xfId="12479" xr:uid="{1E806971-2D29-414D-8827-B223F1FCFD33}"/>
    <cellStyle name="Normal 8 3 2 2 2 4 3" xfId="6102" xr:uid="{00000000-0005-0000-0000-00003F1D0000}"/>
    <cellStyle name="Normal 8 3 2 2 2 4 3 2" xfId="14552" xr:uid="{3D60949F-A61C-4D05-9458-7FA5A4F4CD0B}"/>
    <cellStyle name="Normal 8 3 2 2 2 4 4" xfId="10334" xr:uid="{660630D4-4026-4CC8-B282-C695EC49A27E}"/>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157C63D9-C5F8-43C7-90FA-A92BAD4F8806}"/>
    <cellStyle name="Normal 8 3 2 2 2 5 2 3" xfId="12892" xr:uid="{2BF1F1C5-DB92-4876-A9FF-C1A9387CE7CC}"/>
    <cellStyle name="Normal 8 3 2 2 2 5 3" xfId="6515" xr:uid="{00000000-0005-0000-0000-0000431D0000}"/>
    <cellStyle name="Normal 8 3 2 2 2 5 3 2" xfId="14965" xr:uid="{EFBFA527-FAEF-41C4-A531-04743311D3A5}"/>
    <cellStyle name="Normal 8 3 2 2 2 5 4" xfId="10747" xr:uid="{39DC2090-AF9C-4B42-A791-2BC49DF6CC40}"/>
    <cellStyle name="Normal 8 3 2 2 2 6" xfId="2645" xr:uid="{00000000-0005-0000-0000-0000441D0000}"/>
    <cellStyle name="Normal 8 3 2 2 2 6 2" xfId="6928" xr:uid="{00000000-0005-0000-0000-0000451D0000}"/>
    <cellStyle name="Normal 8 3 2 2 2 6 2 2" xfId="15378" xr:uid="{3BA2B7D3-8DBA-4476-9A9B-EAB8424BAAD3}"/>
    <cellStyle name="Normal 8 3 2 2 2 6 3" xfId="11160" xr:uid="{2203B865-7847-4859-8AFB-133C5EDD352F}"/>
    <cellStyle name="Normal 8 3 2 2 2 7" xfId="4863" xr:uid="{00000000-0005-0000-0000-0000461D0000}"/>
    <cellStyle name="Normal 8 3 2 2 2 7 2" xfId="13313" xr:uid="{8623EA48-47D4-45F6-A7DC-0C2149F37744}"/>
    <cellStyle name="Normal 8 3 2 2 2 8" xfId="9095" xr:uid="{27F15C91-CF30-4DB4-80BA-C685A1AFF5C6}"/>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94D890DE-7F80-4D26-A8E9-4578CF4118B0}"/>
    <cellStyle name="Normal 8 3 2 2 3 2 3" xfId="11652" xr:uid="{D5A0D629-AB75-4AB8-BD13-5CD728D774C7}"/>
    <cellStyle name="Normal 8 3 2 2 3 3" xfId="5275" xr:uid="{00000000-0005-0000-0000-00004A1D0000}"/>
    <cellStyle name="Normal 8 3 2 2 3 3 2" xfId="13725" xr:uid="{6E8385F8-53F0-491E-A349-6E0DEBF42D8A}"/>
    <cellStyle name="Normal 8 3 2 2 3 4" xfId="9507" xr:uid="{599D5F9C-06B7-451D-A4A3-78EBECD0140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C0622802-7141-42B0-ACC9-60A24E72A251}"/>
    <cellStyle name="Normal 8 3 2 2 4 2 3" xfId="12065" xr:uid="{1F2E44D9-0A4E-4E4B-8E65-A7AB39BB014E}"/>
    <cellStyle name="Normal 8 3 2 2 4 3" xfId="5688" xr:uid="{00000000-0005-0000-0000-00004E1D0000}"/>
    <cellStyle name="Normal 8 3 2 2 4 3 2" xfId="14138" xr:uid="{F6D367B8-90B3-4D0A-B9D2-4DB052A66FA1}"/>
    <cellStyle name="Normal 8 3 2 2 4 4" xfId="9920" xr:uid="{6E29F119-0061-46A8-AEC5-F4CA229CD856}"/>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E015E791-CD71-4FF4-8E96-F7D4BBAE23CE}"/>
    <cellStyle name="Normal 8 3 2 2 5 2 3" xfId="12478" xr:uid="{9377E9AD-F8D9-433F-B6F4-312A641AC445}"/>
    <cellStyle name="Normal 8 3 2 2 5 3" xfId="6101" xr:uid="{00000000-0005-0000-0000-0000521D0000}"/>
    <cellStyle name="Normal 8 3 2 2 5 3 2" xfId="14551" xr:uid="{55DCE656-F865-4723-A77F-FDBB9F73389B}"/>
    <cellStyle name="Normal 8 3 2 2 5 4" xfId="10333" xr:uid="{26F2DC1E-5780-4CDE-AFE7-983F4EF34915}"/>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BC3DF350-6877-4E71-A257-D1160B73FAF2}"/>
    <cellStyle name="Normal 8 3 2 2 6 2 3" xfId="12891" xr:uid="{D5145645-4FD7-493C-8A3D-C3237A8635EB}"/>
    <cellStyle name="Normal 8 3 2 2 6 3" xfId="6514" xr:uid="{00000000-0005-0000-0000-0000561D0000}"/>
    <cellStyle name="Normal 8 3 2 2 6 3 2" xfId="14964" xr:uid="{FD48B6F2-5A6E-495E-888F-E1375F89DC05}"/>
    <cellStyle name="Normal 8 3 2 2 6 4" xfId="10746" xr:uid="{F36C5833-4DE2-4383-BDA9-876587271024}"/>
    <cellStyle name="Normal 8 3 2 2 7" xfId="2644" xr:uid="{00000000-0005-0000-0000-0000571D0000}"/>
    <cellStyle name="Normal 8 3 2 2 7 2" xfId="6927" xr:uid="{00000000-0005-0000-0000-0000581D0000}"/>
    <cellStyle name="Normal 8 3 2 2 7 2 2" xfId="15377" xr:uid="{583379ED-9C87-455B-B65B-D994977EEF61}"/>
    <cellStyle name="Normal 8 3 2 2 7 3" xfId="11159" xr:uid="{AD06F4C3-FC50-44CB-93D2-22DE29C39D1B}"/>
    <cellStyle name="Normal 8 3 2 2 8" xfId="4862" xr:uid="{00000000-0005-0000-0000-0000591D0000}"/>
    <cellStyle name="Normal 8 3 2 2 8 2" xfId="13312" xr:uid="{59C675F3-051C-4E5B-BB19-DC3AA3BDFFC0}"/>
    <cellStyle name="Normal 8 3 2 2 9" xfId="9094" xr:uid="{3CBD4D8A-B670-45C0-8356-6A70B10D03C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07F65D65-D3CE-4D40-9194-0BDE3DFB4592}"/>
    <cellStyle name="Normal 8 3 2 3 2 2 3" xfId="11654" xr:uid="{94752D16-937A-43A6-A5F2-8071AC79252B}"/>
    <cellStyle name="Normal 8 3 2 3 2 3" xfId="5277" xr:uid="{00000000-0005-0000-0000-00005E1D0000}"/>
    <cellStyle name="Normal 8 3 2 3 2 3 2" xfId="13727" xr:uid="{E80945DC-3B62-42EE-A2A4-5D18F05E7E63}"/>
    <cellStyle name="Normal 8 3 2 3 2 4" xfId="9509" xr:uid="{34323536-0D9F-4102-AB95-CFA5AC31871D}"/>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04B4982D-B3A5-4715-8E26-94CE6548F881}"/>
    <cellStyle name="Normal 8 3 2 3 3 2 3" xfId="12067" xr:uid="{24DE8D09-B0AA-4141-B3EF-BEAA65F737AA}"/>
    <cellStyle name="Normal 8 3 2 3 3 3" xfId="5690" xr:uid="{00000000-0005-0000-0000-0000621D0000}"/>
    <cellStyle name="Normal 8 3 2 3 3 3 2" xfId="14140" xr:uid="{C1E2A622-D118-4B9B-9F39-9561BF607643}"/>
    <cellStyle name="Normal 8 3 2 3 3 4" xfId="9922" xr:uid="{BC87B3BF-9A70-4E71-9928-6CDF6377528F}"/>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B3DC6FED-CC5B-4FC2-B33C-67F7FF0C458B}"/>
    <cellStyle name="Normal 8 3 2 3 4 2 3" xfId="12480" xr:uid="{0F75343B-AD6F-40FE-BCE5-473E906518AD}"/>
    <cellStyle name="Normal 8 3 2 3 4 3" xfId="6103" xr:uid="{00000000-0005-0000-0000-0000661D0000}"/>
    <cellStyle name="Normal 8 3 2 3 4 3 2" xfId="14553" xr:uid="{150CC936-C824-4308-8C5E-93B14A2574EF}"/>
    <cellStyle name="Normal 8 3 2 3 4 4" xfId="10335" xr:uid="{B477AE8A-9D67-47B6-9006-14E19F51F19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DC2253B7-931A-44F3-940A-59F9EEC621DF}"/>
    <cellStyle name="Normal 8 3 2 3 5 2 3" xfId="12893" xr:uid="{D6BEBCB0-D812-401A-8F62-A67661AB6CDD}"/>
    <cellStyle name="Normal 8 3 2 3 5 3" xfId="6516" xr:uid="{00000000-0005-0000-0000-00006A1D0000}"/>
    <cellStyle name="Normal 8 3 2 3 5 3 2" xfId="14966" xr:uid="{3FACE256-AB6A-4BE1-B6FE-1BDEFECE8D18}"/>
    <cellStyle name="Normal 8 3 2 3 5 4" xfId="10748" xr:uid="{0C6A7A20-1D00-4F99-B213-E06364C406B1}"/>
    <cellStyle name="Normal 8 3 2 3 6" xfId="2646" xr:uid="{00000000-0005-0000-0000-00006B1D0000}"/>
    <cellStyle name="Normal 8 3 2 3 6 2" xfId="6929" xr:uid="{00000000-0005-0000-0000-00006C1D0000}"/>
    <cellStyle name="Normal 8 3 2 3 6 2 2" xfId="15379" xr:uid="{CB86AE4A-94F4-4085-8FF6-F82C31BDDCED}"/>
    <cellStyle name="Normal 8 3 2 3 6 3" xfId="11161" xr:uid="{2EE40D0E-8CDF-4D64-9AB4-A9CABB17C3D3}"/>
    <cellStyle name="Normal 8 3 2 3 7" xfId="4864" xr:uid="{00000000-0005-0000-0000-00006D1D0000}"/>
    <cellStyle name="Normal 8 3 2 3 7 2" xfId="13314" xr:uid="{07B82295-92AB-4BAF-955B-F5A27FD9ECCD}"/>
    <cellStyle name="Normal 8 3 2 3 8" xfId="9096" xr:uid="{6F8E907F-DF4D-466B-8AB6-06B36599AC03}"/>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F5910A10-1F5A-41E0-AE96-3061825F8989}"/>
    <cellStyle name="Normal 8 3 2 4 2 3" xfId="11651" xr:uid="{5ADB0253-D409-46D6-8B2E-C700A9328236}"/>
    <cellStyle name="Normal 8 3 2 4 3" xfId="5274" xr:uid="{00000000-0005-0000-0000-0000711D0000}"/>
    <cellStyle name="Normal 8 3 2 4 3 2" xfId="13724" xr:uid="{47CAC671-E46E-499A-B4FE-28DFD9D9909B}"/>
    <cellStyle name="Normal 8 3 2 4 4" xfId="9506" xr:uid="{5399301C-E3DD-4033-9B8E-D5F0F5C715DC}"/>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D27E8C9A-BF11-4F33-9FBD-89434468E566}"/>
    <cellStyle name="Normal 8 3 2 5 2 3" xfId="12064" xr:uid="{49C207CD-B0B0-4475-8155-37430CAD2FD9}"/>
    <cellStyle name="Normal 8 3 2 5 3" xfId="5687" xr:uid="{00000000-0005-0000-0000-0000751D0000}"/>
    <cellStyle name="Normal 8 3 2 5 3 2" xfId="14137" xr:uid="{934BECE5-D616-4CA9-A327-CCF318682804}"/>
    <cellStyle name="Normal 8 3 2 5 4" xfId="9919" xr:uid="{C1CBD1F0-3ABD-4E40-9BBE-CCD9D59D5BB0}"/>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090469A0-3028-40CD-A9BF-9A0362D7EB5C}"/>
    <cellStyle name="Normal 8 3 2 6 2 3" xfId="12477" xr:uid="{D0983825-A526-45AF-A606-8E514C09021B}"/>
    <cellStyle name="Normal 8 3 2 6 3" xfId="6100" xr:uid="{00000000-0005-0000-0000-0000791D0000}"/>
    <cellStyle name="Normal 8 3 2 6 3 2" xfId="14550" xr:uid="{88D23E99-7727-4D81-8A18-A11703E2464C}"/>
    <cellStyle name="Normal 8 3 2 6 4" xfId="10332" xr:uid="{868D554F-F632-4120-8306-E26A31342464}"/>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74DEEC11-8B85-4A1B-9817-4B486512A670}"/>
    <cellStyle name="Normal 8 3 2 7 2 3" xfId="12890" xr:uid="{C4D415AF-9E32-421A-B209-30B300A6F620}"/>
    <cellStyle name="Normal 8 3 2 7 3" xfId="6513" xr:uid="{00000000-0005-0000-0000-00007D1D0000}"/>
    <cellStyle name="Normal 8 3 2 7 3 2" xfId="14963" xr:uid="{4C557AEE-F0C6-42D2-98CF-E4AB10D3540D}"/>
    <cellStyle name="Normal 8 3 2 7 4" xfId="10745" xr:uid="{AA45219E-0EE6-4C32-BB83-63EF55CA1C86}"/>
    <cellStyle name="Normal 8 3 2 8" xfId="2643" xr:uid="{00000000-0005-0000-0000-00007E1D0000}"/>
    <cellStyle name="Normal 8 3 2 8 2" xfId="6926" xr:uid="{00000000-0005-0000-0000-00007F1D0000}"/>
    <cellStyle name="Normal 8 3 2 8 2 2" xfId="15376" xr:uid="{F81BD3AD-2A6A-480E-A34E-C85671E901C1}"/>
    <cellStyle name="Normal 8 3 2 8 3" xfId="11158" xr:uid="{4443FC95-3A06-4533-9F18-63C30E2B8428}"/>
    <cellStyle name="Normal 8 3 2 9" xfId="4861" xr:uid="{00000000-0005-0000-0000-0000801D0000}"/>
    <cellStyle name="Normal 8 3 2 9 2" xfId="13311" xr:uid="{199B0C0E-917E-449E-B961-CFADD40C131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7704BBA2-8516-409E-81C5-09C0705B512F}"/>
    <cellStyle name="Normal 8 3 3 2 2 2 3" xfId="11656" xr:uid="{7C27C2E3-8012-4285-9E45-12DAA592B888}"/>
    <cellStyle name="Normal 8 3 3 2 2 3" xfId="5279" xr:uid="{00000000-0005-0000-0000-0000861D0000}"/>
    <cellStyle name="Normal 8 3 3 2 2 3 2" xfId="13729" xr:uid="{06F784C2-FAD8-467C-8CBC-0142D8F3F845}"/>
    <cellStyle name="Normal 8 3 3 2 2 4" xfId="9511" xr:uid="{F4185996-89ED-476C-BACC-9E1F0F8F24BA}"/>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2F3999E9-C2EC-46B7-B902-A66774849A7B}"/>
    <cellStyle name="Normal 8 3 3 2 3 2 3" xfId="12069" xr:uid="{C5732BD6-59F6-4518-9156-2ABDCB5CEB88}"/>
    <cellStyle name="Normal 8 3 3 2 3 3" xfId="5692" xr:uid="{00000000-0005-0000-0000-00008A1D0000}"/>
    <cellStyle name="Normal 8 3 3 2 3 3 2" xfId="14142" xr:uid="{C1DF93DC-17B8-4DD9-A630-9AD9F7BA25B1}"/>
    <cellStyle name="Normal 8 3 3 2 3 4" xfId="9924" xr:uid="{DB6A1246-84AA-41CE-8C05-01375AB6777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4E36EF0A-68E4-4A7A-9E7A-5D699BBAFD94}"/>
    <cellStyle name="Normal 8 3 3 2 4 2 3" xfId="12482" xr:uid="{6D25C943-DA5A-4FCB-9440-D2F648B3102D}"/>
    <cellStyle name="Normal 8 3 3 2 4 3" xfId="6105" xr:uid="{00000000-0005-0000-0000-00008E1D0000}"/>
    <cellStyle name="Normal 8 3 3 2 4 3 2" xfId="14555" xr:uid="{675CF61B-5493-49C2-AC14-33B739F9481D}"/>
    <cellStyle name="Normal 8 3 3 2 4 4" xfId="10337" xr:uid="{1F98F97F-5819-4E3A-B71F-142E0A970DC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E5A45330-DE46-4015-A1D8-15A21AEC6F42}"/>
    <cellStyle name="Normal 8 3 3 2 5 2 3" xfId="12895" xr:uid="{8F7ACADF-074A-45AD-8436-CB96EDABC704}"/>
    <cellStyle name="Normal 8 3 3 2 5 3" xfId="6518" xr:uid="{00000000-0005-0000-0000-0000921D0000}"/>
    <cellStyle name="Normal 8 3 3 2 5 3 2" xfId="14968" xr:uid="{696B83F0-5845-47CE-BCC8-17F92A8889BB}"/>
    <cellStyle name="Normal 8 3 3 2 5 4" xfId="10750" xr:uid="{CC93BE06-B731-4896-9AFD-8CBAE719DEC1}"/>
    <cellStyle name="Normal 8 3 3 2 6" xfId="2648" xr:uid="{00000000-0005-0000-0000-0000931D0000}"/>
    <cellStyle name="Normal 8 3 3 2 6 2" xfId="6931" xr:uid="{00000000-0005-0000-0000-0000941D0000}"/>
    <cellStyle name="Normal 8 3 3 2 6 2 2" xfId="15381" xr:uid="{77A5E263-BF5A-48CB-95D1-41D316179A55}"/>
    <cellStyle name="Normal 8 3 3 2 6 3" xfId="11163" xr:uid="{2D3025EB-91E3-4EC6-B34C-DE75057D982E}"/>
    <cellStyle name="Normal 8 3 3 2 7" xfId="4866" xr:uid="{00000000-0005-0000-0000-0000951D0000}"/>
    <cellStyle name="Normal 8 3 3 2 7 2" xfId="13316" xr:uid="{218396C4-A6D1-4875-9459-19A0BACE1EB4}"/>
    <cellStyle name="Normal 8 3 3 2 8" xfId="9098" xr:uid="{04A5E489-22A2-4C5A-ABEC-249366836357}"/>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D9D08E93-F9C9-4214-835D-8100F559BD9A}"/>
    <cellStyle name="Normal 8 3 3 3 2 3" xfId="11655" xr:uid="{5ADF093E-3D75-4607-9765-844BF90B926B}"/>
    <cellStyle name="Normal 8 3 3 3 3" xfId="5278" xr:uid="{00000000-0005-0000-0000-0000991D0000}"/>
    <cellStyle name="Normal 8 3 3 3 3 2" xfId="13728" xr:uid="{AF1F8E9C-5A4C-430C-B517-CF48D0E9C4C1}"/>
    <cellStyle name="Normal 8 3 3 3 4" xfId="9510" xr:uid="{1140BF48-B5C8-4D8A-AA57-C75C2BC12E9E}"/>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49BA24BD-C3CD-4161-BBB7-21739F040E0D}"/>
    <cellStyle name="Normal 8 3 3 4 2 3" xfId="12068" xr:uid="{D10CF2CC-E1D1-45A7-B0DA-779D9FCEA38C}"/>
    <cellStyle name="Normal 8 3 3 4 3" xfId="5691" xr:uid="{00000000-0005-0000-0000-00009D1D0000}"/>
    <cellStyle name="Normal 8 3 3 4 3 2" xfId="14141" xr:uid="{FB736F9F-A1F6-41EE-97FE-09860A008F72}"/>
    <cellStyle name="Normal 8 3 3 4 4" xfId="9923" xr:uid="{95224789-999C-432D-8112-37D0554ADABF}"/>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F585026A-9249-4063-B71E-AEC77B4CA889}"/>
    <cellStyle name="Normal 8 3 3 5 2 3" xfId="12481" xr:uid="{FB0927BE-B8D1-42A8-88EC-7581D6FC21D3}"/>
    <cellStyle name="Normal 8 3 3 5 3" xfId="6104" xr:uid="{00000000-0005-0000-0000-0000A11D0000}"/>
    <cellStyle name="Normal 8 3 3 5 3 2" xfId="14554" xr:uid="{6985ED78-EDDA-4CDD-ACEA-94EE8B5DB669}"/>
    <cellStyle name="Normal 8 3 3 5 4" xfId="10336" xr:uid="{1B15BB84-710E-4835-A809-A08208F49C1D}"/>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6BFAAB13-D17B-4B2B-824A-D48D10C6E6FD}"/>
    <cellStyle name="Normal 8 3 3 6 2 3" xfId="12894" xr:uid="{B315587D-791D-4EED-8A76-10BCF9A32A1D}"/>
    <cellStyle name="Normal 8 3 3 6 3" xfId="6517" xr:uid="{00000000-0005-0000-0000-0000A51D0000}"/>
    <cellStyle name="Normal 8 3 3 6 3 2" xfId="14967" xr:uid="{F8FD03D4-393F-4806-AD12-22B12F57B154}"/>
    <cellStyle name="Normal 8 3 3 6 4" xfId="10749" xr:uid="{6EAB8DE2-55C3-4CFF-AE0F-A4B7179E4AC9}"/>
    <cellStyle name="Normal 8 3 3 7" xfId="2647" xr:uid="{00000000-0005-0000-0000-0000A61D0000}"/>
    <cellStyle name="Normal 8 3 3 7 2" xfId="6930" xr:uid="{00000000-0005-0000-0000-0000A71D0000}"/>
    <cellStyle name="Normal 8 3 3 7 2 2" xfId="15380" xr:uid="{BA41BBBE-6D21-4929-99A7-4DC8BE938DD3}"/>
    <cellStyle name="Normal 8 3 3 7 3" xfId="11162" xr:uid="{3639210E-8C95-4487-AEDE-DB0D21483AD0}"/>
    <cellStyle name="Normal 8 3 3 8" xfId="4865" xr:uid="{00000000-0005-0000-0000-0000A81D0000}"/>
    <cellStyle name="Normal 8 3 3 8 2" xfId="13315" xr:uid="{7D9B3A70-6572-4121-A333-CE5D0557EBBB}"/>
    <cellStyle name="Normal 8 3 3 9" xfId="9097" xr:uid="{F0C44888-C6B6-4896-A0BB-75E6852A1415}"/>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47498521-407F-4BB8-A609-2032A74D85A2}"/>
    <cellStyle name="Normal 8 3 4 2 2 3" xfId="11657" xr:uid="{D9D4A628-7502-40CA-8FBE-C1DCB2BAC143}"/>
    <cellStyle name="Normal 8 3 4 2 3" xfId="5280" xr:uid="{00000000-0005-0000-0000-0000AD1D0000}"/>
    <cellStyle name="Normal 8 3 4 2 3 2" xfId="13730" xr:uid="{EF01323E-D02F-4B58-AE7A-102F7F385ED4}"/>
    <cellStyle name="Normal 8 3 4 2 4" xfId="9512" xr:uid="{3919F5FE-ACA5-45C3-A59A-B9AC4B39737C}"/>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93FC2D12-C821-4737-9DE3-3AB1EC21E447}"/>
    <cellStyle name="Normal 8 3 4 3 2 3" xfId="12070" xr:uid="{95F7D51E-FD74-4882-BEA3-931F586D7FD5}"/>
    <cellStyle name="Normal 8 3 4 3 3" xfId="5693" xr:uid="{00000000-0005-0000-0000-0000B11D0000}"/>
    <cellStyle name="Normal 8 3 4 3 3 2" xfId="14143" xr:uid="{59B1C969-D5D3-4639-8F5C-DE1FE25C47CF}"/>
    <cellStyle name="Normal 8 3 4 3 4" xfId="9925" xr:uid="{6932A359-47BB-4839-B0EB-B10C4A28A0C7}"/>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12E41D0D-CFFD-4148-9500-5058927E0C9A}"/>
    <cellStyle name="Normal 8 3 4 4 2 3" xfId="12483" xr:uid="{4D09A6F7-A158-4D39-8AA8-EE6A5592809F}"/>
    <cellStyle name="Normal 8 3 4 4 3" xfId="6106" xr:uid="{00000000-0005-0000-0000-0000B51D0000}"/>
    <cellStyle name="Normal 8 3 4 4 3 2" xfId="14556" xr:uid="{2FC4AE66-9106-45FC-9AF6-DCE70A0EE81C}"/>
    <cellStyle name="Normal 8 3 4 4 4" xfId="10338" xr:uid="{C890822C-114F-4231-B118-DAD470A9F5E2}"/>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A5E248DA-4049-488B-8CD7-085FC8FB78D0}"/>
    <cellStyle name="Normal 8 3 4 5 2 3" xfId="12896" xr:uid="{EBB44C59-BCAB-407E-A193-6F3F25FAB43A}"/>
    <cellStyle name="Normal 8 3 4 5 3" xfId="6519" xr:uid="{00000000-0005-0000-0000-0000B91D0000}"/>
    <cellStyle name="Normal 8 3 4 5 3 2" xfId="14969" xr:uid="{E0A87259-EFBF-48DC-853C-E55BDE5AB538}"/>
    <cellStyle name="Normal 8 3 4 5 4" xfId="10751" xr:uid="{2676E5A8-07E4-400B-8B66-2725F7A92D3D}"/>
    <cellStyle name="Normal 8 3 4 6" xfId="2649" xr:uid="{00000000-0005-0000-0000-0000BA1D0000}"/>
    <cellStyle name="Normal 8 3 4 6 2" xfId="6932" xr:uid="{00000000-0005-0000-0000-0000BB1D0000}"/>
    <cellStyle name="Normal 8 3 4 6 2 2" xfId="15382" xr:uid="{89E4ECD2-FEBF-4BF5-90A1-FDB166CD9998}"/>
    <cellStyle name="Normal 8 3 4 6 3" xfId="11164" xr:uid="{055974F7-397F-42D0-8D66-DDD55C76CCAB}"/>
    <cellStyle name="Normal 8 3 4 7" xfId="4867" xr:uid="{00000000-0005-0000-0000-0000BC1D0000}"/>
    <cellStyle name="Normal 8 3 4 7 2" xfId="13317" xr:uid="{A8116FEA-0FA2-47CE-BBF6-103C076EBF39}"/>
    <cellStyle name="Normal 8 3 4 8" xfId="9099" xr:uid="{2556259F-909F-4BE7-8711-7355A0F10DD9}"/>
    <cellStyle name="Normal 8 3 5" xfId="962" xr:uid="{00000000-0005-0000-0000-0000BD1D0000}"/>
    <cellStyle name="Normal 8 3 5 2" xfId="3196" xr:uid="{00000000-0005-0000-0000-0000BE1D0000}"/>
    <cellStyle name="Normal 8 3 5 2 2" xfId="7418" xr:uid="{00000000-0005-0000-0000-0000BF1D0000}"/>
    <cellStyle name="Normal 8 3 5 2 2 2" xfId="15868" xr:uid="{1F0398A8-E216-4509-89A1-884529A67F06}"/>
    <cellStyle name="Normal 8 3 5 2 3" xfId="11650" xr:uid="{9BF71686-80EA-4E17-9770-4304A2F18C2B}"/>
    <cellStyle name="Normal 8 3 5 3" xfId="5273" xr:uid="{00000000-0005-0000-0000-0000C01D0000}"/>
    <cellStyle name="Normal 8 3 5 3 2" xfId="13723" xr:uid="{8E56B9C6-FFD7-46A9-A6DC-BAFC6D887FE8}"/>
    <cellStyle name="Normal 8 3 5 4" xfId="9505" xr:uid="{08ABD7F1-D9EB-48C5-B396-2B33943EDDB3}"/>
    <cellStyle name="Normal 8 3 6" xfId="1379" xr:uid="{00000000-0005-0000-0000-0000C11D0000}"/>
    <cellStyle name="Normal 8 3 6 2" xfId="3609" xr:uid="{00000000-0005-0000-0000-0000C21D0000}"/>
    <cellStyle name="Normal 8 3 6 2 2" xfId="7831" xr:uid="{00000000-0005-0000-0000-0000C31D0000}"/>
    <cellStyle name="Normal 8 3 6 2 2 2" xfId="16281" xr:uid="{873875B4-70F2-4CFD-B22F-5E46038FD467}"/>
    <cellStyle name="Normal 8 3 6 2 3" xfId="12063" xr:uid="{D65C344D-E3CE-4A3E-957A-163E6D330331}"/>
    <cellStyle name="Normal 8 3 6 3" xfId="5686" xr:uid="{00000000-0005-0000-0000-0000C41D0000}"/>
    <cellStyle name="Normal 8 3 6 3 2" xfId="14136" xr:uid="{3B3CBE5C-AC4E-4051-9A74-5373FA1E5BA0}"/>
    <cellStyle name="Normal 8 3 6 4" xfId="9918" xr:uid="{2E389244-3538-4AA7-A188-2EA9F87A92AB}"/>
    <cellStyle name="Normal 8 3 7" xfId="1792" xr:uid="{00000000-0005-0000-0000-0000C51D0000}"/>
    <cellStyle name="Normal 8 3 7 2" xfId="4022" xr:uid="{00000000-0005-0000-0000-0000C61D0000}"/>
    <cellStyle name="Normal 8 3 7 2 2" xfId="8244" xr:uid="{00000000-0005-0000-0000-0000C71D0000}"/>
    <cellStyle name="Normal 8 3 7 2 2 2" xfId="16694" xr:uid="{D50ADB77-8E7C-4576-B08E-8924849DFFA3}"/>
    <cellStyle name="Normal 8 3 7 2 3" xfId="12476" xr:uid="{048C2D2D-5F11-41C9-BDFC-CA30D4D8BC2B}"/>
    <cellStyle name="Normal 8 3 7 3" xfId="6099" xr:uid="{00000000-0005-0000-0000-0000C81D0000}"/>
    <cellStyle name="Normal 8 3 7 3 2" xfId="14549" xr:uid="{5FED182E-972D-4F6B-8FCB-7379987BD2F9}"/>
    <cellStyle name="Normal 8 3 7 4" xfId="10331" xr:uid="{151C5AEA-2DCD-4567-962B-9C138DCD78B5}"/>
    <cellStyle name="Normal 8 3 8" xfId="2206" xr:uid="{00000000-0005-0000-0000-0000C91D0000}"/>
    <cellStyle name="Normal 8 3 8 2" xfId="4435" xr:uid="{00000000-0005-0000-0000-0000CA1D0000}"/>
    <cellStyle name="Normal 8 3 8 2 2" xfId="8657" xr:uid="{00000000-0005-0000-0000-0000CB1D0000}"/>
    <cellStyle name="Normal 8 3 8 2 2 2" xfId="17107" xr:uid="{8E7E3A54-9DD8-4C01-A2ED-132198CE77BD}"/>
    <cellStyle name="Normal 8 3 8 2 3" xfId="12889" xr:uid="{99F1711D-C734-4BC2-A7C0-6B7531FD68E8}"/>
    <cellStyle name="Normal 8 3 8 3" xfId="6512" xr:uid="{00000000-0005-0000-0000-0000CC1D0000}"/>
    <cellStyle name="Normal 8 3 8 3 2" xfId="14962" xr:uid="{AEEB4997-030E-45A6-B0ED-F88744B58681}"/>
    <cellStyle name="Normal 8 3 8 4" xfId="10744" xr:uid="{1CF863E0-6E1F-4624-A6A9-6191796C9245}"/>
    <cellStyle name="Normal 8 3 9" xfId="2642" xr:uid="{00000000-0005-0000-0000-0000CD1D0000}"/>
    <cellStyle name="Normal 8 3 9 2" xfId="6925" xr:uid="{00000000-0005-0000-0000-0000CE1D0000}"/>
    <cellStyle name="Normal 8 3 9 2 2" xfId="15375" xr:uid="{8584FAB4-1087-4478-A1FC-90A098C0DCD1}"/>
    <cellStyle name="Normal 8 3 9 3" xfId="11157" xr:uid="{637CDBA3-3829-41A6-A2C1-28EA12B196FB}"/>
    <cellStyle name="Normal 8 4" xfId="503" xr:uid="{00000000-0005-0000-0000-0000CF1D0000}"/>
    <cellStyle name="Normal 8 4 10" xfId="9100" xr:uid="{90A04745-A042-4EE5-81D5-161C798EAB53}"/>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E4E644E-E2DA-4181-BEAE-E6DBAC58E150}"/>
    <cellStyle name="Normal 8 4 2 2 2 2 3" xfId="11660" xr:uid="{2ECE17F8-7970-4668-8275-41DA930C2A30}"/>
    <cellStyle name="Normal 8 4 2 2 2 3" xfId="5283" xr:uid="{00000000-0005-0000-0000-0000D51D0000}"/>
    <cellStyle name="Normal 8 4 2 2 2 3 2" xfId="13733" xr:uid="{70E9CD80-3AE8-4629-B46B-95E764081F9F}"/>
    <cellStyle name="Normal 8 4 2 2 2 4" xfId="9515" xr:uid="{BCB73069-FAB4-44D6-9FC3-D93E1B8973AF}"/>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2ADB09FE-809E-4F9E-A216-789DE9A11847}"/>
    <cellStyle name="Normal 8 4 2 2 3 2 3" xfId="12073" xr:uid="{56F428A1-63BD-4880-B16C-625B3B9F422A}"/>
    <cellStyle name="Normal 8 4 2 2 3 3" xfId="5696" xr:uid="{00000000-0005-0000-0000-0000D91D0000}"/>
    <cellStyle name="Normal 8 4 2 2 3 3 2" xfId="14146" xr:uid="{6D88061D-E235-4B86-8A19-1D755348CC8B}"/>
    <cellStyle name="Normal 8 4 2 2 3 4" xfId="9928" xr:uid="{23BA8064-6C42-49D7-B1B1-0BBCE5E21986}"/>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8319DFCE-9E55-4A28-A845-FEBCD638CE0D}"/>
    <cellStyle name="Normal 8 4 2 2 4 2 3" xfId="12486" xr:uid="{C6255899-5B34-4664-965F-489C54BF4D72}"/>
    <cellStyle name="Normal 8 4 2 2 4 3" xfId="6109" xr:uid="{00000000-0005-0000-0000-0000DD1D0000}"/>
    <cellStyle name="Normal 8 4 2 2 4 3 2" xfId="14559" xr:uid="{0D4866E3-B5EE-4085-BEB0-4440835ECFA8}"/>
    <cellStyle name="Normal 8 4 2 2 4 4" xfId="10341" xr:uid="{2CC62822-FDF0-4575-9B4A-8AE9686419B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F29D97D2-EC65-479A-9880-EFEA288E7B6E}"/>
    <cellStyle name="Normal 8 4 2 2 5 2 3" xfId="12899" xr:uid="{3BCAA599-C2D2-45C3-92B1-1BF2CF2DFBE0}"/>
    <cellStyle name="Normal 8 4 2 2 5 3" xfId="6522" xr:uid="{00000000-0005-0000-0000-0000E11D0000}"/>
    <cellStyle name="Normal 8 4 2 2 5 3 2" xfId="14972" xr:uid="{65343E02-EF92-4A57-B1AE-B04CBB11AB8F}"/>
    <cellStyle name="Normal 8 4 2 2 5 4" xfId="10754" xr:uid="{4F09908C-4EC3-434D-91F4-033A30A8C8D3}"/>
    <cellStyle name="Normal 8 4 2 2 6" xfId="2652" xr:uid="{00000000-0005-0000-0000-0000E21D0000}"/>
    <cellStyle name="Normal 8 4 2 2 6 2" xfId="6935" xr:uid="{00000000-0005-0000-0000-0000E31D0000}"/>
    <cellStyle name="Normal 8 4 2 2 6 2 2" xfId="15385" xr:uid="{C483BF68-2AC0-45A9-A72C-520B1DAB42E2}"/>
    <cellStyle name="Normal 8 4 2 2 6 3" xfId="11167" xr:uid="{FF1C7594-19F2-4E75-A544-E909E655067D}"/>
    <cellStyle name="Normal 8 4 2 2 7" xfId="4870" xr:uid="{00000000-0005-0000-0000-0000E41D0000}"/>
    <cellStyle name="Normal 8 4 2 2 7 2" xfId="13320" xr:uid="{22807514-485B-41D1-8158-74F2270F6FE9}"/>
    <cellStyle name="Normal 8 4 2 2 8" xfId="9102" xr:uid="{83056332-FEF9-42D5-A32E-F9E9536EA5D2}"/>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9548D60C-8AC1-4C86-9102-6C5DBFE48BC2}"/>
    <cellStyle name="Normal 8 4 2 3 2 3" xfId="11659" xr:uid="{A5D9F8E2-842D-463C-8D8C-C40EF1E4AA3E}"/>
    <cellStyle name="Normal 8 4 2 3 3" xfId="5282" xr:uid="{00000000-0005-0000-0000-0000E81D0000}"/>
    <cellStyle name="Normal 8 4 2 3 3 2" xfId="13732" xr:uid="{0C0510E2-476B-4126-9951-519068CD1857}"/>
    <cellStyle name="Normal 8 4 2 3 4" xfId="9514" xr:uid="{EC233B53-6D86-41F5-93BA-872038DA82C1}"/>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54753670-A6CD-4C5F-8BD4-A44DB0F8A11E}"/>
    <cellStyle name="Normal 8 4 2 4 2 3" xfId="12072" xr:uid="{643CAD35-D495-4719-9DE8-044C7D940BCE}"/>
    <cellStyle name="Normal 8 4 2 4 3" xfId="5695" xr:uid="{00000000-0005-0000-0000-0000EC1D0000}"/>
    <cellStyle name="Normal 8 4 2 4 3 2" xfId="14145" xr:uid="{7D5761CF-C901-41BB-B833-58DCE697E0C6}"/>
    <cellStyle name="Normal 8 4 2 4 4" xfId="9927" xr:uid="{E9E96BC6-E83D-4B9A-8B17-572B5DE9DA67}"/>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27056BB9-4848-4B63-A4E2-CAC7634FFBB3}"/>
    <cellStyle name="Normal 8 4 2 5 2 3" xfId="12485" xr:uid="{62B2C228-799F-4A24-8985-8F8752D653A2}"/>
    <cellStyle name="Normal 8 4 2 5 3" xfId="6108" xr:uid="{00000000-0005-0000-0000-0000F01D0000}"/>
    <cellStyle name="Normal 8 4 2 5 3 2" xfId="14558" xr:uid="{F85DEFFC-DADB-4A79-BB2F-B18D02A0AFAE}"/>
    <cellStyle name="Normal 8 4 2 5 4" xfId="10340" xr:uid="{A7B42C0D-CC72-4FE4-9315-311FFE1D59F9}"/>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4315D1A0-CBF6-4E78-8350-056D397E6FD6}"/>
    <cellStyle name="Normal 8 4 2 6 2 3" xfId="12898" xr:uid="{984336C1-7F86-4446-BB69-E033088BEA44}"/>
    <cellStyle name="Normal 8 4 2 6 3" xfId="6521" xr:uid="{00000000-0005-0000-0000-0000F41D0000}"/>
    <cellStyle name="Normal 8 4 2 6 3 2" xfId="14971" xr:uid="{8310AA23-B71B-49DA-AB98-F1FAD3AFA91F}"/>
    <cellStyle name="Normal 8 4 2 6 4" xfId="10753" xr:uid="{F6328B93-7F8E-4C64-BAF4-D582760778E6}"/>
    <cellStyle name="Normal 8 4 2 7" xfId="2651" xr:uid="{00000000-0005-0000-0000-0000F51D0000}"/>
    <cellStyle name="Normal 8 4 2 7 2" xfId="6934" xr:uid="{00000000-0005-0000-0000-0000F61D0000}"/>
    <cellStyle name="Normal 8 4 2 7 2 2" xfId="15384" xr:uid="{93E0DEA7-0E96-4192-999E-E6A832BE9965}"/>
    <cellStyle name="Normal 8 4 2 7 3" xfId="11166" xr:uid="{F192AEDA-412E-44B7-80B5-057A565B750A}"/>
    <cellStyle name="Normal 8 4 2 8" xfId="4869" xr:uid="{00000000-0005-0000-0000-0000F71D0000}"/>
    <cellStyle name="Normal 8 4 2 8 2" xfId="13319" xr:uid="{4BEA76D5-7B88-4009-BA84-FB4AE9C5CB47}"/>
    <cellStyle name="Normal 8 4 2 9" xfId="9101" xr:uid="{F0118F9F-DF55-4F34-A79D-C11642EFA2BD}"/>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771715E1-C2E1-4B24-A494-07B6C60C61A3}"/>
    <cellStyle name="Normal 8 4 3 2 2 3" xfId="11661" xr:uid="{2CA17248-A78E-440C-B99B-FB27122E02B8}"/>
    <cellStyle name="Normal 8 4 3 2 3" xfId="5284" xr:uid="{00000000-0005-0000-0000-0000FC1D0000}"/>
    <cellStyle name="Normal 8 4 3 2 3 2" xfId="13734" xr:uid="{0AE51FAA-35C6-4576-99BB-E33DB6CF7814}"/>
    <cellStyle name="Normal 8 4 3 2 4" xfId="9516" xr:uid="{39D0EF17-873D-40A5-A14F-5CF5C0889FED}"/>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1950F15D-5DDD-451D-A797-982B73C188F1}"/>
    <cellStyle name="Normal 8 4 3 3 2 3" xfId="12074" xr:uid="{307EF826-D74B-42CE-8C64-67439F1D1447}"/>
    <cellStyle name="Normal 8 4 3 3 3" xfId="5697" xr:uid="{00000000-0005-0000-0000-0000001E0000}"/>
    <cellStyle name="Normal 8 4 3 3 3 2" xfId="14147" xr:uid="{F713F73C-BA63-4D92-8C99-5F4491967610}"/>
    <cellStyle name="Normal 8 4 3 3 4" xfId="9929" xr:uid="{0BD7991A-A444-44CC-B56F-81810805B7C7}"/>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F09BCB45-7E72-4E91-A3AB-28036AEFB367}"/>
    <cellStyle name="Normal 8 4 3 4 2 3" xfId="12487" xr:uid="{A53DA000-2451-4188-A728-62D1A10FF381}"/>
    <cellStyle name="Normal 8 4 3 4 3" xfId="6110" xr:uid="{00000000-0005-0000-0000-0000041E0000}"/>
    <cellStyle name="Normal 8 4 3 4 3 2" xfId="14560" xr:uid="{B2D0C587-FDC3-4D8F-93DE-2EAA581BB0DE}"/>
    <cellStyle name="Normal 8 4 3 4 4" xfId="10342" xr:uid="{E012E2B1-55DF-48A4-AB18-E0D7B171F061}"/>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EF05EC0-D4F3-4EC9-B6AA-8571C79BF7B9}"/>
    <cellStyle name="Normal 8 4 3 5 2 3" xfId="12900" xr:uid="{12B96AC0-629C-4A30-8E6B-4B759B7A5B57}"/>
    <cellStyle name="Normal 8 4 3 5 3" xfId="6523" xr:uid="{00000000-0005-0000-0000-0000081E0000}"/>
    <cellStyle name="Normal 8 4 3 5 3 2" xfId="14973" xr:uid="{65D49629-2EB2-4A5D-B371-3EFB59770FFE}"/>
    <cellStyle name="Normal 8 4 3 5 4" xfId="10755" xr:uid="{644C98A5-F1DC-4B5A-AFE8-9F6FF3900968}"/>
    <cellStyle name="Normal 8 4 3 6" xfId="2653" xr:uid="{00000000-0005-0000-0000-0000091E0000}"/>
    <cellStyle name="Normal 8 4 3 6 2" xfId="6936" xr:uid="{00000000-0005-0000-0000-00000A1E0000}"/>
    <cellStyle name="Normal 8 4 3 6 2 2" xfId="15386" xr:uid="{18DD526C-88BD-4CEC-BFE2-059901EFC370}"/>
    <cellStyle name="Normal 8 4 3 6 3" xfId="11168" xr:uid="{020A9651-60D5-48F2-A8AE-6DE1D9ACD350}"/>
    <cellStyle name="Normal 8 4 3 7" xfId="4871" xr:uid="{00000000-0005-0000-0000-00000B1E0000}"/>
    <cellStyle name="Normal 8 4 3 7 2" xfId="13321" xr:uid="{6EB196B3-B977-40E3-B716-BDD529DB9E07}"/>
    <cellStyle name="Normal 8 4 3 8" xfId="9103" xr:uid="{8326E779-C32B-41D0-B4FC-A900E15D88B3}"/>
    <cellStyle name="Normal 8 4 4" xfId="970" xr:uid="{00000000-0005-0000-0000-00000C1E0000}"/>
    <cellStyle name="Normal 8 4 4 2" xfId="3204" xr:uid="{00000000-0005-0000-0000-00000D1E0000}"/>
    <cellStyle name="Normal 8 4 4 2 2" xfId="7426" xr:uid="{00000000-0005-0000-0000-00000E1E0000}"/>
    <cellStyle name="Normal 8 4 4 2 2 2" xfId="15876" xr:uid="{F1E50021-8F52-434F-9346-55FD45068FA5}"/>
    <cellStyle name="Normal 8 4 4 2 3" xfId="11658" xr:uid="{2C9F4382-70B9-4ED0-AFE4-E8CD13AFDC2C}"/>
    <cellStyle name="Normal 8 4 4 3" xfId="5281" xr:uid="{00000000-0005-0000-0000-00000F1E0000}"/>
    <cellStyle name="Normal 8 4 4 3 2" xfId="13731" xr:uid="{540F6BD5-E557-4546-8A42-1AF90C7B0D7D}"/>
    <cellStyle name="Normal 8 4 4 4" xfId="9513" xr:uid="{0AD18CFD-DFC9-40DD-A68C-3CED994B9F83}"/>
    <cellStyle name="Normal 8 4 5" xfId="1387" xr:uid="{00000000-0005-0000-0000-0000101E0000}"/>
    <cellStyle name="Normal 8 4 5 2" xfId="3617" xr:uid="{00000000-0005-0000-0000-0000111E0000}"/>
    <cellStyle name="Normal 8 4 5 2 2" xfId="7839" xr:uid="{00000000-0005-0000-0000-0000121E0000}"/>
    <cellStyle name="Normal 8 4 5 2 2 2" xfId="16289" xr:uid="{8BF14FC9-B651-4119-9BC2-1EE222A97A66}"/>
    <cellStyle name="Normal 8 4 5 2 3" xfId="12071" xr:uid="{D23A9B16-5AAF-4DA6-A426-87EE3041917B}"/>
    <cellStyle name="Normal 8 4 5 3" xfId="5694" xr:uid="{00000000-0005-0000-0000-0000131E0000}"/>
    <cellStyle name="Normal 8 4 5 3 2" xfId="14144" xr:uid="{A43195A1-C046-4C62-A838-D66A9D6CEEC0}"/>
    <cellStyle name="Normal 8 4 5 4" xfId="9926" xr:uid="{4CC91B7E-D5DA-4049-89B3-DF6FFD986A0B}"/>
    <cellStyle name="Normal 8 4 6" xfId="1800" xr:uid="{00000000-0005-0000-0000-0000141E0000}"/>
    <cellStyle name="Normal 8 4 6 2" xfId="4030" xr:uid="{00000000-0005-0000-0000-0000151E0000}"/>
    <cellStyle name="Normal 8 4 6 2 2" xfId="8252" xr:uid="{00000000-0005-0000-0000-0000161E0000}"/>
    <cellStyle name="Normal 8 4 6 2 2 2" xfId="16702" xr:uid="{47B04586-8244-430F-A478-ED8D728AD7C7}"/>
    <cellStyle name="Normal 8 4 6 2 3" xfId="12484" xr:uid="{D4B0E1C9-354F-491E-89A7-580A5AB1243D}"/>
    <cellStyle name="Normal 8 4 6 3" xfId="6107" xr:uid="{00000000-0005-0000-0000-0000171E0000}"/>
    <cellStyle name="Normal 8 4 6 3 2" xfId="14557" xr:uid="{6CB96C6D-873C-4941-B579-87EE523C5036}"/>
    <cellStyle name="Normal 8 4 6 4" xfId="10339" xr:uid="{845E2F79-4532-41ED-876D-7E798380D403}"/>
    <cellStyle name="Normal 8 4 7" xfId="2214" xr:uid="{00000000-0005-0000-0000-0000181E0000}"/>
    <cellStyle name="Normal 8 4 7 2" xfId="4443" xr:uid="{00000000-0005-0000-0000-0000191E0000}"/>
    <cellStyle name="Normal 8 4 7 2 2" xfId="8665" xr:uid="{00000000-0005-0000-0000-00001A1E0000}"/>
    <cellStyle name="Normal 8 4 7 2 2 2" xfId="17115" xr:uid="{E16D38D7-D2DA-4D2F-AF91-84003371E070}"/>
    <cellStyle name="Normal 8 4 7 2 3" xfId="12897" xr:uid="{490BDA05-366E-4D1D-8CA6-E7246B576A5C}"/>
    <cellStyle name="Normal 8 4 7 3" xfId="6520" xr:uid="{00000000-0005-0000-0000-00001B1E0000}"/>
    <cellStyle name="Normal 8 4 7 3 2" xfId="14970" xr:uid="{3AF64BA0-48D9-47A6-B452-4367FD221C17}"/>
    <cellStyle name="Normal 8 4 7 4" xfId="10752" xr:uid="{6CDF6827-D8E7-4FAC-84D4-F0DFC339AD97}"/>
    <cellStyle name="Normal 8 4 8" xfId="2650" xr:uid="{00000000-0005-0000-0000-00001C1E0000}"/>
    <cellStyle name="Normal 8 4 8 2" xfId="6933" xr:uid="{00000000-0005-0000-0000-00001D1E0000}"/>
    <cellStyle name="Normal 8 4 8 2 2" xfId="15383" xr:uid="{DA0DD934-D6D8-4645-86A1-F5CA44A4F4DF}"/>
    <cellStyle name="Normal 8 4 8 3" xfId="11165" xr:uid="{FBD362B1-C965-4CA9-9814-E42F6F640D98}"/>
    <cellStyle name="Normal 8 4 9" xfId="4868" xr:uid="{00000000-0005-0000-0000-00001E1E0000}"/>
    <cellStyle name="Normal 8 4 9 2" xfId="13318" xr:uid="{E5FFEE70-30C8-4B08-A45C-38D6FCB6076C}"/>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020D1F3A-28A1-4A1B-B321-4B1B20F62C3C}"/>
    <cellStyle name="Normal 8 5 2 2 2 3" xfId="11663" xr:uid="{FFC405BC-9B9E-43D4-8B66-C2F121F62B33}"/>
    <cellStyle name="Normal 8 5 2 2 3" xfId="5286" xr:uid="{00000000-0005-0000-0000-0000241E0000}"/>
    <cellStyle name="Normal 8 5 2 2 3 2" xfId="13736" xr:uid="{F20078E7-FCFC-431A-9F8C-DB4994A68F2E}"/>
    <cellStyle name="Normal 8 5 2 2 4" xfId="9518" xr:uid="{B1C5AEEC-A314-49DD-B5A0-E1C796410915}"/>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5A25264E-ABAB-4E7F-8A1F-7260CDB90FB4}"/>
    <cellStyle name="Normal 8 5 2 3 2 3" xfId="12076" xr:uid="{5F93040B-8814-407D-9F7C-4E84EB8431CD}"/>
    <cellStyle name="Normal 8 5 2 3 3" xfId="5699" xr:uid="{00000000-0005-0000-0000-0000281E0000}"/>
    <cellStyle name="Normal 8 5 2 3 3 2" xfId="14149" xr:uid="{E0D261A9-B6E3-4AAB-868E-D9DC5381C157}"/>
    <cellStyle name="Normal 8 5 2 3 4" xfId="9931" xr:uid="{D1DD2674-51B3-4D1C-97B0-512916CB5385}"/>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AA0BE39D-394F-40EC-9AA4-8A340B679796}"/>
    <cellStyle name="Normal 8 5 2 4 2 3" xfId="12489" xr:uid="{73712FB8-E2D6-4B54-96EA-F16CBFD98B2F}"/>
    <cellStyle name="Normal 8 5 2 4 3" xfId="6112" xr:uid="{00000000-0005-0000-0000-00002C1E0000}"/>
    <cellStyle name="Normal 8 5 2 4 3 2" xfId="14562" xr:uid="{D0BF0149-122F-42A4-8D8E-02EBCEE7C0FA}"/>
    <cellStyle name="Normal 8 5 2 4 4" xfId="10344" xr:uid="{F801F251-8660-4323-8590-B4A708FA0C78}"/>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DCF8803F-24E7-45E6-AD70-9C4F3F940B14}"/>
    <cellStyle name="Normal 8 5 2 5 2 3" xfId="12902" xr:uid="{29AF833F-80DB-4C90-92EF-BE77F8F2D420}"/>
    <cellStyle name="Normal 8 5 2 5 3" xfId="6525" xr:uid="{00000000-0005-0000-0000-0000301E0000}"/>
    <cellStyle name="Normal 8 5 2 5 3 2" xfId="14975" xr:uid="{93472E1F-493E-41CC-A4C5-8FB51427C522}"/>
    <cellStyle name="Normal 8 5 2 5 4" xfId="10757" xr:uid="{EDDEBFBD-0679-4BA4-852A-514B062B9773}"/>
    <cellStyle name="Normal 8 5 2 6" xfId="2655" xr:uid="{00000000-0005-0000-0000-0000311E0000}"/>
    <cellStyle name="Normal 8 5 2 6 2" xfId="6938" xr:uid="{00000000-0005-0000-0000-0000321E0000}"/>
    <cellStyle name="Normal 8 5 2 6 2 2" xfId="15388" xr:uid="{5C5C63DF-B3DC-4D0D-9722-6EA728A268C2}"/>
    <cellStyle name="Normal 8 5 2 6 3" xfId="11170" xr:uid="{A07CA5E7-7271-4BEB-A2D8-C3A5C251347A}"/>
    <cellStyle name="Normal 8 5 2 7" xfId="4873" xr:uid="{00000000-0005-0000-0000-0000331E0000}"/>
    <cellStyle name="Normal 8 5 2 7 2" xfId="13323" xr:uid="{BB8D2299-01ED-47E7-86D0-EAE50C289D72}"/>
    <cellStyle name="Normal 8 5 2 8" xfId="9105" xr:uid="{EBEBD199-D969-4541-9C06-6F61EC482D35}"/>
    <cellStyle name="Normal 8 5 3" xfId="974" xr:uid="{00000000-0005-0000-0000-0000341E0000}"/>
    <cellStyle name="Normal 8 5 3 2" xfId="3208" xr:uid="{00000000-0005-0000-0000-0000351E0000}"/>
    <cellStyle name="Normal 8 5 3 2 2" xfId="7430" xr:uid="{00000000-0005-0000-0000-0000361E0000}"/>
    <cellStyle name="Normal 8 5 3 2 2 2" xfId="15880" xr:uid="{E0EDB905-F570-4714-B557-1511EB3F8BF6}"/>
    <cellStyle name="Normal 8 5 3 2 3" xfId="11662" xr:uid="{971261A3-2911-40CE-A84E-E0C4CBC54C31}"/>
    <cellStyle name="Normal 8 5 3 3" xfId="5285" xr:uid="{00000000-0005-0000-0000-0000371E0000}"/>
    <cellStyle name="Normal 8 5 3 3 2" xfId="13735" xr:uid="{600EE26E-F43C-429D-B27A-BBA1AC3F344F}"/>
    <cellStyle name="Normal 8 5 3 4" xfId="9517" xr:uid="{3EAECE00-3CF2-4EB7-9FDD-C70BD47DB920}"/>
    <cellStyle name="Normal 8 5 4" xfId="1391" xr:uid="{00000000-0005-0000-0000-0000381E0000}"/>
    <cellStyle name="Normal 8 5 4 2" xfId="3621" xr:uid="{00000000-0005-0000-0000-0000391E0000}"/>
    <cellStyle name="Normal 8 5 4 2 2" xfId="7843" xr:uid="{00000000-0005-0000-0000-00003A1E0000}"/>
    <cellStyle name="Normal 8 5 4 2 2 2" xfId="16293" xr:uid="{3794AD8B-B1DB-4A61-BC5A-C3B87D55F6D0}"/>
    <cellStyle name="Normal 8 5 4 2 3" xfId="12075" xr:uid="{71453BA9-B2DA-4169-AA8E-BFCBEA37A0E4}"/>
    <cellStyle name="Normal 8 5 4 3" xfId="5698" xr:uid="{00000000-0005-0000-0000-00003B1E0000}"/>
    <cellStyle name="Normal 8 5 4 3 2" xfId="14148" xr:uid="{D7D4E01F-86CB-4782-9F68-A78F94D0AF20}"/>
    <cellStyle name="Normal 8 5 4 4" xfId="9930" xr:uid="{D08F6DF2-42CA-41FD-8A17-53C62CF629A3}"/>
    <cellStyle name="Normal 8 5 5" xfId="1804" xr:uid="{00000000-0005-0000-0000-00003C1E0000}"/>
    <cellStyle name="Normal 8 5 5 2" xfId="4034" xr:uid="{00000000-0005-0000-0000-00003D1E0000}"/>
    <cellStyle name="Normal 8 5 5 2 2" xfId="8256" xr:uid="{00000000-0005-0000-0000-00003E1E0000}"/>
    <cellStyle name="Normal 8 5 5 2 2 2" xfId="16706" xr:uid="{5C678482-3C74-45AF-B384-1718615433B1}"/>
    <cellStyle name="Normal 8 5 5 2 3" xfId="12488" xr:uid="{F8D6F676-8D8F-456E-9F6B-5F9B6CBF50FE}"/>
    <cellStyle name="Normal 8 5 5 3" xfId="6111" xr:uid="{00000000-0005-0000-0000-00003F1E0000}"/>
    <cellStyle name="Normal 8 5 5 3 2" xfId="14561" xr:uid="{9E248ED6-3660-4989-AF87-9C651B82470C}"/>
    <cellStyle name="Normal 8 5 5 4" xfId="10343" xr:uid="{645E5267-086F-4AAA-A07E-48568FD316FC}"/>
    <cellStyle name="Normal 8 5 6" xfId="2218" xr:uid="{00000000-0005-0000-0000-0000401E0000}"/>
    <cellStyle name="Normal 8 5 6 2" xfId="4447" xr:uid="{00000000-0005-0000-0000-0000411E0000}"/>
    <cellStyle name="Normal 8 5 6 2 2" xfId="8669" xr:uid="{00000000-0005-0000-0000-0000421E0000}"/>
    <cellStyle name="Normal 8 5 6 2 2 2" xfId="17119" xr:uid="{D6C7824F-7D3D-4BE2-8402-DD0E52F81B65}"/>
    <cellStyle name="Normal 8 5 6 2 3" xfId="12901" xr:uid="{D5E347BB-258F-4779-A319-F8EDDEDA4224}"/>
    <cellStyle name="Normal 8 5 6 3" xfId="6524" xr:uid="{00000000-0005-0000-0000-0000431E0000}"/>
    <cellStyle name="Normal 8 5 6 3 2" xfId="14974" xr:uid="{5FEE8BDB-2F96-4581-9780-7DEC2895D26B}"/>
    <cellStyle name="Normal 8 5 6 4" xfId="10756" xr:uid="{06B42E7E-B4F0-4733-BF6F-7BECAB054EAB}"/>
    <cellStyle name="Normal 8 5 7" xfId="2654" xr:uid="{00000000-0005-0000-0000-0000441E0000}"/>
    <cellStyle name="Normal 8 5 7 2" xfId="6937" xr:uid="{00000000-0005-0000-0000-0000451E0000}"/>
    <cellStyle name="Normal 8 5 7 2 2" xfId="15387" xr:uid="{0D3E037C-77E9-49A9-8A15-F78038FEBE60}"/>
    <cellStyle name="Normal 8 5 7 3" xfId="11169" xr:uid="{3DCE3D45-1F3E-4E01-B762-605BC0852A20}"/>
    <cellStyle name="Normal 8 5 8" xfId="4872" xr:uid="{00000000-0005-0000-0000-0000461E0000}"/>
    <cellStyle name="Normal 8 5 8 2" xfId="13322" xr:uid="{B97C23E2-59B1-44A4-9287-D4311D9C61C4}"/>
    <cellStyle name="Normal 8 5 9" xfId="9104" xr:uid="{E80EA82E-5EC9-4EF3-B51B-210551827D21}"/>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C9639D7F-4199-4D91-8032-47AFEC3B4B97}"/>
    <cellStyle name="Normal 8 6 2 2 3" xfId="11664" xr:uid="{DE8ABA96-B10D-4478-A348-92ABFCB10169}"/>
    <cellStyle name="Normal 8 6 2 3" xfId="5287" xr:uid="{00000000-0005-0000-0000-00004B1E0000}"/>
    <cellStyle name="Normal 8 6 2 3 2" xfId="13737" xr:uid="{149C8145-E81D-4D22-B3D8-3BB25A6A8B31}"/>
    <cellStyle name="Normal 8 6 2 4" xfId="9519" xr:uid="{96EC972A-3F6A-4093-9D78-8890ECDFC44C}"/>
    <cellStyle name="Normal 8 6 3" xfId="1393" xr:uid="{00000000-0005-0000-0000-00004C1E0000}"/>
    <cellStyle name="Normal 8 6 3 2" xfId="3623" xr:uid="{00000000-0005-0000-0000-00004D1E0000}"/>
    <cellStyle name="Normal 8 6 3 2 2" xfId="7845" xr:uid="{00000000-0005-0000-0000-00004E1E0000}"/>
    <cellStyle name="Normal 8 6 3 2 2 2" xfId="16295" xr:uid="{BC053FEF-E48B-4002-83EF-7CB8FDF5E36F}"/>
    <cellStyle name="Normal 8 6 3 2 3" xfId="12077" xr:uid="{D63169E7-94AE-4390-B216-41A3B5A83ED6}"/>
    <cellStyle name="Normal 8 6 3 3" xfId="5700" xr:uid="{00000000-0005-0000-0000-00004F1E0000}"/>
    <cellStyle name="Normal 8 6 3 3 2" xfId="14150" xr:uid="{586BEF4C-858A-4A83-B5C7-77FDB39BF6D6}"/>
    <cellStyle name="Normal 8 6 3 4" xfId="9932" xr:uid="{C4CB8292-405D-46C2-A9AB-CD05FBC42272}"/>
    <cellStyle name="Normal 8 6 4" xfId="1806" xr:uid="{00000000-0005-0000-0000-0000501E0000}"/>
    <cellStyle name="Normal 8 6 4 2" xfId="4036" xr:uid="{00000000-0005-0000-0000-0000511E0000}"/>
    <cellStyle name="Normal 8 6 4 2 2" xfId="8258" xr:uid="{00000000-0005-0000-0000-0000521E0000}"/>
    <cellStyle name="Normal 8 6 4 2 2 2" xfId="16708" xr:uid="{15846045-31DE-44E9-AC97-3D1968E938F4}"/>
    <cellStyle name="Normal 8 6 4 2 3" xfId="12490" xr:uid="{9DC3A3C2-04CF-4F6C-BFB0-A07FECC57303}"/>
    <cellStyle name="Normal 8 6 4 3" xfId="6113" xr:uid="{00000000-0005-0000-0000-0000531E0000}"/>
    <cellStyle name="Normal 8 6 4 3 2" xfId="14563" xr:uid="{A10EF7C0-498B-40A3-B5E5-DE8F16A45DD8}"/>
    <cellStyle name="Normal 8 6 4 4" xfId="10345" xr:uid="{A19A6739-C1D0-4E6D-89C8-42C3DEA46033}"/>
    <cellStyle name="Normal 8 6 5" xfId="2220" xr:uid="{00000000-0005-0000-0000-0000541E0000}"/>
    <cellStyle name="Normal 8 6 5 2" xfId="4449" xr:uid="{00000000-0005-0000-0000-0000551E0000}"/>
    <cellStyle name="Normal 8 6 5 2 2" xfId="8671" xr:uid="{00000000-0005-0000-0000-0000561E0000}"/>
    <cellStyle name="Normal 8 6 5 2 2 2" xfId="17121" xr:uid="{155DC161-66A9-43C2-914A-7ADB9CBDEEC9}"/>
    <cellStyle name="Normal 8 6 5 2 3" xfId="12903" xr:uid="{D91CD5C8-DC2A-40E3-A683-766AA88576C6}"/>
    <cellStyle name="Normal 8 6 5 3" xfId="6526" xr:uid="{00000000-0005-0000-0000-0000571E0000}"/>
    <cellStyle name="Normal 8 6 5 3 2" xfId="14976" xr:uid="{ED940F44-3F61-49F8-9617-EB0425BB8677}"/>
    <cellStyle name="Normal 8 6 5 4" xfId="10758" xr:uid="{AA42018E-3FDB-4E3F-BB8A-7DBF81534B2E}"/>
    <cellStyle name="Normal 8 6 6" xfId="2656" xr:uid="{00000000-0005-0000-0000-0000581E0000}"/>
    <cellStyle name="Normal 8 6 6 2" xfId="6939" xr:uid="{00000000-0005-0000-0000-0000591E0000}"/>
    <cellStyle name="Normal 8 6 6 2 2" xfId="15389" xr:uid="{BA80AC9E-9EAC-448B-87E0-9B26E2973C8C}"/>
    <cellStyle name="Normal 8 6 6 3" xfId="11171" xr:uid="{FDF4AF5E-4B35-4A5C-8FCA-AEAF2DF84D8E}"/>
    <cellStyle name="Normal 8 6 7" xfId="4874" xr:uid="{00000000-0005-0000-0000-00005A1E0000}"/>
    <cellStyle name="Normal 8 6 7 2" xfId="13324" xr:uid="{4B510786-234D-44D1-BAFB-F05DDB490A50}"/>
    <cellStyle name="Normal 8 6 8" xfId="9106" xr:uid="{0E4E3046-128F-4EEE-B1C1-99D51BEAA97F}"/>
    <cellStyle name="Normal 8 7" xfId="945" xr:uid="{00000000-0005-0000-0000-00005B1E0000}"/>
    <cellStyle name="Normal 8 7 2" xfId="3179" xr:uid="{00000000-0005-0000-0000-00005C1E0000}"/>
    <cellStyle name="Normal 8 7 2 2" xfId="7401" xr:uid="{00000000-0005-0000-0000-00005D1E0000}"/>
    <cellStyle name="Normal 8 7 2 2 2" xfId="15851" xr:uid="{3A81344B-EEA8-4C02-AEDD-F8249E549C59}"/>
    <cellStyle name="Normal 8 7 2 3" xfId="11633" xr:uid="{D0B4A6A2-CA33-4CA0-B7ED-764557578DA8}"/>
    <cellStyle name="Normal 8 7 3" xfId="5256" xr:uid="{00000000-0005-0000-0000-00005E1E0000}"/>
    <cellStyle name="Normal 8 7 3 2" xfId="13706" xr:uid="{5F429A35-4B58-4655-BCFC-6CE8B5C2A30A}"/>
    <cellStyle name="Normal 8 7 4" xfId="9488" xr:uid="{CA1426CC-CD13-4F09-9F95-6BFA2A34FA09}"/>
    <cellStyle name="Normal 8 8" xfId="1362" xr:uid="{00000000-0005-0000-0000-00005F1E0000}"/>
    <cellStyle name="Normal 8 8 2" xfId="3592" xr:uid="{00000000-0005-0000-0000-0000601E0000}"/>
    <cellStyle name="Normal 8 8 2 2" xfId="7814" xr:uid="{00000000-0005-0000-0000-0000611E0000}"/>
    <cellStyle name="Normal 8 8 2 2 2" xfId="16264" xr:uid="{9E8FE1B8-6D9B-40AC-81B5-C73FC5182148}"/>
    <cellStyle name="Normal 8 8 2 3" xfId="12046" xr:uid="{AD96CE53-3F94-4E96-ADF9-BB46B6DE4145}"/>
    <cellStyle name="Normal 8 8 3" xfId="5669" xr:uid="{00000000-0005-0000-0000-0000621E0000}"/>
    <cellStyle name="Normal 8 8 3 2" xfId="14119" xr:uid="{6B199C81-F14F-4095-8C07-0558E222A166}"/>
    <cellStyle name="Normal 8 8 4" xfId="9901" xr:uid="{09BBBA2B-6064-42DD-8EB5-D8592BE63A94}"/>
    <cellStyle name="Normal 8 9" xfId="1775" xr:uid="{00000000-0005-0000-0000-0000631E0000}"/>
    <cellStyle name="Normal 8 9 2" xfId="4005" xr:uid="{00000000-0005-0000-0000-0000641E0000}"/>
    <cellStyle name="Normal 8 9 2 2" xfId="8227" xr:uid="{00000000-0005-0000-0000-0000651E0000}"/>
    <cellStyle name="Normal 8 9 2 2 2" xfId="16677" xr:uid="{BF7BB1C6-C8E1-48AA-A6DF-072631CCBD23}"/>
    <cellStyle name="Normal 8 9 2 3" xfId="12459" xr:uid="{B7C71555-E447-4A01-B717-1828CC34A6AD}"/>
    <cellStyle name="Normal 8 9 3" xfId="6082" xr:uid="{00000000-0005-0000-0000-0000661E0000}"/>
    <cellStyle name="Normal 8 9 3 2" xfId="14532" xr:uid="{7C9E4E7B-2468-44FF-8D74-6179CC5F40F4}"/>
    <cellStyle name="Normal 8 9 4" xfId="10314" xr:uid="{021B6D34-283F-48F8-A014-CB7C16A7F31B}"/>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0C2D0338-6FA8-4F34-A283-910A5423BD0D}"/>
    <cellStyle name="Normal 9 2 10 3" xfId="11172" xr:uid="{326DC42D-AD2E-4135-AB09-EF72E03873FB}"/>
    <cellStyle name="Normal 9 2 11" xfId="4875" xr:uid="{00000000-0005-0000-0000-00006B1E0000}"/>
    <cellStyle name="Normal 9 2 11 2" xfId="13325" xr:uid="{368242DF-773B-41A5-9044-E7CD3EB39437}"/>
    <cellStyle name="Normal 9 2 12" xfId="9107" xr:uid="{309B1666-7CA4-4B89-BAFE-37AD4AC412F0}"/>
    <cellStyle name="Normal 9 2 2" xfId="512" xr:uid="{00000000-0005-0000-0000-00006C1E0000}"/>
    <cellStyle name="Normal 9 2 2 10" xfId="4876" xr:uid="{00000000-0005-0000-0000-00006D1E0000}"/>
    <cellStyle name="Normal 9 2 2 10 2" xfId="13326" xr:uid="{E813AF15-C6CB-4957-8F4B-EEA920839D3D}"/>
    <cellStyle name="Normal 9 2 2 11" xfId="9108" xr:uid="{C26512FA-F991-4BD2-81EF-76FA099A2E06}"/>
    <cellStyle name="Normal 9 2 2 2" xfId="513" xr:uid="{00000000-0005-0000-0000-00006E1E0000}"/>
    <cellStyle name="Normal 9 2 2 2 10" xfId="9109" xr:uid="{C8E6D67A-2C81-4B12-8374-8588C6F7E01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4FC0C790-3ED4-431A-93A4-73E941C0E97D}"/>
    <cellStyle name="Normal 9 2 2 2 2 2 2 2 3" xfId="11669" xr:uid="{5B4BDD98-74DA-417F-89FA-D1C514FAA4B9}"/>
    <cellStyle name="Normal 9 2 2 2 2 2 2 3" xfId="5292" xr:uid="{00000000-0005-0000-0000-0000741E0000}"/>
    <cellStyle name="Normal 9 2 2 2 2 2 2 3 2" xfId="13742" xr:uid="{127AA3D3-3D40-46A7-86B7-DE17993CD0D6}"/>
    <cellStyle name="Normal 9 2 2 2 2 2 2 4" xfId="9524" xr:uid="{E3150E41-8548-4B9F-BAAC-11323EEBB54D}"/>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0B0FC6F-E85A-4C48-BB8B-2EA78B9998AC}"/>
    <cellStyle name="Normal 9 2 2 2 2 2 3 2 3" xfId="12082" xr:uid="{24D56134-361B-421E-AB86-367DB72BEE53}"/>
    <cellStyle name="Normal 9 2 2 2 2 2 3 3" xfId="5705" xr:uid="{00000000-0005-0000-0000-0000781E0000}"/>
    <cellStyle name="Normal 9 2 2 2 2 2 3 3 2" xfId="14155" xr:uid="{0AD128C4-8FD8-45D9-B8B9-AFC26AC818F1}"/>
    <cellStyle name="Normal 9 2 2 2 2 2 3 4" xfId="9937" xr:uid="{70382D34-4FA2-4C15-A3D6-B4E51DD57B6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E049742C-AE16-4A50-9867-E09400EC1E75}"/>
    <cellStyle name="Normal 9 2 2 2 2 2 4 2 3" xfId="12495" xr:uid="{B254E23C-0896-48BE-9695-8E5166879453}"/>
    <cellStyle name="Normal 9 2 2 2 2 2 4 3" xfId="6118" xr:uid="{00000000-0005-0000-0000-00007C1E0000}"/>
    <cellStyle name="Normal 9 2 2 2 2 2 4 3 2" xfId="14568" xr:uid="{6AAB3C15-F8AD-401D-A0F6-DACDBA159D5C}"/>
    <cellStyle name="Normal 9 2 2 2 2 2 4 4" xfId="10350" xr:uid="{89F6B22B-BE53-47C8-B05F-6E72EB2A2D48}"/>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E061F30E-2909-4F6A-BF91-D0F6EB004D7D}"/>
    <cellStyle name="Normal 9 2 2 2 2 2 5 2 3" xfId="12908" xr:uid="{3467895E-053C-4B38-A968-8252B2822ABC}"/>
    <cellStyle name="Normal 9 2 2 2 2 2 5 3" xfId="6531" xr:uid="{00000000-0005-0000-0000-0000801E0000}"/>
    <cellStyle name="Normal 9 2 2 2 2 2 5 3 2" xfId="14981" xr:uid="{B4F8C0F8-5341-442D-A67F-05928F96E4DD}"/>
    <cellStyle name="Normal 9 2 2 2 2 2 5 4" xfId="10763" xr:uid="{6F93462E-9BB3-458D-A72C-6B353D3CBD82}"/>
    <cellStyle name="Normal 9 2 2 2 2 2 6" xfId="2661" xr:uid="{00000000-0005-0000-0000-0000811E0000}"/>
    <cellStyle name="Normal 9 2 2 2 2 2 6 2" xfId="6944" xr:uid="{00000000-0005-0000-0000-0000821E0000}"/>
    <cellStyle name="Normal 9 2 2 2 2 2 6 2 2" xfId="15394" xr:uid="{96F23A01-431D-44C1-B8A3-99AE59A86B79}"/>
    <cellStyle name="Normal 9 2 2 2 2 2 6 3" xfId="11176" xr:uid="{606AD38F-5B01-45B1-9D30-1DB3D7416880}"/>
    <cellStyle name="Normal 9 2 2 2 2 2 7" xfId="4879" xr:uid="{00000000-0005-0000-0000-0000831E0000}"/>
    <cellStyle name="Normal 9 2 2 2 2 2 7 2" xfId="13329" xr:uid="{87C4FDBC-4E16-4C7E-AAB8-0EDDDCCAF34B}"/>
    <cellStyle name="Normal 9 2 2 2 2 2 8" xfId="9111" xr:uid="{AA10BF3E-E408-4A44-AF8F-E94DF2FA0714}"/>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0C5A259E-D17D-43B3-9C1E-E5DF74203B9E}"/>
    <cellStyle name="Normal 9 2 2 2 2 3 2 3" xfId="11668" xr:uid="{B2C69909-8525-43DC-85A7-92E4208C71A0}"/>
    <cellStyle name="Normal 9 2 2 2 2 3 3" xfId="5291" xr:uid="{00000000-0005-0000-0000-0000871E0000}"/>
    <cellStyle name="Normal 9 2 2 2 2 3 3 2" xfId="13741" xr:uid="{690CD17A-C05C-47DF-9A8B-CE6448390BDF}"/>
    <cellStyle name="Normal 9 2 2 2 2 3 4" xfId="9523" xr:uid="{F7A99946-8C0D-47AA-9E20-57EA7DEE700B}"/>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E7B7459B-9915-4CFA-B41F-0621DB31AD87}"/>
    <cellStyle name="Normal 9 2 2 2 2 4 2 3" xfId="12081" xr:uid="{5FE6C628-9C75-4C70-99E1-1C42E9CD7FDF}"/>
    <cellStyle name="Normal 9 2 2 2 2 4 3" xfId="5704" xr:uid="{00000000-0005-0000-0000-00008B1E0000}"/>
    <cellStyle name="Normal 9 2 2 2 2 4 3 2" xfId="14154" xr:uid="{1F94D489-0DDC-484E-AF2B-D0C47CF61028}"/>
    <cellStyle name="Normal 9 2 2 2 2 4 4" xfId="9936" xr:uid="{A4A77F73-FF22-48AA-8DEF-42B61CF2C587}"/>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C21BE3FB-4150-41C0-90B6-C074447D3981}"/>
    <cellStyle name="Normal 9 2 2 2 2 5 2 3" xfId="12494" xr:uid="{19AA7E3D-C116-4842-AA60-4375F206E04A}"/>
    <cellStyle name="Normal 9 2 2 2 2 5 3" xfId="6117" xr:uid="{00000000-0005-0000-0000-00008F1E0000}"/>
    <cellStyle name="Normal 9 2 2 2 2 5 3 2" xfId="14567" xr:uid="{0181E53A-D323-418F-84EF-D5A4FC3FF4EE}"/>
    <cellStyle name="Normal 9 2 2 2 2 5 4" xfId="10349" xr:uid="{42F8EB80-4F06-4E35-BDFB-74943B229D49}"/>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1DA046E5-F3BA-42F1-BF3A-ADF7E90EEE45}"/>
    <cellStyle name="Normal 9 2 2 2 2 6 2 3" xfId="12907" xr:uid="{0023CA26-7F6F-48F1-8891-5AC1885D19C2}"/>
    <cellStyle name="Normal 9 2 2 2 2 6 3" xfId="6530" xr:uid="{00000000-0005-0000-0000-0000931E0000}"/>
    <cellStyle name="Normal 9 2 2 2 2 6 3 2" xfId="14980" xr:uid="{447F3B93-561A-4E56-B502-4E2C571CD0CD}"/>
    <cellStyle name="Normal 9 2 2 2 2 6 4" xfId="10762" xr:uid="{FE20A300-A742-4694-B76B-ECEF4FC76689}"/>
    <cellStyle name="Normal 9 2 2 2 2 7" xfId="2660" xr:uid="{00000000-0005-0000-0000-0000941E0000}"/>
    <cellStyle name="Normal 9 2 2 2 2 7 2" xfId="6943" xr:uid="{00000000-0005-0000-0000-0000951E0000}"/>
    <cellStyle name="Normal 9 2 2 2 2 7 2 2" xfId="15393" xr:uid="{E0C436EC-1453-4251-B00B-8716977310C9}"/>
    <cellStyle name="Normal 9 2 2 2 2 7 3" xfId="11175" xr:uid="{92B1D8F1-7482-4524-9029-60D48FF5F126}"/>
    <cellStyle name="Normal 9 2 2 2 2 8" xfId="4878" xr:uid="{00000000-0005-0000-0000-0000961E0000}"/>
    <cellStyle name="Normal 9 2 2 2 2 8 2" xfId="13328" xr:uid="{178F321D-F99C-48F6-BCAB-2B8301692D5D}"/>
    <cellStyle name="Normal 9 2 2 2 2 9" xfId="9110" xr:uid="{D36C9D0B-2057-4462-A36D-9EBA56136CF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EAF748CD-DADF-4586-8531-A1A7A2B0F989}"/>
    <cellStyle name="Normal 9 2 2 2 3 2 2 3" xfId="11670" xr:uid="{EE2C52D4-585F-4C52-87C5-F279602045C0}"/>
    <cellStyle name="Normal 9 2 2 2 3 2 3" xfId="5293" xr:uid="{00000000-0005-0000-0000-00009B1E0000}"/>
    <cellStyle name="Normal 9 2 2 2 3 2 3 2" xfId="13743" xr:uid="{18184C29-9D86-4963-A2FD-8E4DA13C1629}"/>
    <cellStyle name="Normal 9 2 2 2 3 2 4" xfId="9525" xr:uid="{F4FD1432-96D4-4B34-ACEB-38134E04A828}"/>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BFD1CA4-3D81-4423-BA1B-E776C18BC45F}"/>
    <cellStyle name="Normal 9 2 2 2 3 3 2 3" xfId="12083" xr:uid="{4BCC6E89-F0F6-4961-86EC-16E503D087D2}"/>
    <cellStyle name="Normal 9 2 2 2 3 3 3" xfId="5706" xr:uid="{00000000-0005-0000-0000-00009F1E0000}"/>
    <cellStyle name="Normal 9 2 2 2 3 3 3 2" xfId="14156" xr:uid="{C0EA8D39-BC8E-4DF2-B1CA-A92FD807E7E2}"/>
    <cellStyle name="Normal 9 2 2 2 3 3 4" xfId="9938" xr:uid="{717BC128-51C5-4BF7-A6AD-40834AE32B6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4023A78E-F042-4889-883B-64473D44EE02}"/>
    <cellStyle name="Normal 9 2 2 2 3 4 2 3" xfId="12496" xr:uid="{1DA32245-0C34-4404-A3E1-9C375DBD4291}"/>
    <cellStyle name="Normal 9 2 2 2 3 4 3" xfId="6119" xr:uid="{00000000-0005-0000-0000-0000A31E0000}"/>
    <cellStyle name="Normal 9 2 2 2 3 4 3 2" xfId="14569" xr:uid="{F38FC3B7-966F-4671-9EBE-39AA66DE2C4E}"/>
    <cellStyle name="Normal 9 2 2 2 3 4 4" xfId="10351" xr:uid="{ED917022-F3A8-4DB9-8CF8-33D48DFC6EC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3E3D64B0-C93A-4022-99DE-2D540DEC0DCA}"/>
    <cellStyle name="Normal 9 2 2 2 3 5 2 3" xfId="12909" xr:uid="{67186612-0190-416E-A93F-320DDFE8EA03}"/>
    <cellStyle name="Normal 9 2 2 2 3 5 3" xfId="6532" xr:uid="{00000000-0005-0000-0000-0000A71E0000}"/>
    <cellStyle name="Normal 9 2 2 2 3 5 3 2" xfId="14982" xr:uid="{8078193B-0941-493A-9C96-90BF492EBBA4}"/>
    <cellStyle name="Normal 9 2 2 2 3 5 4" xfId="10764" xr:uid="{34925F97-BFD5-4D6B-B94F-92B653068A00}"/>
    <cellStyle name="Normal 9 2 2 2 3 6" xfId="2662" xr:uid="{00000000-0005-0000-0000-0000A81E0000}"/>
    <cellStyle name="Normal 9 2 2 2 3 6 2" xfId="6945" xr:uid="{00000000-0005-0000-0000-0000A91E0000}"/>
    <cellStyle name="Normal 9 2 2 2 3 6 2 2" xfId="15395" xr:uid="{5161A1CC-A84C-44B1-B100-BCD2E57270AD}"/>
    <cellStyle name="Normal 9 2 2 2 3 6 3" xfId="11177" xr:uid="{83CC46C3-A63E-4187-9DB7-7BFAFAC52244}"/>
    <cellStyle name="Normal 9 2 2 2 3 7" xfId="4880" xr:uid="{00000000-0005-0000-0000-0000AA1E0000}"/>
    <cellStyle name="Normal 9 2 2 2 3 7 2" xfId="13330" xr:uid="{E913A735-8A75-47DF-B826-6E72ADAA0A32}"/>
    <cellStyle name="Normal 9 2 2 2 3 8" xfId="9112" xr:uid="{FAF76D26-AF2F-4608-A916-86D2EFDA93DB}"/>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96F54025-2F04-4BFF-BBDA-7F2E2D43D025}"/>
    <cellStyle name="Normal 9 2 2 2 4 2 3" xfId="11667" xr:uid="{DA3547CC-D8CE-4F9A-91E6-C3D6FBAB8F54}"/>
    <cellStyle name="Normal 9 2 2 2 4 3" xfId="5290" xr:uid="{00000000-0005-0000-0000-0000AE1E0000}"/>
    <cellStyle name="Normal 9 2 2 2 4 3 2" xfId="13740" xr:uid="{45607C08-6BA2-441D-AC21-C0A904884FD2}"/>
    <cellStyle name="Normal 9 2 2 2 4 4" xfId="9522" xr:uid="{5B140C0B-A00C-43A6-9D96-B44C1F6C1D92}"/>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03137263-0AFF-4933-94C6-A60CBCB8C6DD}"/>
    <cellStyle name="Normal 9 2 2 2 5 2 3" xfId="12080" xr:uid="{4EF35913-0479-4F67-AF4A-DFE231FBEE4F}"/>
    <cellStyle name="Normal 9 2 2 2 5 3" xfId="5703" xr:uid="{00000000-0005-0000-0000-0000B21E0000}"/>
    <cellStyle name="Normal 9 2 2 2 5 3 2" xfId="14153" xr:uid="{062C6F67-963B-45A3-9B68-7C91020B1212}"/>
    <cellStyle name="Normal 9 2 2 2 5 4" xfId="9935" xr:uid="{3127C2C6-008D-4398-BB05-7A2581A537FC}"/>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7A387402-AC19-4DFD-ADE4-3741EE8142A1}"/>
    <cellStyle name="Normal 9 2 2 2 6 2 3" xfId="12493" xr:uid="{CB20C807-CEFB-4125-944D-F7DA2730F4A8}"/>
    <cellStyle name="Normal 9 2 2 2 6 3" xfId="6116" xr:uid="{00000000-0005-0000-0000-0000B61E0000}"/>
    <cellStyle name="Normal 9 2 2 2 6 3 2" xfId="14566" xr:uid="{3D9E5AC2-E09F-4A10-97F9-A9202E7E2A14}"/>
    <cellStyle name="Normal 9 2 2 2 6 4" xfId="10348" xr:uid="{1069B806-B94A-45E6-A936-6D19DABE9973}"/>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0B92A152-ABA1-4554-AE47-75CC24289B3B}"/>
    <cellStyle name="Normal 9 2 2 2 7 2 3" xfId="12906" xr:uid="{845264A7-A89F-4709-8378-B6B6B7D27A61}"/>
    <cellStyle name="Normal 9 2 2 2 7 3" xfId="6529" xr:uid="{00000000-0005-0000-0000-0000BA1E0000}"/>
    <cellStyle name="Normal 9 2 2 2 7 3 2" xfId="14979" xr:uid="{FDAD24A6-933E-446B-9B48-833FB5F6E74D}"/>
    <cellStyle name="Normal 9 2 2 2 7 4" xfId="10761" xr:uid="{98C96A6B-2232-4677-AA38-CB64521D4AE1}"/>
    <cellStyle name="Normal 9 2 2 2 8" xfId="2659" xr:uid="{00000000-0005-0000-0000-0000BB1E0000}"/>
    <cellStyle name="Normal 9 2 2 2 8 2" xfId="6942" xr:uid="{00000000-0005-0000-0000-0000BC1E0000}"/>
    <cellStyle name="Normal 9 2 2 2 8 2 2" xfId="15392" xr:uid="{F9FABAAE-4079-416F-BE7A-E955B7002E13}"/>
    <cellStyle name="Normal 9 2 2 2 8 3" xfId="11174" xr:uid="{C216ABAA-F304-4CC5-A31C-59B3D4EC90CD}"/>
    <cellStyle name="Normal 9 2 2 2 9" xfId="4877" xr:uid="{00000000-0005-0000-0000-0000BD1E0000}"/>
    <cellStyle name="Normal 9 2 2 2 9 2" xfId="13327" xr:uid="{718CB2AA-2E15-4017-ADEE-58497C7F9F46}"/>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253794CB-C01F-42C0-8F12-3FF0E6EEC550}"/>
    <cellStyle name="Normal 9 2 2 3 2 2 2 3" xfId="11672" xr:uid="{6F2882CE-1D10-41E6-9D3A-412115DEEFC8}"/>
    <cellStyle name="Normal 9 2 2 3 2 2 3" xfId="5295" xr:uid="{00000000-0005-0000-0000-0000C31E0000}"/>
    <cellStyle name="Normal 9 2 2 3 2 2 3 2" xfId="13745" xr:uid="{509E9EFC-C1E2-465D-9946-F85D990D99F3}"/>
    <cellStyle name="Normal 9 2 2 3 2 2 4" xfId="9527" xr:uid="{64AEDFA2-11D2-44F9-B3BC-6672B7807D2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D25C1328-22EC-4210-AB2C-01C5D6CFABCE}"/>
    <cellStyle name="Normal 9 2 2 3 2 3 2 3" xfId="12085" xr:uid="{92B2C23C-AFAA-41A8-BC60-18C5F1F3BC59}"/>
    <cellStyle name="Normal 9 2 2 3 2 3 3" xfId="5708" xr:uid="{00000000-0005-0000-0000-0000C71E0000}"/>
    <cellStyle name="Normal 9 2 2 3 2 3 3 2" xfId="14158" xr:uid="{7D6B13A8-32E5-4A93-9F26-D2E3C0259FE8}"/>
    <cellStyle name="Normal 9 2 2 3 2 3 4" xfId="9940" xr:uid="{AAFA992C-E360-4F3E-9191-ACB533A31D17}"/>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42BDA1C6-BB4D-43E1-BCA6-0D7B803BC403}"/>
    <cellStyle name="Normal 9 2 2 3 2 4 2 3" xfId="12498" xr:uid="{656025F3-2150-4339-B928-1673C42682DE}"/>
    <cellStyle name="Normal 9 2 2 3 2 4 3" xfId="6121" xr:uid="{00000000-0005-0000-0000-0000CB1E0000}"/>
    <cellStyle name="Normal 9 2 2 3 2 4 3 2" xfId="14571" xr:uid="{9FFF3ADC-8141-4BAA-B785-AF4D54640A78}"/>
    <cellStyle name="Normal 9 2 2 3 2 4 4" xfId="10353" xr:uid="{6D575C9C-4A77-4160-9F45-0FCA7557B61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D3FC06A3-C3E1-492D-ABCF-A14B7EC2E0B5}"/>
    <cellStyle name="Normal 9 2 2 3 2 5 2 3" xfId="12911" xr:uid="{EE5EAFC4-E836-4858-A599-F8B5F5ECCB57}"/>
    <cellStyle name="Normal 9 2 2 3 2 5 3" xfId="6534" xr:uid="{00000000-0005-0000-0000-0000CF1E0000}"/>
    <cellStyle name="Normal 9 2 2 3 2 5 3 2" xfId="14984" xr:uid="{337A378B-3377-43AA-BAEE-21B2A61FC03F}"/>
    <cellStyle name="Normal 9 2 2 3 2 5 4" xfId="10766" xr:uid="{0A7CE585-E064-4118-AB80-F226298617BE}"/>
    <cellStyle name="Normal 9 2 2 3 2 6" xfId="2664" xr:uid="{00000000-0005-0000-0000-0000D01E0000}"/>
    <cellStyle name="Normal 9 2 2 3 2 6 2" xfId="6947" xr:uid="{00000000-0005-0000-0000-0000D11E0000}"/>
    <cellStyle name="Normal 9 2 2 3 2 6 2 2" xfId="15397" xr:uid="{487169A0-D21F-4180-8F8E-BADAE28BE69E}"/>
    <cellStyle name="Normal 9 2 2 3 2 6 3" xfId="11179" xr:uid="{ACEDDAC0-B75E-4BE9-9F6C-0EA6FE9658E1}"/>
    <cellStyle name="Normal 9 2 2 3 2 7" xfId="4882" xr:uid="{00000000-0005-0000-0000-0000D21E0000}"/>
    <cellStyle name="Normal 9 2 2 3 2 7 2" xfId="13332" xr:uid="{6AD4CB81-3392-4557-9B9E-943B84F9C3AC}"/>
    <cellStyle name="Normal 9 2 2 3 2 8" xfId="9114" xr:uid="{635B463F-3D14-43A2-BB94-6DBBF9CC1611}"/>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9B00DD6A-419D-44FA-9CC2-5CBCBB01D1ED}"/>
    <cellStyle name="Normal 9 2 2 3 3 2 3" xfId="11671" xr:uid="{A784DEEF-0F19-42A6-953F-519CC3F31DC5}"/>
    <cellStyle name="Normal 9 2 2 3 3 3" xfId="5294" xr:uid="{00000000-0005-0000-0000-0000D61E0000}"/>
    <cellStyle name="Normal 9 2 2 3 3 3 2" xfId="13744" xr:uid="{7E091BBC-1BAD-4C3C-A04C-C431A6804869}"/>
    <cellStyle name="Normal 9 2 2 3 3 4" xfId="9526" xr:uid="{1935C085-DEBD-4793-A4E2-C9FD9F5EC41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D7B2FD39-1B40-477A-BAAE-A6D42A556597}"/>
    <cellStyle name="Normal 9 2 2 3 4 2 3" xfId="12084" xr:uid="{52EE8A56-9C5E-440C-9CA7-98C90583106F}"/>
    <cellStyle name="Normal 9 2 2 3 4 3" xfId="5707" xr:uid="{00000000-0005-0000-0000-0000DA1E0000}"/>
    <cellStyle name="Normal 9 2 2 3 4 3 2" xfId="14157" xr:uid="{CB80BDD5-3EC7-4F72-B246-859AAE6DF87F}"/>
    <cellStyle name="Normal 9 2 2 3 4 4" xfId="9939" xr:uid="{9D486AB9-2D0D-42D4-89ED-C7C8F39C4D03}"/>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D2F667E4-06BD-4EF0-AA5B-3D615E8FBBCE}"/>
    <cellStyle name="Normal 9 2 2 3 5 2 3" xfId="12497" xr:uid="{D89EB9AB-9794-494E-B7DF-57454602E401}"/>
    <cellStyle name="Normal 9 2 2 3 5 3" xfId="6120" xr:uid="{00000000-0005-0000-0000-0000DE1E0000}"/>
    <cellStyle name="Normal 9 2 2 3 5 3 2" xfId="14570" xr:uid="{5C5E8003-BD65-493C-AB20-F8A5A2803BF2}"/>
    <cellStyle name="Normal 9 2 2 3 5 4" xfId="10352" xr:uid="{4DB2835A-84D9-4C50-9785-5C991862F55B}"/>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A8A6D1CE-739A-4FD7-99D8-C5291971DF00}"/>
    <cellStyle name="Normal 9 2 2 3 6 2 3" xfId="12910" xr:uid="{FC19F7B6-EE1F-4B3C-9FD8-133CF21B7D6B}"/>
    <cellStyle name="Normal 9 2 2 3 6 3" xfId="6533" xr:uid="{00000000-0005-0000-0000-0000E21E0000}"/>
    <cellStyle name="Normal 9 2 2 3 6 3 2" xfId="14983" xr:uid="{3A033287-ADBB-4AF3-933D-AF5D1F83712F}"/>
    <cellStyle name="Normal 9 2 2 3 6 4" xfId="10765" xr:uid="{071B067F-71DE-4C52-B745-B7E10F7D91EF}"/>
    <cellStyle name="Normal 9 2 2 3 7" xfId="2663" xr:uid="{00000000-0005-0000-0000-0000E31E0000}"/>
    <cellStyle name="Normal 9 2 2 3 7 2" xfId="6946" xr:uid="{00000000-0005-0000-0000-0000E41E0000}"/>
    <cellStyle name="Normal 9 2 2 3 7 2 2" xfId="15396" xr:uid="{A0961006-788B-4CAE-A8C3-00D9E590A29F}"/>
    <cellStyle name="Normal 9 2 2 3 7 3" xfId="11178" xr:uid="{3200074D-18BB-4462-99EE-3C2141962D5D}"/>
    <cellStyle name="Normal 9 2 2 3 8" xfId="4881" xr:uid="{00000000-0005-0000-0000-0000E51E0000}"/>
    <cellStyle name="Normal 9 2 2 3 8 2" xfId="13331" xr:uid="{BF5E1A8F-9DB0-418A-BF8D-ABA4262F97B6}"/>
    <cellStyle name="Normal 9 2 2 3 9" xfId="9113" xr:uid="{F6A82587-8F5B-424D-AA2C-9E03C4070852}"/>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0AD8FD12-1760-483D-8DB0-5D6D835BFFCC}"/>
    <cellStyle name="Normal 9 2 2 4 2 2 3" xfId="11673" xr:uid="{2125EFE9-5AD8-443E-8EF9-284D3F4952B5}"/>
    <cellStyle name="Normal 9 2 2 4 2 3" xfId="5296" xr:uid="{00000000-0005-0000-0000-0000EA1E0000}"/>
    <cellStyle name="Normal 9 2 2 4 2 3 2" xfId="13746" xr:uid="{13A2A6B6-D9F7-4C35-AC02-261CEC469DDB}"/>
    <cellStyle name="Normal 9 2 2 4 2 4" xfId="9528" xr:uid="{68C699AE-66B5-4B4B-B1E0-C260219A5FF6}"/>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02FF9504-DB3C-489B-BA03-AA676ADDF4A1}"/>
    <cellStyle name="Normal 9 2 2 4 3 2 3" xfId="12086" xr:uid="{9E72D15E-FA93-42B5-AE8E-383E46AD610B}"/>
    <cellStyle name="Normal 9 2 2 4 3 3" xfId="5709" xr:uid="{00000000-0005-0000-0000-0000EE1E0000}"/>
    <cellStyle name="Normal 9 2 2 4 3 3 2" xfId="14159" xr:uid="{C2A31A54-8DEE-4E22-B385-A65E76054200}"/>
    <cellStyle name="Normal 9 2 2 4 3 4" xfId="9941" xr:uid="{9C158544-6FF9-467B-9F2C-3B82BDA2F2D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2812D77B-702E-4D9F-8AC5-D3AA39C10D54}"/>
    <cellStyle name="Normal 9 2 2 4 4 2 3" xfId="12499" xr:uid="{12331C0E-BB79-4AF1-98BF-D6F296E2C7F4}"/>
    <cellStyle name="Normal 9 2 2 4 4 3" xfId="6122" xr:uid="{00000000-0005-0000-0000-0000F21E0000}"/>
    <cellStyle name="Normal 9 2 2 4 4 3 2" xfId="14572" xr:uid="{91A5DE47-857B-4C33-9042-BACC160BDBDC}"/>
    <cellStyle name="Normal 9 2 2 4 4 4" xfId="10354" xr:uid="{3AF24349-EA4F-4CD3-8ECA-0C4ADA32B87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B009885E-E71E-44AF-9D23-EF5EE483BC37}"/>
    <cellStyle name="Normal 9 2 2 4 5 2 3" xfId="12912" xr:uid="{413DEA91-2314-43D0-8FAB-18EF26AA54DE}"/>
    <cellStyle name="Normal 9 2 2 4 5 3" xfId="6535" xr:uid="{00000000-0005-0000-0000-0000F61E0000}"/>
    <cellStyle name="Normal 9 2 2 4 5 3 2" xfId="14985" xr:uid="{994A765B-705F-46DF-BBB5-3B814CFC29C4}"/>
    <cellStyle name="Normal 9 2 2 4 5 4" xfId="10767" xr:uid="{328A92F2-2FCC-4D26-AE38-39FBB464ADEB}"/>
    <cellStyle name="Normal 9 2 2 4 6" xfId="2665" xr:uid="{00000000-0005-0000-0000-0000F71E0000}"/>
    <cellStyle name="Normal 9 2 2 4 6 2" xfId="6948" xr:uid="{00000000-0005-0000-0000-0000F81E0000}"/>
    <cellStyle name="Normal 9 2 2 4 6 2 2" xfId="15398" xr:uid="{F1DF551F-4182-4B4C-9A0A-88C716AFF300}"/>
    <cellStyle name="Normal 9 2 2 4 6 3" xfId="11180" xr:uid="{CCD23B5E-2D80-4DDB-8D6E-A21C90304519}"/>
    <cellStyle name="Normal 9 2 2 4 7" xfId="4883" xr:uid="{00000000-0005-0000-0000-0000F91E0000}"/>
    <cellStyle name="Normal 9 2 2 4 7 2" xfId="13333" xr:uid="{CADF52EB-90D9-49BC-9EB0-7913A087BEFF}"/>
    <cellStyle name="Normal 9 2 2 4 8" xfId="9115" xr:uid="{72838D49-3D09-453F-8134-F6A8836E8790}"/>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6DCA4EAE-8D41-46A8-9113-8E59F5FBC194}"/>
    <cellStyle name="Normal 9 2 2 5 2 3" xfId="11666" xr:uid="{ABE5EEB5-1A7F-4F43-812A-FCB1E6B9A012}"/>
    <cellStyle name="Normal 9 2 2 5 3" xfId="5289" xr:uid="{00000000-0005-0000-0000-0000FD1E0000}"/>
    <cellStyle name="Normal 9 2 2 5 3 2" xfId="13739" xr:uid="{7579A640-C944-416A-8A67-4BB6A776876B}"/>
    <cellStyle name="Normal 9 2 2 5 4" xfId="9521" xr:uid="{6C00BB00-88C4-4C60-9D39-0116E20AB94A}"/>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72B3124F-97D3-49B6-AF8B-0AF1A367433F}"/>
    <cellStyle name="Normal 9 2 2 6 2 3" xfId="12079" xr:uid="{4A48E698-FE10-486F-86CC-05CC53E5BA16}"/>
    <cellStyle name="Normal 9 2 2 6 3" xfId="5702" xr:uid="{00000000-0005-0000-0000-0000011F0000}"/>
    <cellStyle name="Normal 9 2 2 6 3 2" xfId="14152" xr:uid="{38239625-1F17-47C6-A274-F7AB9BF3109E}"/>
    <cellStyle name="Normal 9 2 2 6 4" xfId="9934" xr:uid="{72D97B50-F932-45C6-82FD-CDF3A90A5A7B}"/>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D4CD5EA7-86F9-4D33-B1EE-B7D4C3FA89B5}"/>
    <cellStyle name="Normal 9 2 2 7 2 3" xfId="12492" xr:uid="{09949B3F-2ADB-473A-B2EB-605234C0E910}"/>
    <cellStyle name="Normal 9 2 2 7 3" xfId="6115" xr:uid="{00000000-0005-0000-0000-0000051F0000}"/>
    <cellStyle name="Normal 9 2 2 7 3 2" xfId="14565" xr:uid="{55FDC6CC-B650-4CA8-8326-EE48EF385B5D}"/>
    <cellStyle name="Normal 9 2 2 7 4" xfId="10347" xr:uid="{464BE497-73E7-46FD-845D-112AAB77A118}"/>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27C8F499-050D-4151-B41D-D72555B63696}"/>
    <cellStyle name="Normal 9 2 2 8 2 3" xfId="12905" xr:uid="{2CBA40C9-7FF7-42DA-A5CF-683C923BA186}"/>
    <cellStyle name="Normal 9 2 2 8 3" xfId="6528" xr:uid="{00000000-0005-0000-0000-0000091F0000}"/>
    <cellStyle name="Normal 9 2 2 8 3 2" xfId="14978" xr:uid="{6D613365-2329-4C64-B0BA-B4C80A6127D2}"/>
    <cellStyle name="Normal 9 2 2 8 4" xfId="10760" xr:uid="{BB07063A-CADA-4310-A1B3-B71284F51ED9}"/>
    <cellStyle name="Normal 9 2 2 9" xfId="2658" xr:uid="{00000000-0005-0000-0000-00000A1F0000}"/>
    <cellStyle name="Normal 9 2 2 9 2" xfId="6941" xr:uid="{00000000-0005-0000-0000-00000B1F0000}"/>
    <cellStyle name="Normal 9 2 2 9 2 2" xfId="15391" xr:uid="{2E471E37-1C76-4324-8639-82BB1B16A06C}"/>
    <cellStyle name="Normal 9 2 2 9 3" xfId="11173" xr:uid="{75740F81-42C6-421E-BB8E-D83BF75A8AF5}"/>
    <cellStyle name="Normal 9 2 3" xfId="520" xr:uid="{00000000-0005-0000-0000-00000C1F0000}"/>
    <cellStyle name="Normal 9 2 3 10" xfId="9116" xr:uid="{00FF9E99-CFDB-4E56-A05F-622AB899512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6E862527-527B-4900-B0CA-9F8D020A3A28}"/>
    <cellStyle name="Normal 9 2 3 2 2 2 2 3" xfId="11676" xr:uid="{7B553D03-B508-4B2B-940A-F46DBF4A3FFA}"/>
    <cellStyle name="Normal 9 2 3 2 2 2 3" xfId="5299" xr:uid="{00000000-0005-0000-0000-0000121F0000}"/>
    <cellStyle name="Normal 9 2 3 2 2 2 3 2" xfId="13749" xr:uid="{32554865-F14E-4BC9-8FC7-92F27863B8E0}"/>
    <cellStyle name="Normal 9 2 3 2 2 2 4" xfId="9531" xr:uid="{483FDB30-A35E-4891-9419-46CD5CBB2424}"/>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1389AF22-6ED1-4907-897E-76458E4214A6}"/>
    <cellStyle name="Normal 9 2 3 2 2 3 2 3" xfId="12089" xr:uid="{D1779ABB-33D1-4A6A-AD44-64A387C716B9}"/>
    <cellStyle name="Normal 9 2 3 2 2 3 3" xfId="5712" xr:uid="{00000000-0005-0000-0000-0000161F0000}"/>
    <cellStyle name="Normal 9 2 3 2 2 3 3 2" xfId="14162" xr:uid="{E26C3D1C-1893-4C7C-85D5-B62F6A2BCE4D}"/>
    <cellStyle name="Normal 9 2 3 2 2 3 4" xfId="9944" xr:uid="{F9D43AAA-C6FF-4E40-B509-0A37462EAED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DD15848F-404E-4237-B9F0-C01E8A610105}"/>
    <cellStyle name="Normal 9 2 3 2 2 4 2 3" xfId="12502" xr:uid="{560EA244-89E3-46A0-B078-E09906F68BBA}"/>
    <cellStyle name="Normal 9 2 3 2 2 4 3" xfId="6125" xr:uid="{00000000-0005-0000-0000-00001A1F0000}"/>
    <cellStyle name="Normal 9 2 3 2 2 4 3 2" xfId="14575" xr:uid="{B0DFAF25-91DD-4FDC-9F66-02670C060C7E}"/>
    <cellStyle name="Normal 9 2 3 2 2 4 4" xfId="10357" xr:uid="{281AA8B6-32BC-4EAF-917E-8EC8129C3D0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F3A4FE05-35FF-4688-A41A-65286440A11B}"/>
    <cellStyle name="Normal 9 2 3 2 2 5 2 3" xfId="12915" xr:uid="{9CE7FD1E-043B-42A6-B393-1D786FBD2BB8}"/>
    <cellStyle name="Normal 9 2 3 2 2 5 3" xfId="6538" xr:uid="{00000000-0005-0000-0000-00001E1F0000}"/>
    <cellStyle name="Normal 9 2 3 2 2 5 3 2" xfId="14988" xr:uid="{7C7D1A0C-3C9C-40BC-9C27-41AACE6A34AC}"/>
    <cellStyle name="Normal 9 2 3 2 2 5 4" xfId="10770" xr:uid="{9AFDA476-FB38-43BE-AAC1-7C4417CF7DC7}"/>
    <cellStyle name="Normal 9 2 3 2 2 6" xfId="2668" xr:uid="{00000000-0005-0000-0000-00001F1F0000}"/>
    <cellStyle name="Normal 9 2 3 2 2 6 2" xfId="6951" xr:uid="{00000000-0005-0000-0000-0000201F0000}"/>
    <cellStyle name="Normal 9 2 3 2 2 6 2 2" xfId="15401" xr:uid="{8C8FBBC3-4B7A-4A9C-8448-ADD771A66075}"/>
    <cellStyle name="Normal 9 2 3 2 2 6 3" xfId="11183" xr:uid="{551EEB3E-0DEE-477F-8FFF-7CA5486D79A0}"/>
    <cellStyle name="Normal 9 2 3 2 2 7" xfId="4886" xr:uid="{00000000-0005-0000-0000-0000211F0000}"/>
    <cellStyle name="Normal 9 2 3 2 2 7 2" xfId="13336" xr:uid="{AE4FC622-E2C1-4520-BF9D-0CB1C1221DAB}"/>
    <cellStyle name="Normal 9 2 3 2 2 8" xfId="9118" xr:uid="{E52B156D-604D-49AB-8903-79A655730CE9}"/>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931D9ABC-270A-4C05-BBA5-F15709C6EC64}"/>
    <cellStyle name="Normal 9 2 3 2 3 2 3" xfId="11675" xr:uid="{9E7E0273-5C74-4572-AA30-5D56A3264585}"/>
    <cellStyle name="Normal 9 2 3 2 3 3" xfId="5298" xr:uid="{00000000-0005-0000-0000-0000251F0000}"/>
    <cellStyle name="Normal 9 2 3 2 3 3 2" xfId="13748" xr:uid="{082B1CD2-E97B-49F7-AE00-BA5E60B0E48C}"/>
    <cellStyle name="Normal 9 2 3 2 3 4" xfId="9530" xr:uid="{E567FD8E-ACB7-498B-95CA-0A4B7A52B3D9}"/>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BC154496-1F70-4967-B9B4-08AB785AFBC1}"/>
    <cellStyle name="Normal 9 2 3 2 4 2 3" xfId="12088" xr:uid="{F9B1B39D-0C03-4AF1-A721-15E6AB08BA27}"/>
    <cellStyle name="Normal 9 2 3 2 4 3" xfId="5711" xr:uid="{00000000-0005-0000-0000-0000291F0000}"/>
    <cellStyle name="Normal 9 2 3 2 4 3 2" xfId="14161" xr:uid="{E27BF99F-831D-4CC2-9BC5-6C70F4A95B93}"/>
    <cellStyle name="Normal 9 2 3 2 4 4" xfId="9943" xr:uid="{5B42AFBB-456A-43ED-9D9F-082847550236}"/>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7E020091-A916-435C-BC50-253B9BDC1F1F}"/>
    <cellStyle name="Normal 9 2 3 2 5 2 3" xfId="12501" xr:uid="{93DF09CD-5C3B-45DD-982B-00740E1DEA65}"/>
    <cellStyle name="Normal 9 2 3 2 5 3" xfId="6124" xr:uid="{00000000-0005-0000-0000-00002D1F0000}"/>
    <cellStyle name="Normal 9 2 3 2 5 3 2" xfId="14574" xr:uid="{43134CC8-8889-440D-B6A0-2941FABFB0F4}"/>
    <cellStyle name="Normal 9 2 3 2 5 4" xfId="10356" xr:uid="{1ADA9B64-EA7F-4764-8EC3-A402BACB55F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0C38F2A4-4ED1-4555-B5E0-716F8077074D}"/>
    <cellStyle name="Normal 9 2 3 2 6 2 3" xfId="12914" xr:uid="{40F1E8D9-1710-4462-9A9B-83D5C6FAF769}"/>
    <cellStyle name="Normal 9 2 3 2 6 3" xfId="6537" xr:uid="{00000000-0005-0000-0000-0000311F0000}"/>
    <cellStyle name="Normal 9 2 3 2 6 3 2" xfId="14987" xr:uid="{161AADFC-1E87-45EB-903F-E8EDF462831C}"/>
    <cellStyle name="Normal 9 2 3 2 6 4" xfId="10769" xr:uid="{B5D4A805-A340-4D34-BFDC-E71793D2977C}"/>
    <cellStyle name="Normal 9 2 3 2 7" xfId="2667" xr:uid="{00000000-0005-0000-0000-0000321F0000}"/>
    <cellStyle name="Normal 9 2 3 2 7 2" xfId="6950" xr:uid="{00000000-0005-0000-0000-0000331F0000}"/>
    <cellStyle name="Normal 9 2 3 2 7 2 2" xfId="15400" xr:uid="{30D7ADB8-B347-48CC-AAE8-1E463299B3A9}"/>
    <cellStyle name="Normal 9 2 3 2 7 3" xfId="11182" xr:uid="{174E75C9-3957-43F0-A793-07057E33F7AB}"/>
    <cellStyle name="Normal 9 2 3 2 8" xfId="4885" xr:uid="{00000000-0005-0000-0000-0000341F0000}"/>
    <cellStyle name="Normal 9 2 3 2 8 2" xfId="13335" xr:uid="{488ADF7C-F70A-4FFA-A045-CC4F9A79F836}"/>
    <cellStyle name="Normal 9 2 3 2 9" xfId="9117" xr:uid="{FC8AFD92-3EE1-4624-9903-3B5FD31101B6}"/>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3E9272BF-0B60-45E5-B633-2A1192A2033D}"/>
    <cellStyle name="Normal 9 2 3 3 2 2 3" xfId="11677" xr:uid="{1884AA20-7DBD-4660-AFF0-B4EA0DB7DB2C}"/>
    <cellStyle name="Normal 9 2 3 3 2 3" xfId="5300" xr:uid="{00000000-0005-0000-0000-0000391F0000}"/>
    <cellStyle name="Normal 9 2 3 3 2 3 2" xfId="13750" xr:uid="{9129F156-C1A1-45A8-9986-C6DE870205A1}"/>
    <cellStyle name="Normal 9 2 3 3 2 4" xfId="9532" xr:uid="{F2F3BA85-0C44-4993-A005-1BCD61427705}"/>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A9BF251B-6385-4996-BDD1-49E2EFFE3A10}"/>
    <cellStyle name="Normal 9 2 3 3 3 2 3" xfId="12090" xr:uid="{A968D525-48BC-4E8B-9AA5-AAFA2F92115A}"/>
    <cellStyle name="Normal 9 2 3 3 3 3" xfId="5713" xr:uid="{00000000-0005-0000-0000-00003D1F0000}"/>
    <cellStyle name="Normal 9 2 3 3 3 3 2" xfId="14163" xr:uid="{BF8B69D8-1C9A-441C-A89E-6C180EA597BA}"/>
    <cellStyle name="Normal 9 2 3 3 3 4" xfId="9945" xr:uid="{6F02AB0C-BCF9-4474-8B2F-05922AC3F7FA}"/>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1C7BD750-BE3B-4FB5-BA36-E10A3C0214B7}"/>
    <cellStyle name="Normal 9 2 3 3 4 2 3" xfId="12503" xr:uid="{EB82DD73-1125-4A4D-BDCB-63BD851E5924}"/>
    <cellStyle name="Normal 9 2 3 3 4 3" xfId="6126" xr:uid="{00000000-0005-0000-0000-0000411F0000}"/>
    <cellStyle name="Normal 9 2 3 3 4 3 2" xfId="14576" xr:uid="{A749242A-AF39-4496-8DB8-A76E6D6A8040}"/>
    <cellStyle name="Normal 9 2 3 3 4 4" xfId="10358" xr:uid="{879CC88A-0CFF-4B79-8341-FD4BED75C117}"/>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9079D42A-6453-4FF8-96C6-13FD2E9D9E09}"/>
    <cellStyle name="Normal 9 2 3 3 5 2 3" xfId="12916" xr:uid="{74D776D2-E6CC-4270-8968-8196DC2B1986}"/>
    <cellStyle name="Normal 9 2 3 3 5 3" xfId="6539" xr:uid="{00000000-0005-0000-0000-0000451F0000}"/>
    <cellStyle name="Normal 9 2 3 3 5 3 2" xfId="14989" xr:uid="{B6FD9191-AA67-4DCA-80F7-0F7F595E1637}"/>
    <cellStyle name="Normal 9 2 3 3 5 4" xfId="10771" xr:uid="{86B359B0-79E3-44C6-8D3D-B20324C7FAB2}"/>
    <cellStyle name="Normal 9 2 3 3 6" xfId="2669" xr:uid="{00000000-0005-0000-0000-0000461F0000}"/>
    <cellStyle name="Normal 9 2 3 3 6 2" xfId="6952" xr:uid="{00000000-0005-0000-0000-0000471F0000}"/>
    <cellStyle name="Normal 9 2 3 3 6 2 2" xfId="15402" xr:uid="{25DA9177-EFE0-4664-BDD4-FC2B35BF0CCD}"/>
    <cellStyle name="Normal 9 2 3 3 6 3" xfId="11184" xr:uid="{D22625C5-D8EB-47CA-80BF-4C39FD2A2366}"/>
    <cellStyle name="Normal 9 2 3 3 7" xfId="4887" xr:uid="{00000000-0005-0000-0000-0000481F0000}"/>
    <cellStyle name="Normal 9 2 3 3 7 2" xfId="13337" xr:uid="{FB2F2AE6-4F38-4D1D-87A8-554484C5E52D}"/>
    <cellStyle name="Normal 9 2 3 3 8" xfId="9119" xr:uid="{2F1C1158-7B1B-48AC-BADA-FFB451A8220B}"/>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AAB57D9E-6A6E-4E79-9338-934955B942FF}"/>
    <cellStyle name="Normal 9 2 3 4 2 3" xfId="11674" xr:uid="{DE953368-1C68-4024-89A3-E02A79ED0A58}"/>
    <cellStyle name="Normal 9 2 3 4 3" xfId="5297" xr:uid="{00000000-0005-0000-0000-00004C1F0000}"/>
    <cellStyle name="Normal 9 2 3 4 3 2" xfId="13747" xr:uid="{2E86078E-92FA-44C0-98AB-8C2969CBD8B4}"/>
    <cellStyle name="Normal 9 2 3 4 4" xfId="9529" xr:uid="{FB09A83E-C7CF-48A5-B9E9-AB3B12415F41}"/>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F0694E67-C289-4814-8659-186D65735A14}"/>
    <cellStyle name="Normal 9 2 3 5 2 3" xfId="12087" xr:uid="{5374B532-5FBA-4C98-9B46-01F879BC9FCB}"/>
    <cellStyle name="Normal 9 2 3 5 3" xfId="5710" xr:uid="{00000000-0005-0000-0000-0000501F0000}"/>
    <cellStyle name="Normal 9 2 3 5 3 2" xfId="14160" xr:uid="{F9AFB434-975B-4D71-B89D-DB5AC06BD730}"/>
    <cellStyle name="Normal 9 2 3 5 4" xfId="9942" xr:uid="{1B4F1504-9250-4F18-B11A-1489FDFA0A92}"/>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F36C62BD-DCC9-4943-BAA4-00FB3CDC57D6}"/>
    <cellStyle name="Normal 9 2 3 6 2 3" xfId="12500" xr:uid="{2337A3AF-4F1F-4DB2-A55E-9385337B4813}"/>
    <cellStyle name="Normal 9 2 3 6 3" xfId="6123" xr:uid="{00000000-0005-0000-0000-0000541F0000}"/>
    <cellStyle name="Normal 9 2 3 6 3 2" xfId="14573" xr:uid="{3E113A03-C18E-49AE-A8D0-C0CC8DDE840F}"/>
    <cellStyle name="Normal 9 2 3 6 4" xfId="10355" xr:uid="{11DDF2BD-77B0-4CD2-B549-BD030A94FE74}"/>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3213E298-375B-405C-B886-3EE25EB218A6}"/>
    <cellStyle name="Normal 9 2 3 7 2 3" xfId="12913" xr:uid="{19D4F111-C73D-4C70-83F0-581DABF548D0}"/>
    <cellStyle name="Normal 9 2 3 7 3" xfId="6536" xr:uid="{00000000-0005-0000-0000-0000581F0000}"/>
    <cellStyle name="Normal 9 2 3 7 3 2" xfId="14986" xr:uid="{4E750B7C-A6C6-4E51-9224-08F51BADD0EF}"/>
    <cellStyle name="Normal 9 2 3 7 4" xfId="10768" xr:uid="{0FA4A106-39B3-49F4-A412-BABC57696703}"/>
    <cellStyle name="Normal 9 2 3 8" xfId="2666" xr:uid="{00000000-0005-0000-0000-0000591F0000}"/>
    <cellStyle name="Normal 9 2 3 8 2" xfId="6949" xr:uid="{00000000-0005-0000-0000-00005A1F0000}"/>
    <cellStyle name="Normal 9 2 3 8 2 2" xfId="15399" xr:uid="{06E1601D-AE50-4F00-885C-53EB21223DCD}"/>
    <cellStyle name="Normal 9 2 3 8 3" xfId="11181" xr:uid="{2E94EC5D-F16C-472D-B035-72C99DC26FF0}"/>
    <cellStyle name="Normal 9 2 3 9" xfId="4884" xr:uid="{00000000-0005-0000-0000-00005B1F0000}"/>
    <cellStyle name="Normal 9 2 3 9 2" xfId="13334" xr:uid="{C1DABCF6-5626-4F73-9E40-7AA762B1E4B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DE78645F-611D-4BF5-8937-ECDE65D32835}"/>
    <cellStyle name="Normal 9 2 4 2 2 2 3" xfId="11679" xr:uid="{F50D364B-2EA8-422E-9AB5-FB159BD03035}"/>
    <cellStyle name="Normal 9 2 4 2 2 3" xfId="5302" xr:uid="{00000000-0005-0000-0000-0000611F0000}"/>
    <cellStyle name="Normal 9 2 4 2 2 3 2" xfId="13752" xr:uid="{7025165E-CF9B-4767-AF32-AA1516A8FA54}"/>
    <cellStyle name="Normal 9 2 4 2 2 4" xfId="9534" xr:uid="{BD06729B-6280-47FF-83B7-1E9D5C3B009E}"/>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EF090183-A4DB-48B6-9114-2FA4D0254400}"/>
    <cellStyle name="Normal 9 2 4 2 3 2 3" xfId="12092" xr:uid="{2AC82B08-A36E-45E6-A011-0093DBD54DE6}"/>
    <cellStyle name="Normal 9 2 4 2 3 3" xfId="5715" xr:uid="{00000000-0005-0000-0000-0000651F0000}"/>
    <cellStyle name="Normal 9 2 4 2 3 3 2" xfId="14165" xr:uid="{D14BB966-BA0E-4E45-B177-AC993EB232EB}"/>
    <cellStyle name="Normal 9 2 4 2 3 4" xfId="9947" xr:uid="{E1381267-375B-418A-BC38-FA6E5FABD2E1}"/>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3FF18788-BD6E-4CD3-AA2F-4A001492CB36}"/>
    <cellStyle name="Normal 9 2 4 2 4 2 3" xfId="12505" xr:uid="{ABA72B73-1199-4DD3-BCF8-C48C755D8128}"/>
    <cellStyle name="Normal 9 2 4 2 4 3" xfId="6128" xr:uid="{00000000-0005-0000-0000-0000691F0000}"/>
    <cellStyle name="Normal 9 2 4 2 4 3 2" xfId="14578" xr:uid="{CAB37B56-DCA7-478A-9277-FC85757D2BCD}"/>
    <cellStyle name="Normal 9 2 4 2 4 4" xfId="10360" xr:uid="{07A3D9F9-F100-4571-AEF0-F8A22EF62826}"/>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5E287015-ED2F-4522-A0B4-F5D716A176DE}"/>
    <cellStyle name="Normal 9 2 4 2 5 2 3" xfId="12918" xr:uid="{76F1C9E2-F68F-4886-8091-DF00378C64D9}"/>
    <cellStyle name="Normal 9 2 4 2 5 3" xfId="6541" xr:uid="{00000000-0005-0000-0000-00006D1F0000}"/>
    <cellStyle name="Normal 9 2 4 2 5 3 2" xfId="14991" xr:uid="{01EA1DC9-B726-429E-9FB5-61C66DAED8E7}"/>
    <cellStyle name="Normal 9 2 4 2 5 4" xfId="10773" xr:uid="{66E322AC-CE53-47E1-96B5-46E9FA987036}"/>
    <cellStyle name="Normal 9 2 4 2 6" xfId="2671" xr:uid="{00000000-0005-0000-0000-00006E1F0000}"/>
    <cellStyle name="Normal 9 2 4 2 6 2" xfId="6954" xr:uid="{00000000-0005-0000-0000-00006F1F0000}"/>
    <cellStyle name="Normal 9 2 4 2 6 2 2" xfId="15404" xr:uid="{E660D525-F90B-4D70-B830-0BF6A4972128}"/>
    <cellStyle name="Normal 9 2 4 2 6 3" xfId="11186" xr:uid="{052029D5-7C2B-4461-96E7-0800EAF34846}"/>
    <cellStyle name="Normal 9 2 4 2 7" xfId="4889" xr:uid="{00000000-0005-0000-0000-0000701F0000}"/>
    <cellStyle name="Normal 9 2 4 2 7 2" xfId="13339" xr:uid="{90F53BD8-BE35-4988-BA1E-3355D68EDEA6}"/>
    <cellStyle name="Normal 9 2 4 2 8" xfId="9121" xr:uid="{52AB7EBF-D77C-46D0-88E7-656946551935}"/>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677CF1CF-1DFD-4544-89FC-53CCC63EDDE6}"/>
    <cellStyle name="Normal 9 2 4 3 2 3" xfId="11678" xr:uid="{1643B758-C84C-4776-906D-2613AE175B71}"/>
    <cellStyle name="Normal 9 2 4 3 3" xfId="5301" xr:uid="{00000000-0005-0000-0000-0000741F0000}"/>
    <cellStyle name="Normal 9 2 4 3 3 2" xfId="13751" xr:uid="{BCFE85CB-03CE-4202-B6D7-1973FA9F0B5C}"/>
    <cellStyle name="Normal 9 2 4 3 4" xfId="9533" xr:uid="{87B24979-19F6-45D4-92A4-D6EB48093FB9}"/>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9445FC4B-57ED-433D-A55E-3090551CA2ED}"/>
    <cellStyle name="Normal 9 2 4 4 2 3" xfId="12091" xr:uid="{EB705E20-B1FB-4AA8-8B78-01573B012D3E}"/>
    <cellStyle name="Normal 9 2 4 4 3" xfId="5714" xr:uid="{00000000-0005-0000-0000-0000781F0000}"/>
    <cellStyle name="Normal 9 2 4 4 3 2" xfId="14164" xr:uid="{5B766602-7C4B-4EFA-97AD-D046D1BB3ACC}"/>
    <cellStyle name="Normal 9 2 4 4 4" xfId="9946" xr:uid="{89F60353-B86E-405A-A17E-32AD80572F5D}"/>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1A993B22-D5FD-448C-AC3F-0DA699896104}"/>
    <cellStyle name="Normal 9 2 4 5 2 3" xfId="12504" xr:uid="{EE046236-E0C3-4330-B8E3-99B47FAF9A09}"/>
    <cellStyle name="Normal 9 2 4 5 3" xfId="6127" xr:uid="{00000000-0005-0000-0000-00007C1F0000}"/>
    <cellStyle name="Normal 9 2 4 5 3 2" xfId="14577" xr:uid="{BBE50159-8CEE-4E36-9B50-3BFDF6F6E937}"/>
    <cellStyle name="Normal 9 2 4 5 4" xfId="10359" xr:uid="{E8484903-55B0-4D48-8C5D-AF9C2EF62EE7}"/>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0850B0BA-D947-4407-9E5D-C22C674695FE}"/>
    <cellStyle name="Normal 9 2 4 6 2 3" xfId="12917" xr:uid="{C948FADA-5276-43B3-897B-BF622A023983}"/>
    <cellStyle name="Normal 9 2 4 6 3" xfId="6540" xr:uid="{00000000-0005-0000-0000-0000801F0000}"/>
    <cellStyle name="Normal 9 2 4 6 3 2" xfId="14990" xr:uid="{C858C8B0-FBAE-4DAB-8D71-0E80BCFAF373}"/>
    <cellStyle name="Normal 9 2 4 6 4" xfId="10772" xr:uid="{B63FCE61-A631-4BFE-931B-DF09A50B1AA0}"/>
    <cellStyle name="Normal 9 2 4 7" xfId="2670" xr:uid="{00000000-0005-0000-0000-0000811F0000}"/>
    <cellStyle name="Normal 9 2 4 7 2" xfId="6953" xr:uid="{00000000-0005-0000-0000-0000821F0000}"/>
    <cellStyle name="Normal 9 2 4 7 2 2" xfId="15403" xr:uid="{1638A8D0-F086-4C91-93E2-0E6C167E2653}"/>
    <cellStyle name="Normal 9 2 4 7 3" xfId="11185" xr:uid="{7E4F3520-53FD-4913-A2A3-C278F56C0F70}"/>
    <cellStyle name="Normal 9 2 4 8" xfId="4888" xr:uid="{00000000-0005-0000-0000-0000831F0000}"/>
    <cellStyle name="Normal 9 2 4 8 2" xfId="13338" xr:uid="{2ABF6C94-661C-474C-BE29-CF010EC8F060}"/>
    <cellStyle name="Normal 9 2 4 9" xfId="9120" xr:uid="{CBBE940F-838C-471B-98FC-D5EC960A4686}"/>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F2E7F21E-3ECD-4374-83CC-30D19E1AEBB5}"/>
    <cellStyle name="Normal 9 2 5 2 2 3" xfId="11680" xr:uid="{3BC93CC2-50D3-4701-990E-1DFA504D6179}"/>
    <cellStyle name="Normal 9 2 5 2 3" xfId="5303" xr:uid="{00000000-0005-0000-0000-0000881F0000}"/>
    <cellStyle name="Normal 9 2 5 2 3 2" xfId="13753" xr:uid="{3BB30E36-F219-41D3-BABD-5BB86236E3AC}"/>
    <cellStyle name="Normal 9 2 5 2 4" xfId="9535" xr:uid="{995EDA8C-B4BC-4514-8E78-0EA008ACA81E}"/>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819A2ACE-FF4E-4AE0-9EB1-884ACD568556}"/>
    <cellStyle name="Normal 9 2 5 3 2 3" xfId="12093" xr:uid="{985DA98E-96A5-46E7-B18F-4178A9803B62}"/>
    <cellStyle name="Normal 9 2 5 3 3" xfId="5716" xr:uid="{00000000-0005-0000-0000-00008C1F0000}"/>
    <cellStyle name="Normal 9 2 5 3 3 2" xfId="14166" xr:uid="{93D59D3A-15ED-482A-95F8-EC8F5991C601}"/>
    <cellStyle name="Normal 9 2 5 3 4" xfId="9948" xr:uid="{62A69473-C33A-4885-9267-1AC3DF55095A}"/>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D9C8E470-2131-4732-BF0D-61C675B9E5C1}"/>
    <cellStyle name="Normal 9 2 5 4 2 3" xfId="12506" xr:uid="{2BD2695C-5835-4E61-AFDC-4081A8D99141}"/>
    <cellStyle name="Normal 9 2 5 4 3" xfId="6129" xr:uid="{00000000-0005-0000-0000-0000901F0000}"/>
    <cellStyle name="Normal 9 2 5 4 3 2" xfId="14579" xr:uid="{E741D2A5-B3DC-41BC-A116-D2C8D76C9EEF}"/>
    <cellStyle name="Normal 9 2 5 4 4" xfId="10361" xr:uid="{07AD9545-6460-4166-AF8E-3921DF012E06}"/>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04BDE8D0-D4A9-489D-984C-5159F07F7382}"/>
    <cellStyle name="Normal 9 2 5 5 2 3" xfId="12919" xr:uid="{D4CB98EF-1600-4A76-9A72-F0878177AC07}"/>
    <cellStyle name="Normal 9 2 5 5 3" xfId="6542" xr:uid="{00000000-0005-0000-0000-0000941F0000}"/>
    <cellStyle name="Normal 9 2 5 5 3 2" xfId="14992" xr:uid="{F52581E8-DCBC-4D06-974A-B2ED9D7F6AEA}"/>
    <cellStyle name="Normal 9 2 5 5 4" xfId="10774" xr:uid="{120C8878-FE99-4AD3-BE39-57495775CBBD}"/>
    <cellStyle name="Normal 9 2 5 6" xfId="2672" xr:uid="{00000000-0005-0000-0000-0000951F0000}"/>
    <cellStyle name="Normal 9 2 5 6 2" xfId="6955" xr:uid="{00000000-0005-0000-0000-0000961F0000}"/>
    <cellStyle name="Normal 9 2 5 6 2 2" xfId="15405" xr:uid="{1C73ABEE-658C-43AC-BFD6-58DFF4CD637D}"/>
    <cellStyle name="Normal 9 2 5 6 3" xfId="11187" xr:uid="{70FCEB3E-D2EB-46BE-9CF4-031B225E0663}"/>
    <cellStyle name="Normal 9 2 5 7" xfId="4890" xr:uid="{00000000-0005-0000-0000-0000971F0000}"/>
    <cellStyle name="Normal 9 2 5 7 2" xfId="13340" xr:uid="{FD93C4E4-7CFF-49B6-8A33-6A8F4B08B15C}"/>
    <cellStyle name="Normal 9 2 5 8" xfId="9122" xr:uid="{4EF16749-4DB5-4794-81C0-136A1F90B12D}"/>
    <cellStyle name="Normal 9 2 6" xfId="978" xr:uid="{00000000-0005-0000-0000-0000981F0000}"/>
    <cellStyle name="Normal 9 2 6 2" xfId="3211" xr:uid="{00000000-0005-0000-0000-0000991F0000}"/>
    <cellStyle name="Normal 9 2 6 2 2" xfId="7433" xr:uid="{00000000-0005-0000-0000-00009A1F0000}"/>
    <cellStyle name="Normal 9 2 6 2 2 2" xfId="15883" xr:uid="{C8062AE6-20FF-4A41-ACDC-04C823AE020C}"/>
    <cellStyle name="Normal 9 2 6 2 3" xfId="11665" xr:uid="{F856146A-A510-4907-A1FE-3E9B6DC6A27F}"/>
    <cellStyle name="Normal 9 2 6 3" xfId="5288" xr:uid="{00000000-0005-0000-0000-00009B1F0000}"/>
    <cellStyle name="Normal 9 2 6 3 2" xfId="13738" xr:uid="{6DCD290B-0E6E-49D7-8367-0A05B46666E0}"/>
    <cellStyle name="Normal 9 2 6 4" xfId="9520" xr:uid="{CB4F25EC-7F42-41B7-B97A-ABF865249436}"/>
    <cellStyle name="Normal 9 2 7" xfId="1394" xr:uid="{00000000-0005-0000-0000-00009C1F0000}"/>
    <cellStyle name="Normal 9 2 7 2" xfId="3624" xr:uid="{00000000-0005-0000-0000-00009D1F0000}"/>
    <cellStyle name="Normal 9 2 7 2 2" xfId="7846" xr:uid="{00000000-0005-0000-0000-00009E1F0000}"/>
    <cellStyle name="Normal 9 2 7 2 2 2" xfId="16296" xr:uid="{5DF1D720-99F8-4490-9871-2AC27CC1A5F3}"/>
    <cellStyle name="Normal 9 2 7 2 3" xfId="12078" xr:uid="{DDD99F98-2667-414C-AAD6-EB6F5EB0D083}"/>
    <cellStyle name="Normal 9 2 7 3" xfId="5701" xr:uid="{00000000-0005-0000-0000-00009F1F0000}"/>
    <cellStyle name="Normal 9 2 7 3 2" xfId="14151" xr:uid="{8AAB4AFB-313C-440B-9F7A-25AF05E252BA}"/>
    <cellStyle name="Normal 9 2 7 4" xfId="9933" xr:uid="{72F63F24-F5D3-445D-9C77-BDDB5DAAF88E}"/>
    <cellStyle name="Normal 9 2 8" xfId="1807" xr:uid="{00000000-0005-0000-0000-0000A01F0000}"/>
    <cellStyle name="Normal 9 2 8 2" xfId="4037" xr:uid="{00000000-0005-0000-0000-0000A11F0000}"/>
    <cellStyle name="Normal 9 2 8 2 2" xfId="8259" xr:uid="{00000000-0005-0000-0000-0000A21F0000}"/>
    <cellStyle name="Normal 9 2 8 2 2 2" xfId="16709" xr:uid="{DBF15DD1-84C8-4F0E-B6DF-F7C222DF3594}"/>
    <cellStyle name="Normal 9 2 8 2 3" xfId="12491" xr:uid="{05968CDE-69D6-4752-A1A8-95ABDA0E5F7C}"/>
    <cellStyle name="Normal 9 2 8 3" xfId="6114" xr:uid="{00000000-0005-0000-0000-0000A31F0000}"/>
    <cellStyle name="Normal 9 2 8 3 2" xfId="14564" xr:uid="{3BBB5431-B4E3-4259-8019-EA3846AD629F}"/>
    <cellStyle name="Normal 9 2 8 4" xfId="10346" xr:uid="{6E56D34E-3DBD-480F-B7A0-E65B0A899143}"/>
    <cellStyle name="Normal 9 2 9" xfId="2221" xr:uid="{00000000-0005-0000-0000-0000A41F0000}"/>
    <cellStyle name="Normal 9 2 9 2" xfId="4450" xr:uid="{00000000-0005-0000-0000-0000A51F0000}"/>
    <cellStyle name="Normal 9 2 9 2 2" xfId="8672" xr:uid="{00000000-0005-0000-0000-0000A61F0000}"/>
    <cellStyle name="Normal 9 2 9 2 2 2" xfId="17122" xr:uid="{D8435C1B-50B6-4DAE-842E-6BFCAD965A94}"/>
    <cellStyle name="Normal 9 2 9 2 3" xfId="12904" xr:uid="{5C30A154-F83C-4AEB-B25A-30BB4EE57B06}"/>
    <cellStyle name="Normal 9 2 9 3" xfId="6527" xr:uid="{00000000-0005-0000-0000-0000A71F0000}"/>
    <cellStyle name="Normal 9 2 9 3 2" xfId="14977" xr:uid="{985E604E-ADD1-4F54-AF4B-9A97C11508BE}"/>
    <cellStyle name="Normal 9 2 9 4" xfId="10759" xr:uid="{15758C90-DBCC-4474-A8CE-5A26F6A7AFC0}"/>
    <cellStyle name="Normal 9 3" xfId="527" xr:uid="{00000000-0005-0000-0000-0000A81F0000}"/>
    <cellStyle name="Normal 9 3 10" xfId="4891" xr:uid="{00000000-0005-0000-0000-0000A91F0000}"/>
    <cellStyle name="Normal 9 3 10 2" xfId="13341" xr:uid="{A688BDC4-EBED-42D9-8B03-1F463A23E783}"/>
    <cellStyle name="Normal 9 3 11" xfId="9123" xr:uid="{627BCE97-5994-4D1D-A0DC-DF724E8B7F9D}"/>
    <cellStyle name="Normal 9 3 2" xfId="528" xr:uid="{00000000-0005-0000-0000-0000AA1F0000}"/>
    <cellStyle name="Normal 9 3 2 10" xfId="9124" xr:uid="{B002DF38-79C0-4FB2-A976-AB09CD6E843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E23B7AA7-6348-4E7C-A486-E7EA3960AEFB}"/>
    <cellStyle name="Normal 9 3 2 2 2 2 2 3" xfId="11684" xr:uid="{414B0C7A-3705-4EC4-BF03-B285BEF63E41}"/>
    <cellStyle name="Normal 9 3 2 2 2 2 3" xfId="5307" xr:uid="{00000000-0005-0000-0000-0000B01F0000}"/>
    <cellStyle name="Normal 9 3 2 2 2 2 3 2" xfId="13757" xr:uid="{8014D3E2-0611-4995-BDF5-81BF54243952}"/>
    <cellStyle name="Normal 9 3 2 2 2 2 4" xfId="9539" xr:uid="{1E2AD150-9CE8-40E1-8E43-503388D596B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976102B4-34CA-44E6-8148-5AC7D74873B8}"/>
    <cellStyle name="Normal 9 3 2 2 2 3 2 3" xfId="12097" xr:uid="{77002358-C748-439F-A7F0-0CA19CCB5597}"/>
    <cellStyle name="Normal 9 3 2 2 2 3 3" xfId="5720" xr:uid="{00000000-0005-0000-0000-0000B41F0000}"/>
    <cellStyle name="Normal 9 3 2 2 2 3 3 2" xfId="14170" xr:uid="{BE0FFC70-99AE-419B-B12E-37C171F2458A}"/>
    <cellStyle name="Normal 9 3 2 2 2 3 4" xfId="9952" xr:uid="{28D1CD89-8C1F-412A-AEB6-B33CD12F1BF1}"/>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0FE93AF5-9ABE-4B7D-9BC2-31403697DD29}"/>
    <cellStyle name="Normal 9 3 2 2 2 4 2 3" xfId="12510" xr:uid="{1D153082-08CD-4D0D-BA51-60F0E879CAEF}"/>
    <cellStyle name="Normal 9 3 2 2 2 4 3" xfId="6133" xr:uid="{00000000-0005-0000-0000-0000B81F0000}"/>
    <cellStyle name="Normal 9 3 2 2 2 4 3 2" xfId="14583" xr:uid="{CA7A1EC7-FE68-4ADB-A6A2-4383C32D99AF}"/>
    <cellStyle name="Normal 9 3 2 2 2 4 4" xfId="10365" xr:uid="{EBCCCF59-2A6E-42AF-8CAE-6C647FCE20EC}"/>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9AA2424E-E6F5-4E0B-B813-D5BDA08A1531}"/>
    <cellStyle name="Normal 9 3 2 2 2 5 2 3" xfId="12923" xr:uid="{423A406C-E7E5-45BD-91E5-52A9F5AE8A8F}"/>
    <cellStyle name="Normal 9 3 2 2 2 5 3" xfId="6546" xr:uid="{00000000-0005-0000-0000-0000BC1F0000}"/>
    <cellStyle name="Normal 9 3 2 2 2 5 3 2" xfId="14996" xr:uid="{8B187134-72F6-4D74-BEDA-CA73ECB92683}"/>
    <cellStyle name="Normal 9 3 2 2 2 5 4" xfId="10778" xr:uid="{F7000E38-9936-4C44-B4AF-65C301E245A9}"/>
    <cellStyle name="Normal 9 3 2 2 2 6" xfId="2676" xr:uid="{00000000-0005-0000-0000-0000BD1F0000}"/>
    <cellStyle name="Normal 9 3 2 2 2 6 2" xfId="6959" xr:uid="{00000000-0005-0000-0000-0000BE1F0000}"/>
    <cellStyle name="Normal 9 3 2 2 2 6 2 2" xfId="15409" xr:uid="{C9B072F5-CCBC-4822-A310-96ED738BEAA7}"/>
    <cellStyle name="Normal 9 3 2 2 2 6 3" xfId="11191" xr:uid="{43C8D8D0-B5AE-463F-8B40-E305E2149525}"/>
    <cellStyle name="Normal 9 3 2 2 2 7" xfId="4894" xr:uid="{00000000-0005-0000-0000-0000BF1F0000}"/>
    <cellStyle name="Normal 9 3 2 2 2 7 2" xfId="13344" xr:uid="{1938133E-07AD-45BA-9F78-D6355007359D}"/>
    <cellStyle name="Normal 9 3 2 2 2 8" xfId="9126" xr:uid="{AB6D85CF-FCE4-4CC0-9F1C-928936C5038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62F81EDC-3759-4B68-8EC7-7BC5742CC7EE}"/>
    <cellStyle name="Normal 9 3 2 2 3 2 3" xfId="11683" xr:uid="{7D2B6BCA-068A-4CE5-A5E9-864251A672C5}"/>
    <cellStyle name="Normal 9 3 2 2 3 3" xfId="5306" xr:uid="{00000000-0005-0000-0000-0000C31F0000}"/>
    <cellStyle name="Normal 9 3 2 2 3 3 2" xfId="13756" xr:uid="{DBFE860C-8BA8-49ED-A23E-D45AF1863381}"/>
    <cellStyle name="Normal 9 3 2 2 3 4" xfId="9538" xr:uid="{968C7C51-C135-4501-8631-2A28EE2FEC4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31B76BCB-CCCB-4F55-8C8B-7AA2E13A06F1}"/>
    <cellStyle name="Normal 9 3 2 2 4 2 3" xfId="12096" xr:uid="{022FE3B4-797A-4679-A11E-7C279F86898E}"/>
    <cellStyle name="Normal 9 3 2 2 4 3" xfId="5719" xr:uid="{00000000-0005-0000-0000-0000C71F0000}"/>
    <cellStyle name="Normal 9 3 2 2 4 3 2" xfId="14169" xr:uid="{8C64878F-3A21-4FAD-854D-0CA383F31ECF}"/>
    <cellStyle name="Normal 9 3 2 2 4 4" xfId="9951" xr:uid="{A619AEB5-FE95-433F-9E27-CF0FB5176D8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167A638C-4F51-4472-BCDD-9136C9A26AE6}"/>
    <cellStyle name="Normal 9 3 2 2 5 2 3" xfId="12509" xr:uid="{F10F3C3D-C98C-4DFF-A95B-85B9B2124E55}"/>
    <cellStyle name="Normal 9 3 2 2 5 3" xfId="6132" xr:uid="{00000000-0005-0000-0000-0000CB1F0000}"/>
    <cellStyle name="Normal 9 3 2 2 5 3 2" xfId="14582" xr:uid="{FD951958-0963-409A-858E-77EF479D1723}"/>
    <cellStyle name="Normal 9 3 2 2 5 4" xfId="10364" xr:uid="{A497FA20-4BF1-4690-B3FC-F4152A16306C}"/>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EFEB9B6C-3E37-4D7E-9174-6C8AAF3CE740}"/>
    <cellStyle name="Normal 9 3 2 2 6 2 3" xfId="12922" xr:uid="{9491DFE7-D9B9-4121-B690-48C5C8043A49}"/>
    <cellStyle name="Normal 9 3 2 2 6 3" xfId="6545" xr:uid="{00000000-0005-0000-0000-0000CF1F0000}"/>
    <cellStyle name="Normal 9 3 2 2 6 3 2" xfId="14995" xr:uid="{60823740-5B68-4CDF-AF38-B94CC620E46D}"/>
    <cellStyle name="Normal 9 3 2 2 6 4" xfId="10777" xr:uid="{BD792C81-E986-4373-A739-41BD59CBCA19}"/>
    <cellStyle name="Normal 9 3 2 2 7" xfId="2675" xr:uid="{00000000-0005-0000-0000-0000D01F0000}"/>
    <cellStyle name="Normal 9 3 2 2 7 2" xfId="6958" xr:uid="{00000000-0005-0000-0000-0000D11F0000}"/>
    <cellStyle name="Normal 9 3 2 2 7 2 2" xfId="15408" xr:uid="{C1385B0E-BC1F-4D79-AB6A-B5A30A2353AE}"/>
    <cellStyle name="Normal 9 3 2 2 7 3" xfId="11190" xr:uid="{F67BEFA8-E454-4CF9-8DAF-3F48F010FB0C}"/>
    <cellStyle name="Normal 9 3 2 2 8" xfId="4893" xr:uid="{00000000-0005-0000-0000-0000D21F0000}"/>
    <cellStyle name="Normal 9 3 2 2 8 2" xfId="13343" xr:uid="{A3C998F9-5B60-4F78-B0FC-96BB588BB7D6}"/>
    <cellStyle name="Normal 9 3 2 2 9" xfId="9125" xr:uid="{39B754D8-50FC-4BE8-B938-02F1F8B5288C}"/>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4AF11F3E-6489-4071-9094-D49E37DB1A67}"/>
    <cellStyle name="Normal 9 3 2 3 2 2 3" xfId="11685" xr:uid="{940EB59B-9AF7-4F2E-99C9-073C05D0EB12}"/>
    <cellStyle name="Normal 9 3 2 3 2 3" xfId="5308" xr:uid="{00000000-0005-0000-0000-0000D71F0000}"/>
    <cellStyle name="Normal 9 3 2 3 2 3 2" xfId="13758" xr:uid="{3B3DC673-3DAE-4CEF-B06C-C6EF3358B69E}"/>
    <cellStyle name="Normal 9 3 2 3 2 4" xfId="9540" xr:uid="{891F533F-EE2E-46CA-B379-CA11ACF8F679}"/>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A23B8BD0-A4F6-44FC-A2D9-40F03D490DA9}"/>
    <cellStyle name="Normal 9 3 2 3 3 2 3" xfId="12098" xr:uid="{87B1229F-5E5B-4D9A-921D-5F962CA945F5}"/>
    <cellStyle name="Normal 9 3 2 3 3 3" xfId="5721" xr:uid="{00000000-0005-0000-0000-0000DB1F0000}"/>
    <cellStyle name="Normal 9 3 2 3 3 3 2" xfId="14171" xr:uid="{A4FDBCEC-6E60-4455-9647-E6AF295A0AE4}"/>
    <cellStyle name="Normal 9 3 2 3 3 4" xfId="9953" xr:uid="{CF16033B-C903-4DDD-A911-661D754C9203}"/>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D06950B1-6395-4535-97F9-AA7C94870459}"/>
    <cellStyle name="Normal 9 3 2 3 4 2 3" xfId="12511" xr:uid="{924B72DC-6C9A-4D08-8AB6-68B4E776648B}"/>
    <cellStyle name="Normal 9 3 2 3 4 3" xfId="6134" xr:uid="{00000000-0005-0000-0000-0000DF1F0000}"/>
    <cellStyle name="Normal 9 3 2 3 4 3 2" xfId="14584" xr:uid="{077F79FA-4494-4223-8D06-0B958DBEF1A3}"/>
    <cellStyle name="Normal 9 3 2 3 4 4" xfId="10366" xr:uid="{BC95700F-40AF-4552-BEFA-7645913809FC}"/>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D52CC649-57F3-486C-A606-B126E7A9E3C7}"/>
    <cellStyle name="Normal 9 3 2 3 5 2 3" xfId="12924" xr:uid="{30B2B8AE-4743-4884-AB16-C2BA299167A4}"/>
    <cellStyle name="Normal 9 3 2 3 5 3" xfId="6547" xr:uid="{00000000-0005-0000-0000-0000E31F0000}"/>
    <cellStyle name="Normal 9 3 2 3 5 3 2" xfId="14997" xr:uid="{5B84C327-9B40-442F-9462-B393E1FBED26}"/>
    <cellStyle name="Normal 9 3 2 3 5 4" xfId="10779" xr:uid="{5009B81A-74DE-4F23-A82B-5AAF39E2F401}"/>
    <cellStyle name="Normal 9 3 2 3 6" xfId="2677" xr:uid="{00000000-0005-0000-0000-0000E41F0000}"/>
    <cellStyle name="Normal 9 3 2 3 6 2" xfId="6960" xr:uid="{00000000-0005-0000-0000-0000E51F0000}"/>
    <cellStyle name="Normal 9 3 2 3 6 2 2" xfId="15410" xr:uid="{59675ED9-3DA6-4222-AA82-6090A1EC5286}"/>
    <cellStyle name="Normal 9 3 2 3 6 3" xfId="11192" xr:uid="{54B213A8-492A-49F2-94DA-8BFDF24D24E3}"/>
    <cellStyle name="Normal 9 3 2 3 7" xfId="4895" xr:uid="{00000000-0005-0000-0000-0000E61F0000}"/>
    <cellStyle name="Normal 9 3 2 3 7 2" xfId="13345" xr:uid="{4278223A-2CC7-4173-8E1B-7BD8278E1A0D}"/>
    <cellStyle name="Normal 9 3 2 3 8" xfId="9127" xr:uid="{832AFB53-50DE-4FFF-AF72-536E4745869A}"/>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8B3B6361-FF2A-4EA8-9C88-4104906D408D}"/>
    <cellStyle name="Normal 9 3 2 4 2 3" xfId="11682" xr:uid="{ABE8373D-C538-45A7-9553-C1CD741D49F8}"/>
    <cellStyle name="Normal 9 3 2 4 3" xfId="5305" xr:uid="{00000000-0005-0000-0000-0000EA1F0000}"/>
    <cellStyle name="Normal 9 3 2 4 3 2" xfId="13755" xr:uid="{BD726BF1-CEF6-46DF-88BD-0EEE7F593C31}"/>
    <cellStyle name="Normal 9 3 2 4 4" xfId="9537" xr:uid="{FC113D41-2E20-46C7-8483-AF76C9C4354A}"/>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4928A132-5B3F-4422-A3BD-222E71D6D9C2}"/>
    <cellStyle name="Normal 9 3 2 5 2 3" xfId="12095" xr:uid="{1D2B6D7E-68B6-4BF5-AA6D-7849AB5C1DC4}"/>
    <cellStyle name="Normal 9 3 2 5 3" xfId="5718" xr:uid="{00000000-0005-0000-0000-0000EE1F0000}"/>
    <cellStyle name="Normal 9 3 2 5 3 2" xfId="14168" xr:uid="{05D66170-0102-4236-82AF-D09147FBF3B3}"/>
    <cellStyle name="Normal 9 3 2 5 4" xfId="9950" xr:uid="{31A98263-7E30-41A1-9AB4-FEEA69DB88D0}"/>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BD25FE53-BF40-4D84-AEFB-B9B7EA6ED406}"/>
    <cellStyle name="Normal 9 3 2 6 2 3" xfId="12508" xr:uid="{5B62146C-A075-4357-B8F9-BA66887C4398}"/>
    <cellStyle name="Normal 9 3 2 6 3" xfId="6131" xr:uid="{00000000-0005-0000-0000-0000F21F0000}"/>
    <cellStyle name="Normal 9 3 2 6 3 2" xfId="14581" xr:uid="{009C217B-1790-4EE2-9E40-CBA3AE6E4EED}"/>
    <cellStyle name="Normal 9 3 2 6 4" xfId="10363" xr:uid="{7250D926-AC38-44B0-B63C-4F409E2D48D9}"/>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1035784F-6DE8-4B0C-875B-C09B344CC19C}"/>
    <cellStyle name="Normal 9 3 2 7 2 3" xfId="12921" xr:uid="{52FFECC4-8341-40CF-8602-977CD8714C92}"/>
    <cellStyle name="Normal 9 3 2 7 3" xfId="6544" xr:uid="{00000000-0005-0000-0000-0000F61F0000}"/>
    <cellStyle name="Normal 9 3 2 7 3 2" xfId="14994" xr:uid="{391423E6-5C23-40D3-84AA-B505C4BE7C49}"/>
    <cellStyle name="Normal 9 3 2 7 4" xfId="10776" xr:uid="{17717E97-6818-40AE-BBEE-DFCF29487F97}"/>
    <cellStyle name="Normal 9 3 2 8" xfId="2674" xr:uid="{00000000-0005-0000-0000-0000F71F0000}"/>
    <cellStyle name="Normal 9 3 2 8 2" xfId="6957" xr:uid="{00000000-0005-0000-0000-0000F81F0000}"/>
    <cellStyle name="Normal 9 3 2 8 2 2" xfId="15407" xr:uid="{556AD2F0-564E-4FE8-BD7E-6F00E44A560A}"/>
    <cellStyle name="Normal 9 3 2 8 3" xfId="11189" xr:uid="{74B749E9-300E-46EE-93B9-E6A280ECF32A}"/>
    <cellStyle name="Normal 9 3 2 9" xfId="4892" xr:uid="{00000000-0005-0000-0000-0000F91F0000}"/>
    <cellStyle name="Normal 9 3 2 9 2" xfId="13342" xr:uid="{D4EE3B53-A21A-45B8-9EBF-E195A42AD19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7C259A18-630F-4B86-8E80-B8D42426F653}"/>
    <cellStyle name="Normal 9 3 3 2 2 2 3" xfId="11687" xr:uid="{1BB6390B-5462-49FA-BD8F-1512DC9780ED}"/>
    <cellStyle name="Normal 9 3 3 2 2 3" xfId="5310" xr:uid="{00000000-0005-0000-0000-0000FF1F0000}"/>
    <cellStyle name="Normal 9 3 3 2 2 3 2" xfId="13760" xr:uid="{28467A3D-EB8F-4DD3-B0E9-203BBF0AE902}"/>
    <cellStyle name="Normal 9 3 3 2 2 4" xfId="9542" xr:uid="{68B4B8DD-641F-4838-88B4-7D1B1043AE14}"/>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1DC678AC-ED15-4141-AD11-A8FD84C42FA3}"/>
    <cellStyle name="Normal 9 3 3 2 3 2 3" xfId="12100" xr:uid="{B6CEAEC8-FAA5-44E9-A7A3-174D6B92FB84}"/>
    <cellStyle name="Normal 9 3 3 2 3 3" xfId="5723" xr:uid="{00000000-0005-0000-0000-000003200000}"/>
    <cellStyle name="Normal 9 3 3 2 3 3 2" xfId="14173" xr:uid="{C2A82D1A-2C13-4265-B500-74D7C65FCB26}"/>
    <cellStyle name="Normal 9 3 3 2 3 4" xfId="9955" xr:uid="{D78F1C1E-9A94-48FC-9D15-20C8F4C6B1CC}"/>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8380F2F7-7156-48D6-8DDC-61A888C3FDF1}"/>
    <cellStyle name="Normal 9 3 3 2 4 2 3" xfId="12513" xr:uid="{4E678F13-CB08-4074-8CA0-F6DFC708C4A9}"/>
    <cellStyle name="Normal 9 3 3 2 4 3" xfId="6136" xr:uid="{00000000-0005-0000-0000-000007200000}"/>
    <cellStyle name="Normal 9 3 3 2 4 3 2" xfId="14586" xr:uid="{B2538A6B-16CC-492E-B60D-90B40ED5D107}"/>
    <cellStyle name="Normal 9 3 3 2 4 4" xfId="10368" xr:uid="{5747888F-91D8-40F1-A5A1-93FB195E6EB5}"/>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C752EB59-8C04-4F73-8938-1F53200284CF}"/>
    <cellStyle name="Normal 9 3 3 2 5 2 3" xfId="12926" xr:uid="{C4A7D8DC-B48B-44C1-833D-4B707FDD6AD7}"/>
    <cellStyle name="Normal 9 3 3 2 5 3" xfId="6549" xr:uid="{00000000-0005-0000-0000-00000B200000}"/>
    <cellStyle name="Normal 9 3 3 2 5 3 2" xfId="14999" xr:uid="{B161629B-166A-4BC6-83CF-22EE011B5ECD}"/>
    <cellStyle name="Normal 9 3 3 2 5 4" xfId="10781" xr:uid="{3903A719-D312-4C8F-AB8D-C4B8A8EA6B2D}"/>
    <cellStyle name="Normal 9 3 3 2 6" xfId="2679" xr:uid="{00000000-0005-0000-0000-00000C200000}"/>
    <cellStyle name="Normal 9 3 3 2 6 2" xfId="6962" xr:uid="{00000000-0005-0000-0000-00000D200000}"/>
    <cellStyle name="Normal 9 3 3 2 6 2 2" xfId="15412" xr:uid="{15DBADB3-875E-4E17-917F-8757C81492FC}"/>
    <cellStyle name="Normal 9 3 3 2 6 3" xfId="11194" xr:uid="{B949B19F-A638-407F-B998-D531FDAF30FF}"/>
    <cellStyle name="Normal 9 3 3 2 7" xfId="4897" xr:uid="{00000000-0005-0000-0000-00000E200000}"/>
    <cellStyle name="Normal 9 3 3 2 7 2" xfId="13347" xr:uid="{F9CA21B7-3DF5-4E73-AC83-8E915931CF00}"/>
    <cellStyle name="Normal 9 3 3 2 8" xfId="9129" xr:uid="{083CA8F6-4814-4337-BD6F-ABDA2821E653}"/>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DB22BE38-5816-4078-921B-C8D68C13A291}"/>
    <cellStyle name="Normal 9 3 3 3 2 3" xfId="11686" xr:uid="{5DF4D6FA-FB75-4600-BC86-A9118ED7489E}"/>
    <cellStyle name="Normal 9 3 3 3 3" xfId="5309" xr:uid="{00000000-0005-0000-0000-000012200000}"/>
    <cellStyle name="Normal 9 3 3 3 3 2" xfId="13759" xr:uid="{CFFDD813-209C-484E-AD6A-5D5B8254E4D2}"/>
    <cellStyle name="Normal 9 3 3 3 4" xfId="9541" xr:uid="{ABC86E14-9393-4EDC-870A-201DAA858EE7}"/>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50283399-E10F-4BD6-A702-8CFFD189466F}"/>
    <cellStyle name="Normal 9 3 3 4 2 3" xfId="12099" xr:uid="{0B90DE13-EAD6-4078-9CDC-32834A676155}"/>
    <cellStyle name="Normal 9 3 3 4 3" xfId="5722" xr:uid="{00000000-0005-0000-0000-000016200000}"/>
    <cellStyle name="Normal 9 3 3 4 3 2" xfId="14172" xr:uid="{8B9D7615-03D4-4735-A37D-C9BB8969CED8}"/>
    <cellStyle name="Normal 9 3 3 4 4" xfId="9954" xr:uid="{8FF8CCC0-459E-4273-8558-1FB21D750168}"/>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0DBEBBA7-5F32-4EF2-A1EB-198FE56EBDC3}"/>
    <cellStyle name="Normal 9 3 3 5 2 3" xfId="12512" xr:uid="{6EA42E35-D386-4C3E-9C6A-86C8B109CE19}"/>
    <cellStyle name="Normal 9 3 3 5 3" xfId="6135" xr:uid="{00000000-0005-0000-0000-00001A200000}"/>
    <cellStyle name="Normal 9 3 3 5 3 2" xfId="14585" xr:uid="{7E5BA707-4F9A-4744-AAC5-999218B3AE9E}"/>
    <cellStyle name="Normal 9 3 3 5 4" xfId="10367" xr:uid="{D2B31E80-AF34-4B84-B983-F383D20BFBE0}"/>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F9C2A30D-76CA-4A98-8E66-073F00B76E6B}"/>
    <cellStyle name="Normal 9 3 3 6 2 3" xfId="12925" xr:uid="{0E1A3606-717B-4B50-910D-9EE35177B8A4}"/>
    <cellStyle name="Normal 9 3 3 6 3" xfId="6548" xr:uid="{00000000-0005-0000-0000-00001E200000}"/>
    <cellStyle name="Normal 9 3 3 6 3 2" xfId="14998" xr:uid="{F95ECF61-2487-4602-B2AC-6A72991FECDB}"/>
    <cellStyle name="Normal 9 3 3 6 4" xfId="10780" xr:uid="{FF9D9BEE-B46B-49F9-880E-E0C5436AE2DF}"/>
    <cellStyle name="Normal 9 3 3 7" xfId="2678" xr:uid="{00000000-0005-0000-0000-00001F200000}"/>
    <cellStyle name="Normal 9 3 3 7 2" xfId="6961" xr:uid="{00000000-0005-0000-0000-000020200000}"/>
    <cellStyle name="Normal 9 3 3 7 2 2" xfId="15411" xr:uid="{37C8A074-C05E-4FB4-B6CF-DF7613D3D848}"/>
    <cellStyle name="Normal 9 3 3 7 3" xfId="11193" xr:uid="{B4DC0DB8-5A1D-4270-B618-6F5A0A40F374}"/>
    <cellStyle name="Normal 9 3 3 8" xfId="4896" xr:uid="{00000000-0005-0000-0000-000021200000}"/>
    <cellStyle name="Normal 9 3 3 8 2" xfId="13346" xr:uid="{5B9DB9C2-AF6C-4643-93F2-39F94CE5DC7C}"/>
    <cellStyle name="Normal 9 3 3 9" xfId="9128" xr:uid="{577DCB6F-6A08-4F81-B7DC-05FE21BCE52E}"/>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6A75FAD1-0890-4C06-8288-A8A105D1E8AC}"/>
    <cellStyle name="Normal 9 3 4 2 2 3" xfId="11688" xr:uid="{407C870F-0045-43D6-BBEB-86BE25684C60}"/>
    <cellStyle name="Normal 9 3 4 2 3" xfId="5311" xr:uid="{00000000-0005-0000-0000-000026200000}"/>
    <cellStyle name="Normal 9 3 4 2 3 2" xfId="13761" xr:uid="{04867E66-9BAD-42A6-8286-2F62F441ADA4}"/>
    <cellStyle name="Normal 9 3 4 2 4" xfId="9543" xr:uid="{4C93EFFE-EEE6-4E33-8086-D8717832EC18}"/>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FCFC11A8-52CA-4953-A20E-B09A8B99B396}"/>
    <cellStyle name="Normal 9 3 4 3 2 3" xfId="12101" xr:uid="{40C23554-4F2E-4BD6-8C54-BD01ECE9DFE9}"/>
    <cellStyle name="Normal 9 3 4 3 3" xfId="5724" xr:uid="{00000000-0005-0000-0000-00002A200000}"/>
    <cellStyle name="Normal 9 3 4 3 3 2" xfId="14174" xr:uid="{3D9B6685-9DEB-4537-91A7-776B13DEF3FB}"/>
    <cellStyle name="Normal 9 3 4 3 4" xfId="9956" xr:uid="{B4DE3442-B400-4D46-A8BD-847967B31E53}"/>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E3B9C4F2-A4DA-4E09-948A-A11C8C2B30C2}"/>
    <cellStyle name="Normal 9 3 4 4 2 3" xfId="12514" xr:uid="{520731F1-78F9-42EF-91EF-97CC50BE2872}"/>
    <cellStyle name="Normal 9 3 4 4 3" xfId="6137" xr:uid="{00000000-0005-0000-0000-00002E200000}"/>
    <cellStyle name="Normal 9 3 4 4 3 2" xfId="14587" xr:uid="{7C205DF3-F1A4-4612-AA07-B93F82D0572E}"/>
    <cellStyle name="Normal 9 3 4 4 4" xfId="10369" xr:uid="{05EAD11E-FDF4-45A1-AC79-9E34F3F86909}"/>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1E813C1B-EDA3-47FD-A46D-DFC2D0598AA2}"/>
    <cellStyle name="Normal 9 3 4 5 2 3" xfId="12927" xr:uid="{0AA90687-2D39-446C-9136-95B51C59B9C0}"/>
    <cellStyle name="Normal 9 3 4 5 3" xfId="6550" xr:uid="{00000000-0005-0000-0000-000032200000}"/>
    <cellStyle name="Normal 9 3 4 5 3 2" xfId="15000" xr:uid="{8136B0E8-6B95-4DF6-A9AD-023BE75CDC28}"/>
    <cellStyle name="Normal 9 3 4 5 4" xfId="10782" xr:uid="{B11B2BC1-20AE-4734-9AD1-200F0A363323}"/>
    <cellStyle name="Normal 9 3 4 6" xfId="2680" xr:uid="{00000000-0005-0000-0000-000033200000}"/>
    <cellStyle name="Normal 9 3 4 6 2" xfId="6963" xr:uid="{00000000-0005-0000-0000-000034200000}"/>
    <cellStyle name="Normal 9 3 4 6 2 2" xfId="15413" xr:uid="{00901BAA-E56B-4506-ADA5-8873DB9728E8}"/>
    <cellStyle name="Normal 9 3 4 6 3" xfId="11195" xr:uid="{EFD5BEC5-7A49-47BD-89E7-BCDF738F82D2}"/>
    <cellStyle name="Normal 9 3 4 7" xfId="4898" xr:uid="{00000000-0005-0000-0000-000035200000}"/>
    <cellStyle name="Normal 9 3 4 7 2" xfId="13348" xr:uid="{DB38D030-BB9E-49A5-B7A7-53931AC3F084}"/>
    <cellStyle name="Normal 9 3 4 8" xfId="9130" xr:uid="{0EE8667A-16F8-43DB-A9D2-81D7316A10B9}"/>
    <cellStyle name="Normal 9 3 5" xfId="994" xr:uid="{00000000-0005-0000-0000-000036200000}"/>
    <cellStyle name="Normal 9 3 5 2" xfId="3227" xr:uid="{00000000-0005-0000-0000-000037200000}"/>
    <cellStyle name="Normal 9 3 5 2 2" xfId="7449" xr:uid="{00000000-0005-0000-0000-000038200000}"/>
    <cellStyle name="Normal 9 3 5 2 2 2" xfId="15899" xr:uid="{B38792A2-7627-4C7C-9511-CA06BD11728E}"/>
    <cellStyle name="Normal 9 3 5 2 3" xfId="11681" xr:uid="{99D61B41-8E84-47CA-96C0-E26E69344254}"/>
    <cellStyle name="Normal 9 3 5 3" xfId="5304" xr:uid="{00000000-0005-0000-0000-000039200000}"/>
    <cellStyle name="Normal 9 3 5 3 2" xfId="13754" xr:uid="{2DBBE70C-C37E-462B-85E1-6670574268E5}"/>
    <cellStyle name="Normal 9 3 5 4" xfId="9536" xr:uid="{D7E909E1-87FB-4B51-BD03-5C997BBB952D}"/>
    <cellStyle name="Normal 9 3 6" xfId="1410" xr:uid="{00000000-0005-0000-0000-00003A200000}"/>
    <cellStyle name="Normal 9 3 6 2" xfId="3640" xr:uid="{00000000-0005-0000-0000-00003B200000}"/>
    <cellStyle name="Normal 9 3 6 2 2" xfId="7862" xr:uid="{00000000-0005-0000-0000-00003C200000}"/>
    <cellStyle name="Normal 9 3 6 2 2 2" xfId="16312" xr:uid="{4FD67B8F-48B4-4556-B792-00F00B999C69}"/>
    <cellStyle name="Normal 9 3 6 2 3" xfId="12094" xr:uid="{B3EB4B12-2589-449F-BD03-DABED604FD60}"/>
    <cellStyle name="Normal 9 3 6 3" xfId="5717" xr:uid="{00000000-0005-0000-0000-00003D200000}"/>
    <cellStyle name="Normal 9 3 6 3 2" xfId="14167" xr:uid="{2FF1CD2F-5C6D-48B2-8C99-55087D62DAF1}"/>
    <cellStyle name="Normal 9 3 6 4" xfId="9949" xr:uid="{D0DCC91C-8A31-4A1B-931D-6FD08C339F96}"/>
    <cellStyle name="Normal 9 3 7" xfId="1823" xr:uid="{00000000-0005-0000-0000-00003E200000}"/>
    <cellStyle name="Normal 9 3 7 2" xfId="4053" xr:uid="{00000000-0005-0000-0000-00003F200000}"/>
    <cellStyle name="Normal 9 3 7 2 2" xfId="8275" xr:uid="{00000000-0005-0000-0000-000040200000}"/>
    <cellStyle name="Normal 9 3 7 2 2 2" xfId="16725" xr:uid="{89E70BDC-6CA0-41C3-A346-D53C1BB10188}"/>
    <cellStyle name="Normal 9 3 7 2 3" xfId="12507" xr:uid="{6AB77288-B19B-437E-99DA-DFF5B63E20EE}"/>
    <cellStyle name="Normal 9 3 7 3" xfId="6130" xr:uid="{00000000-0005-0000-0000-000041200000}"/>
    <cellStyle name="Normal 9 3 7 3 2" xfId="14580" xr:uid="{A54F06E3-0463-4D29-BE19-4CD633EF8510}"/>
    <cellStyle name="Normal 9 3 7 4" xfId="10362" xr:uid="{9E462365-DC31-4653-B6B0-8948ABE9EF63}"/>
    <cellStyle name="Normal 9 3 8" xfId="2237" xr:uid="{00000000-0005-0000-0000-000042200000}"/>
    <cellStyle name="Normal 9 3 8 2" xfId="4466" xr:uid="{00000000-0005-0000-0000-000043200000}"/>
    <cellStyle name="Normal 9 3 8 2 2" xfId="8688" xr:uid="{00000000-0005-0000-0000-000044200000}"/>
    <cellStyle name="Normal 9 3 8 2 2 2" xfId="17138" xr:uid="{E7834B95-47AD-4F85-8AC9-810B0E32FFFF}"/>
    <cellStyle name="Normal 9 3 8 2 3" xfId="12920" xr:uid="{D69F3830-9CD9-46DF-B2FE-BABC43A16996}"/>
    <cellStyle name="Normal 9 3 8 3" xfId="6543" xr:uid="{00000000-0005-0000-0000-000045200000}"/>
    <cellStyle name="Normal 9 3 8 3 2" xfId="14993" xr:uid="{40B0E481-F91B-430A-8CCC-C45CE8562489}"/>
    <cellStyle name="Normal 9 3 8 4" xfId="10775" xr:uid="{3A942FFE-FB93-49D0-950D-D4C9299EE6BE}"/>
    <cellStyle name="Normal 9 3 9" xfId="2673" xr:uid="{00000000-0005-0000-0000-000046200000}"/>
    <cellStyle name="Normal 9 3 9 2" xfId="6956" xr:uid="{00000000-0005-0000-0000-000047200000}"/>
    <cellStyle name="Normal 9 3 9 2 2" xfId="15406" xr:uid="{993A72EF-05D5-459D-8C0B-94DD935CB8A5}"/>
    <cellStyle name="Normal 9 3 9 3" xfId="11188" xr:uid="{FC062258-E994-47AA-A3B0-9B2134710236}"/>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6AA9EDA3-5B36-47D7-AFE3-68522D90FAE0}"/>
    <cellStyle name="Normal 9 5 2 2 2 3" xfId="11690" xr:uid="{0E7D7E43-5E12-47B2-9214-311498BEF131}"/>
    <cellStyle name="Normal 9 5 2 2 3" xfId="5313" xr:uid="{00000000-0005-0000-0000-00004F200000}"/>
    <cellStyle name="Normal 9 5 2 2 3 2" xfId="13763" xr:uid="{94F829D1-C1DD-404E-90C7-F55BB0F40791}"/>
    <cellStyle name="Normal 9 5 2 2 4" xfId="9545" xr:uid="{F5B8C055-F3CB-4A39-AD68-EA7574869DF5}"/>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B2668632-9065-4054-81BE-436AFE4399F7}"/>
    <cellStyle name="Normal 9 5 2 3 2 3" xfId="12103" xr:uid="{DE6FE06E-DBC4-4E71-B902-4A85FF693153}"/>
    <cellStyle name="Normal 9 5 2 3 3" xfId="5726" xr:uid="{00000000-0005-0000-0000-000053200000}"/>
    <cellStyle name="Normal 9 5 2 3 3 2" xfId="14176" xr:uid="{1CED5FA1-36B9-48D1-8BFE-04CC469DFE9C}"/>
    <cellStyle name="Normal 9 5 2 3 4" xfId="9958" xr:uid="{90386C3A-1EC7-4BBF-8A81-0C179A13B8B8}"/>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2405EEB4-CAFC-4A32-A6D2-55EE470C8922}"/>
    <cellStyle name="Normal 9 5 2 4 2 3" xfId="12516" xr:uid="{EB16285B-4714-4AAA-83D8-0FCFDCDA9D20}"/>
    <cellStyle name="Normal 9 5 2 4 3" xfId="6139" xr:uid="{00000000-0005-0000-0000-000057200000}"/>
    <cellStyle name="Normal 9 5 2 4 3 2" xfId="14589" xr:uid="{7B89F384-8390-4053-877B-C71D899CCC49}"/>
    <cellStyle name="Normal 9 5 2 4 4" xfId="10371" xr:uid="{4BAF4A00-4342-487D-B39C-C5EDBA1DD00A}"/>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3873D273-8487-438D-9CEC-44566864F75C}"/>
    <cellStyle name="Normal 9 5 2 5 2 3" xfId="12929" xr:uid="{C7F3F0D9-71CE-421D-A78F-3DC550C6FBB6}"/>
    <cellStyle name="Normal 9 5 2 5 3" xfId="6552" xr:uid="{00000000-0005-0000-0000-00005B200000}"/>
    <cellStyle name="Normal 9 5 2 5 3 2" xfId="15002" xr:uid="{C63D4845-E942-48D5-881C-B65C783080EC}"/>
    <cellStyle name="Normal 9 5 2 5 4" xfId="10784" xr:uid="{2EB6C3BB-A016-4981-9F8B-E9D6361C9EFE}"/>
    <cellStyle name="Normal 9 5 2 6" xfId="2682" xr:uid="{00000000-0005-0000-0000-00005C200000}"/>
    <cellStyle name="Normal 9 5 2 6 2" xfId="6965" xr:uid="{00000000-0005-0000-0000-00005D200000}"/>
    <cellStyle name="Normal 9 5 2 6 2 2" xfId="15415" xr:uid="{32ABEAC5-266D-4DAB-88E2-3A045648B339}"/>
    <cellStyle name="Normal 9 5 2 6 3" xfId="11197" xr:uid="{4B74EC6B-193A-409E-892E-319EAB31B441}"/>
    <cellStyle name="Normal 9 5 2 7" xfId="4900" xr:uid="{00000000-0005-0000-0000-00005E200000}"/>
    <cellStyle name="Normal 9 5 2 7 2" xfId="13350" xr:uid="{8E45F7C3-4EC4-425B-826A-CC848777F4B9}"/>
    <cellStyle name="Normal 9 5 2 8" xfId="9132" xr:uid="{7A169843-1E49-406A-975A-7F2E971C5991}"/>
    <cellStyle name="Normal 9 5 3" xfId="1003" xr:uid="{00000000-0005-0000-0000-00005F200000}"/>
    <cellStyle name="Normal 9 5 3 2" xfId="3235" xr:uid="{00000000-0005-0000-0000-000060200000}"/>
    <cellStyle name="Normal 9 5 3 2 2" xfId="7457" xr:uid="{00000000-0005-0000-0000-000061200000}"/>
    <cellStyle name="Normal 9 5 3 2 2 2" xfId="15907" xr:uid="{992FF010-3DC2-4698-A41E-4E6816908C8E}"/>
    <cellStyle name="Normal 9 5 3 2 3" xfId="11689" xr:uid="{DE45146A-F697-4040-B679-D5FF90540F06}"/>
    <cellStyle name="Normal 9 5 3 3" xfId="5312" xr:uid="{00000000-0005-0000-0000-000062200000}"/>
    <cellStyle name="Normal 9 5 3 3 2" xfId="13762" xr:uid="{A632E670-6751-438A-8CB3-A21B333C8F7A}"/>
    <cellStyle name="Normal 9 5 3 4" xfId="9544" xr:uid="{08D9C635-415E-4417-92BE-B515DC593B77}"/>
    <cellStyle name="Normal 9 5 4" xfId="1418" xr:uid="{00000000-0005-0000-0000-000063200000}"/>
    <cellStyle name="Normal 9 5 4 2" xfId="3648" xr:uid="{00000000-0005-0000-0000-000064200000}"/>
    <cellStyle name="Normal 9 5 4 2 2" xfId="7870" xr:uid="{00000000-0005-0000-0000-000065200000}"/>
    <cellStyle name="Normal 9 5 4 2 2 2" xfId="16320" xr:uid="{5ED50108-5809-4842-A245-98C5E80CC882}"/>
    <cellStyle name="Normal 9 5 4 2 3" xfId="12102" xr:uid="{ACBE3BE4-B947-4977-90BE-44F9432CC2D2}"/>
    <cellStyle name="Normal 9 5 4 3" xfId="5725" xr:uid="{00000000-0005-0000-0000-000066200000}"/>
    <cellStyle name="Normal 9 5 4 3 2" xfId="14175" xr:uid="{F9221C34-96F9-47BC-9C2E-539901DDE676}"/>
    <cellStyle name="Normal 9 5 4 4" xfId="9957" xr:uid="{C3AFA278-C878-4494-B92E-0F9B60BA7E08}"/>
    <cellStyle name="Normal 9 5 5" xfId="1831" xr:uid="{00000000-0005-0000-0000-000067200000}"/>
    <cellStyle name="Normal 9 5 5 2" xfId="4061" xr:uid="{00000000-0005-0000-0000-000068200000}"/>
    <cellStyle name="Normal 9 5 5 2 2" xfId="8283" xr:uid="{00000000-0005-0000-0000-000069200000}"/>
    <cellStyle name="Normal 9 5 5 2 2 2" xfId="16733" xr:uid="{4C6654DF-7E28-4575-B826-A41CDC4619C4}"/>
    <cellStyle name="Normal 9 5 5 2 3" xfId="12515" xr:uid="{6A9599E7-03F3-419B-9E05-C3452FA4484D}"/>
    <cellStyle name="Normal 9 5 5 3" xfId="6138" xr:uid="{00000000-0005-0000-0000-00006A200000}"/>
    <cellStyle name="Normal 9 5 5 3 2" xfId="14588" xr:uid="{B0A7BD47-71F4-4A4A-A034-66D26EF2FBB1}"/>
    <cellStyle name="Normal 9 5 5 4" xfId="10370" xr:uid="{BDDD92DE-4962-4DE6-8811-13921309E268}"/>
    <cellStyle name="Normal 9 5 6" xfId="2245" xr:uid="{00000000-0005-0000-0000-00006B200000}"/>
    <cellStyle name="Normal 9 5 6 2" xfId="4474" xr:uid="{00000000-0005-0000-0000-00006C200000}"/>
    <cellStyle name="Normal 9 5 6 2 2" xfId="8696" xr:uid="{00000000-0005-0000-0000-00006D200000}"/>
    <cellStyle name="Normal 9 5 6 2 2 2" xfId="17146" xr:uid="{D4378730-8366-4E51-86F4-08782F6772E7}"/>
    <cellStyle name="Normal 9 5 6 2 3" xfId="12928" xr:uid="{4D35A3DC-BDCA-47DA-AF4A-15694FC22470}"/>
    <cellStyle name="Normal 9 5 6 3" xfId="6551" xr:uid="{00000000-0005-0000-0000-00006E200000}"/>
    <cellStyle name="Normal 9 5 6 3 2" xfId="15001" xr:uid="{E4D7E48C-9285-4B6D-8CBB-128244CC46CB}"/>
    <cellStyle name="Normal 9 5 6 4" xfId="10783" xr:uid="{9B99F9B3-BC4F-4E30-86C3-E48B69399039}"/>
    <cellStyle name="Normal 9 5 7" xfId="2681" xr:uid="{00000000-0005-0000-0000-00006F200000}"/>
    <cellStyle name="Normal 9 5 7 2" xfId="6964" xr:uid="{00000000-0005-0000-0000-000070200000}"/>
    <cellStyle name="Normal 9 5 7 2 2" xfId="15414" xr:uid="{EB0E9ED5-CD79-46C4-AF94-4C32989887FE}"/>
    <cellStyle name="Normal 9 5 7 3" xfId="11196" xr:uid="{1EE3ABC6-A98A-48BB-9885-CAC2360FB185}"/>
    <cellStyle name="Normal 9 5 8" xfId="4899" xr:uid="{00000000-0005-0000-0000-000071200000}"/>
    <cellStyle name="Normal 9 5 8 2" xfId="13349" xr:uid="{748BA10E-5683-45CA-850F-CE2D6377B97A}"/>
    <cellStyle name="Normal 9 5 9" xfId="9131" xr:uid="{98AB4DA7-D1DB-490E-BECA-F21179503109}"/>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65948E5E-0FEB-4867-BC64-92C0B9396F97}"/>
    <cellStyle name="Normal 9 6 2 2 3" xfId="11691" xr:uid="{306B41C3-D63C-4BAA-B55E-A9D9515BF4A9}"/>
    <cellStyle name="Normal 9 6 2 3" xfId="5314" xr:uid="{00000000-0005-0000-0000-000076200000}"/>
    <cellStyle name="Normal 9 6 2 3 2" xfId="13764" xr:uid="{C7F182AB-740F-4F6F-A3DA-AB34B0E07FCA}"/>
    <cellStyle name="Normal 9 6 2 4" xfId="9546" xr:uid="{806AF27A-55F9-4B72-8536-80C4E7CEE154}"/>
    <cellStyle name="Normal 9 6 3" xfId="1420" xr:uid="{00000000-0005-0000-0000-000077200000}"/>
    <cellStyle name="Normal 9 6 3 2" xfId="3650" xr:uid="{00000000-0005-0000-0000-000078200000}"/>
    <cellStyle name="Normal 9 6 3 2 2" xfId="7872" xr:uid="{00000000-0005-0000-0000-000079200000}"/>
    <cellStyle name="Normal 9 6 3 2 2 2" xfId="16322" xr:uid="{CA04D6E7-E291-48AB-BF1F-8B547AB0E5DC}"/>
    <cellStyle name="Normal 9 6 3 2 3" xfId="12104" xr:uid="{59C68F40-F059-45FC-B1AE-2915A5BAD091}"/>
    <cellStyle name="Normal 9 6 3 3" xfId="5727" xr:uid="{00000000-0005-0000-0000-00007A200000}"/>
    <cellStyle name="Normal 9 6 3 3 2" xfId="14177" xr:uid="{33ECA519-9217-4C84-9B66-BDF0D00BE221}"/>
    <cellStyle name="Normal 9 6 3 4" xfId="9959" xr:uid="{99F8DAA5-683D-4415-A1F9-9D531AEFD92F}"/>
    <cellStyle name="Normal 9 6 4" xfId="1833" xr:uid="{00000000-0005-0000-0000-00007B200000}"/>
    <cellStyle name="Normal 9 6 4 2" xfId="4063" xr:uid="{00000000-0005-0000-0000-00007C200000}"/>
    <cellStyle name="Normal 9 6 4 2 2" xfId="8285" xr:uid="{00000000-0005-0000-0000-00007D200000}"/>
    <cellStyle name="Normal 9 6 4 2 2 2" xfId="16735" xr:uid="{9FD2A01A-D733-4E44-BAE9-0069E7D0D927}"/>
    <cellStyle name="Normal 9 6 4 2 3" xfId="12517" xr:uid="{CE360ED7-DB16-4B6D-955D-46204BF06E51}"/>
    <cellStyle name="Normal 9 6 4 3" xfId="6140" xr:uid="{00000000-0005-0000-0000-00007E200000}"/>
    <cellStyle name="Normal 9 6 4 3 2" xfId="14590" xr:uid="{099817B9-6799-4FC5-B0A0-0CC83CB32851}"/>
    <cellStyle name="Normal 9 6 4 4" xfId="10372" xr:uid="{AF5452A4-36AB-4FC0-B946-DA9143F2CB38}"/>
    <cellStyle name="Normal 9 6 5" xfId="2247" xr:uid="{00000000-0005-0000-0000-00007F200000}"/>
    <cellStyle name="Normal 9 6 5 2" xfId="4476" xr:uid="{00000000-0005-0000-0000-000080200000}"/>
    <cellStyle name="Normal 9 6 5 2 2" xfId="8698" xr:uid="{00000000-0005-0000-0000-000081200000}"/>
    <cellStyle name="Normal 9 6 5 2 2 2" xfId="17148" xr:uid="{D40AE205-0AD3-4A50-AB8F-96318407B7A6}"/>
    <cellStyle name="Normal 9 6 5 2 3" xfId="12930" xr:uid="{B8BD5188-6035-4AC6-AE22-4E0F69BCE348}"/>
    <cellStyle name="Normal 9 6 5 3" xfId="6553" xr:uid="{00000000-0005-0000-0000-000082200000}"/>
    <cellStyle name="Normal 9 6 5 3 2" xfId="15003" xr:uid="{50464667-F223-481B-A6DA-B740B36EA489}"/>
    <cellStyle name="Normal 9 6 5 4" xfId="10785" xr:uid="{E51220DB-3E7E-464C-AE40-6D709F6084A9}"/>
    <cellStyle name="Normal 9 6 6" xfId="2683" xr:uid="{00000000-0005-0000-0000-000083200000}"/>
    <cellStyle name="Normal 9 6 6 2" xfId="6966" xr:uid="{00000000-0005-0000-0000-000084200000}"/>
    <cellStyle name="Normal 9 6 6 2 2" xfId="15416" xr:uid="{3BD21CF7-2106-4664-8F87-766C662513B3}"/>
    <cellStyle name="Normal 9 6 6 3" xfId="11198" xr:uid="{4E6B07E8-F25C-4370-B51C-3F4DC33CC7A2}"/>
    <cellStyle name="Normal 9 6 7" xfId="4901" xr:uid="{00000000-0005-0000-0000-000085200000}"/>
    <cellStyle name="Normal 9 6 7 2" xfId="13351" xr:uid="{29F990A1-8FD6-4528-9C18-D4409EC8F119}"/>
    <cellStyle name="Normal 9 6 8" xfId="9133" xr:uid="{4333F377-1656-48ED-8C81-58AB3FA7081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5E3ED335-E990-4606-844B-C4E7565C0550}"/>
    <cellStyle name="Note 2 2 10 3" xfId="11279" xr:uid="{654764B7-5247-4D0E-BEB9-0AD63616A96B}"/>
    <cellStyle name="Note 2 2 11" xfId="4902" xr:uid="{00000000-0005-0000-0000-000094200000}"/>
    <cellStyle name="Note 2 2 11 2" xfId="13352" xr:uid="{E2614164-F43E-4B32-8B66-C5E54CA08818}"/>
    <cellStyle name="Note 2 2 12" xfId="9134" xr:uid="{CF75C7AC-46EB-4DF9-A659-8628CC2C4894}"/>
    <cellStyle name="Note 2 2 2" xfId="546" xr:uid="{00000000-0005-0000-0000-000095200000}"/>
    <cellStyle name="Note 2 2 2 10" xfId="4903" xr:uid="{00000000-0005-0000-0000-000096200000}"/>
    <cellStyle name="Note 2 2 2 10 2" xfId="13353" xr:uid="{5CC7B5DB-A65E-4E8C-84B8-B70C9D312937}"/>
    <cellStyle name="Note 2 2 2 11" xfId="9135" xr:uid="{DD03D5E7-D990-4A24-8340-2AF2AB73EBDB}"/>
    <cellStyle name="Note 2 2 2 2" xfId="547" xr:uid="{00000000-0005-0000-0000-000097200000}"/>
    <cellStyle name="Note 2 2 2 2 10" xfId="9136" xr:uid="{7CF46721-5761-45D4-B8CD-229F05D20435}"/>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ED6395E9-F91E-4016-A9DF-6F1ADE386DE4}"/>
    <cellStyle name="Note 2 2 2 2 2 2 3" xfId="11694" xr:uid="{A3381696-6822-4A52-B5A5-6B10A612850A}"/>
    <cellStyle name="Note 2 2 2 2 2 3" xfId="5317" xr:uid="{00000000-0005-0000-0000-00009B200000}"/>
    <cellStyle name="Note 2 2 2 2 2 3 2" xfId="13767" xr:uid="{2947233A-5B38-4DA3-B2C9-159BA2F8DCA8}"/>
    <cellStyle name="Note 2 2 2 2 2 4" xfId="9549" xr:uid="{F4E5C7B2-D583-47DD-9152-677DF600064F}"/>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79CB4DF2-0A62-46DB-B17A-B509FEB884A7}"/>
    <cellStyle name="Note 2 2 2 2 3 2 3" xfId="12107" xr:uid="{E90C9CC1-6F9C-434C-ACFD-FA7E45B30AA6}"/>
    <cellStyle name="Note 2 2 2 2 3 3" xfId="5730" xr:uid="{00000000-0005-0000-0000-00009F200000}"/>
    <cellStyle name="Note 2 2 2 2 3 3 2" xfId="14180" xr:uid="{C4F25478-C14B-48B0-BE25-F0440286A800}"/>
    <cellStyle name="Note 2 2 2 2 3 4" xfId="9962" xr:uid="{B983FEC4-C6E8-4CC9-8C0F-78F1F7CDDF91}"/>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258876B6-6B3F-4754-B835-2E5FD4194510}"/>
    <cellStyle name="Note 2 2 2 2 4 2 3" xfId="12520" xr:uid="{A4B076ED-ADE8-4CDF-A5D9-879F760D9910}"/>
    <cellStyle name="Note 2 2 2 2 4 3" xfId="6143" xr:uid="{00000000-0005-0000-0000-0000A3200000}"/>
    <cellStyle name="Note 2 2 2 2 4 3 2" xfId="14593" xr:uid="{EACA6BE9-5B97-4752-AE34-4BA0B2721C5B}"/>
    <cellStyle name="Note 2 2 2 2 4 4" xfId="10375" xr:uid="{180DE2F7-2DDB-4A13-94D6-9B64E401B5A0}"/>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60E7E772-1D65-4A5C-BB33-93D2AFBA63D8}"/>
    <cellStyle name="Note 2 2 2 2 5 2 3" xfId="12933" xr:uid="{707B8A1D-7428-4283-B21B-3C996A6CB68D}"/>
    <cellStyle name="Note 2 2 2 2 5 3" xfId="6556" xr:uid="{00000000-0005-0000-0000-0000A7200000}"/>
    <cellStyle name="Note 2 2 2 2 5 3 2" xfId="15006" xr:uid="{80DA2186-72F0-43F0-BB0B-54F00DDE385B}"/>
    <cellStyle name="Note 2 2 2 2 5 4" xfId="10788" xr:uid="{7E812990-F64D-486C-92A6-C9AF5E5477F0}"/>
    <cellStyle name="Note 2 2 2 2 6" xfId="2686" xr:uid="{00000000-0005-0000-0000-0000A8200000}"/>
    <cellStyle name="Note 2 2 2 2 6 2" xfId="6969" xr:uid="{00000000-0005-0000-0000-0000A9200000}"/>
    <cellStyle name="Note 2 2 2 2 6 2 2" xfId="15419" xr:uid="{6980CDE7-A175-4CC0-B495-470390AB626C}"/>
    <cellStyle name="Note 2 2 2 2 6 3" xfId="11201" xr:uid="{5F6E26AB-E0CC-4C84-AE72-14F89E6D9662}"/>
    <cellStyle name="Note 2 2 2 2 7" xfId="2745" xr:uid="{00000000-0005-0000-0000-0000AA200000}"/>
    <cellStyle name="Note 2 2 2 2 8" xfId="2826" xr:uid="{00000000-0005-0000-0000-0000AB200000}"/>
    <cellStyle name="Note 2 2 2 2 8 2" xfId="7049" xr:uid="{00000000-0005-0000-0000-0000AC200000}"/>
    <cellStyle name="Note 2 2 2 2 8 2 2" xfId="15499" xr:uid="{3927F95B-44D8-4607-9947-E26D82FAB9DC}"/>
    <cellStyle name="Note 2 2 2 2 8 3" xfId="11281" xr:uid="{B9183CDB-1878-4102-AC08-61A8323A614B}"/>
    <cellStyle name="Note 2 2 2 2 9" xfId="4904" xr:uid="{00000000-0005-0000-0000-0000AD200000}"/>
    <cellStyle name="Note 2 2 2 2 9 2" xfId="13354" xr:uid="{7E9CB381-5C53-4CB5-873D-98B409513885}"/>
    <cellStyle name="Note 2 2 2 3" xfId="1007" xr:uid="{00000000-0005-0000-0000-0000AE200000}"/>
    <cellStyle name="Note 2 2 2 3 2" xfId="3239" xr:uid="{00000000-0005-0000-0000-0000AF200000}"/>
    <cellStyle name="Note 2 2 2 3 2 2" xfId="7461" xr:uid="{00000000-0005-0000-0000-0000B0200000}"/>
    <cellStyle name="Note 2 2 2 3 2 2 2" xfId="15911" xr:uid="{7BE8C36A-DD3D-4DC1-8910-6C9B0FADDC34}"/>
    <cellStyle name="Note 2 2 2 3 2 3" xfId="11693" xr:uid="{7C4C953C-D9F4-4FC5-9C37-754FCB181160}"/>
    <cellStyle name="Note 2 2 2 3 3" xfId="5316" xr:uid="{00000000-0005-0000-0000-0000B1200000}"/>
    <cellStyle name="Note 2 2 2 3 3 2" xfId="13766" xr:uid="{5F125B81-39B4-46B6-9E1F-683ED4D1A901}"/>
    <cellStyle name="Note 2 2 2 3 4" xfId="9548" xr:uid="{D329E953-6F67-4369-AEF4-DD7DC4D61888}"/>
    <cellStyle name="Note 2 2 2 4" xfId="1422" xr:uid="{00000000-0005-0000-0000-0000B2200000}"/>
    <cellStyle name="Note 2 2 2 4 2" xfId="3652" xr:uid="{00000000-0005-0000-0000-0000B3200000}"/>
    <cellStyle name="Note 2 2 2 4 2 2" xfId="7874" xr:uid="{00000000-0005-0000-0000-0000B4200000}"/>
    <cellStyle name="Note 2 2 2 4 2 2 2" xfId="16324" xr:uid="{F1EF00D8-E949-4A97-8649-634802FFF027}"/>
    <cellStyle name="Note 2 2 2 4 2 3" xfId="12106" xr:uid="{3DA3F216-6B03-47D5-AA82-2395EAEEA376}"/>
    <cellStyle name="Note 2 2 2 4 3" xfId="5729" xr:uid="{00000000-0005-0000-0000-0000B5200000}"/>
    <cellStyle name="Note 2 2 2 4 3 2" xfId="14179" xr:uid="{60C9DD5A-77F8-4317-87B2-7E792F0997C1}"/>
    <cellStyle name="Note 2 2 2 4 4" xfId="9961" xr:uid="{D9020F98-49CB-4E11-8B25-4D35DEA5F9B0}"/>
    <cellStyle name="Note 2 2 2 5" xfId="1836" xr:uid="{00000000-0005-0000-0000-0000B6200000}"/>
    <cellStyle name="Note 2 2 2 5 2" xfId="4065" xr:uid="{00000000-0005-0000-0000-0000B7200000}"/>
    <cellStyle name="Note 2 2 2 5 2 2" xfId="8287" xr:uid="{00000000-0005-0000-0000-0000B8200000}"/>
    <cellStyle name="Note 2 2 2 5 2 2 2" xfId="16737" xr:uid="{7957172E-B411-44C0-849B-265FCC7B3C26}"/>
    <cellStyle name="Note 2 2 2 5 2 3" xfId="12519" xr:uid="{C61ACBC9-4602-4812-86B1-DD7113A9EE9B}"/>
    <cellStyle name="Note 2 2 2 5 3" xfId="6142" xr:uid="{00000000-0005-0000-0000-0000B9200000}"/>
    <cellStyle name="Note 2 2 2 5 3 2" xfId="14592" xr:uid="{01D75E25-2754-4B24-9DD1-E6B526C2E820}"/>
    <cellStyle name="Note 2 2 2 5 4" xfId="10374" xr:uid="{15D4DA0C-72D9-4024-B3F1-357FA81C4921}"/>
    <cellStyle name="Note 2 2 2 6" xfId="2249" xr:uid="{00000000-0005-0000-0000-0000BA200000}"/>
    <cellStyle name="Note 2 2 2 6 2" xfId="4478" xr:uid="{00000000-0005-0000-0000-0000BB200000}"/>
    <cellStyle name="Note 2 2 2 6 2 2" xfId="8700" xr:uid="{00000000-0005-0000-0000-0000BC200000}"/>
    <cellStyle name="Note 2 2 2 6 2 2 2" xfId="17150" xr:uid="{9045746C-695E-45CE-B5F6-54D7D015C40F}"/>
    <cellStyle name="Note 2 2 2 6 2 3" xfId="12932" xr:uid="{481D9179-E4A7-4AB3-B979-752E9FD59AD0}"/>
    <cellStyle name="Note 2 2 2 6 3" xfId="6555" xr:uid="{00000000-0005-0000-0000-0000BD200000}"/>
    <cellStyle name="Note 2 2 2 6 3 2" xfId="15005" xr:uid="{34FC51CE-AE6D-4D8E-AAC6-09AD2FD20757}"/>
    <cellStyle name="Note 2 2 2 6 4" xfId="10787" xr:uid="{B5C1C165-4C80-44BC-AE8E-EBEB9133F9DE}"/>
    <cellStyle name="Note 2 2 2 7" xfId="2685" xr:uid="{00000000-0005-0000-0000-0000BE200000}"/>
    <cellStyle name="Note 2 2 2 7 2" xfId="6968" xr:uid="{00000000-0005-0000-0000-0000BF200000}"/>
    <cellStyle name="Note 2 2 2 7 2 2" xfId="15418" xr:uid="{453A0EFD-6895-4792-9C61-FDB8C215FB76}"/>
    <cellStyle name="Note 2 2 2 7 3" xfId="11200" xr:uid="{45689AA2-C2A6-4D0B-AE50-589F9767973F}"/>
    <cellStyle name="Note 2 2 2 8" xfId="2744" xr:uid="{00000000-0005-0000-0000-0000C0200000}"/>
    <cellStyle name="Note 2 2 2 9" xfId="2825" xr:uid="{00000000-0005-0000-0000-0000C1200000}"/>
    <cellStyle name="Note 2 2 2 9 2" xfId="7048" xr:uid="{00000000-0005-0000-0000-0000C2200000}"/>
    <cellStyle name="Note 2 2 2 9 2 2" xfId="15498" xr:uid="{408B980A-8449-4588-B327-B3DA79A7CA3B}"/>
    <cellStyle name="Note 2 2 2 9 3" xfId="11280" xr:uid="{1B0037CF-9B68-4AF1-86FB-AB65BDE51AD7}"/>
    <cellStyle name="Note 2 2 3" xfId="548" xr:uid="{00000000-0005-0000-0000-0000C3200000}"/>
    <cellStyle name="Note 2 2 3 10" xfId="9137" xr:uid="{0DB0A4FB-A3CC-49CA-96D4-CB5371B054F4}"/>
    <cellStyle name="Note 2 2 3 2" xfId="1009" xr:uid="{00000000-0005-0000-0000-0000C4200000}"/>
    <cellStyle name="Note 2 2 3 2 2" xfId="3241" xr:uid="{00000000-0005-0000-0000-0000C5200000}"/>
    <cellStyle name="Note 2 2 3 2 2 2" xfId="7463" xr:uid="{00000000-0005-0000-0000-0000C6200000}"/>
    <cellStyle name="Note 2 2 3 2 2 2 2" xfId="15913" xr:uid="{4695AF87-46D4-434B-A32D-FFE97CB9EA5A}"/>
    <cellStyle name="Note 2 2 3 2 2 3" xfId="11695" xr:uid="{042CD1E1-F47E-4766-80C3-FC48C016752C}"/>
    <cellStyle name="Note 2 2 3 2 3" xfId="5318" xr:uid="{00000000-0005-0000-0000-0000C7200000}"/>
    <cellStyle name="Note 2 2 3 2 3 2" xfId="13768" xr:uid="{CC53F510-FEF6-4BC4-A705-3BE92DB92111}"/>
    <cellStyle name="Note 2 2 3 2 4" xfId="9550" xr:uid="{CEF83C38-16B3-4645-95AF-91F92D00000C}"/>
    <cellStyle name="Note 2 2 3 3" xfId="1424" xr:uid="{00000000-0005-0000-0000-0000C8200000}"/>
    <cellStyle name="Note 2 2 3 3 2" xfId="3654" xr:uid="{00000000-0005-0000-0000-0000C9200000}"/>
    <cellStyle name="Note 2 2 3 3 2 2" xfId="7876" xr:uid="{00000000-0005-0000-0000-0000CA200000}"/>
    <cellStyle name="Note 2 2 3 3 2 2 2" xfId="16326" xr:uid="{F2DF1854-D62D-45B9-AEC9-C921F32222CF}"/>
    <cellStyle name="Note 2 2 3 3 2 3" xfId="12108" xr:uid="{37CAAB08-9326-4679-9F65-5A925B2331E8}"/>
    <cellStyle name="Note 2 2 3 3 3" xfId="5731" xr:uid="{00000000-0005-0000-0000-0000CB200000}"/>
    <cellStyle name="Note 2 2 3 3 3 2" xfId="14181" xr:uid="{6C80642A-23C3-49FD-AFA0-A7457825E5CC}"/>
    <cellStyle name="Note 2 2 3 3 4" xfId="9963" xr:uid="{ABEF089F-6020-4C92-A81E-AAF44E2BF89F}"/>
    <cellStyle name="Note 2 2 3 4" xfId="1838" xr:uid="{00000000-0005-0000-0000-0000CC200000}"/>
    <cellStyle name="Note 2 2 3 4 2" xfId="4067" xr:uid="{00000000-0005-0000-0000-0000CD200000}"/>
    <cellStyle name="Note 2 2 3 4 2 2" xfId="8289" xr:uid="{00000000-0005-0000-0000-0000CE200000}"/>
    <cellStyle name="Note 2 2 3 4 2 2 2" xfId="16739" xr:uid="{D3DFFE80-5B59-4870-B617-63B933DE33B1}"/>
    <cellStyle name="Note 2 2 3 4 2 3" xfId="12521" xr:uid="{CC40B7D2-0B70-448E-89C2-D9C5DF3500BF}"/>
    <cellStyle name="Note 2 2 3 4 3" xfId="6144" xr:uid="{00000000-0005-0000-0000-0000CF200000}"/>
    <cellStyle name="Note 2 2 3 4 3 2" xfId="14594" xr:uid="{C50EC1AB-F7F7-4683-8825-B11C9A7A223D}"/>
    <cellStyle name="Note 2 2 3 4 4" xfId="10376" xr:uid="{74006375-59B2-4CA9-A27D-CBCCF67F4B79}"/>
    <cellStyle name="Note 2 2 3 5" xfId="2251" xr:uid="{00000000-0005-0000-0000-0000D0200000}"/>
    <cellStyle name="Note 2 2 3 5 2" xfId="4480" xr:uid="{00000000-0005-0000-0000-0000D1200000}"/>
    <cellStyle name="Note 2 2 3 5 2 2" xfId="8702" xr:uid="{00000000-0005-0000-0000-0000D2200000}"/>
    <cellStyle name="Note 2 2 3 5 2 2 2" xfId="17152" xr:uid="{6B5061B2-6B1C-42C2-9B43-B84D70266A0F}"/>
    <cellStyle name="Note 2 2 3 5 2 3" xfId="12934" xr:uid="{26EE6B1D-B24D-483B-ADEB-0F887A3964CA}"/>
    <cellStyle name="Note 2 2 3 5 3" xfId="6557" xr:uid="{00000000-0005-0000-0000-0000D3200000}"/>
    <cellStyle name="Note 2 2 3 5 3 2" xfId="15007" xr:uid="{5FE0DA29-6BBA-4462-9C22-28C7C73E60EA}"/>
    <cellStyle name="Note 2 2 3 5 4" xfId="10789" xr:uid="{D90BB41D-5A2B-4E02-96C0-F5D6D8B72493}"/>
    <cellStyle name="Note 2 2 3 6" xfId="2687" xr:uid="{00000000-0005-0000-0000-0000D4200000}"/>
    <cellStyle name="Note 2 2 3 6 2" xfId="6970" xr:uid="{00000000-0005-0000-0000-0000D5200000}"/>
    <cellStyle name="Note 2 2 3 6 2 2" xfId="15420" xr:uid="{08A3B22E-A337-42E6-9D89-313C264126FB}"/>
    <cellStyle name="Note 2 2 3 6 3" xfId="11202" xr:uid="{87F5ECCB-D66A-4000-9C25-FABC9985781C}"/>
    <cellStyle name="Note 2 2 3 7" xfId="2746" xr:uid="{00000000-0005-0000-0000-0000D6200000}"/>
    <cellStyle name="Note 2 2 3 8" xfId="2827" xr:uid="{00000000-0005-0000-0000-0000D7200000}"/>
    <cellStyle name="Note 2 2 3 8 2" xfId="7050" xr:uid="{00000000-0005-0000-0000-0000D8200000}"/>
    <cellStyle name="Note 2 2 3 8 2 2" xfId="15500" xr:uid="{05C8B820-8843-464E-9C7E-DF909D23D456}"/>
    <cellStyle name="Note 2 2 3 8 3" xfId="11282" xr:uid="{A48ECE9C-A4D7-44B2-9695-3FBEC55B3796}"/>
    <cellStyle name="Note 2 2 3 9" xfId="4905" xr:uid="{00000000-0005-0000-0000-0000D9200000}"/>
    <cellStyle name="Note 2 2 3 9 2" xfId="13355" xr:uid="{B6600A15-78D4-45B8-82D4-31475252549C}"/>
    <cellStyle name="Note 2 2 4" xfId="1006" xr:uid="{00000000-0005-0000-0000-0000DA200000}"/>
    <cellStyle name="Note 2 2 4 2" xfId="3238" xr:uid="{00000000-0005-0000-0000-0000DB200000}"/>
    <cellStyle name="Note 2 2 4 2 2" xfId="7460" xr:uid="{00000000-0005-0000-0000-0000DC200000}"/>
    <cellStyle name="Note 2 2 4 2 2 2" xfId="15910" xr:uid="{EE43BBCC-16CF-4661-90C5-FE8325094C0D}"/>
    <cellStyle name="Note 2 2 4 2 3" xfId="11692" xr:uid="{413C4FDF-464F-4C74-8288-7FFB6A1F96B0}"/>
    <cellStyle name="Note 2 2 4 3" xfId="5315" xr:uid="{00000000-0005-0000-0000-0000DD200000}"/>
    <cellStyle name="Note 2 2 4 3 2" xfId="13765" xr:uid="{DA189683-F3D4-4EE5-AE42-4B5CB521FC97}"/>
    <cellStyle name="Note 2 2 4 4" xfId="9547" xr:uid="{C9873563-73C3-427D-9EF1-C9CEC04F0D65}"/>
    <cellStyle name="Note 2 2 5" xfId="1421" xr:uid="{00000000-0005-0000-0000-0000DE200000}"/>
    <cellStyle name="Note 2 2 5 2" xfId="3651" xr:uid="{00000000-0005-0000-0000-0000DF200000}"/>
    <cellStyle name="Note 2 2 5 2 2" xfId="7873" xr:uid="{00000000-0005-0000-0000-0000E0200000}"/>
    <cellStyle name="Note 2 2 5 2 2 2" xfId="16323" xr:uid="{A1205F57-DA5B-41BC-B6EA-C05F754F26ED}"/>
    <cellStyle name="Note 2 2 5 2 3" xfId="12105" xr:uid="{7F24E71B-59CE-4FC6-96CA-45D68492DDB8}"/>
    <cellStyle name="Note 2 2 5 3" xfId="5728" xr:uid="{00000000-0005-0000-0000-0000E1200000}"/>
    <cellStyle name="Note 2 2 5 3 2" xfId="14178" xr:uid="{52CCFBCC-DF2D-4E9C-93CA-00610E26788C}"/>
    <cellStyle name="Note 2 2 5 4" xfId="9960" xr:uid="{4F5B0977-0121-4199-9BB2-AC39E581E84E}"/>
    <cellStyle name="Note 2 2 6" xfId="1835" xr:uid="{00000000-0005-0000-0000-0000E2200000}"/>
    <cellStyle name="Note 2 2 6 2" xfId="4064" xr:uid="{00000000-0005-0000-0000-0000E3200000}"/>
    <cellStyle name="Note 2 2 6 2 2" xfId="8286" xr:uid="{00000000-0005-0000-0000-0000E4200000}"/>
    <cellStyle name="Note 2 2 6 2 2 2" xfId="16736" xr:uid="{C79EE5DC-BA03-4BCE-BF74-A9F382419C12}"/>
    <cellStyle name="Note 2 2 6 2 3" xfId="12518" xr:uid="{4D6DE1C0-491B-4998-8DA1-E36091C3E7CA}"/>
    <cellStyle name="Note 2 2 6 3" xfId="6141" xr:uid="{00000000-0005-0000-0000-0000E5200000}"/>
    <cellStyle name="Note 2 2 6 3 2" xfId="14591" xr:uid="{BA1D4BC3-C018-4FDA-8A1E-CF507DB73837}"/>
    <cellStyle name="Note 2 2 6 4" xfId="10373" xr:uid="{2B7227E6-A6B4-4C91-95E3-F387665CC622}"/>
    <cellStyle name="Note 2 2 7" xfId="2248" xr:uid="{00000000-0005-0000-0000-0000E6200000}"/>
    <cellStyle name="Note 2 2 7 2" xfId="4477" xr:uid="{00000000-0005-0000-0000-0000E7200000}"/>
    <cellStyle name="Note 2 2 7 2 2" xfId="8699" xr:uid="{00000000-0005-0000-0000-0000E8200000}"/>
    <cellStyle name="Note 2 2 7 2 2 2" xfId="17149" xr:uid="{821A8ECF-A0B2-412E-BA37-8A3553ABA507}"/>
    <cellStyle name="Note 2 2 7 2 3" xfId="12931" xr:uid="{98E08F69-7D96-4207-B638-A265FD9DF808}"/>
    <cellStyle name="Note 2 2 7 3" xfId="6554" xr:uid="{00000000-0005-0000-0000-0000E9200000}"/>
    <cellStyle name="Note 2 2 7 3 2" xfId="15004" xr:uid="{2F86F257-C362-4D0E-B536-1D08D8A7794E}"/>
    <cellStyle name="Note 2 2 7 4" xfId="10786" xr:uid="{A0F5495F-74F4-4327-8A92-32FF79E4F954}"/>
    <cellStyle name="Note 2 2 8" xfId="2684" xr:uid="{00000000-0005-0000-0000-0000EA200000}"/>
    <cellStyle name="Note 2 2 8 2" xfId="6967" xr:uid="{00000000-0005-0000-0000-0000EB200000}"/>
    <cellStyle name="Note 2 2 8 2 2" xfId="15417" xr:uid="{77508EAA-7427-40FB-AC3A-C234A38BB2E3}"/>
    <cellStyle name="Note 2 2 8 3" xfId="11199" xr:uid="{ABCAE66D-12BC-4C97-AA42-5FC9B6AE0A86}"/>
    <cellStyle name="Note 2 2 9" xfId="2743" xr:uid="{00000000-0005-0000-0000-0000EC200000}"/>
    <cellStyle name="Note 2 3" xfId="549" xr:uid="{00000000-0005-0000-0000-0000ED200000}"/>
    <cellStyle name="Note 2 3 10" xfId="4906" xr:uid="{00000000-0005-0000-0000-0000EE200000}"/>
    <cellStyle name="Note 2 3 10 2" xfId="13356" xr:uid="{0701C53B-4C4D-49CC-A535-F826A642D832}"/>
    <cellStyle name="Note 2 3 11" xfId="9138" xr:uid="{FD3FAB51-6808-44FD-B6C9-483372439357}"/>
    <cellStyle name="Note 2 3 2" xfId="550" xr:uid="{00000000-0005-0000-0000-0000EF200000}"/>
    <cellStyle name="Note 2 3 2 10" xfId="9139" xr:uid="{B2B280BA-0C3C-4102-9113-AC49DF093D37}"/>
    <cellStyle name="Note 2 3 2 2" xfId="1011" xr:uid="{00000000-0005-0000-0000-0000F0200000}"/>
    <cellStyle name="Note 2 3 2 2 2" xfId="3243" xr:uid="{00000000-0005-0000-0000-0000F1200000}"/>
    <cellStyle name="Note 2 3 2 2 2 2" xfId="7465" xr:uid="{00000000-0005-0000-0000-0000F2200000}"/>
    <cellStyle name="Note 2 3 2 2 2 2 2" xfId="15915" xr:uid="{A12CA647-FFCB-4FC6-9813-86C6281CE199}"/>
    <cellStyle name="Note 2 3 2 2 2 3" xfId="11697" xr:uid="{694ACC5E-D69D-4802-BDCE-E3972250653F}"/>
    <cellStyle name="Note 2 3 2 2 3" xfId="5320" xr:uid="{00000000-0005-0000-0000-0000F3200000}"/>
    <cellStyle name="Note 2 3 2 2 3 2" xfId="13770" xr:uid="{63FC4380-D9E7-447D-A3CC-F213528F9253}"/>
    <cellStyle name="Note 2 3 2 2 4" xfId="9552" xr:uid="{67CCA5A2-DC95-4A85-B720-E0E277243FFE}"/>
    <cellStyle name="Note 2 3 2 3" xfId="1426" xr:uid="{00000000-0005-0000-0000-0000F4200000}"/>
    <cellStyle name="Note 2 3 2 3 2" xfId="3656" xr:uid="{00000000-0005-0000-0000-0000F5200000}"/>
    <cellStyle name="Note 2 3 2 3 2 2" xfId="7878" xr:uid="{00000000-0005-0000-0000-0000F6200000}"/>
    <cellStyle name="Note 2 3 2 3 2 2 2" xfId="16328" xr:uid="{4F4961E1-4F52-452F-86E4-AF09FD74E6B6}"/>
    <cellStyle name="Note 2 3 2 3 2 3" xfId="12110" xr:uid="{C3B6FD31-E420-40EA-949B-FC4278208873}"/>
    <cellStyle name="Note 2 3 2 3 3" xfId="5733" xr:uid="{00000000-0005-0000-0000-0000F7200000}"/>
    <cellStyle name="Note 2 3 2 3 3 2" xfId="14183" xr:uid="{8E3132B1-0D94-4C19-8363-8B19801BB427}"/>
    <cellStyle name="Note 2 3 2 3 4" xfId="9965" xr:uid="{FAF794FE-C15A-4C90-B12D-7F3201E2D1D8}"/>
    <cellStyle name="Note 2 3 2 4" xfId="1840" xr:uid="{00000000-0005-0000-0000-0000F8200000}"/>
    <cellStyle name="Note 2 3 2 4 2" xfId="4069" xr:uid="{00000000-0005-0000-0000-0000F9200000}"/>
    <cellStyle name="Note 2 3 2 4 2 2" xfId="8291" xr:uid="{00000000-0005-0000-0000-0000FA200000}"/>
    <cellStyle name="Note 2 3 2 4 2 2 2" xfId="16741" xr:uid="{FD5194D8-3554-4543-9E14-A3ED4563FA50}"/>
    <cellStyle name="Note 2 3 2 4 2 3" xfId="12523" xr:uid="{2D67E310-353C-4C87-8324-2E718E1EDB0C}"/>
    <cellStyle name="Note 2 3 2 4 3" xfId="6146" xr:uid="{00000000-0005-0000-0000-0000FB200000}"/>
    <cellStyle name="Note 2 3 2 4 3 2" xfId="14596" xr:uid="{6588EE09-CFF9-4C77-B052-B9F1827DF21D}"/>
    <cellStyle name="Note 2 3 2 4 4" xfId="10378" xr:uid="{D97D77AE-0A13-49E5-84B8-1012EFD305FA}"/>
    <cellStyle name="Note 2 3 2 5" xfId="2253" xr:uid="{00000000-0005-0000-0000-0000FC200000}"/>
    <cellStyle name="Note 2 3 2 5 2" xfId="4482" xr:uid="{00000000-0005-0000-0000-0000FD200000}"/>
    <cellStyle name="Note 2 3 2 5 2 2" xfId="8704" xr:uid="{00000000-0005-0000-0000-0000FE200000}"/>
    <cellStyle name="Note 2 3 2 5 2 2 2" xfId="17154" xr:uid="{156DF65A-9048-4CA2-82A4-CC3950F16C89}"/>
    <cellStyle name="Note 2 3 2 5 2 3" xfId="12936" xr:uid="{A91572C8-673D-475D-B8FA-CF88883BD32D}"/>
    <cellStyle name="Note 2 3 2 5 3" xfId="6559" xr:uid="{00000000-0005-0000-0000-0000FF200000}"/>
    <cellStyle name="Note 2 3 2 5 3 2" xfId="15009" xr:uid="{BDA99EB1-525A-4207-AA14-972010315CA1}"/>
    <cellStyle name="Note 2 3 2 5 4" xfId="10791" xr:uid="{F3487CF5-690F-4C36-8CB9-2FE511CDF1DA}"/>
    <cellStyle name="Note 2 3 2 6" xfId="2689" xr:uid="{00000000-0005-0000-0000-000000210000}"/>
    <cellStyle name="Note 2 3 2 6 2" xfId="6972" xr:uid="{00000000-0005-0000-0000-000001210000}"/>
    <cellStyle name="Note 2 3 2 6 2 2" xfId="15422" xr:uid="{DBB255D0-0280-461F-BA33-5FC03DE94E5A}"/>
    <cellStyle name="Note 2 3 2 6 3" xfId="11204" xr:uid="{D1DE71F2-42CA-4E0C-919D-AE278E921AA7}"/>
    <cellStyle name="Note 2 3 2 7" xfId="2748" xr:uid="{00000000-0005-0000-0000-000002210000}"/>
    <cellStyle name="Note 2 3 2 8" xfId="2829" xr:uid="{00000000-0005-0000-0000-000003210000}"/>
    <cellStyle name="Note 2 3 2 8 2" xfId="7052" xr:uid="{00000000-0005-0000-0000-000004210000}"/>
    <cellStyle name="Note 2 3 2 8 2 2" xfId="15502" xr:uid="{DC3A7252-27DB-49C8-8C24-E279068B783C}"/>
    <cellStyle name="Note 2 3 2 8 3" xfId="11284" xr:uid="{282DF73F-399E-4D26-8257-6D7476AC1BEF}"/>
    <cellStyle name="Note 2 3 2 9" xfId="4907" xr:uid="{00000000-0005-0000-0000-000005210000}"/>
    <cellStyle name="Note 2 3 2 9 2" xfId="13357" xr:uid="{5106B330-77FB-4954-AA15-9F963D182B7C}"/>
    <cellStyle name="Note 2 3 3" xfId="1010" xr:uid="{00000000-0005-0000-0000-000006210000}"/>
    <cellStyle name="Note 2 3 3 2" xfId="3242" xr:uid="{00000000-0005-0000-0000-000007210000}"/>
    <cellStyle name="Note 2 3 3 2 2" xfId="7464" xr:uid="{00000000-0005-0000-0000-000008210000}"/>
    <cellStyle name="Note 2 3 3 2 2 2" xfId="15914" xr:uid="{CE34DA9C-397E-4A1C-8A9D-723A67A6A930}"/>
    <cellStyle name="Note 2 3 3 2 3" xfId="11696" xr:uid="{5C4E8831-4840-4AAB-BD86-14283824B504}"/>
    <cellStyle name="Note 2 3 3 3" xfId="5319" xr:uid="{00000000-0005-0000-0000-000009210000}"/>
    <cellStyle name="Note 2 3 3 3 2" xfId="13769" xr:uid="{D9EEEFCC-0E98-4917-BF2C-42D00FE28D6F}"/>
    <cellStyle name="Note 2 3 3 4" xfId="9551" xr:uid="{B65D11BF-8F5F-48F6-918A-11BFDA2F13F5}"/>
    <cellStyle name="Note 2 3 4" xfId="1425" xr:uid="{00000000-0005-0000-0000-00000A210000}"/>
    <cellStyle name="Note 2 3 4 2" xfId="3655" xr:uid="{00000000-0005-0000-0000-00000B210000}"/>
    <cellStyle name="Note 2 3 4 2 2" xfId="7877" xr:uid="{00000000-0005-0000-0000-00000C210000}"/>
    <cellStyle name="Note 2 3 4 2 2 2" xfId="16327" xr:uid="{AE152C2C-6C7C-44C3-BD5D-5CD8581A595B}"/>
    <cellStyle name="Note 2 3 4 2 3" xfId="12109" xr:uid="{8798D1A4-5ED7-4C5F-831A-93166163E778}"/>
    <cellStyle name="Note 2 3 4 3" xfId="5732" xr:uid="{00000000-0005-0000-0000-00000D210000}"/>
    <cellStyle name="Note 2 3 4 3 2" xfId="14182" xr:uid="{AD44B5C0-F0FC-410C-AD66-C5343A854667}"/>
    <cellStyle name="Note 2 3 4 4" xfId="9964" xr:uid="{A7CC755C-C766-42F6-99A9-002E6E3763E4}"/>
    <cellStyle name="Note 2 3 5" xfId="1839" xr:uid="{00000000-0005-0000-0000-00000E210000}"/>
    <cellStyle name="Note 2 3 5 2" xfId="4068" xr:uid="{00000000-0005-0000-0000-00000F210000}"/>
    <cellStyle name="Note 2 3 5 2 2" xfId="8290" xr:uid="{00000000-0005-0000-0000-000010210000}"/>
    <cellStyle name="Note 2 3 5 2 2 2" xfId="16740" xr:uid="{4837BF12-214F-48C6-AAE2-AEA527B6508D}"/>
    <cellStyle name="Note 2 3 5 2 3" xfId="12522" xr:uid="{B78CE25D-C526-4C63-B71F-48BE4ADF8512}"/>
    <cellStyle name="Note 2 3 5 3" xfId="6145" xr:uid="{00000000-0005-0000-0000-000011210000}"/>
    <cellStyle name="Note 2 3 5 3 2" xfId="14595" xr:uid="{5C3B3D9F-999F-4702-9251-5B0FC0209395}"/>
    <cellStyle name="Note 2 3 5 4" xfId="10377" xr:uid="{C3AFC2B4-15CE-4D04-A751-6412AFA3DB46}"/>
    <cellStyle name="Note 2 3 6" xfId="2252" xr:uid="{00000000-0005-0000-0000-000012210000}"/>
    <cellStyle name="Note 2 3 6 2" xfId="4481" xr:uid="{00000000-0005-0000-0000-000013210000}"/>
    <cellStyle name="Note 2 3 6 2 2" xfId="8703" xr:uid="{00000000-0005-0000-0000-000014210000}"/>
    <cellStyle name="Note 2 3 6 2 2 2" xfId="17153" xr:uid="{997FF069-B9DD-40D9-9A06-8AD2776A36B2}"/>
    <cellStyle name="Note 2 3 6 2 3" xfId="12935" xr:uid="{5D9ED86B-DCAF-4E39-943A-BB557A1D58F9}"/>
    <cellStyle name="Note 2 3 6 3" xfId="6558" xr:uid="{00000000-0005-0000-0000-000015210000}"/>
    <cellStyle name="Note 2 3 6 3 2" xfId="15008" xr:uid="{F6238860-8E5B-4B10-9C94-9BC63DDE67C0}"/>
    <cellStyle name="Note 2 3 6 4" xfId="10790" xr:uid="{C19A6D6A-5023-4F03-B311-633181FF71A4}"/>
    <cellStyle name="Note 2 3 7" xfId="2688" xr:uid="{00000000-0005-0000-0000-000016210000}"/>
    <cellStyle name="Note 2 3 7 2" xfId="6971" xr:uid="{00000000-0005-0000-0000-000017210000}"/>
    <cellStyle name="Note 2 3 7 2 2" xfId="15421" xr:uid="{ACF9CC24-D176-4010-9ADD-0CE07DA3250C}"/>
    <cellStyle name="Note 2 3 7 3" xfId="11203" xr:uid="{C3F77C19-6A09-44A0-A204-922AA4D467AD}"/>
    <cellStyle name="Note 2 3 8" xfId="2747" xr:uid="{00000000-0005-0000-0000-000018210000}"/>
    <cellStyle name="Note 2 3 9" xfId="2828" xr:uid="{00000000-0005-0000-0000-000019210000}"/>
    <cellStyle name="Note 2 3 9 2" xfId="7051" xr:uid="{00000000-0005-0000-0000-00001A210000}"/>
    <cellStyle name="Note 2 3 9 2 2" xfId="15501" xr:uid="{CF9139DF-2A68-4901-A2E0-5B54F9404B83}"/>
    <cellStyle name="Note 2 3 9 3" xfId="11283" xr:uid="{F3053F08-5E3B-4C4D-84BD-E11A82F33F91}"/>
    <cellStyle name="Note 2 4" xfId="551" xr:uid="{00000000-0005-0000-0000-00001B210000}"/>
    <cellStyle name="Note 2 4 10" xfId="9140" xr:uid="{A401DE07-6037-4085-AD4D-66E39A809306}"/>
    <cellStyle name="Note 2 4 2" xfId="1012" xr:uid="{00000000-0005-0000-0000-00001C210000}"/>
    <cellStyle name="Note 2 4 2 2" xfId="3244" xr:uid="{00000000-0005-0000-0000-00001D210000}"/>
    <cellStyle name="Note 2 4 2 2 2" xfId="7466" xr:uid="{00000000-0005-0000-0000-00001E210000}"/>
    <cellStyle name="Note 2 4 2 2 2 2" xfId="15916" xr:uid="{FA875CC7-2C14-4A96-95BD-512E293AE5EE}"/>
    <cellStyle name="Note 2 4 2 2 3" xfId="11698" xr:uid="{49F16B9C-0AB5-4D80-BD3F-FA198801A43A}"/>
    <cellStyle name="Note 2 4 2 3" xfId="5321" xr:uid="{00000000-0005-0000-0000-00001F210000}"/>
    <cellStyle name="Note 2 4 2 3 2" xfId="13771" xr:uid="{81415E88-D58C-427E-AB0D-B5D4347F4D91}"/>
    <cellStyle name="Note 2 4 2 4" xfId="9553" xr:uid="{E4C224B5-9967-4983-BC25-3807BFE3628D}"/>
    <cellStyle name="Note 2 4 3" xfId="1427" xr:uid="{00000000-0005-0000-0000-000020210000}"/>
    <cellStyle name="Note 2 4 3 2" xfId="3657" xr:uid="{00000000-0005-0000-0000-000021210000}"/>
    <cellStyle name="Note 2 4 3 2 2" xfId="7879" xr:uid="{00000000-0005-0000-0000-000022210000}"/>
    <cellStyle name="Note 2 4 3 2 2 2" xfId="16329" xr:uid="{384E0877-7124-4028-9388-35C50F2DEE1E}"/>
    <cellStyle name="Note 2 4 3 2 3" xfId="12111" xr:uid="{79B97270-EBD7-4CD1-868D-A8E33DC36CAB}"/>
    <cellStyle name="Note 2 4 3 3" xfId="5734" xr:uid="{00000000-0005-0000-0000-000023210000}"/>
    <cellStyle name="Note 2 4 3 3 2" xfId="14184" xr:uid="{FDEC8DC0-D426-43D0-A3AF-00EABBEEB08D}"/>
    <cellStyle name="Note 2 4 3 4" xfId="9966" xr:uid="{A1B437A3-1713-42C3-95C9-331EE89B2890}"/>
    <cellStyle name="Note 2 4 4" xfId="1841" xr:uid="{00000000-0005-0000-0000-000024210000}"/>
    <cellStyle name="Note 2 4 4 2" xfId="4070" xr:uid="{00000000-0005-0000-0000-000025210000}"/>
    <cellStyle name="Note 2 4 4 2 2" xfId="8292" xr:uid="{00000000-0005-0000-0000-000026210000}"/>
    <cellStyle name="Note 2 4 4 2 2 2" xfId="16742" xr:uid="{6EC20849-51F2-4736-9B4A-EDC757F2C347}"/>
    <cellStyle name="Note 2 4 4 2 3" xfId="12524" xr:uid="{CE394A0B-C5A3-421E-9631-1324F1C569E5}"/>
    <cellStyle name="Note 2 4 4 3" xfId="6147" xr:uid="{00000000-0005-0000-0000-000027210000}"/>
    <cellStyle name="Note 2 4 4 3 2" xfId="14597" xr:uid="{E9646EA7-9A42-46C6-9CD4-6F4A1258BF73}"/>
    <cellStyle name="Note 2 4 4 4" xfId="10379" xr:uid="{01A44B4E-B30B-400E-A775-A081C78D2D80}"/>
    <cellStyle name="Note 2 4 5" xfId="2254" xr:uid="{00000000-0005-0000-0000-000028210000}"/>
    <cellStyle name="Note 2 4 5 2" xfId="4483" xr:uid="{00000000-0005-0000-0000-000029210000}"/>
    <cellStyle name="Note 2 4 5 2 2" xfId="8705" xr:uid="{00000000-0005-0000-0000-00002A210000}"/>
    <cellStyle name="Note 2 4 5 2 2 2" xfId="17155" xr:uid="{3C7B8523-51BF-42D9-9567-7D2836FCA557}"/>
    <cellStyle name="Note 2 4 5 2 3" xfId="12937" xr:uid="{A32037FD-F332-4BF7-BF22-626038AF8D61}"/>
    <cellStyle name="Note 2 4 5 3" xfId="6560" xr:uid="{00000000-0005-0000-0000-00002B210000}"/>
    <cellStyle name="Note 2 4 5 3 2" xfId="15010" xr:uid="{6C4F3756-2892-4DD7-A104-8C1DAABCAE23}"/>
    <cellStyle name="Note 2 4 5 4" xfId="10792" xr:uid="{DD0D557D-5F9E-440F-9C6A-9D122134BB2F}"/>
    <cellStyle name="Note 2 4 6" xfId="2690" xr:uid="{00000000-0005-0000-0000-00002C210000}"/>
    <cellStyle name="Note 2 4 6 2" xfId="6973" xr:uid="{00000000-0005-0000-0000-00002D210000}"/>
    <cellStyle name="Note 2 4 6 2 2" xfId="15423" xr:uid="{9AD98138-1137-4BA3-A628-8E10E88EB72C}"/>
    <cellStyle name="Note 2 4 6 3" xfId="11205" xr:uid="{20E7F8F3-4D24-4D44-8955-5F235DB267FD}"/>
    <cellStyle name="Note 2 4 7" xfId="2749" xr:uid="{00000000-0005-0000-0000-00002E210000}"/>
    <cellStyle name="Note 2 4 8" xfId="2830" xr:uid="{00000000-0005-0000-0000-00002F210000}"/>
    <cellStyle name="Note 2 4 8 2" xfId="7053" xr:uid="{00000000-0005-0000-0000-000030210000}"/>
    <cellStyle name="Note 2 4 8 2 2" xfId="15503" xr:uid="{53EA1292-325C-4DF4-B640-5D3FEE1ABF1C}"/>
    <cellStyle name="Note 2 4 8 3" xfId="11285" xr:uid="{AF9F3A45-3484-4653-94C0-07709BE1A30C}"/>
    <cellStyle name="Note 2 4 9" xfId="4908" xr:uid="{00000000-0005-0000-0000-000031210000}"/>
    <cellStyle name="Note 2 4 9 2" xfId="13358" xr:uid="{C1489D8B-AAA0-4E54-AA64-1DB1C9B4151B}"/>
    <cellStyle name="Note 2 5" xfId="552" xr:uid="{00000000-0005-0000-0000-000032210000}"/>
    <cellStyle name="Note 2 5 10" xfId="9141" xr:uid="{45EDCD9B-38B5-452D-832D-1D4B08579BC0}"/>
    <cellStyle name="Note 2 5 2" xfId="1013" xr:uid="{00000000-0005-0000-0000-000033210000}"/>
    <cellStyle name="Note 2 5 2 2" xfId="3245" xr:uid="{00000000-0005-0000-0000-000034210000}"/>
    <cellStyle name="Note 2 5 2 2 2" xfId="7467" xr:uid="{00000000-0005-0000-0000-000035210000}"/>
    <cellStyle name="Note 2 5 2 2 2 2" xfId="15917" xr:uid="{3192E2DB-CD2E-49FF-A834-49C4491B0BC6}"/>
    <cellStyle name="Note 2 5 2 2 3" xfId="11699" xr:uid="{0AC252FA-0CD3-4BC6-9167-AF9224120E68}"/>
    <cellStyle name="Note 2 5 2 3" xfId="5322" xr:uid="{00000000-0005-0000-0000-000036210000}"/>
    <cellStyle name="Note 2 5 2 3 2" xfId="13772" xr:uid="{53454FC1-4750-4F18-A968-D5AB6EFC2A2B}"/>
    <cellStyle name="Note 2 5 2 4" xfId="9554" xr:uid="{D4963C5D-BAC3-4551-94E5-CD26F8CAD8C7}"/>
    <cellStyle name="Note 2 5 3" xfId="1428" xr:uid="{00000000-0005-0000-0000-000037210000}"/>
    <cellStyle name="Note 2 5 3 2" xfId="3658" xr:uid="{00000000-0005-0000-0000-000038210000}"/>
    <cellStyle name="Note 2 5 3 2 2" xfId="7880" xr:uid="{00000000-0005-0000-0000-000039210000}"/>
    <cellStyle name="Note 2 5 3 2 2 2" xfId="16330" xr:uid="{EC331C87-8310-432F-BC03-E8D545E5AED1}"/>
    <cellStyle name="Note 2 5 3 2 3" xfId="12112" xr:uid="{E0448308-6459-4F0D-9DDC-AF95539B781E}"/>
    <cellStyle name="Note 2 5 3 3" xfId="5735" xr:uid="{00000000-0005-0000-0000-00003A210000}"/>
    <cellStyle name="Note 2 5 3 3 2" xfId="14185" xr:uid="{29862302-C1FC-4890-99CC-F43F832C44C7}"/>
    <cellStyle name="Note 2 5 3 4" xfId="9967" xr:uid="{E620ED00-3C85-4623-B577-83A4CD517CEF}"/>
    <cellStyle name="Note 2 5 4" xfId="1842" xr:uid="{00000000-0005-0000-0000-00003B210000}"/>
    <cellStyle name="Note 2 5 4 2" xfId="4071" xr:uid="{00000000-0005-0000-0000-00003C210000}"/>
    <cellStyle name="Note 2 5 4 2 2" xfId="8293" xr:uid="{00000000-0005-0000-0000-00003D210000}"/>
    <cellStyle name="Note 2 5 4 2 2 2" xfId="16743" xr:uid="{716B5B20-F1A7-4B51-98C4-B8E81C0273A8}"/>
    <cellStyle name="Note 2 5 4 2 3" xfId="12525" xr:uid="{4E501A61-70EC-48C8-80FD-DAA92738BAB9}"/>
    <cellStyle name="Note 2 5 4 3" xfId="6148" xr:uid="{00000000-0005-0000-0000-00003E210000}"/>
    <cellStyle name="Note 2 5 4 3 2" xfId="14598" xr:uid="{B6CF78EB-B753-438F-8AF8-122D921CE6E9}"/>
    <cellStyle name="Note 2 5 4 4" xfId="10380" xr:uid="{4F6EBE60-2CD0-4AF6-919F-1737D9AECEFB}"/>
    <cellStyle name="Note 2 5 5" xfId="2255" xr:uid="{00000000-0005-0000-0000-00003F210000}"/>
    <cellStyle name="Note 2 5 5 2" xfId="4484" xr:uid="{00000000-0005-0000-0000-000040210000}"/>
    <cellStyle name="Note 2 5 5 2 2" xfId="8706" xr:uid="{00000000-0005-0000-0000-000041210000}"/>
    <cellStyle name="Note 2 5 5 2 2 2" xfId="17156" xr:uid="{E1223462-D38E-46CF-BBFF-D7DB15FB3041}"/>
    <cellStyle name="Note 2 5 5 2 3" xfId="12938" xr:uid="{3E5ACF5B-E4BD-4793-B318-9BA3F18EEF91}"/>
    <cellStyle name="Note 2 5 5 3" xfId="6561" xr:uid="{00000000-0005-0000-0000-000042210000}"/>
    <cellStyle name="Note 2 5 5 3 2" xfId="15011" xr:uid="{725129AB-CFA4-4387-B374-D2E836D74340}"/>
    <cellStyle name="Note 2 5 5 4" xfId="10793" xr:uid="{42EF7051-8990-41A7-B639-FABE1849134D}"/>
    <cellStyle name="Note 2 5 6" xfId="2691" xr:uid="{00000000-0005-0000-0000-000043210000}"/>
    <cellStyle name="Note 2 5 6 2" xfId="6974" xr:uid="{00000000-0005-0000-0000-000044210000}"/>
    <cellStyle name="Note 2 5 6 2 2" xfId="15424" xr:uid="{31CE946D-0C1E-4A60-ACB8-64AFFF9AC38A}"/>
    <cellStyle name="Note 2 5 6 3" xfId="11206" xr:uid="{DEEFDE58-FEDF-4879-9C27-63952BC0419F}"/>
    <cellStyle name="Note 2 5 7" xfId="2750" xr:uid="{00000000-0005-0000-0000-000045210000}"/>
    <cellStyle name="Note 2 5 8" xfId="2831" xr:uid="{00000000-0005-0000-0000-000046210000}"/>
    <cellStyle name="Note 2 5 8 2" xfId="7054" xr:uid="{00000000-0005-0000-0000-000047210000}"/>
    <cellStyle name="Note 2 5 8 2 2" xfId="15504" xr:uid="{E165A439-0ED1-4887-9D18-D29939F1FEC0}"/>
    <cellStyle name="Note 2 5 8 3" xfId="11286" xr:uid="{2FCCF9FA-69BD-4065-A514-25D71ADDA4FD}"/>
    <cellStyle name="Note 2 5 9" xfId="4909" xr:uid="{00000000-0005-0000-0000-000048210000}"/>
    <cellStyle name="Note 2 5 9 2" xfId="13359" xr:uid="{A56FFC48-39C4-4730-875A-0A1BC58EE73C}"/>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FD6A0BD6-7CEB-4F1A-A8B1-05CD4835DA21}"/>
    <cellStyle name="Note 3 2 10 3" xfId="11287" xr:uid="{E24050EA-66E0-467A-8605-C7B2532FD542}"/>
    <cellStyle name="Note 3 2 11" xfId="4910" xr:uid="{00000000-0005-0000-0000-00004D210000}"/>
    <cellStyle name="Note 3 2 11 2" xfId="13360" xr:uid="{FE8DB50C-83B4-4C38-A1FD-C2C0F94E6CB7}"/>
    <cellStyle name="Note 3 2 12" xfId="9142" xr:uid="{68B2A557-5AFD-45E6-A2D3-6B65C3266969}"/>
    <cellStyle name="Note 3 2 2" xfId="555" xr:uid="{00000000-0005-0000-0000-00004E210000}"/>
    <cellStyle name="Note 3 2 2 10" xfId="4911" xr:uid="{00000000-0005-0000-0000-00004F210000}"/>
    <cellStyle name="Note 3 2 2 10 2" xfId="13361" xr:uid="{D1FB7AC6-F032-474C-A559-30CB64A13946}"/>
    <cellStyle name="Note 3 2 2 11" xfId="9143" xr:uid="{01FCB938-C5BC-4802-94F2-E43F5B19FA77}"/>
    <cellStyle name="Note 3 2 2 2" xfId="556" xr:uid="{00000000-0005-0000-0000-000050210000}"/>
    <cellStyle name="Note 3 2 2 2 10" xfId="9144" xr:uid="{372628BE-8C97-4FBD-B06D-1DCEAAF8E395}"/>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DDC62E24-5D4E-494D-95C9-BF8AD44E0394}"/>
    <cellStyle name="Note 3 2 2 2 2 2 3" xfId="11702" xr:uid="{36F0CDCF-5660-4929-835F-839FCCD2F138}"/>
    <cellStyle name="Note 3 2 2 2 2 3" xfId="5325" xr:uid="{00000000-0005-0000-0000-000054210000}"/>
    <cellStyle name="Note 3 2 2 2 2 3 2" xfId="13775" xr:uid="{C623FFCE-8BCD-4A58-A1AA-F3FCF9275D10}"/>
    <cellStyle name="Note 3 2 2 2 2 4" xfId="9557" xr:uid="{07304FD7-93DF-41D2-AA40-C465FBF00C36}"/>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C2730A5A-E21A-4609-9A88-D2822A4E4439}"/>
    <cellStyle name="Note 3 2 2 2 3 2 3" xfId="12115" xr:uid="{EF168537-4782-41D7-8479-B4449E583BB8}"/>
    <cellStyle name="Note 3 2 2 2 3 3" xfId="5738" xr:uid="{00000000-0005-0000-0000-000058210000}"/>
    <cellStyle name="Note 3 2 2 2 3 3 2" xfId="14188" xr:uid="{E36359B5-EE16-46C5-BD55-D5D9CF5F2EB2}"/>
    <cellStyle name="Note 3 2 2 2 3 4" xfId="9970" xr:uid="{49F3C879-EB47-4BAF-8547-D91107355C33}"/>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1BACD26A-CC33-43D7-8F51-2AA9574CC9CB}"/>
    <cellStyle name="Note 3 2 2 2 4 2 3" xfId="12528" xr:uid="{21072F59-DA29-4790-9D9C-7AAB42771CF9}"/>
    <cellStyle name="Note 3 2 2 2 4 3" xfId="6151" xr:uid="{00000000-0005-0000-0000-00005C210000}"/>
    <cellStyle name="Note 3 2 2 2 4 3 2" xfId="14601" xr:uid="{E497F157-A2FE-4B69-A704-5D612C6A3D70}"/>
    <cellStyle name="Note 3 2 2 2 4 4" xfId="10383" xr:uid="{C76EE3B2-F647-4F67-ACA3-9DAD7084AB0B}"/>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945C4A91-ADAD-4386-9165-E3B410BEDA5A}"/>
    <cellStyle name="Note 3 2 2 2 5 2 3" xfId="12941" xr:uid="{227DE776-274E-4408-907A-A5639418B022}"/>
    <cellStyle name="Note 3 2 2 2 5 3" xfId="6564" xr:uid="{00000000-0005-0000-0000-000060210000}"/>
    <cellStyle name="Note 3 2 2 2 5 3 2" xfId="15014" xr:uid="{D5AE7BDC-84DF-4987-A060-716B9C2596D3}"/>
    <cellStyle name="Note 3 2 2 2 5 4" xfId="10796" xr:uid="{0027C451-0E5D-414F-B960-91E38954733B}"/>
    <cellStyle name="Note 3 2 2 2 6" xfId="2694" xr:uid="{00000000-0005-0000-0000-000061210000}"/>
    <cellStyle name="Note 3 2 2 2 6 2" xfId="6977" xr:uid="{00000000-0005-0000-0000-000062210000}"/>
    <cellStyle name="Note 3 2 2 2 6 2 2" xfId="15427" xr:uid="{9B9ADDA0-55A0-41F8-86BF-110D5E44C748}"/>
    <cellStyle name="Note 3 2 2 2 6 3" xfId="11209" xr:uid="{D51D237C-7D03-41E4-BA33-6B5CC7E1D811}"/>
    <cellStyle name="Note 3 2 2 2 7" xfId="2753" xr:uid="{00000000-0005-0000-0000-000063210000}"/>
    <cellStyle name="Note 3 2 2 2 8" xfId="2834" xr:uid="{00000000-0005-0000-0000-000064210000}"/>
    <cellStyle name="Note 3 2 2 2 8 2" xfId="7057" xr:uid="{00000000-0005-0000-0000-000065210000}"/>
    <cellStyle name="Note 3 2 2 2 8 2 2" xfId="15507" xr:uid="{31AACAFE-9652-4A40-934D-C26B48CAD928}"/>
    <cellStyle name="Note 3 2 2 2 8 3" xfId="11289" xr:uid="{147E18A7-87A2-42D8-91FF-0B0B1F479922}"/>
    <cellStyle name="Note 3 2 2 2 9" xfId="4912" xr:uid="{00000000-0005-0000-0000-000066210000}"/>
    <cellStyle name="Note 3 2 2 2 9 2" xfId="13362" xr:uid="{7F73E02D-D428-4BA9-B86F-9CFDEAC71EC7}"/>
    <cellStyle name="Note 3 2 2 3" xfId="1015" xr:uid="{00000000-0005-0000-0000-000067210000}"/>
    <cellStyle name="Note 3 2 2 3 2" xfId="3247" xr:uid="{00000000-0005-0000-0000-000068210000}"/>
    <cellStyle name="Note 3 2 2 3 2 2" xfId="7469" xr:uid="{00000000-0005-0000-0000-000069210000}"/>
    <cellStyle name="Note 3 2 2 3 2 2 2" xfId="15919" xr:uid="{D28F9C60-18A7-4249-9D87-A3405B051E1E}"/>
    <cellStyle name="Note 3 2 2 3 2 3" xfId="11701" xr:uid="{E2C2AE5F-5D77-4F1B-BA7E-9AB9B7A2F1DF}"/>
    <cellStyle name="Note 3 2 2 3 3" xfId="5324" xr:uid="{00000000-0005-0000-0000-00006A210000}"/>
    <cellStyle name="Note 3 2 2 3 3 2" xfId="13774" xr:uid="{C6881DBE-C91C-4C23-B257-A6C2DBBB7503}"/>
    <cellStyle name="Note 3 2 2 3 4" xfId="9556" xr:uid="{CF1860CD-9D04-4985-A8DA-276F1A9D1DE5}"/>
    <cellStyle name="Note 3 2 2 4" xfId="1430" xr:uid="{00000000-0005-0000-0000-00006B210000}"/>
    <cellStyle name="Note 3 2 2 4 2" xfId="3660" xr:uid="{00000000-0005-0000-0000-00006C210000}"/>
    <cellStyle name="Note 3 2 2 4 2 2" xfId="7882" xr:uid="{00000000-0005-0000-0000-00006D210000}"/>
    <cellStyle name="Note 3 2 2 4 2 2 2" xfId="16332" xr:uid="{21ADCC58-1EF3-4750-9DEE-F5C69AEBCD58}"/>
    <cellStyle name="Note 3 2 2 4 2 3" xfId="12114" xr:uid="{23E33C42-AF21-43C2-BC1C-19CA5471DD93}"/>
    <cellStyle name="Note 3 2 2 4 3" xfId="5737" xr:uid="{00000000-0005-0000-0000-00006E210000}"/>
    <cellStyle name="Note 3 2 2 4 3 2" xfId="14187" xr:uid="{B4DBBF01-F0D0-4CA1-A13F-B2856124D2D0}"/>
    <cellStyle name="Note 3 2 2 4 4" xfId="9969" xr:uid="{8ED1C921-C836-4B69-9302-43EE4D779ABE}"/>
    <cellStyle name="Note 3 2 2 5" xfId="1844" xr:uid="{00000000-0005-0000-0000-00006F210000}"/>
    <cellStyle name="Note 3 2 2 5 2" xfId="4073" xr:uid="{00000000-0005-0000-0000-000070210000}"/>
    <cellStyle name="Note 3 2 2 5 2 2" xfId="8295" xr:uid="{00000000-0005-0000-0000-000071210000}"/>
    <cellStyle name="Note 3 2 2 5 2 2 2" xfId="16745" xr:uid="{5D9B2C4E-FD08-49F0-80DE-07CD83823241}"/>
    <cellStyle name="Note 3 2 2 5 2 3" xfId="12527" xr:uid="{E1AD4F8A-DE40-47F1-8416-7685487403B2}"/>
    <cellStyle name="Note 3 2 2 5 3" xfId="6150" xr:uid="{00000000-0005-0000-0000-000072210000}"/>
    <cellStyle name="Note 3 2 2 5 3 2" xfId="14600" xr:uid="{C1B846A7-6C63-45FC-8CD8-C9F7F0207350}"/>
    <cellStyle name="Note 3 2 2 5 4" xfId="10382" xr:uid="{E60EC924-E218-43D0-97C4-0E32D5B21151}"/>
    <cellStyle name="Note 3 2 2 6" xfId="2257" xr:uid="{00000000-0005-0000-0000-000073210000}"/>
    <cellStyle name="Note 3 2 2 6 2" xfId="4486" xr:uid="{00000000-0005-0000-0000-000074210000}"/>
    <cellStyle name="Note 3 2 2 6 2 2" xfId="8708" xr:uid="{00000000-0005-0000-0000-000075210000}"/>
    <cellStyle name="Note 3 2 2 6 2 2 2" xfId="17158" xr:uid="{DBB33027-9061-40E1-AF05-1A3D745787F8}"/>
    <cellStyle name="Note 3 2 2 6 2 3" xfId="12940" xr:uid="{44E3B5FE-0DCE-4E6E-8F3A-7267DC2AFD7F}"/>
    <cellStyle name="Note 3 2 2 6 3" xfId="6563" xr:uid="{00000000-0005-0000-0000-000076210000}"/>
    <cellStyle name="Note 3 2 2 6 3 2" xfId="15013" xr:uid="{EEAA71B1-22C8-4D22-AC2A-E94382ADA307}"/>
    <cellStyle name="Note 3 2 2 6 4" xfId="10795" xr:uid="{8728D8DF-1D54-4219-9306-C93E9E757A9B}"/>
    <cellStyle name="Note 3 2 2 7" xfId="2693" xr:uid="{00000000-0005-0000-0000-000077210000}"/>
    <cellStyle name="Note 3 2 2 7 2" xfId="6976" xr:uid="{00000000-0005-0000-0000-000078210000}"/>
    <cellStyle name="Note 3 2 2 7 2 2" xfId="15426" xr:uid="{0842A573-E1AF-4117-9ED4-515A8623C966}"/>
    <cellStyle name="Note 3 2 2 7 3" xfId="11208" xr:uid="{189A92C3-E1D6-4442-8056-DE3940DCA71F}"/>
    <cellStyle name="Note 3 2 2 8" xfId="2752" xr:uid="{00000000-0005-0000-0000-000079210000}"/>
    <cellStyle name="Note 3 2 2 9" xfId="2833" xr:uid="{00000000-0005-0000-0000-00007A210000}"/>
    <cellStyle name="Note 3 2 2 9 2" xfId="7056" xr:uid="{00000000-0005-0000-0000-00007B210000}"/>
    <cellStyle name="Note 3 2 2 9 2 2" xfId="15506" xr:uid="{2E2BB926-6D9F-4998-AD3B-B527F45841EA}"/>
    <cellStyle name="Note 3 2 2 9 3" xfId="11288" xr:uid="{2234CD7D-5BD1-42E1-9CCA-4B8C282C2836}"/>
    <cellStyle name="Note 3 2 3" xfId="557" xr:uid="{00000000-0005-0000-0000-00007C210000}"/>
    <cellStyle name="Note 3 2 3 10" xfId="9145" xr:uid="{548A92FA-434A-4583-9A8D-FCBE6364635A}"/>
    <cellStyle name="Note 3 2 3 2" xfId="1017" xr:uid="{00000000-0005-0000-0000-00007D210000}"/>
    <cellStyle name="Note 3 2 3 2 2" xfId="3249" xr:uid="{00000000-0005-0000-0000-00007E210000}"/>
    <cellStyle name="Note 3 2 3 2 2 2" xfId="7471" xr:uid="{00000000-0005-0000-0000-00007F210000}"/>
    <cellStyle name="Note 3 2 3 2 2 2 2" xfId="15921" xr:uid="{BEFF0863-1015-4CCB-A35B-FE154254E2C9}"/>
    <cellStyle name="Note 3 2 3 2 2 3" xfId="11703" xr:uid="{112CB384-C9E1-4998-91D3-4663880C81EA}"/>
    <cellStyle name="Note 3 2 3 2 3" xfId="5326" xr:uid="{00000000-0005-0000-0000-000080210000}"/>
    <cellStyle name="Note 3 2 3 2 3 2" xfId="13776" xr:uid="{EA146653-AAEE-4B75-8333-2F633DB0ECB0}"/>
    <cellStyle name="Note 3 2 3 2 4" xfId="9558" xr:uid="{8CA3780F-2867-447E-9F82-EFE6A1ED512F}"/>
    <cellStyle name="Note 3 2 3 3" xfId="1432" xr:uid="{00000000-0005-0000-0000-000081210000}"/>
    <cellStyle name="Note 3 2 3 3 2" xfId="3662" xr:uid="{00000000-0005-0000-0000-000082210000}"/>
    <cellStyle name="Note 3 2 3 3 2 2" xfId="7884" xr:uid="{00000000-0005-0000-0000-000083210000}"/>
    <cellStyle name="Note 3 2 3 3 2 2 2" xfId="16334" xr:uid="{1EABB34B-9CD1-4330-8437-28972ABAAE7C}"/>
    <cellStyle name="Note 3 2 3 3 2 3" xfId="12116" xr:uid="{28A8FA9F-DAD7-48E4-A9E9-2CB794615D98}"/>
    <cellStyle name="Note 3 2 3 3 3" xfId="5739" xr:uid="{00000000-0005-0000-0000-000084210000}"/>
    <cellStyle name="Note 3 2 3 3 3 2" xfId="14189" xr:uid="{B79202B8-5E99-4B25-AFAB-13CD79DD3C3B}"/>
    <cellStyle name="Note 3 2 3 3 4" xfId="9971" xr:uid="{22D7759B-17A1-4E50-A779-72C50D660215}"/>
    <cellStyle name="Note 3 2 3 4" xfId="1846" xr:uid="{00000000-0005-0000-0000-000085210000}"/>
    <cellStyle name="Note 3 2 3 4 2" xfId="4075" xr:uid="{00000000-0005-0000-0000-000086210000}"/>
    <cellStyle name="Note 3 2 3 4 2 2" xfId="8297" xr:uid="{00000000-0005-0000-0000-000087210000}"/>
    <cellStyle name="Note 3 2 3 4 2 2 2" xfId="16747" xr:uid="{0D002F41-92CC-4535-A9F8-487F66283A84}"/>
    <cellStyle name="Note 3 2 3 4 2 3" xfId="12529" xr:uid="{FD4B6757-1DE9-47CD-B8CC-93054AC66609}"/>
    <cellStyle name="Note 3 2 3 4 3" xfId="6152" xr:uid="{00000000-0005-0000-0000-000088210000}"/>
    <cellStyle name="Note 3 2 3 4 3 2" xfId="14602" xr:uid="{8F52149B-DE3F-4E43-BC6B-E9A855563E67}"/>
    <cellStyle name="Note 3 2 3 4 4" xfId="10384" xr:uid="{029CEC64-F390-422B-BA37-E6101F05A5B9}"/>
    <cellStyle name="Note 3 2 3 5" xfId="2259" xr:uid="{00000000-0005-0000-0000-000089210000}"/>
    <cellStyle name="Note 3 2 3 5 2" xfId="4488" xr:uid="{00000000-0005-0000-0000-00008A210000}"/>
    <cellStyle name="Note 3 2 3 5 2 2" xfId="8710" xr:uid="{00000000-0005-0000-0000-00008B210000}"/>
    <cellStyle name="Note 3 2 3 5 2 2 2" xfId="17160" xr:uid="{5BDF6E62-09B8-44A7-941D-1C77F3E7C281}"/>
    <cellStyle name="Note 3 2 3 5 2 3" xfId="12942" xr:uid="{FD280874-E4B3-45D0-967E-E83558B1A011}"/>
    <cellStyle name="Note 3 2 3 5 3" xfId="6565" xr:uid="{00000000-0005-0000-0000-00008C210000}"/>
    <cellStyle name="Note 3 2 3 5 3 2" xfId="15015" xr:uid="{24CE63CA-3E3E-447F-8E4A-80F0FA960B70}"/>
    <cellStyle name="Note 3 2 3 5 4" xfId="10797" xr:uid="{8B3E785E-A815-4EFA-8A98-E3A3D263E45B}"/>
    <cellStyle name="Note 3 2 3 6" xfId="2695" xr:uid="{00000000-0005-0000-0000-00008D210000}"/>
    <cellStyle name="Note 3 2 3 6 2" xfId="6978" xr:uid="{00000000-0005-0000-0000-00008E210000}"/>
    <cellStyle name="Note 3 2 3 6 2 2" xfId="15428" xr:uid="{3783152A-A77F-41F5-A675-BB3F6058051E}"/>
    <cellStyle name="Note 3 2 3 6 3" xfId="11210" xr:uid="{1527E6F4-0607-49C4-9476-A2F7A7AC2C42}"/>
    <cellStyle name="Note 3 2 3 7" xfId="2754" xr:uid="{00000000-0005-0000-0000-00008F210000}"/>
    <cellStyle name="Note 3 2 3 8" xfId="2835" xr:uid="{00000000-0005-0000-0000-000090210000}"/>
    <cellStyle name="Note 3 2 3 8 2" xfId="7058" xr:uid="{00000000-0005-0000-0000-000091210000}"/>
    <cellStyle name="Note 3 2 3 8 2 2" xfId="15508" xr:uid="{2D895943-E618-4882-A1F9-2E018AB6F055}"/>
    <cellStyle name="Note 3 2 3 8 3" xfId="11290" xr:uid="{1F9CC2D7-AFB3-4951-A8EB-215010B90B6C}"/>
    <cellStyle name="Note 3 2 3 9" xfId="4913" xr:uid="{00000000-0005-0000-0000-000092210000}"/>
    <cellStyle name="Note 3 2 3 9 2" xfId="13363" xr:uid="{54C979F4-EA9F-499F-89B6-2CC7214B72D3}"/>
    <cellStyle name="Note 3 2 4" xfId="1014" xr:uid="{00000000-0005-0000-0000-000093210000}"/>
    <cellStyle name="Note 3 2 4 2" xfId="3246" xr:uid="{00000000-0005-0000-0000-000094210000}"/>
    <cellStyle name="Note 3 2 4 2 2" xfId="7468" xr:uid="{00000000-0005-0000-0000-000095210000}"/>
    <cellStyle name="Note 3 2 4 2 2 2" xfId="15918" xr:uid="{4A1AD69D-7607-4679-802C-33989B989AC7}"/>
    <cellStyle name="Note 3 2 4 2 3" xfId="11700" xr:uid="{1D79BE7F-317D-414F-809A-3115B0834D04}"/>
    <cellStyle name="Note 3 2 4 3" xfId="5323" xr:uid="{00000000-0005-0000-0000-000096210000}"/>
    <cellStyle name="Note 3 2 4 3 2" xfId="13773" xr:uid="{3FFAE891-E031-43A0-8BA1-C792D51742D1}"/>
    <cellStyle name="Note 3 2 4 4" xfId="9555" xr:uid="{995B4CED-8B31-4F33-BC4F-4FA37B8DB0F6}"/>
    <cellStyle name="Note 3 2 5" xfId="1429" xr:uid="{00000000-0005-0000-0000-000097210000}"/>
    <cellStyle name="Note 3 2 5 2" xfId="3659" xr:uid="{00000000-0005-0000-0000-000098210000}"/>
    <cellStyle name="Note 3 2 5 2 2" xfId="7881" xr:uid="{00000000-0005-0000-0000-000099210000}"/>
    <cellStyle name="Note 3 2 5 2 2 2" xfId="16331" xr:uid="{4D48CC87-E017-41D9-AD8A-18109652C799}"/>
    <cellStyle name="Note 3 2 5 2 3" xfId="12113" xr:uid="{342E4B9C-DDE3-4BC0-9350-381365C65E7A}"/>
    <cellStyle name="Note 3 2 5 3" xfId="5736" xr:uid="{00000000-0005-0000-0000-00009A210000}"/>
    <cellStyle name="Note 3 2 5 3 2" xfId="14186" xr:uid="{B0F60D42-3AD2-4FD9-A4BA-9795622431CB}"/>
    <cellStyle name="Note 3 2 5 4" xfId="9968" xr:uid="{67BEEE77-E924-4440-A20E-698D06021678}"/>
    <cellStyle name="Note 3 2 6" xfId="1843" xr:uid="{00000000-0005-0000-0000-00009B210000}"/>
    <cellStyle name="Note 3 2 6 2" xfId="4072" xr:uid="{00000000-0005-0000-0000-00009C210000}"/>
    <cellStyle name="Note 3 2 6 2 2" xfId="8294" xr:uid="{00000000-0005-0000-0000-00009D210000}"/>
    <cellStyle name="Note 3 2 6 2 2 2" xfId="16744" xr:uid="{175BB37F-0DAD-4EA4-990D-2E4B7538B51D}"/>
    <cellStyle name="Note 3 2 6 2 3" xfId="12526" xr:uid="{7D9077F8-BDF6-4F85-822C-E3BB296AC5AF}"/>
    <cellStyle name="Note 3 2 6 3" xfId="6149" xr:uid="{00000000-0005-0000-0000-00009E210000}"/>
    <cellStyle name="Note 3 2 6 3 2" xfId="14599" xr:uid="{E22B1AF1-1C21-48B9-815F-D795740984BB}"/>
    <cellStyle name="Note 3 2 6 4" xfId="10381" xr:uid="{B26BF7E2-AC9A-4DB9-A44A-3EEEFC839912}"/>
    <cellStyle name="Note 3 2 7" xfId="2256" xr:uid="{00000000-0005-0000-0000-00009F210000}"/>
    <cellStyle name="Note 3 2 7 2" xfId="4485" xr:uid="{00000000-0005-0000-0000-0000A0210000}"/>
    <cellStyle name="Note 3 2 7 2 2" xfId="8707" xr:uid="{00000000-0005-0000-0000-0000A1210000}"/>
    <cellStyle name="Note 3 2 7 2 2 2" xfId="17157" xr:uid="{3EE65F30-D0C0-470E-9B7D-3031EB06408D}"/>
    <cellStyle name="Note 3 2 7 2 3" xfId="12939" xr:uid="{08766594-C4A4-46A4-B990-6EEC8978FFD7}"/>
    <cellStyle name="Note 3 2 7 3" xfId="6562" xr:uid="{00000000-0005-0000-0000-0000A2210000}"/>
    <cellStyle name="Note 3 2 7 3 2" xfId="15012" xr:uid="{25751F50-D900-48C5-81F9-74390E16B19B}"/>
    <cellStyle name="Note 3 2 7 4" xfId="10794" xr:uid="{BFE950BB-CFA6-4B20-B1B5-CE27DABCC4E7}"/>
    <cellStyle name="Note 3 2 8" xfId="2692" xr:uid="{00000000-0005-0000-0000-0000A3210000}"/>
    <cellStyle name="Note 3 2 8 2" xfId="6975" xr:uid="{00000000-0005-0000-0000-0000A4210000}"/>
    <cellStyle name="Note 3 2 8 2 2" xfId="15425" xr:uid="{013622C7-B601-4F4D-855F-B286CA7F00B4}"/>
    <cellStyle name="Note 3 2 8 3" xfId="11207" xr:uid="{BF077408-DCA8-4CDB-A185-10B78ED84B0F}"/>
    <cellStyle name="Note 3 2 9" xfId="2751" xr:uid="{00000000-0005-0000-0000-0000A5210000}"/>
    <cellStyle name="Note 3 3" xfId="558" xr:uid="{00000000-0005-0000-0000-0000A6210000}"/>
    <cellStyle name="Note 3 3 10" xfId="4914" xr:uid="{00000000-0005-0000-0000-0000A7210000}"/>
    <cellStyle name="Note 3 3 10 2" xfId="13364" xr:uid="{732AFA37-F07F-4AF6-A1F7-94F792493768}"/>
    <cellStyle name="Note 3 3 11" xfId="9146" xr:uid="{4FA7704D-F6F4-43E0-A86F-BB98743C2313}"/>
    <cellStyle name="Note 3 3 2" xfId="559" xr:uid="{00000000-0005-0000-0000-0000A8210000}"/>
    <cellStyle name="Note 3 3 2 10" xfId="9147" xr:uid="{27814F79-C54D-45D8-967F-85A94D06992F}"/>
    <cellStyle name="Note 3 3 2 2" xfId="1019" xr:uid="{00000000-0005-0000-0000-0000A9210000}"/>
    <cellStyle name="Note 3 3 2 2 2" xfId="3251" xr:uid="{00000000-0005-0000-0000-0000AA210000}"/>
    <cellStyle name="Note 3 3 2 2 2 2" xfId="7473" xr:uid="{00000000-0005-0000-0000-0000AB210000}"/>
    <cellStyle name="Note 3 3 2 2 2 2 2" xfId="15923" xr:uid="{91A0E93B-B4D0-4B52-92F5-97B73AE16C29}"/>
    <cellStyle name="Note 3 3 2 2 2 3" xfId="11705" xr:uid="{4709E0B6-D791-4F43-BB09-B5EFD897E2D5}"/>
    <cellStyle name="Note 3 3 2 2 3" xfId="5328" xr:uid="{00000000-0005-0000-0000-0000AC210000}"/>
    <cellStyle name="Note 3 3 2 2 3 2" xfId="13778" xr:uid="{B8BD4AD6-21A0-4017-86D5-BD6721E52DCA}"/>
    <cellStyle name="Note 3 3 2 2 4" xfId="9560" xr:uid="{7758FAF7-8DAA-4F86-ADAC-3050A21E96C1}"/>
    <cellStyle name="Note 3 3 2 3" xfId="1434" xr:uid="{00000000-0005-0000-0000-0000AD210000}"/>
    <cellStyle name="Note 3 3 2 3 2" xfId="3664" xr:uid="{00000000-0005-0000-0000-0000AE210000}"/>
    <cellStyle name="Note 3 3 2 3 2 2" xfId="7886" xr:uid="{00000000-0005-0000-0000-0000AF210000}"/>
    <cellStyle name="Note 3 3 2 3 2 2 2" xfId="16336" xr:uid="{EE59B076-BCA3-47F2-A4DA-7CB997DF668D}"/>
    <cellStyle name="Note 3 3 2 3 2 3" xfId="12118" xr:uid="{865D224B-3C32-4D0D-B1F6-9A389E50CFF1}"/>
    <cellStyle name="Note 3 3 2 3 3" xfId="5741" xr:uid="{00000000-0005-0000-0000-0000B0210000}"/>
    <cellStyle name="Note 3 3 2 3 3 2" xfId="14191" xr:uid="{95358B23-BEC3-424D-9864-E13E8D6A22A3}"/>
    <cellStyle name="Note 3 3 2 3 4" xfId="9973" xr:uid="{8EE0B9BE-BAAD-49E9-9E5E-437301205572}"/>
    <cellStyle name="Note 3 3 2 4" xfId="1848" xr:uid="{00000000-0005-0000-0000-0000B1210000}"/>
    <cellStyle name="Note 3 3 2 4 2" xfId="4077" xr:uid="{00000000-0005-0000-0000-0000B2210000}"/>
    <cellStyle name="Note 3 3 2 4 2 2" xfId="8299" xr:uid="{00000000-0005-0000-0000-0000B3210000}"/>
    <cellStyle name="Note 3 3 2 4 2 2 2" xfId="16749" xr:uid="{16A02A98-BE41-4687-999C-5A8BB8B7B29A}"/>
    <cellStyle name="Note 3 3 2 4 2 3" xfId="12531" xr:uid="{ABA6732E-500C-479A-AFDB-CEE67D488D9A}"/>
    <cellStyle name="Note 3 3 2 4 3" xfId="6154" xr:uid="{00000000-0005-0000-0000-0000B4210000}"/>
    <cellStyle name="Note 3 3 2 4 3 2" xfId="14604" xr:uid="{1615BD3A-5EC4-4D76-9D26-0B5D8390C75A}"/>
    <cellStyle name="Note 3 3 2 4 4" xfId="10386" xr:uid="{2F84A72E-6757-4214-A6B9-D7E4CEB0E247}"/>
    <cellStyle name="Note 3 3 2 5" xfId="2261" xr:uid="{00000000-0005-0000-0000-0000B5210000}"/>
    <cellStyle name="Note 3 3 2 5 2" xfId="4490" xr:uid="{00000000-0005-0000-0000-0000B6210000}"/>
    <cellStyle name="Note 3 3 2 5 2 2" xfId="8712" xr:uid="{00000000-0005-0000-0000-0000B7210000}"/>
    <cellStyle name="Note 3 3 2 5 2 2 2" xfId="17162" xr:uid="{CD495E5C-471B-47C2-BCFE-F08AC1C6CA4C}"/>
    <cellStyle name="Note 3 3 2 5 2 3" xfId="12944" xr:uid="{DCFC3E47-9F52-4F82-A2C3-7AF91AD44049}"/>
    <cellStyle name="Note 3 3 2 5 3" xfId="6567" xr:uid="{00000000-0005-0000-0000-0000B8210000}"/>
    <cellStyle name="Note 3 3 2 5 3 2" xfId="15017" xr:uid="{525A4CE8-C8C8-4E42-89B2-FF11C773CD3D}"/>
    <cellStyle name="Note 3 3 2 5 4" xfId="10799" xr:uid="{DDA8088A-BCE8-4EAF-BA1A-15FB4C589710}"/>
    <cellStyle name="Note 3 3 2 6" xfId="2697" xr:uid="{00000000-0005-0000-0000-0000B9210000}"/>
    <cellStyle name="Note 3 3 2 6 2" xfId="6980" xr:uid="{00000000-0005-0000-0000-0000BA210000}"/>
    <cellStyle name="Note 3 3 2 6 2 2" xfId="15430" xr:uid="{BD73B410-78E3-4B08-9A18-4E6C443D2B9A}"/>
    <cellStyle name="Note 3 3 2 6 3" xfId="11212" xr:uid="{6701510E-F915-4D80-B5B7-97516D8D0BC6}"/>
    <cellStyle name="Note 3 3 2 7" xfId="2756" xr:uid="{00000000-0005-0000-0000-0000BB210000}"/>
    <cellStyle name="Note 3 3 2 8" xfId="2837" xr:uid="{00000000-0005-0000-0000-0000BC210000}"/>
    <cellStyle name="Note 3 3 2 8 2" xfId="7060" xr:uid="{00000000-0005-0000-0000-0000BD210000}"/>
    <cellStyle name="Note 3 3 2 8 2 2" xfId="15510" xr:uid="{2F36570F-7FAF-4200-9D49-5E316CF9B44F}"/>
    <cellStyle name="Note 3 3 2 8 3" xfId="11292" xr:uid="{816F19C9-AC2F-4FF5-B62B-BE4030D75F4C}"/>
    <cellStyle name="Note 3 3 2 9" xfId="4915" xr:uid="{00000000-0005-0000-0000-0000BE210000}"/>
    <cellStyle name="Note 3 3 2 9 2" xfId="13365" xr:uid="{E75E1272-EA03-4975-8710-AD4706EE8574}"/>
    <cellStyle name="Note 3 3 3" xfId="1018" xr:uid="{00000000-0005-0000-0000-0000BF210000}"/>
    <cellStyle name="Note 3 3 3 2" xfId="3250" xr:uid="{00000000-0005-0000-0000-0000C0210000}"/>
    <cellStyle name="Note 3 3 3 2 2" xfId="7472" xr:uid="{00000000-0005-0000-0000-0000C1210000}"/>
    <cellStyle name="Note 3 3 3 2 2 2" xfId="15922" xr:uid="{51B9C19A-8139-4344-97F7-4A08D75405DA}"/>
    <cellStyle name="Note 3 3 3 2 3" xfId="11704" xr:uid="{1907546E-A8B0-4DF6-AEF0-438778BAAD0B}"/>
    <cellStyle name="Note 3 3 3 3" xfId="5327" xr:uid="{00000000-0005-0000-0000-0000C2210000}"/>
    <cellStyle name="Note 3 3 3 3 2" xfId="13777" xr:uid="{C226C8D2-1385-470F-A396-1520412A49F5}"/>
    <cellStyle name="Note 3 3 3 4" xfId="9559" xr:uid="{5F79F761-E1EA-45D3-9745-E23A73BF776B}"/>
    <cellStyle name="Note 3 3 4" xfId="1433" xr:uid="{00000000-0005-0000-0000-0000C3210000}"/>
    <cellStyle name="Note 3 3 4 2" xfId="3663" xr:uid="{00000000-0005-0000-0000-0000C4210000}"/>
    <cellStyle name="Note 3 3 4 2 2" xfId="7885" xr:uid="{00000000-0005-0000-0000-0000C5210000}"/>
    <cellStyle name="Note 3 3 4 2 2 2" xfId="16335" xr:uid="{5F530D15-ADA7-4079-AB4D-4997F54DBD8C}"/>
    <cellStyle name="Note 3 3 4 2 3" xfId="12117" xr:uid="{59FEFDF9-F55A-409F-AA62-134311CF5ABE}"/>
    <cellStyle name="Note 3 3 4 3" xfId="5740" xr:uid="{00000000-0005-0000-0000-0000C6210000}"/>
    <cellStyle name="Note 3 3 4 3 2" xfId="14190" xr:uid="{4A4DA2FA-906B-45A9-BF53-1E8916C72FB1}"/>
    <cellStyle name="Note 3 3 4 4" xfId="9972" xr:uid="{5ABD5BFF-EF54-4301-8D26-69D659ED0590}"/>
    <cellStyle name="Note 3 3 5" xfId="1847" xr:uid="{00000000-0005-0000-0000-0000C7210000}"/>
    <cellStyle name="Note 3 3 5 2" xfId="4076" xr:uid="{00000000-0005-0000-0000-0000C8210000}"/>
    <cellStyle name="Note 3 3 5 2 2" xfId="8298" xr:uid="{00000000-0005-0000-0000-0000C9210000}"/>
    <cellStyle name="Note 3 3 5 2 2 2" xfId="16748" xr:uid="{18CFB79B-824B-4E98-AEC4-DB387E75504C}"/>
    <cellStyle name="Note 3 3 5 2 3" xfId="12530" xr:uid="{20A2E1F6-D97D-43A8-AAE7-98D513CF4DC2}"/>
    <cellStyle name="Note 3 3 5 3" xfId="6153" xr:uid="{00000000-0005-0000-0000-0000CA210000}"/>
    <cellStyle name="Note 3 3 5 3 2" xfId="14603" xr:uid="{D9B32B17-75B5-4BFC-9741-6815DDF18171}"/>
    <cellStyle name="Note 3 3 5 4" xfId="10385" xr:uid="{615A3F6E-04A1-4D71-B260-BE4EE03A3E13}"/>
    <cellStyle name="Note 3 3 6" xfId="2260" xr:uid="{00000000-0005-0000-0000-0000CB210000}"/>
    <cellStyle name="Note 3 3 6 2" xfId="4489" xr:uid="{00000000-0005-0000-0000-0000CC210000}"/>
    <cellStyle name="Note 3 3 6 2 2" xfId="8711" xr:uid="{00000000-0005-0000-0000-0000CD210000}"/>
    <cellStyle name="Note 3 3 6 2 2 2" xfId="17161" xr:uid="{5D402A07-A169-4996-82AB-332D11FE7D69}"/>
    <cellStyle name="Note 3 3 6 2 3" xfId="12943" xr:uid="{F0422558-61B5-4CE7-AC5E-92F2669627ED}"/>
    <cellStyle name="Note 3 3 6 3" xfId="6566" xr:uid="{00000000-0005-0000-0000-0000CE210000}"/>
    <cellStyle name="Note 3 3 6 3 2" xfId="15016" xr:uid="{38005A4B-CED8-4340-8EAB-0CC8628E0086}"/>
    <cellStyle name="Note 3 3 6 4" xfId="10798" xr:uid="{ADC35B1E-3E54-4F6F-BFDE-9DE72DEAC8A8}"/>
    <cellStyle name="Note 3 3 7" xfId="2696" xr:uid="{00000000-0005-0000-0000-0000CF210000}"/>
    <cellStyle name="Note 3 3 7 2" xfId="6979" xr:uid="{00000000-0005-0000-0000-0000D0210000}"/>
    <cellStyle name="Note 3 3 7 2 2" xfId="15429" xr:uid="{49350408-9CEB-4ABC-85D4-090D336D1971}"/>
    <cellStyle name="Note 3 3 7 3" xfId="11211" xr:uid="{1CACD227-9136-4B43-96FE-02EF85769EF4}"/>
    <cellStyle name="Note 3 3 8" xfId="2755" xr:uid="{00000000-0005-0000-0000-0000D1210000}"/>
    <cellStyle name="Note 3 3 9" xfId="2836" xr:uid="{00000000-0005-0000-0000-0000D2210000}"/>
    <cellStyle name="Note 3 3 9 2" xfId="7059" xr:uid="{00000000-0005-0000-0000-0000D3210000}"/>
    <cellStyle name="Note 3 3 9 2 2" xfId="15509" xr:uid="{D3AFFAA5-41D8-44F0-B834-A255EE5AA71C}"/>
    <cellStyle name="Note 3 3 9 3" xfId="11291" xr:uid="{17E97DDE-D3B8-4427-941C-C77267B889A5}"/>
    <cellStyle name="Note 3 4" xfId="560" xr:uid="{00000000-0005-0000-0000-0000D4210000}"/>
    <cellStyle name="Note 3 4 10" xfId="9148" xr:uid="{E3171E2F-EC3C-4091-B49F-E036E828DFC8}"/>
    <cellStyle name="Note 3 4 2" xfId="1020" xr:uid="{00000000-0005-0000-0000-0000D5210000}"/>
    <cellStyle name="Note 3 4 2 2" xfId="3252" xr:uid="{00000000-0005-0000-0000-0000D6210000}"/>
    <cellStyle name="Note 3 4 2 2 2" xfId="7474" xr:uid="{00000000-0005-0000-0000-0000D7210000}"/>
    <cellStyle name="Note 3 4 2 2 2 2" xfId="15924" xr:uid="{218BD3E1-B290-48B4-8E14-C16EC50AE40F}"/>
    <cellStyle name="Note 3 4 2 2 3" xfId="11706" xr:uid="{632BA789-07BF-4FB1-9F77-11A08A94E2BA}"/>
    <cellStyle name="Note 3 4 2 3" xfId="5329" xr:uid="{00000000-0005-0000-0000-0000D8210000}"/>
    <cellStyle name="Note 3 4 2 3 2" xfId="13779" xr:uid="{1C5163AE-38A4-4F0A-B6B5-44096A9761F5}"/>
    <cellStyle name="Note 3 4 2 4" xfId="9561" xr:uid="{8544C197-E090-4167-9141-00A760BF7A9C}"/>
    <cellStyle name="Note 3 4 3" xfId="1435" xr:uid="{00000000-0005-0000-0000-0000D9210000}"/>
    <cellStyle name="Note 3 4 3 2" xfId="3665" xr:uid="{00000000-0005-0000-0000-0000DA210000}"/>
    <cellStyle name="Note 3 4 3 2 2" xfId="7887" xr:uid="{00000000-0005-0000-0000-0000DB210000}"/>
    <cellStyle name="Note 3 4 3 2 2 2" xfId="16337" xr:uid="{CD590FC7-54E2-485B-B2C3-9706DA50AC2C}"/>
    <cellStyle name="Note 3 4 3 2 3" xfId="12119" xr:uid="{6E6CF27C-7A84-47A4-A0F2-8FEBA630CEAF}"/>
    <cellStyle name="Note 3 4 3 3" xfId="5742" xr:uid="{00000000-0005-0000-0000-0000DC210000}"/>
    <cellStyle name="Note 3 4 3 3 2" xfId="14192" xr:uid="{4E58C94B-AD9D-43AB-A99C-29272B73E651}"/>
    <cellStyle name="Note 3 4 3 4" xfId="9974" xr:uid="{C67A46E2-6D08-4A78-A68D-65AAC7238990}"/>
    <cellStyle name="Note 3 4 4" xfId="1849" xr:uid="{00000000-0005-0000-0000-0000DD210000}"/>
    <cellStyle name="Note 3 4 4 2" xfId="4078" xr:uid="{00000000-0005-0000-0000-0000DE210000}"/>
    <cellStyle name="Note 3 4 4 2 2" xfId="8300" xr:uid="{00000000-0005-0000-0000-0000DF210000}"/>
    <cellStyle name="Note 3 4 4 2 2 2" xfId="16750" xr:uid="{4F950518-E739-467D-91DA-B834E1A9F392}"/>
    <cellStyle name="Note 3 4 4 2 3" xfId="12532" xr:uid="{0EE05866-5723-4E65-8F25-1A2D761FB4A2}"/>
    <cellStyle name="Note 3 4 4 3" xfId="6155" xr:uid="{00000000-0005-0000-0000-0000E0210000}"/>
    <cellStyle name="Note 3 4 4 3 2" xfId="14605" xr:uid="{5A9A9161-CDC6-4030-8D56-1A7306B6C1BB}"/>
    <cellStyle name="Note 3 4 4 4" xfId="10387" xr:uid="{E7A048E3-33E3-486B-A0CD-7FEDB33E0FB8}"/>
    <cellStyle name="Note 3 4 5" xfId="2262" xr:uid="{00000000-0005-0000-0000-0000E1210000}"/>
    <cellStyle name="Note 3 4 5 2" xfId="4491" xr:uid="{00000000-0005-0000-0000-0000E2210000}"/>
    <cellStyle name="Note 3 4 5 2 2" xfId="8713" xr:uid="{00000000-0005-0000-0000-0000E3210000}"/>
    <cellStyle name="Note 3 4 5 2 2 2" xfId="17163" xr:uid="{FEC455F5-8D09-4864-ABDC-9D548AE2625F}"/>
    <cellStyle name="Note 3 4 5 2 3" xfId="12945" xr:uid="{286CA11A-9A59-436F-B1CD-02DB127151FA}"/>
    <cellStyle name="Note 3 4 5 3" xfId="6568" xr:uid="{00000000-0005-0000-0000-0000E4210000}"/>
    <cellStyle name="Note 3 4 5 3 2" xfId="15018" xr:uid="{C54A2F81-ED98-4443-9F08-5C267A9CA097}"/>
    <cellStyle name="Note 3 4 5 4" xfId="10800" xr:uid="{36DFECEA-5F02-4F4B-BBE3-1CF9136A015C}"/>
    <cellStyle name="Note 3 4 6" xfId="2698" xr:uid="{00000000-0005-0000-0000-0000E5210000}"/>
    <cellStyle name="Note 3 4 6 2" xfId="6981" xr:uid="{00000000-0005-0000-0000-0000E6210000}"/>
    <cellStyle name="Note 3 4 6 2 2" xfId="15431" xr:uid="{B531D6E2-B695-4813-A9FC-A7BF163B3608}"/>
    <cellStyle name="Note 3 4 6 3" xfId="11213" xr:uid="{CD4BC440-A264-48BF-B705-387F0823BC88}"/>
    <cellStyle name="Note 3 4 7" xfId="2757" xr:uid="{00000000-0005-0000-0000-0000E7210000}"/>
    <cellStyle name="Note 3 4 8" xfId="2838" xr:uid="{00000000-0005-0000-0000-0000E8210000}"/>
    <cellStyle name="Note 3 4 8 2" xfId="7061" xr:uid="{00000000-0005-0000-0000-0000E9210000}"/>
    <cellStyle name="Note 3 4 8 2 2" xfId="15511" xr:uid="{0A79E9DE-2CFC-4080-8612-A0ECF3653629}"/>
    <cellStyle name="Note 3 4 8 3" xfId="11293" xr:uid="{74FBA1DD-61F9-4513-8EC2-E37BBFB930EB}"/>
    <cellStyle name="Note 3 4 9" xfId="4916" xr:uid="{00000000-0005-0000-0000-0000EA210000}"/>
    <cellStyle name="Note 3 4 9 2" xfId="13366" xr:uid="{BDBC898B-358B-4F32-8B2C-6776AAACADD8}"/>
    <cellStyle name="Note 3 5" xfId="561" xr:uid="{00000000-0005-0000-0000-0000EB210000}"/>
    <cellStyle name="Note 3 5 10" xfId="9149" xr:uid="{81D8C171-6342-4995-9471-E6E25A0C9EF4}"/>
    <cellStyle name="Note 3 5 2" xfId="1021" xr:uid="{00000000-0005-0000-0000-0000EC210000}"/>
    <cellStyle name="Note 3 5 2 2" xfId="3253" xr:uid="{00000000-0005-0000-0000-0000ED210000}"/>
    <cellStyle name="Note 3 5 2 2 2" xfId="7475" xr:uid="{00000000-0005-0000-0000-0000EE210000}"/>
    <cellStyle name="Note 3 5 2 2 2 2" xfId="15925" xr:uid="{ED0C0949-B78F-4EF5-B674-F585FE9E50F1}"/>
    <cellStyle name="Note 3 5 2 2 3" xfId="11707" xr:uid="{C5A4787A-B79A-472D-BE5D-D492101E0DD2}"/>
    <cellStyle name="Note 3 5 2 3" xfId="5330" xr:uid="{00000000-0005-0000-0000-0000EF210000}"/>
    <cellStyle name="Note 3 5 2 3 2" xfId="13780" xr:uid="{B2A1EF36-6DA5-43AD-BBA1-3FE50C74DB68}"/>
    <cellStyle name="Note 3 5 2 4" xfId="9562" xr:uid="{03604E09-BE19-4E8C-ADF3-6812A0C4AED7}"/>
    <cellStyle name="Note 3 5 3" xfId="1436" xr:uid="{00000000-0005-0000-0000-0000F0210000}"/>
    <cellStyle name="Note 3 5 3 2" xfId="3666" xr:uid="{00000000-0005-0000-0000-0000F1210000}"/>
    <cellStyle name="Note 3 5 3 2 2" xfId="7888" xr:uid="{00000000-0005-0000-0000-0000F2210000}"/>
    <cellStyle name="Note 3 5 3 2 2 2" xfId="16338" xr:uid="{6CB32217-C3CD-433E-A161-751009F4B81B}"/>
    <cellStyle name="Note 3 5 3 2 3" xfId="12120" xr:uid="{2C1453FC-DE95-4695-AEA8-148D4100F50F}"/>
    <cellStyle name="Note 3 5 3 3" xfId="5743" xr:uid="{00000000-0005-0000-0000-0000F3210000}"/>
    <cellStyle name="Note 3 5 3 3 2" xfId="14193" xr:uid="{56EC0DB5-F1D2-4401-ADBD-CB1ED4D81C6C}"/>
    <cellStyle name="Note 3 5 3 4" xfId="9975" xr:uid="{E8319E88-719E-4B28-AD07-3A00EFCD030F}"/>
    <cellStyle name="Note 3 5 4" xfId="1850" xr:uid="{00000000-0005-0000-0000-0000F4210000}"/>
    <cellStyle name="Note 3 5 4 2" xfId="4079" xr:uid="{00000000-0005-0000-0000-0000F5210000}"/>
    <cellStyle name="Note 3 5 4 2 2" xfId="8301" xr:uid="{00000000-0005-0000-0000-0000F6210000}"/>
    <cellStyle name="Note 3 5 4 2 2 2" xfId="16751" xr:uid="{D941F039-FAAD-4A7E-83EB-7E0152ABC57D}"/>
    <cellStyle name="Note 3 5 4 2 3" xfId="12533" xr:uid="{00D5A27F-7D66-42C2-BA5E-F9D2ECEEEA59}"/>
    <cellStyle name="Note 3 5 4 3" xfId="6156" xr:uid="{00000000-0005-0000-0000-0000F7210000}"/>
    <cellStyle name="Note 3 5 4 3 2" xfId="14606" xr:uid="{47E54BC4-568D-4F52-822B-95344433B00B}"/>
    <cellStyle name="Note 3 5 4 4" xfId="10388" xr:uid="{5B61651E-78ED-4A0E-B00C-F8F8C7A1F634}"/>
    <cellStyle name="Note 3 5 5" xfId="2263" xr:uid="{00000000-0005-0000-0000-0000F8210000}"/>
    <cellStyle name="Note 3 5 5 2" xfId="4492" xr:uid="{00000000-0005-0000-0000-0000F9210000}"/>
    <cellStyle name="Note 3 5 5 2 2" xfId="8714" xr:uid="{00000000-0005-0000-0000-0000FA210000}"/>
    <cellStyle name="Note 3 5 5 2 2 2" xfId="17164" xr:uid="{596ECFA7-F4E3-454E-84EE-B5A0B5E7A624}"/>
    <cellStyle name="Note 3 5 5 2 3" xfId="12946" xr:uid="{D0EE8A98-5C8A-4854-8E80-B910C524E994}"/>
    <cellStyle name="Note 3 5 5 3" xfId="6569" xr:uid="{00000000-0005-0000-0000-0000FB210000}"/>
    <cellStyle name="Note 3 5 5 3 2" xfId="15019" xr:uid="{CA934B6A-60DB-46E8-A5E7-76DA1BAB79D2}"/>
    <cellStyle name="Note 3 5 5 4" xfId="10801" xr:uid="{4AA29053-0968-4920-96AD-8FB48A17D474}"/>
    <cellStyle name="Note 3 5 6" xfId="2699" xr:uid="{00000000-0005-0000-0000-0000FC210000}"/>
    <cellStyle name="Note 3 5 6 2" xfId="6982" xr:uid="{00000000-0005-0000-0000-0000FD210000}"/>
    <cellStyle name="Note 3 5 6 2 2" xfId="15432" xr:uid="{A9901BD2-B02B-4E9F-86F2-DFD316B746E5}"/>
    <cellStyle name="Note 3 5 6 3" xfId="11214" xr:uid="{E6F47A10-CD1C-4BBF-896A-57326B65217C}"/>
    <cellStyle name="Note 3 5 7" xfId="2758" xr:uid="{00000000-0005-0000-0000-0000FE210000}"/>
    <cellStyle name="Note 3 5 8" xfId="2839" xr:uid="{00000000-0005-0000-0000-0000FF210000}"/>
    <cellStyle name="Note 3 5 8 2" xfId="7062" xr:uid="{00000000-0005-0000-0000-000000220000}"/>
    <cellStyle name="Note 3 5 8 2 2" xfId="15512" xr:uid="{C43534D9-4575-465D-A8B8-CC65670F21C9}"/>
    <cellStyle name="Note 3 5 8 3" xfId="11294" xr:uid="{1A2D3685-0BE0-4B5C-8E61-7CFF52FBC80D}"/>
    <cellStyle name="Note 3 5 9" xfId="4917" xr:uid="{00000000-0005-0000-0000-000001220000}"/>
    <cellStyle name="Note 3 5 9 2" xfId="13367" xr:uid="{5B18410D-3F55-4BE3-B4E4-AC018F8CF7F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FD45401B-6C7A-4D4C-9212-3AE1345FD70B}"/>
    <cellStyle name="Percent 4" xfId="4502" xr:uid="{00000000-0005-0000-0000-000007220000}"/>
    <cellStyle name="Percent 4 2" xfId="8717" xr:uid="{00000000-0005-0000-0000-000008220000}"/>
    <cellStyle name="Percent 4 2 2" xfId="17167" xr:uid="{7331C4A0-CBC5-408C-B4FD-76805FDD801C}"/>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BD16B498-BE68-46CE-A234-94FD239D08D6}"/>
    <cellStyle name="Percent 4 3 2 2 2 3" xfId="17180" xr:uid="{B176D32F-800E-46CF-8F01-7F19EB0843A1}"/>
    <cellStyle name="Percent 4 3 2 2 3" xfId="17176" xr:uid="{BEEFB52E-7FBF-4578-A8FF-A1CC2C0AB3C6}"/>
    <cellStyle name="Percent 4 3 2 3" xfId="17173" xr:uid="{4EEB1D24-D91F-42CB-945E-B925825F9EA0}"/>
    <cellStyle name="Percent 4 3 3" xfId="17170" xr:uid="{661B18C2-C7D9-48F8-9EFF-0A5BFBAE6C96}"/>
    <cellStyle name="Percent 4 4" xfId="12953" xr:uid="{2314693A-D820-4B98-A7BF-787D5C641C4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79000-21679999\21679890\L\L\West%20Sacramento%20-%202025%202nd%20Round%204%25%20-%20Application%20(ID%2021679890).xlsx" TargetMode="External"/><Relationship Id="rId1" Type="http://schemas.openxmlformats.org/officeDocument/2006/relationships/externalLinkPath" Target="/Danco/ID2/A3108815-C4F0-433C-9B1A-4C97292995EF/0/21679000-21679999/21679890/L/L/West%20Sacramento%20-%202025%202nd%20Round%204%25%20-%20Application%20(ID%20216798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557">
          <cell r="AM557">
            <v>4500000</v>
          </cell>
        </row>
        <row r="629">
          <cell r="AO629">
            <v>1850000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551</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2604</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2603</v>
      </c>
      <c r="E18" s="441"/>
      <c r="G18" s="441"/>
      <c r="H18" s="441"/>
      <c r="I18" s="441"/>
      <c r="J18" s="1274" t="s">
        <v>2602</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2518</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4" t="s">
        <v>1173</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1176</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1259</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7" sqref="L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5" t="s">
        <v>1586</v>
      </c>
      <c r="B1" s="2665"/>
      <c r="C1" s="2665"/>
      <c r="D1" s="2665"/>
      <c r="E1" s="2665"/>
      <c r="F1" s="2665"/>
      <c r="G1" s="2665"/>
      <c r="H1" s="2665"/>
      <c r="I1" s="2665"/>
      <c r="J1" s="2665"/>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43596200</v>
      </c>
      <c r="I3" s="1105"/>
    </row>
    <row r="4" spans="1:13" s="1051" customFormat="1" ht="20.100000000000001" customHeight="1">
      <c r="B4" s="1094"/>
      <c r="D4" s="1108"/>
      <c r="F4" s="1092" t="s">
        <v>1992</v>
      </c>
      <c r="G4" s="1091" t="s">
        <v>1991</v>
      </c>
      <c r="H4" s="1093">
        <f>I18</f>
        <v>39987836.919771239</v>
      </c>
      <c r="I4" s="1095"/>
      <c r="K4" s="1055"/>
    </row>
    <row r="5" spans="1:13" s="1051" customFormat="1" ht="20.100000000000001" customHeight="1" thickBot="1">
      <c r="B5" s="1096"/>
      <c r="C5" s="1097"/>
      <c r="D5" s="1109"/>
      <c r="E5" s="1098"/>
      <c r="F5" s="1109" t="s">
        <v>1942</v>
      </c>
      <c r="G5" s="1110"/>
      <c r="H5" s="1106">
        <f>IFERROR(H3/H4,0)</f>
        <v>1.0902365158552667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8" t="s">
        <v>1940</v>
      </c>
      <c r="C8" s="2669"/>
      <c r="D8" s="2669"/>
      <c r="E8" s="2670"/>
      <c r="G8" s="2645" t="s">
        <v>1941</v>
      </c>
      <c r="H8" s="2646"/>
      <c r="I8" s="2647"/>
      <c r="K8" s="1057"/>
    </row>
    <row r="9" spans="1:13" ht="15" customHeight="1">
      <c r="A9" s="1046"/>
      <c r="B9" s="2666" t="s">
        <v>1974</v>
      </c>
      <c r="C9" s="2666"/>
      <c r="D9" s="2666"/>
      <c r="E9" s="1059">
        <f>G33</f>
        <v>9400000</v>
      </c>
      <c r="G9" s="2658" t="s">
        <v>1972</v>
      </c>
      <c r="H9" s="2658"/>
      <c r="I9" s="1060">
        <f>SUMIF(Application!M554:M565,"Loan, Tax-Exempt",Application!AM554:AM565)</f>
        <v>20832992</v>
      </c>
      <c r="K9" s="1061"/>
      <c r="M9" s="1062"/>
    </row>
    <row r="10" spans="1:13" ht="15" customHeight="1" thickBot="1">
      <c r="A10" s="1046"/>
      <c r="B10" s="2666" t="s">
        <v>1975</v>
      </c>
      <c r="C10" s="2666"/>
      <c r="D10" s="2666"/>
      <c r="E10" s="1060">
        <f>G47</f>
        <v>14182200.000000002</v>
      </c>
      <c r="G10" s="2672" t="s">
        <v>1943</v>
      </c>
      <c r="H10" s="2672"/>
      <c r="I10" s="1140">
        <f>'Basis &amp; Credits'!AB78</f>
        <v>20635374</v>
      </c>
      <c r="M10" s="1062"/>
    </row>
    <row r="11" spans="1:13" ht="15" customHeight="1">
      <c r="A11" s="1046"/>
      <c r="B11" s="2659" t="s">
        <v>2263</v>
      </c>
      <c r="C11" s="2660"/>
      <c r="D11" s="2661"/>
      <c r="E11" s="1060">
        <f>SUM(E12,E13)</f>
        <v>650000</v>
      </c>
      <c r="G11" s="2657" t="s">
        <v>1983</v>
      </c>
      <c r="H11" s="2657"/>
      <c r="I11" s="1139">
        <f>I9+I10</f>
        <v>41468366</v>
      </c>
      <c r="M11" s="1062"/>
    </row>
    <row r="12" spans="1:13" ht="15" customHeight="1">
      <c r="A12" s="1063"/>
      <c r="B12" s="2667" t="s">
        <v>2265</v>
      </c>
      <c r="C12" s="2667"/>
      <c r="D12" s="2667"/>
      <c r="E12" s="1165">
        <f>G56</f>
        <v>190000</v>
      </c>
      <c r="M12" s="1062"/>
    </row>
    <row r="13" spans="1:13" ht="15" customHeight="1">
      <c r="A13" s="1049"/>
      <c r="B13" s="2667" t="s">
        <v>2266</v>
      </c>
      <c r="C13" s="2667"/>
      <c r="D13" s="2667"/>
      <c r="E13" s="1165">
        <f>G65</f>
        <v>460000</v>
      </c>
      <c r="G13" s="2645" t="s">
        <v>2006</v>
      </c>
      <c r="H13" s="2646"/>
      <c r="I13" s="2647"/>
      <c r="M13" s="1062"/>
    </row>
    <row r="14" spans="1:13" ht="15" customHeight="1">
      <c r="A14" s="1049"/>
      <c r="B14" s="2659" t="s">
        <v>2264</v>
      </c>
      <c r="C14" s="2660"/>
      <c r="D14" s="2661"/>
      <c r="E14" s="1167">
        <f>MAX(E15,E16)+E17</f>
        <v>19364000</v>
      </c>
      <c r="G14" s="2658" t="s">
        <v>139</v>
      </c>
      <c r="H14" s="2658"/>
      <c r="I14" s="1064">
        <f>15%*(AND(G120="Yes",G122&lt;&gt;""))</f>
        <v>0</v>
      </c>
      <c r="M14" s="1062"/>
    </row>
    <row r="15" spans="1:13" ht="15" customHeight="1">
      <c r="A15" s="1049"/>
      <c r="B15" s="2642" t="s">
        <v>2270</v>
      </c>
      <c r="C15" s="2643"/>
      <c r="D15" s="2644"/>
      <c r="E15" s="1165">
        <f>G80</f>
        <v>5640000</v>
      </c>
      <c r="G15" s="1137" t="s">
        <v>1984</v>
      </c>
      <c r="H15" s="1137"/>
      <c r="I15" s="1064">
        <f>IF(Application!AJ1032&gt;0,10%,IF(Application!AJ1036&gt;0,5%,0))</f>
        <v>0.05</v>
      </c>
      <c r="M15" s="1062"/>
    </row>
    <row r="16" spans="1:13" ht="15" customHeight="1">
      <c r="A16" s="1049"/>
      <c r="B16" s="2642" t="s">
        <v>2269</v>
      </c>
      <c r="C16" s="2643"/>
      <c r="D16" s="2644"/>
      <c r="E16" s="1165">
        <f>G90</f>
        <v>0</v>
      </c>
      <c r="G16" s="2658" t="s">
        <v>1985</v>
      </c>
      <c r="H16" s="2658"/>
      <c r="I16" s="1064">
        <f>G132</f>
        <v>-1.4297385620915032E-2</v>
      </c>
    </row>
    <row r="17" spans="1:21" ht="15" customHeight="1" thickBot="1">
      <c r="A17" s="1049"/>
      <c r="B17" s="2642" t="s">
        <v>2268</v>
      </c>
      <c r="C17" s="2643"/>
      <c r="D17" s="2644"/>
      <c r="E17" s="1165">
        <f>G115</f>
        <v>13724000</v>
      </c>
      <c r="G17" s="2658" t="s">
        <v>2278</v>
      </c>
      <c r="H17" s="2658"/>
      <c r="I17" s="1064">
        <f>IF(AND(G139="Yes",OR(G136,G137)),IF(G143&gt;15%,15%,G143),0)</f>
        <v>0</v>
      </c>
    </row>
    <row r="18" spans="1:21" ht="15" customHeight="1">
      <c r="A18" s="1046"/>
      <c r="B18" s="2671" t="s">
        <v>1939</v>
      </c>
      <c r="C18" s="2671"/>
      <c r="D18" s="2671"/>
      <c r="E18" s="1111">
        <f>SUM(E9:E11,E14)</f>
        <v>43596200</v>
      </c>
      <c r="G18" s="1138" t="s">
        <v>1973</v>
      </c>
      <c r="H18" s="1138"/>
      <c r="I18" s="1112">
        <f>I11-((I11*I14)+(I11*I15)+(I11*I16)+(I11*I17))</f>
        <v>39987836.919771239</v>
      </c>
      <c r="M18" s="1065">
        <f>SUM(Cdlac[Quantity])</f>
        <v>151</v>
      </c>
      <c r="O18" s="1084" t="s">
        <v>583</v>
      </c>
      <c r="P18" s="1044">
        <f>MATCH(Application!T189,Application!CB160:CB217,0)</f>
        <v>57</v>
      </c>
      <c r="T18" s="1065">
        <f>SUM(Cdlac[Population])</f>
        <v>19</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708.6</v>
      </c>
      <c r="Q20" s="1164"/>
      <c r="R20" s="1065" cm="1">
        <f t="array" ref="R20">IF(Cdlac[[#This Row],[Quantity]]&gt;0,INDEX(HudFmrs,$P$18,Cdlac[[#This Row],[Bedrooms]]+1),"")</f>
        <v>1613</v>
      </c>
      <c r="S20" s="1065">
        <f>IF(Cdlac[[#This Row],[Quantity]]&gt;0,MAX(0,Cdlac[[#This Row],[Fair Market Rent]]-IF(AND($G$37,$G$38,$G$38&lt;&gt;"",NOT(Cdlac[[#This Row],[Federal]]),Cdlac[[#This Row],[Preservation Rent]]&lt;&gt;""),Cdlac[[#This Row],[Preservation Rent]],Cdlac[[#This Row],[Restricted Rent]])),"")</f>
        <v>904.4</v>
      </c>
      <c r="T20" s="1044">
        <f>IF(Cdlac[[#This Row],[Quantity]]&gt;0,AND(Application!AK718&lt;&gt;"N/A",Application!AK718&lt;&gt;"")*Cdlac[[#This Row],[Quantity]],"")</f>
        <v>9</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1181</v>
      </c>
      <c r="Q21" s="1164"/>
      <c r="R21" s="1065" cm="1">
        <f t="array" ref="R21">IF(Cdlac[[#This Row],[Quantity]]&gt;0,INDEX(HudFmrs,$P$18,Cdlac[[#This Row],[Bedrooms]]+1),"")</f>
        <v>1613</v>
      </c>
      <c r="S21" s="1065">
        <f>IF(Cdlac[[#This Row],[Quantity]]&gt;0,MAX(0,Cdlac[[#This Row],[Fair Market Rent]]-IF(AND($G$37,$G$38,$G$38&lt;&gt;"",NOT(Cdlac[[#This Row],[Federal]]),Cdlac[[#This Row],[Preservation Rent]]&lt;&gt;""),Cdlac[[#This Row],[Preservation Rent]],Cdlac[[#This Row],[Restricted Rent]])),"")</f>
        <v>432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49" t="s">
        <v>1987</v>
      </c>
      <c r="D22" s="2649" t="s">
        <v>1988</v>
      </c>
      <c r="E22" s="2649" t="s">
        <v>1989</v>
      </c>
      <c r="F22" s="2649" t="s">
        <v>2609</v>
      </c>
      <c r="G22" s="2649" t="s">
        <v>1986</v>
      </c>
      <c r="H22" s="1070"/>
      <c r="I22" s="1069"/>
      <c r="L22" s="1044">
        <f>IFERROR(MIN(4,MATCH(Application!B720,UnitSizes,0)-1),"")</f>
        <v>1</v>
      </c>
      <c r="M22" s="1065">
        <f>Application!G720</f>
        <v>8</v>
      </c>
      <c r="N22" s="1071">
        <f>Application!AC720</f>
        <v>0.6</v>
      </c>
      <c r="O22" s="1071">
        <f>IF(Cdlac[[#This Row],[Quantity]]&gt;0,IF(Cdlac[[#This Row],[Federal]],30%,IF(AND(OR(NOT($G$38),$G$38=""),$G$43),40%,Cdlac[[#This Row],[iAMI]])),"")</f>
        <v>0.6</v>
      </c>
      <c r="P22" s="1065" cm="1">
        <f t="array" ref="P22">IF(Cdlac[[#This Row],[Quantity]]&gt;0,INDEX(TcacRents,$P$18,Cdlac[[#This Row],[Bedrooms]]+1)*Cdlac[[#This Row],[AMI]],"")</f>
        <v>1417.2</v>
      </c>
      <c r="Q22" s="1164"/>
      <c r="R22" s="1065" cm="1">
        <f t="array" ref="R22">IF(Cdlac[[#This Row],[Quantity]]&gt;0,INDEX(HudFmrs,$P$18,Cdlac[[#This Row],[Bedrooms]]+1),"")</f>
        <v>1613</v>
      </c>
      <c r="S22" s="1065">
        <f>IF(Cdlac[[#This Row],[Quantity]]&gt;0,MAX(0,Cdlac[[#This Row],[Fair Market Rent]]-IF(AND($G$37,$G$38,$G$38&lt;&gt;"",NOT(Cdlac[[#This Row],[Federal]]),Cdlac[[#This Row],[Preservation Rent]]&lt;&gt;""),Cdlac[[#This Row],[Preservation Rent]],Cdlac[[#This Row],[Restricted Rent]])),"")</f>
        <v>195.79999999999995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0"/>
      <c r="D23" s="2650"/>
      <c r="E23" s="2650"/>
      <c r="F23" s="2650"/>
      <c r="G23" s="2650"/>
      <c r="H23" s="1070"/>
      <c r="I23" s="1069"/>
      <c r="L23" s="1044">
        <f>IFERROR(MIN(4,MATCH(Application!B721,UnitSizes,0)-1),"")</f>
        <v>2</v>
      </c>
      <c r="M23" s="1065">
        <f>Application!G721</f>
        <v>10</v>
      </c>
      <c r="N23" s="1071">
        <f>Application!AC721</f>
        <v>0.3</v>
      </c>
      <c r="O23" s="1071">
        <f>IF(Cdlac[[#This Row],[Quantity]]&gt;0,IF(Cdlac[[#This Row],[Federal]],30%,IF(AND(OR(NOT($G$38),$G$38=""),$G$43),40%,Cdlac[[#This Row],[iAMI]])),"")</f>
        <v>0.3</v>
      </c>
      <c r="P23" s="1065" cm="1">
        <f t="array" ref="P23">IF(Cdlac[[#This Row],[Quantity]]&gt;0,INDEX(TcacRents,$P$18,Cdlac[[#This Row],[Bedrooms]]+1)*Cdlac[[#This Row],[AMI]],"")</f>
        <v>849.6</v>
      </c>
      <c r="Q23" s="1164"/>
      <c r="R23" s="1065" cm="1">
        <f t="array" ref="R23">IF(Cdlac[[#This Row],[Quantity]]&gt;0,INDEX(HudFmrs,$P$18,Cdlac[[#This Row],[Bedrooms]]+1),"")</f>
        <v>2116</v>
      </c>
      <c r="S23" s="1065">
        <f>IF(Cdlac[[#This Row],[Quantity]]&gt;0,MAX(0,Cdlac[[#This Row],[Fair Market Rent]]-IF(AND($G$37,$G$38,$G$38&lt;&gt;"",NOT(Cdlac[[#This Row],[Federal]]),Cdlac[[#This Row],[Preservation Rent]]&lt;&gt;""),Cdlac[[#This Row],[Preservation Rent]],Cdlac[[#This Row],[Restricted Rent]])),"")</f>
        <v>1266.4000000000001</v>
      </c>
      <c r="T23" s="1044">
        <f>IF(Cdlac[[#This Row],[Quantity]]&gt;0,AND(Application!AK721&lt;&gt;"N/A",Application!AK721&lt;&gt;"")*Cdlac[[#This Row],[Quantity]],"")</f>
        <v>10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0.5</v>
      </c>
      <c r="O24" s="1071">
        <f>IF(Cdlac[[#This Row],[Quantity]]&gt;0,IF(Cdlac[[#This Row],[Federal]],30%,IF(AND(OR(NOT($G$38),$G$38=""),$G$43),40%,Cdlac[[#This Row],[iAMI]])),"")</f>
        <v>0.5</v>
      </c>
      <c r="P24" s="1065" cm="1">
        <f t="array" ref="P24">IF(Cdlac[[#This Row],[Quantity]]&gt;0,INDEX(TcacRents,$P$18,Cdlac[[#This Row],[Bedrooms]]+1)*Cdlac[[#This Row],[AMI]],"")</f>
        <v>1416</v>
      </c>
      <c r="Q24" s="1164"/>
      <c r="R24" s="1065" cm="1">
        <f t="array" ref="R24">IF(Cdlac[[#This Row],[Quantity]]&gt;0,INDEX(HudFmrs,$P$18,Cdlac[[#This Row],[Bedrooms]]+1),"")</f>
        <v>2116</v>
      </c>
      <c r="S24" s="1065">
        <f>IF(Cdlac[[#This Row],[Quantity]]&gt;0,MAX(0,Cdlac[[#This Row],[Fair Market Rent]]-IF(AND($G$37,$G$38,$G$38&lt;&gt;"",NOT(Cdlac[[#This Row],[Federal]]),Cdlac[[#This Row],[Preservation Rent]]&lt;&gt;""),Cdlac[[#This Row],[Preservation Rent]],Cdlac[[#This Row],[Restricted Rent]])),"")</f>
        <v>700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42</v>
      </c>
      <c r="F25" s="1072">
        <f>E25</f>
        <v>42</v>
      </c>
      <c r="G25" s="1072">
        <f>D25*F25</f>
        <v>42</v>
      </c>
      <c r="L25" s="1044">
        <f>IFERROR(MIN(4,MATCH(Application!B723,UnitSizes,0)-1),"")</f>
        <v>2</v>
      </c>
      <c r="M25" s="1065">
        <f>Application!G723</f>
        <v>20</v>
      </c>
      <c r="N25" s="1071">
        <f>Application!AC723</f>
        <v>0.6</v>
      </c>
      <c r="O25" s="1071">
        <f>IF(Cdlac[[#This Row],[Quantity]]&gt;0,IF(Cdlac[[#This Row],[Federal]],30%,IF(AND(OR(NOT($G$38),$G$38=""),$G$43),40%,Cdlac[[#This Row],[iAMI]])),"")</f>
        <v>0.6</v>
      </c>
      <c r="P25" s="1065" cm="1">
        <f t="array" ref="P25">IF(Cdlac[[#This Row],[Quantity]]&gt;0,INDEX(TcacRents,$P$18,Cdlac[[#This Row],[Bedrooms]]+1)*Cdlac[[#This Row],[AMI]],"")</f>
        <v>1699.2</v>
      </c>
      <c r="Q25" s="1164"/>
      <c r="R25" s="1065" cm="1">
        <f t="array" ref="R25">IF(Cdlac[[#This Row],[Quantity]]&gt;0,INDEX(HudFmrs,$P$18,Cdlac[[#This Row],[Bedrooms]]+1),"")</f>
        <v>2116</v>
      </c>
      <c r="S25" s="1065">
        <f>IF(Cdlac[[#This Row],[Quantity]]&gt;0,MAX(0,Cdlac[[#This Row],[Fair Market Rent]]-IF(AND($G$37,$G$38,$G$38&lt;&gt;"",NOT(Cdlac[[#This Row],[Federal]]),Cdlac[[#This Row],[Preservation Rent]]&lt;&gt;""),Cdlac[[#This Row],[Preservation Rent]],Cdlac[[#This Row],[Restricted Rent]])),"")</f>
        <v>416.79999999999995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70</v>
      </c>
      <c r="F26" s="1075">
        <f>SUM(E26:E28)-SUM(F27:F28)</f>
        <v>70</v>
      </c>
      <c r="G26" s="1072">
        <f>D26*F26</f>
        <v>87.5</v>
      </c>
      <c r="H26" s="1074"/>
      <c r="I26" s="1074"/>
      <c r="L26" s="1044">
        <f>IFERROR(MIN(4,MATCH(Application!B724,UnitSizes,0)-1),"")</f>
        <v>3</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981.59999999999991</v>
      </c>
      <c r="Q26" s="1164"/>
      <c r="R26" s="1065" cm="1">
        <f t="array" ref="R26">IF(Cdlac[[#This Row],[Quantity]]&gt;0,INDEX(HudFmrs,$P$18,Cdlac[[#This Row],[Bedrooms]]+1),"")</f>
        <v>2944</v>
      </c>
      <c r="S26" s="1065">
        <f>IF(Cdlac[[#This Row],[Quantity]]&gt;0,MAX(0,Cdlac[[#This Row],[Fair Market Rent]]-IF(AND($G$37,$G$38,$G$38&lt;&gt;"",NOT(Cdlac[[#This Row],[Federal]]),Cdlac[[#This Row],[Preservation Rent]]&lt;&gt;""),Cdlac[[#This Row],[Preservation Rent]],Cdlac[[#This Row],[Restricted Rent]])),"")</f>
        <v>1962.4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39</v>
      </c>
      <c r="F27" s="1075">
        <f>MIN(E27,ROUNDDOWN(E29*30%,0))</f>
        <v>39</v>
      </c>
      <c r="G27" s="1072">
        <f>D27*F27</f>
        <v>58.5</v>
      </c>
      <c r="H27" s="1074"/>
      <c r="I27" s="1074"/>
      <c r="L27" s="1044">
        <f>IFERROR(MIN(4,MATCH(Application!B725,UnitSizes,0)-1),"")</f>
        <v>3</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1636</v>
      </c>
      <c r="Q27" s="1164"/>
      <c r="R27" s="1065" cm="1">
        <f t="array" ref="R27">IF(Cdlac[[#This Row],[Quantity]]&gt;0,INDEX(HudFmrs,$P$18,Cdlac[[#This Row],[Bedrooms]]+1),"")</f>
        <v>2944</v>
      </c>
      <c r="S27" s="1065">
        <f>IF(Cdlac[[#This Row],[Quantity]]&gt;0,MAX(0,Cdlac[[#This Row],[Fair Market Rent]]-IF(AND($G$37,$G$38,$G$38&lt;&gt;"",NOT(Cdlac[[#This Row],[Federal]]),Cdlac[[#This Row],[Preservation Rent]]&lt;&gt;""),Cdlac[[#This Row],[Preservation Rent]],Cdlac[[#This Row],[Restricted Rent]])),"")</f>
        <v>1308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10</v>
      </c>
      <c r="N28" s="1071">
        <f>Application!AC726</f>
        <v>0.6</v>
      </c>
      <c r="O28" s="1071">
        <f>IF(Cdlac[[#This Row],[Quantity]]&gt;0,IF(Cdlac[[#This Row],[Federal]],30%,IF(AND(OR(NOT($G$38),$G$38=""),$G$43),40%,Cdlac[[#This Row],[iAMI]])),"")</f>
        <v>0.6</v>
      </c>
      <c r="P28" s="1065" cm="1">
        <f t="array" ref="P28">IF(Cdlac[[#This Row],[Quantity]]&gt;0,INDEX(TcacRents,$P$18,Cdlac[[#This Row],[Bedrooms]]+1)*Cdlac[[#This Row],[AMI]],"")</f>
        <v>1963.1999999999998</v>
      </c>
      <c r="Q28" s="1164"/>
      <c r="R28" s="1065" cm="1">
        <f t="array" ref="R28">IF(Cdlac[[#This Row],[Quantity]]&gt;0,INDEX(HudFmrs,$P$18,Cdlac[[#This Row],[Bedrooms]]+1),"")</f>
        <v>2944</v>
      </c>
      <c r="S28" s="1065">
        <f>IF(Cdlac[[#This Row],[Quantity]]&gt;0,MAX(0,Cdlac[[#This Row],[Fair Market Rent]]-IF(AND($G$37,$G$38,$G$38&lt;&gt;"",NOT(Cdlac[[#This Row],[Federal]]),Cdlac[[#This Row],[Preservation Rent]]&lt;&gt;""),Cdlac[[#This Row],[Preservation Rent]],Cdlac[[#This Row],[Restricted Rent]])),"")</f>
        <v>980.80000000000018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1" t="s">
        <v>1587</v>
      </c>
      <c r="D29" s="2652"/>
      <c r="E29" s="1089">
        <f>SUM(E24:E28)</f>
        <v>151</v>
      </c>
      <c r="F29" s="1089">
        <f>SUM(F24:F28)</f>
        <v>151</v>
      </c>
      <c r="G29" s="1090">
        <f>SUMPRODUCT(D24:D28,F24:F28)</f>
        <v>188</v>
      </c>
      <c r="H29" s="1074"/>
      <c r="I29" s="1074"/>
      <c r="L29" s="1044">
        <f>IFERROR(MIN(4,MATCH(Application!B727,UnitSizes,0)-1),"")</f>
        <v>1</v>
      </c>
      <c r="M29" s="1065">
        <f>Application!G727</f>
        <v>20</v>
      </c>
      <c r="N29" s="1071">
        <f>Application!AC727</f>
        <v>0.7</v>
      </c>
      <c r="O29" s="1071">
        <f>IF(Cdlac[[#This Row],[Quantity]]&gt;0,IF(Cdlac[[#This Row],[Federal]],30%,IF(AND(OR(NOT($G$38),$G$38=""),$G$43),40%,Cdlac[[#This Row],[iAMI]])),"")</f>
        <v>0.7</v>
      </c>
      <c r="P29" s="1065" cm="1">
        <f t="array" ref="P29">IF(Cdlac[[#This Row],[Quantity]]&gt;0,INDEX(TcacRents,$P$18,Cdlac[[#This Row],[Bedrooms]]+1)*Cdlac[[#This Row],[AMI]],"")</f>
        <v>1653.3999999999999</v>
      </c>
      <c r="Q29" s="1164"/>
      <c r="R29" s="1065" cm="1">
        <f t="array" ref="R29">IF(Cdlac[[#This Row],[Quantity]]&gt;0,INDEX(HudFmrs,$P$18,Cdlac[[#This Row],[Bedrooms]]+1),"")</f>
        <v>1613</v>
      </c>
      <c r="S29" s="1065">
        <f>IF(Cdlac[[#This Row],[Quantity]]&gt;0,MAX(0,Cdlac[[#This Row],[Fair Market Rent]]-IF(AND($G$37,$G$38,$G$38&lt;&gt;"",NOT(Cdlac[[#This Row],[Federal]]),Cdlac[[#This Row],[Preservation Rent]]&lt;&gt;""),Cdlac[[#This Row],[Preservation Rent]],Cdlac[[#This Row],[Restricted Rent]])),"")</f>
        <v>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33</v>
      </c>
      <c r="N30" s="1071">
        <f>Application!AC728</f>
        <v>0.7</v>
      </c>
      <c r="O30" s="1071">
        <f>IF(Cdlac[[#This Row],[Quantity]]&gt;0,IF(Cdlac[[#This Row],[Federal]],30%,IF(AND(OR(NOT($G$38),$G$38=""),$G$43),40%,Cdlac[[#This Row],[iAMI]])),"")</f>
        <v>0.7</v>
      </c>
      <c r="P30" s="1065" cm="1">
        <f t="array" ref="P30">IF(Cdlac[[#This Row],[Quantity]]&gt;0,INDEX(TcacRents,$P$18,Cdlac[[#This Row],[Bedrooms]]+1)*Cdlac[[#This Row],[AMI]],"")</f>
        <v>1982.3999999999999</v>
      </c>
      <c r="Q30" s="1164"/>
      <c r="R30" s="1065" cm="1">
        <f t="array" ref="R30">IF(Cdlac[[#This Row],[Quantity]]&gt;0,INDEX(HudFmrs,$P$18,Cdlac[[#This Row],[Bedrooms]]+1),"")</f>
        <v>2116</v>
      </c>
      <c r="S30" s="1065">
        <f>IF(Cdlac[[#This Row],[Quantity]]&gt;0,MAX(0,Cdlac[[#This Row],[Fair Market Rent]]-IF(AND($G$37,$G$38,$G$38&lt;&gt;"",NOT(Cdlac[[#This Row],[Federal]]),Cdlac[[#This Row],[Preservation Rent]]&lt;&gt;""),Cdlac[[#This Row],[Preservation Rent]],Cdlac[[#This Row],[Restricted Rent]])),"")</f>
        <v>133.60000000000014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188</v>
      </c>
      <c r="H31" s="1074"/>
      <c r="I31" s="1074"/>
      <c r="L31" s="1044">
        <f>IFERROR(MIN(4,MATCH(Application!B729,UnitSizes,0)-1),"")</f>
        <v>3</v>
      </c>
      <c r="M31" s="1065">
        <f>Application!G729</f>
        <v>21</v>
      </c>
      <c r="N31" s="1071">
        <f>Application!AC729</f>
        <v>0.7</v>
      </c>
      <c r="O31" s="1071">
        <f>IF(Cdlac[[#This Row],[Quantity]]&gt;0,IF(Cdlac[[#This Row],[Federal]],30%,IF(AND(OR(NOT($G$38),$G$38=""),$G$43),40%,Cdlac[[#This Row],[iAMI]])),"")</f>
        <v>0.7</v>
      </c>
      <c r="P31" s="1065" cm="1">
        <f t="array" ref="P31">IF(Cdlac[[#This Row],[Quantity]]&gt;0,INDEX(TcacRents,$P$18,Cdlac[[#This Row],[Bedrooms]]+1)*Cdlac[[#This Row],[AMI]],"")</f>
        <v>2290.3999999999996</v>
      </c>
      <c r="Q31" s="1164"/>
      <c r="R31" s="1065" cm="1">
        <f t="array" ref="R31">IF(Cdlac[[#This Row],[Quantity]]&gt;0,INDEX(HudFmrs,$P$18,Cdlac[[#This Row],[Bedrooms]]+1),"")</f>
        <v>2944</v>
      </c>
      <c r="S31" s="1065">
        <f>IF(Cdlac[[#This Row],[Quantity]]&gt;0,MAX(0,Cdlac[[#This Row],[Fair Market Rent]]-IF(AND($G$37,$G$38,$G$38&lt;&gt;"",NOT(Cdlac[[#This Row],[Federal]]),Cdlac[[#This Row],[Preservation Rent]]&lt;&gt;""),Cdlac[[#This Row],[Preservation Rent]],Cdlac[[#This Row],[Restricted Rent]])),"")</f>
        <v>653.60000000000036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9400000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0.5927152317880795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78790.000000000015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14182200.000000002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75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23</v>
      </c>
    </row>
    <row r="61" spans="2:21" ht="15" customHeight="1">
      <c r="E61" s="1117" t="s">
        <v>1995</v>
      </c>
      <c r="G61" s="1079">
        <f>ROUNDDOWN(E29*50%,0)</f>
        <v>75</v>
      </c>
    </row>
    <row r="62" spans="2:21" ht="15" customHeight="1">
      <c r="E62" s="1117"/>
      <c r="G62" s="1079"/>
    </row>
    <row r="63" spans="2:21" ht="15" customHeight="1">
      <c r="E63" s="1117" t="s">
        <v>1955</v>
      </c>
      <c r="G63" s="1114">
        <f>MIN(G60:G61)</f>
        <v>23</v>
      </c>
    </row>
    <row r="64" spans="2:21" ht="15" customHeight="1">
      <c r="E64" s="1117" t="s">
        <v>1945</v>
      </c>
      <c r="F64" s="1113" t="s">
        <v>1993</v>
      </c>
      <c r="G64" s="1124">
        <v>20000</v>
      </c>
    </row>
    <row r="65" spans="2:14" ht="15" customHeight="1">
      <c r="E65" s="1118" t="s">
        <v>1977</v>
      </c>
      <c r="F65" s="1046"/>
      <c r="G65" s="1123">
        <f>G63*G64</f>
        <v>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Highest Resource</v>
      </c>
      <c r="L72" s="2662" t="s">
        <v>1970</v>
      </c>
      <c r="M72" s="2663"/>
      <c r="N72" s="1131">
        <v>30000</v>
      </c>
    </row>
    <row r="73" spans="2:14" ht="15" customHeight="1">
      <c r="C73" s="2664" t="s">
        <v>2262</v>
      </c>
      <c r="D73" s="2664"/>
      <c r="E73" s="2664"/>
      <c r="F73" s="2664"/>
      <c r="G73" s="1043" t="s">
        <v>546</v>
      </c>
      <c r="L73" s="2673" t="s">
        <v>1938</v>
      </c>
      <c r="M73" s="2674"/>
      <c r="N73" s="1132">
        <v>20000</v>
      </c>
    </row>
    <row r="74" spans="2:14" ht="15" customHeight="1" thickBot="1">
      <c r="C74" s="2664"/>
      <c r="D74" s="2664"/>
      <c r="E74" s="2664"/>
      <c r="F74" s="2664"/>
      <c r="L74" s="2675" t="s">
        <v>1971</v>
      </c>
      <c r="M74" s="267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188</v>
      </c>
    </row>
    <row r="80" spans="2:14" ht="15" customHeight="1">
      <c r="D80" s="1046"/>
      <c r="E80" s="1118" t="s">
        <v>2267</v>
      </c>
      <c r="F80" s="1046"/>
      <c r="G80" s="1123">
        <f>G79*G78*G76</f>
        <v>5640000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188</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188</v>
      </c>
    </row>
    <row r="97" spans="2:14" ht="15" customHeight="1">
      <c r="E97" s="1118" t="s">
        <v>1962</v>
      </c>
      <c r="F97" s="1046"/>
      <c r="G97" s="1123">
        <f>G94*G95*G96</f>
        <v>5264000</v>
      </c>
      <c r="L97" s="1127" t="str">
        <f>'Points System'!H638</f>
        <v>(i)</v>
      </c>
      <c r="M97" s="2681" t="s">
        <v>1406</v>
      </c>
      <c r="N97" s="2682"/>
    </row>
    <row r="98" spans="2:14" ht="15" customHeight="1">
      <c r="C98" s="1077"/>
      <c r="G98" s="1114"/>
      <c r="L98" s="1128" t="str">
        <f>'Points System'!H650</f>
        <v>N/A</v>
      </c>
      <c r="M98" s="2677" t="s">
        <v>1957</v>
      </c>
      <c r="N98" s="2678"/>
    </row>
    <row r="99" spans="2:14" ht="15" customHeight="1">
      <c r="E99" s="1084" t="s">
        <v>1998</v>
      </c>
      <c r="G99" s="1126">
        <f>COUNTIFS(L97:L104,"(i)")</f>
        <v>5</v>
      </c>
      <c r="L99" s="1128" t="str">
        <f>'Points System'!H685</f>
        <v>(i)</v>
      </c>
      <c r="M99" s="2677" t="s">
        <v>1958</v>
      </c>
      <c r="N99" s="2678"/>
    </row>
    <row r="100" spans="2:14" ht="15" customHeight="1">
      <c r="E100" s="1084" t="s">
        <v>1945</v>
      </c>
      <c r="F100" s="1113" t="s">
        <v>1993</v>
      </c>
      <c r="G100" s="1124">
        <v>4000</v>
      </c>
      <c r="L100" s="1128" t="str">
        <f>IF(OR('Points System'!H709="(ii)",'Points System'!H709="(i)"),"(i)","N/A")</f>
        <v>(i)</v>
      </c>
      <c r="M100" s="2677" t="s">
        <v>1959</v>
      </c>
      <c r="N100" s="2678"/>
    </row>
    <row r="101" spans="2:14" ht="15" customHeight="1">
      <c r="E101" s="1118" t="s">
        <v>1963</v>
      </c>
      <c r="F101" s="1046"/>
      <c r="G101" s="1123">
        <f>G96*G99*G100</f>
        <v>3760000</v>
      </c>
      <c r="L101" s="1129" t="str">
        <f>'Points System'!H723</f>
        <v>N/A</v>
      </c>
      <c r="M101" s="2677" t="s">
        <v>1432</v>
      </c>
      <c r="N101" s="2678"/>
    </row>
    <row r="102" spans="2:14" ht="15" customHeight="1">
      <c r="L102" s="1128" t="str">
        <f>'Points System'!H735</f>
        <v>N/A</v>
      </c>
      <c r="M102" s="2677" t="s">
        <v>1960</v>
      </c>
      <c r="N102" s="2678"/>
    </row>
    <row r="103" spans="2:14" ht="15" customHeight="1">
      <c r="C103" s="1080" t="s">
        <v>1965</v>
      </c>
      <c r="L103" s="1128" t="str">
        <f>'Points System'!H751</f>
        <v>(i)</v>
      </c>
      <c r="M103" s="2677" t="s">
        <v>1961</v>
      </c>
      <c r="N103" s="2678"/>
    </row>
    <row r="104" spans="2:14" ht="15" customHeight="1" thickBot="1">
      <c r="C104" s="1077" t="s">
        <v>1966</v>
      </c>
      <c r="G104" s="1043"/>
      <c r="L104" s="1130" t="str">
        <f>'Points System'!H763</f>
        <v>(i)</v>
      </c>
      <c r="M104" s="2679" t="s">
        <v>1435</v>
      </c>
      <c r="N104" s="268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188</v>
      </c>
    </row>
    <row r="112" spans="2:14" ht="15" customHeight="1">
      <c r="E112" s="1084" t="s">
        <v>1945</v>
      </c>
      <c r="F112" s="1113" t="s">
        <v>1993</v>
      </c>
      <c r="G112" s="1124">
        <v>25000</v>
      </c>
    </row>
    <row r="113" spans="2:9" ht="15" customHeight="1">
      <c r="E113" s="1118" t="s">
        <v>1964</v>
      </c>
      <c r="F113" s="1046"/>
      <c r="G113" s="1123">
        <f>G109*G112*G96</f>
        <v>4700000</v>
      </c>
    </row>
    <row r="114" spans="2:9" ht="15" customHeight="1">
      <c r="C114" s="1077"/>
      <c r="E114" s="1077"/>
    </row>
    <row r="115" spans="2:9" ht="15" customHeight="1">
      <c r="E115" s="1118" t="s">
        <v>2272</v>
      </c>
      <c r="G115" s="1123">
        <f>G113+G101+G97</f>
        <v>13724000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3" t="s">
        <v>2227</v>
      </c>
      <c r="D119" s="2653"/>
      <c r="E119" s="2653"/>
      <c r="F119" s="2653"/>
    </row>
    <row r="120" spans="2:9" ht="15" customHeight="1">
      <c r="C120" s="2653"/>
      <c r="D120" s="2653"/>
      <c r="E120" s="2653"/>
      <c r="F120" s="2653"/>
      <c r="G120" s="1043"/>
    </row>
    <row r="121" spans="2:9" ht="15" customHeight="1"/>
    <row r="122" spans="2:9" ht="15" customHeight="1">
      <c r="C122" s="1044" t="s">
        <v>2229</v>
      </c>
      <c r="G122" s="2655"/>
      <c r="H122" s="2655"/>
    </row>
    <row r="123" spans="2:9" ht="15" customHeight="1">
      <c r="G123" s="2655"/>
      <c r="H123" s="2655"/>
    </row>
    <row r="124" spans="2:9" ht="15" customHeight="1">
      <c r="G124" s="2656"/>
      <c r="H124" s="265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Yolo</v>
      </c>
    </row>
    <row r="129" spans="2:9">
      <c r="E129" s="1084"/>
      <c r="G129" s="1078"/>
    </row>
    <row r="130" spans="2:9">
      <c r="E130" s="1084" t="str">
        <f>"2-Bedroom "&amp;G128&amp;" County Basis Limit"</f>
        <v>2-Bedroom Yolo County Basis Limit</v>
      </c>
      <c r="G130" s="1078">
        <f>Application!R988</f>
        <v>461600</v>
      </c>
    </row>
    <row r="131" spans="2:9">
      <c r="E131" s="1084" t="s">
        <v>2001</v>
      </c>
      <c r="G131" s="1078">
        <f>MEDIAN((Application!CU160:CU217))</f>
        <v>489600</v>
      </c>
    </row>
    <row r="132" spans="2:9" ht="15">
      <c r="D132" s="1046"/>
      <c r="E132" s="1118" t="s">
        <v>2003</v>
      </c>
      <c r="F132" s="1134"/>
      <c r="G132" s="1135">
        <f>((G130-G131)/G131)*0.25</f>
        <v>-1.4297385620915032E-2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48" t="s">
        <v>2275</v>
      </c>
      <c r="D138" s="2648"/>
      <c r="E138" s="2648"/>
      <c r="F138" s="2648"/>
    </row>
    <row r="139" spans="2:9">
      <c r="B139" s="1045"/>
      <c r="C139" s="2648"/>
      <c r="D139" s="2648"/>
      <c r="E139" s="2648"/>
      <c r="F139" s="2648"/>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3124948.8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9</v>
      </c>
      <c r="C4" s="1162"/>
      <c r="D4" s="428">
        <f>Application!O718</f>
        <v>696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1169</v>
      </c>
      <c r="E5" s="429"/>
      <c r="F5" s="1083"/>
      <c r="G5" s="428">
        <f t="shared" ref="G5:G38" si="2">F5*B5</f>
        <v>0</v>
      </c>
      <c r="H5" s="429"/>
      <c r="I5" s="428" t="str">
        <f t="shared" si="0"/>
        <v/>
      </c>
      <c r="J5" s="428" t="str">
        <f t="shared" si="1"/>
        <v/>
      </c>
      <c r="K5" s="204"/>
      <c r="L5" s="305"/>
    </row>
    <row r="6" spans="1:12">
      <c r="A6" s="428" t="str">
        <f>Application!B720</f>
        <v>1 Bedroom</v>
      </c>
      <c r="B6" s="1082">
        <f>Application!G720</f>
        <v>8</v>
      </c>
      <c r="C6" s="1162"/>
      <c r="D6" s="428">
        <f>Application!O720</f>
        <v>1395</v>
      </c>
      <c r="E6" s="429"/>
      <c r="F6" s="1083"/>
      <c r="G6" s="428">
        <f t="shared" si="2"/>
        <v>0</v>
      </c>
      <c r="H6" s="429"/>
      <c r="I6" s="428" t="str">
        <f t="shared" si="0"/>
        <v/>
      </c>
      <c r="J6" s="428" t="str">
        <f t="shared" si="1"/>
        <v/>
      </c>
      <c r="K6" s="204"/>
      <c r="L6" s="305"/>
    </row>
    <row r="7" spans="1:12">
      <c r="A7" s="428" t="str">
        <f>Application!B721</f>
        <v>2 Bedrooms</v>
      </c>
      <c r="B7" s="1082">
        <f>Application!G721</f>
        <v>10</v>
      </c>
      <c r="C7" s="1162"/>
      <c r="D7" s="428">
        <f>Application!O721</f>
        <v>837</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1404</v>
      </c>
      <c r="E8" s="429"/>
      <c r="F8" s="1083"/>
      <c r="G8" s="428">
        <f t="shared" si="2"/>
        <v>0</v>
      </c>
      <c r="H8" s="429"/>
      <c r="I8" s="428" t="str">
        <f t="shared" si="0"/>
        <v/>
      </c>
      <c r="J8" s="428" t="str">
        <f t="shared" si="1"/>
        <v/>
      </c>
      <c r="K8" s="204"/>
      <c r="L8" s="305"/>
    </row>
    <row r="9" spans="1:12">
      <c r="A9" s="428" t="str">
        <f>Application!B723</f>
        <v>2 Bedrooms</v>
      </c>
      <c r="B9" s="1082">
        <f>Application!G723</f>
        <v>20</v>
      </c>
      <c r="C9" s="1162"/>
      <c r="D9" s="428">
        <f>Application!O723</f>
        <v>1687</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970</v>
      </c>
      <c r="E10" s="429"/>
      <c r="F10" s="1083"/>
      <c r="G10" s="428">
        <f t="shared" si="2"/>
        <v>0</v>
      </c>
      <c r="H10" s="429"/>
      <c r="I10" s="428" t="str">
        <f t="shared" si="0"/>
        <v/>
      </c>
      <c r="J10" s="428" t="str">
        <f t="shared" si="1"/>
        <v/>
      </c>
      <c r="K10" s="204"/>
      <c r="L10" s="305"/>
    </row>
    <row r="11" spans="1:12">
      <c r="A11" s="428" t="str">
        <f>Application!B725</f>
        <v>3 Bedrooms</v>
      </c>
      <c r="B11" s="1082">
        <f>Application!G725</f>
        <v>4</v>
      </c>
      <c r="C11" s="1162"/>
      <c r="D11" s="428">
        <f>Application!O725</f>
        <v>1624</v>
      </c>
      <c r="E11" s="429"/>
      <c r="F11" s="1083"/>
      <c r="G11" s="428">
        <f t="shared" si="2"/>
        <v>0</v>
      </c>
      <c r="H11" s="429"/>
      <c r="I11" s="428" t="str">
        <f t="shared" si="0"/>
        <v/>
      </c>
      <c r="J11" s="428" t="str">
        <f t="shared" si="1"/>
        <v/>
      </c>
      <c r="K11" s="204"/>
      <c r="L11" s="305"/>
    </row>
    <row r="12" spans="1:12">
      <c r="A12" s="428" t="str">
        <f>Application!B726</f>
        <v>3 Bedrooms</v>
      </c>
      <c r="B12" s="1082">
        <f>Application!G726</f>
        <v>10</v>
      </c>
      <c r="C12" s="1162"/>
      <c r="D12" s="428">
        <f>Application!O726</f>
        <v>1952</v>
      </c>
      <c r="E12" s="429"/>
      <c r="F12" s="1083"/>
      <c r="G12" s="428">
        <f t="shared" si="2"/>
        <v>0</v>
      </c>
      <c r="H12" s="429"/>
      <c r="I12" s="428" t="str">
        <f t="shared" si="0"/>
        <v/>
      </c>
      <c r="J12" s="428" t="str">
        <f t="shared" si="1"/>
        <v/>
      </c>
      <c r="K12" s="204"/>
      <c r="L12" s="305"/>
    </row>
    <row r="13" spans="1:12">
      <c r="A13" s="428" t="str">
        <f>Application!B727</f>
        <v>1 Bedroom</v>
      </c>
      <c r="B13" s="1082">
        <f>Application!G727</f>
        <v>20</v>
      </c>
      <c r="C13" s="1162"/>
      <c r="D13" s="428">
        <f>Application!O727</f>
        <v>1395</v>
      </c>
      <c r="E13" s="429"/>
      <c r="F13" s="1083"/>
      <c r="G13" s="428">
        <f t="shared" si="2"/>
        <v>0</v>
      </c>
      <c r="H13" s="429"/>
      <c r="I13" s="428" t="str">
        <f t="shared" si="0"/>
        <v/>
      </c>
      <c r="J13" s="428" t="str">
        <f t="shared" si="1"/>
        <v/>
      </c>
      <c r="K13" s="204"/>
      <c r="L13" s="305"/>
    </row>
    <row r="14" spans="1:12">
      <c r="A14" s="428" t="str">
        <f>Application!B728</f>
        <v>2 Bedrooms</v>
      </c>
      <c r="B14" s="1082">
        <f>Application!G728</f>
        <v>33</v>
      </c>
      <c r="C14" s="1162"/>
      <c r="D14" s="428">
        <f>Application!O728</f>
        <v>1705</v>
      </c>
      <c r="E14" s="429"/>
      <c r="F14" s="1083"/>
      <c r="G14" s="428">
        <f t="shared" si="2"/>
        <v>0</v>
      </c>
      <c r="H14" s="429"/>
      <c r="I14" s="428" t="str">
        <f t="shared" si="0"/>
        <v/>
      </c>
      <c r="J14" s="428" t="str">
        <f t="shared" si="1"/>
        <v/>
      </c>
      <c r="K14" s="204"/>
      <c r="L14" s="305"/>
    </row>
    <row r="15" spans="1:12">
      <c r="A15" s="428" t="str">
        <f>Application!B729</f>
        <v>3 Bedrooms</v>
      </c>
      <c r="B15" s="1082">
        <f>Application!G729</f>
        <v>21</v>
      </c>
      <c r="C15" s="1162"/>
      <c r="D15" s="428">
        <f>Application!O729</f>
        <v>2100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233368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4" t="s">
        <v>2496</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G13" sqref="G13"/>
    </sheetView>
  </sheetViews>
  <sheetFormatPr defaultColWidth="0" defaultRowHeight="12.75" zeroHeight="1"/>
  <cols>
    <col min="1" max="1" width="3.7109375" customWidth="1"/>
    <col min="2" max="2" width="30.5703125" customWidth="1"/>
    <col min="3" max="3" width="16.710937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2800416</v>
      </c>
      <c r="G4" s="219">
        <f>E4*$C$4</f>
        <v>2870426.4</v>
      </c>
      <c r="I4" s="219">
        <f>G4*$C$4</f>
        <v>2942187.0599999996</v>
      </c>
      <c r="K4" s="219">
        <f>I4*$C$4</f>
        <v>3015741.7364999992</v>
      </c>
      <c r="M4" s="219">
        <f>K4*$C$4</f>
        <v>3091135.2799124988</v>
      </c>
      <c r="O4" s="219">
        <f>M4*$C$4</f>
        <v>3168413.6619103109</v>
      </c>
      <c r="Q4" s="219">
        <f>O4*$C$4</f>
        <v>3247624.0034580682</v>
      </c>
      <c r="S4" s="219">
        <f>Q4*$C$4</f>
        <v>3328814.6035445197</v>
      </c>
      <c r="U4" s="219">
        <f>S4*$C$4</f>
        <v>3412034.9686331325</v>
      </c>
      <c r="W4" s="219">
        <f>U4*$C$4</f>
        <v>3497335.8428489603</v>
      </c>
      <c r="Y4" s="219">
        <f>W4*$C$4</f>
        <v>3584769.2389201839</v>
      </c>
      <c r="AA4" s="219">
        <f>Y4*$C$4</f>
        <v>3674388.4698931882</v>
      </c>
      <c r="AC4" s="219">
        <f>AA4*$C$4</f>
        <v>3766248.1816405174</v>
      </c>
      <c r="AE4" s="219">
        <f>AC4*$C$4</f>
        <v>3860404.3861815301</v>
      </c>
      <c r="AG4" s="219">
        <f>AE4*$C$4</f>
        <v>3956914.4958360679</v>
      </c>
    </row>
    <row r="5" spans="1:34" s="210" customFormat="1" ht="14.25">
      <c r="B5" s="210" t="s">
        <v>839</v>
      </c>
      <c r="C5" s="238">
        <f>IF(Application!$D$211="Special Needs",(((0.1*Application!$T$212)+(0.05*(1-Application!$T$212)))),0.05)</f>
        <v>0.05</v>
      </c>
      <c r="E5" s="221">
        <f>-E4*$C$5</f>
        <v>-140020.80000000002</v>
      </c>
      <c r="F5" s="221"/>
      <c r="G5" s="221">
        <f>-G4*$C$5</f>
        <v>-143521.32</v>
      </c>
      <c r="H5" s="221"/>
      <c r="I5" s="221">
        <f>-I4*$C$5</f>
        <v>-147109.35299999997</v>
      </c>
      <c r="J5" s="221"/>
      <c r="K5" s="221">
        <f>-K4*$C$5</f>
        <v>-150787.08682499998</v>
      </c>
      <c r="L5" s="221"/>
      <c r="M5" s="221">
        <f>-M4*$C$5</f>
        <v>-154556.76399562493</v>
      </c>
      <c r="N5" s="221"/>
      <c r="O5" s="221">
        <f>-O4*$C$5</f>
        <v>-158420.68309551556</v>
      </c>
      <c r="P5" s="221"/>
      <c r="Q5" s="221">
        <f>-Q4*$C$5</f>
        <v>-162381.20017290342</v>
      </c>
      <c r="R5" s="221"/>
      <c r="S5" s="221">
        <f>-S4*$C$5</f>
        <v>-166440.73017722601</v>
      </c>
      <c r="T5" s="221"/>
      <c r="U5" s="221">
        <f>-U4*$C$5</f>
        <v>-170601.74843165663</v>
      </c>
      <c r="V5" s="221"/>
      <c r="W5" s="221">
        <f>-W4*$C$5</f>
        <v>-174866.79214244802</v>
      </c>
      <c r="X5" s="221"/>
      <c r="Y5" s="221">
        <f>-Y4*$C$5</f>
        <v>-179238.46194600919</v>
      </c>
      <c r="Z5" s="221"/>
      <c r="AA5" s="221">
        <f>-AA4*$C$5</f>
        <v>-183719.42349465942</v>
      </c>
      <c r="AB5" s="221"/>
      <c r="AC5" s="221">
        <f>-AC4*$C$5</f>
        <v>-188312.40908202587</v>
      </c>
      <c r="AD5" s="221"/>
      <c r="AE5" s="221">
        <f>-AE4*$C$5</f>
        <v>-193020.21930907652</v>
      </c>
      <c r="AF5" s="221"/>
      <c r="AG5" s="221">
        <f>-AG4*$C$5</f>
        <v>-197845.7247918034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23104</v>
      </c>
      <c r="F8" s="222"/>
      <c r="G8" s="222">
        <f>E8*$C$8</f>
        <v>23681.599999999999</v>
      </c>
      <c r="H8" s="222"/>
      <c r="I8" s="222">
        <f>G8*$C$8</f>
        <v>24273.639999999996</v>
      </c>
      <c r="J8" s="222"/>
      <c r="K8" s="222">
        <f>I8*$C$8</f>
        <v>24880.480999999992</v>
      </c>
      <c r="L8" s="222"/>
      <c r="M8" s="222">
        <f>K8*$C$8</f>
        <v>25502.493024999989</v>
      </c>
      <c r="N8" s="222"/>
      <c r="O8" s="222">
        <f>M8*$C$8</f>
        <v>26140.055350624985</v>
      </c>
      <c r="P8" s="222"/>
      <c r="Q8" s="222">
        <f>O8*$C$8</f>
        <v>26793.556734390608</v>
      </c>
      <c r="R8" s="222"/>
      <c r="S8" s="222">
        <f>Q8*$C$8</f>
        <v>27463.395652750369</v>
      </c>
      <c r="T8" s="222"/>
      <c r="U8" s="222">
        <f>S8*$C$8</f>
        <v>28149.980544069127</v>
      </c>
      <c r="V8" s="222"/>
      <c r="W8" s="222">
        <f>U8*$C$8</f>
        <v>28853.730057670851</v>
      </c>
      <c r="X8" s="222"/>
      <c r="Y8" s="222">
        <f>W8*$C$8</f>
        <v>29575.07330911262</v>
      </c>
      <c r="Z8" s="222"/>
      <c r="AA8" s="222">
        <f>Y8*$C$8</f>
        <v>30314.450141840432</v>
      </c>
      <c r="AB8" s="222"/>
      <c r="AC8" s="222">
        <f>AA8*$C$8</f>
        <v>31072.311395386441</v>
      </c>
      <c r="AD8" s="222"/>
      <c r="AE8" s="222">
        <f>AC8*$C$8</f>
        <v>31849.1191802711</v>
      </c>
      <c r="AF8" s="222"/>
      <c r="AG8" s="222">
        <f>AE8*$C$8</f>
        <v>32645.347159777873</v>
      </c>
    </row>
    <row r="9" spans="1:34" s="210" customFormat="1" ht="14.25">
      <c r="B9" s="210" t="s">
        <v>839</v>
      </c>
      <c r="C9" s="238">
        <f>IF(Application!$D$211="Special Needs",(((0.1*Application!$T$212)+(0.05*(1-Application!$T$212)))),0.05)</f>
        <v>0.05</v>
      </c>
      <c r="E9" s="221">
        <f>-E8*$C$9</f>
        <v>-1155.2</v>
      </c>
      <c r="F9" s="221"/>
      <c r="G9" s="221">
        <f>-G8*$C$9</f>
        <v>-1184.08</v>
      </c>
      <c r="H9" s="221"/>
      <c r="I9" s="221">
        <f>-I8*$C$9</f>
        <v>-1213.6819999999998</v>
      </c>
      <c r="J9" s="221"/>
      <c r="K9" s="221">
        <f>-K8*$C$9</f>
        <v>-1244.0240499999998</v>
      </c>
      <c r="L9" s="221"/>
      <c r="M9" s="221">
        <f>-M8*$C$9</f>
        <v>-1275.1246512499995</v>
      </c>
      <c r="N9" s="221"/>
      <c r="O9" s="221">
        <f>-O8*$C$9</f>
        <v>-1307.0027675312494</v>
      </c>
      <c r="P9" s="221"/>
      <c r="Q9" s="221">
        <f>-Q8*$C$9</f>
        <v>-1339.6778367195304</v>
      </c>
      <c r="R9" s="221"/>
      <c r="S9" s="221">
        <f>-S8*$C$9</f>
        <v>-1373.1697826375184</v>
      </c>
      <c r="T9" s="221"/>
      <c r="U9" s="221">
        <f>-U8*$C$9</f>
        <v>-1407.4990272034565</v>
      </c>
      <c r="V9" s="221"/>
      <c r="W9" s="221">
        <f>-W8*$C$9</f>
        <v>-1442.6865028835427</v>
      </c>
      <c r="X9" s="221"/>
      <c r="Y9" s="221">
        <f>-Y8*$C$9</f>
        <v>-1478.7536654556311</v>
      </c>
      <c r="Z9" s="221"/>
      <c r="AA9" s="221">
        <f>-AA8*$C$9</f>
        <v>-1515.7225070920217</v>
      </c>
      <c r="AB9" s="221"/>
      <c r="AC9" s="221">
        <f>-AC8*$C$9</f>
        <v>-1553.6155697693221</v>
      </c>
      <c r="AD9" s="221"/>
      <c r="AE9" s="221">
        <f>-AE8*$C$9</f>
        <v>-1592.455959013555</v>
      </c>
      <c r="AF9" s="221"/>
      <c r="AG9" s="221">
        <f>-AG8*$C$9</f>
        <v>-1632.2673579888938</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2682344</v>
      </c>
      <c r="G11" s="223">
        <f>SUM(G4:G10)</f>
        <v>2749402.6</v>
      </c>
      <c r="I11" s="223">
        <f>SUM(I4:I10)</f>
        <v>2818137.6649999996</v>
      </c>
      <c r="K11" s="223">
        <f>SUM(K4:K10)</f>
        <v>2888591.1066249991</v>
      </c>
      <c r="M11" s="223">
        <f>SUM(M4:M10)</f>
        <v>2960805.8842906239</v>
      </c>
      <c r="O11" s="223">
        <f>SUM(O4:O10)</f>
        <v>3034826.0313978889</v>
      </c>
      <c r="Q11" s="223">
        <f>SUM(Q4:Q10)</f>
        <v>3110696.6821828359</v>
      </c>
      <c r="S11" s="223">
        <f>SUM(S4:S10)</f>
        <v>3188464.0992374066</v>
      </c>
      <c r="U11" s="223">
        <f>SUM(U4:U10)</f>
        <v>3268175.701718342</v>
      </c>
      <c r="W11" s="223">
        <f>SUM(W4:W10)</f>
        <v>3349880.0942612994</v>
      </c>
      <c r="Y11" s="223">
        <f>SUM(Y4:Y10)</f>
        <v>3433627.0966178318</v>
      </c>
      <c r="AA11" s="223">
        <f>SUM(AA4:AA10)</f>
        <v>3519467.7740332773</v>
      </c>
      <c r="AC11" s="223">
        <f>SUM(AC4:AC10)</f>
        <v>3607454.4683841085</v>
      </c>
      <c r="AE11" s="223">
        <f>SUM(AE4:AE10)</f>
        <v>3697640.8300937107</v>
      </c>
      <c r="AG11" s="223">
        <f>SUM(AG4:AG10)</f>
        <v>3790081.8508460536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50000</v>
      </c>
      <c r="G15" s="219">
        <f>E15*$C$14</f>
        <v>51749.999999999993</v>
      </c>
      <c r="I15" s="219">
        <f>G15*$C$14</f>
        <v>53561.249999999985</v>
      </c>
      <c r="K15" s="219">
        <f>I15*$C$14</f>
        <v>55435.893749999981</v>
      </c>
      <c r="M15" s="219">
        <f>K15*$C$14</f>
        <v>57376.150031249977</v>
      </c>
      <c r="O15" s="219">
        <f>M15*$C$14</f>
        <v>59384.315282343719</v>
      </c>
      <c r="Q15" s="219">
        <f>O15*$C$14</f>
        <v>61462.766317225745</v>
      </c>
      <c r="S15" s="219">
        <f>Q15*$C$14</f>
        <v>63613.96313832864</v>
      </c>
      <c r="U15" s="219">
        <f>S15*$C$14</f>
        <v>65840.451848170138</v>
      </c>
      <c r="W15" s="219">
        <f>U15*$C$14</f>
        <v>68144.867662856093</v>
      </c>
      <c r="Y15" s="219">
        <f>W15*$C$14</f>
        <v>70529.938031056052</v>
      </c>
      <c r="AA15" s="219">
        <f>Y15*$C$14</f>
        <v>72998.485862143003</v>
      </c>
      <c r="AC15" s="219">
        <f>AA15*$C$14</f>
        <v>75553.432867317999</v>
      </c>
      <c r="AE15" s="219">
        <f>AC15*$C$14</f>
        <v>78197.803017674116</v>
      </c>
      <c r="AG15" s="219">
        <f>AE15*$C$14</f>
        <v>80934.726123292698</v>
      </c>
    </row>
    <row r="16" spans="1:34" s="210" customFormat="1" ht="14.25">
      <c r="A16" s="210" t="s">
        <v>344</v>
      </c>
      <c r="C16" s="233"/>
      <c r="E16" s="222">
        <f>Application!W849</f>
        <v>160941</v>
      </c>
      <c r="F16" s="222"/>
      <c r="G16" s="222">
        <f t="shared" ref="G16:AG21" si="0">E16*$C$14</f>
        <v>166573.935</v>
      </c>
      <c r="H16" s="222"/>
      <c r="I16" s="222">
        <f t="shared" si="0"/>
        <v>172404.02272499999</v>
      </c>
      <c r="J16" s="222"/>
      <c r="K16" s="222">
        <f t="shared" si="0"/>
        <v>178438.16352037498</v>
      </c>
      <c r="L16" s="222"/>
      <c r="M16" s="222">
        <f t="shared" si="0"/>
        <v>184683.4992435881</v>
      </c>
      <c r="N16" s="222"/>
      <c r="O16" s="222">
        <f t="shared" si="0"/>
        <v>191147.42171711367</v>
      </c>
      <c r="P16" s="222"/>
      <c r="Q16" s="222">
        <f t="shared" si="0"/>
        <v>197837.58147721263</v>
      </c>
      <c r="R16" s="222"/>
      <c r="S16" s="222">
        <f t="shared" si="0"/>
        <v>204761.89682891505</v>
      </c>
      <c r="T16" s="222"/>
      <c r="U16" s="222">
        <f t="shared" si="0"/>
        <v>211928.56321792706</v>
      </c>
      <c r="V16" s="222"/>
      <c r="W16" s="222">
        <f t="shared" si="0"/>
        <v>219346.0629305545</v>
      </c>
      <c r="X16" s="222"/>
      <c r="Y16" s="222">
        <f t="shared" si="0"/>
        <v>227023.17513312388</v>
      </c>
      <c r="Z16" s="222"/>
      <c r="AA16" s="222">
        <f t="shared" si="0"/>
        <v>234968.9862627832</v>
      </c>
      <c r="AB16" s="222"/>
      <c r="AC16" s="222">
        <f t="shared" si="0"/>
        <v>243192.9007819806</v>
      </c>
      <c r="AD16" s="222"/>
      <c r="AE16" s="222">
        <f t="shared" si="0"/>
        <v>251704.65230934991</v>
      </c>
      <c r="AF16" s="222"/>
      <c r="AG16" s="222">
        <f t="shared" si="0"/>
        <v>260514.31514017715</v>
      </c>
    </row>
    <row r="17" spans="1:33" s="210" customFormat="1" ht="14.25">
      <c r="A17" s="210" t="s">
        <v>562</v>
      </c>
      <c r="C17" s="233"/>
      <c r="E17" s="222">
        <f>Application!W855</f>
        <v>186244</v>
      </c>
      <c r="F17" s="222"/>
      <c r="G17" s="222">
        <f t="shared" si="0"/>
        <v>192762.53999999998</v>
      </c>
      <c r="H17" s="222"/>
      <c r="I17" s="222">
        <f t="shared" si="0"/>
        <v>199509.22889999996</v>
      </c>
      <c r="J17" s="222"/>
      <c r="K17" s="222">
        <f t="shared" si="0"/>
        <v>206492.05191149993</v>
      </c>
      <c r="L17" s="222"/>
      <c r="M17" s="222">
        <f t="shared" si="0"/>
        <v>213719.27372840242</v>
      </c>
      <c r="N17" s="222"/>
      <c r="O17" s="222">
        <f t="shared" si="0"/>
        <v>221199.44830889648</v>
      </c>
      <c r="P17" s="222"/>
      <c r="Q17" s="222">
        <f t="shared" si="0"/>
        <v>228941.42899970783</v>
      </c>
      <c r="R17" s="222"/>
      <c r="S17" s="222">
        <f t="shared" si="0"/>
        <v>236954.3790146976</v>
      </c>
      <c r="T17" s="222"/>
      <c r="U17" s="222">
        <f t="shared" si="0"/>
        <v>245247.78228021201</v>
      </c>
      <c r="V17" s="222"/>
      <c r="W17" s="222">
        <f t="shared" si="0"/>
        <v>253831.4546600194</v>
      </c>
      <c r="X17" s="222"/>
      <c r="Y17" s="222">
        <f t="shared" si="0"/>
        <v>262715.55557312007</v>
      </c>
      <c r="Z17" s="222"/>
      <c r="AA17" s="222">
        <f t="shared" si="0"/>
        <v>271910.60001817928</v>
      </c>
      <c r="AB17" s="222"/>
      <c r="AC17" s="222">
        <f t="shared" si="0"/>
        <v>281427.47101881553</v>
      </c>
      <c r="AD17" s="222"/>
      <c r="AE17" s="222">
        <f t="shared" si="0"/>
        <v>291277.43250447407</v>
      </c>
      <c r="AF17" s="222"/>
      <c r="AG17" s="222">
        <f t="shared" si="0"/>
        <v>301472.14264213061</v>
      </c>
    </row>
    <row r="18" spans="1:33" s="210" customFormat="1" ht="14.25">
      <c r="A18" s="210" t="s">
        <v>843</v>
      </c>
      <c r="C18" s="233"/>
      <c r="E18" s="222">
        <f>Application!W862</f>
        <v>107768</v>
      </c>
      <c r="F18" s="222"/>
      <c r="G18" s="222">
        <f t="shared" si="0"/>
        <v>111539.87999999999</v>
      </c>
      <c r="H18" s="222"/>
      <c r="I18" s="222">
        <f t="shared" si="0"/>
        <v>115443.77579999997</v>
      </c>
      <c r="J18" s="222"/>
      <c r="K18" s="222">
        <f t="shared" si="0"/>
        <v>119484.30795299997</v>
      </c>
      <c r="L18" s="222"/>
      <c r="M18" s="222">
        <f t="shared" si="0"/>
        <v>123666.25873135496</v>
      </c>
      <c r="N18" s="222"/>
      <c r="O18" s="222">
        <f t="shared" si="0"/>
        <v>127994.57778695237</v>
      </c>
      <c r="P18" s="222"/>
      <c r="Q18" s="222">
        <f t="shared" si="0"/>
        <v>132474.38800949568</v>
      </c>
      <c r="R18" s="222"/>
      <c r="S18" s="222">
        <f t="shared" si="0"/>
        <v>137110.99158982802</v>
      </c>
      <c r="T18" s="222"/>
      <c r="U18" s="222">
        <f t="shared" si="0"/>
        <v>141909.87629547197</v>
      </c>
      <c r="V18" s="222"/>
      <c r="W18" s="222">
        <f t="shared" si="0"/>
        <v>146876.72196581349</v>
      </c>
      <c r="X18" s="222"/>
      <c r="Y18" s="222">
        <f t="shared" si="0"/>
        <v>152017.40723461696</v>
      </c>
      <c r="Z18" s="222"/>
      <c r="AA18" s="222">
        <f t="shared" si="0"/>
        <v>157338.01648782854</v>
      </c>
      <c r="AB18" s="222"/>
      <c r="AC18" s="222">
        <f t="shared" si="0"/>
        <v>162844.84706490254</v>
      </c>
      <c r="AD18" s="222"/>
      <c r="AE18" s="222">
        <f t="shared" si="0"/>
        <v>168544.4167121741</v>
      </c>
      <c r="AF18" s="222"/>
      <c r="AG18" s="222">
        <f t="shared" si="0"/>
        <v>174443.47129710019</v>
      </c>
    </row>
    <row r="19" spans="1:33" s="210" customFormat="1" ht="14.25">
      <c r="A19" s="210" t="s">
        <v>155</v>
      </c>
      <c r="C19" s="233"/>
      <c r="E19" s="222">
        <f>Application!W863</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25">
      <c r="A20" s="210" t="s">
        <v>390</v>
      </c>
      <c r="C20" s="233"/>
      <c r="E20" s="222">
        <f>Application!W872</f>
        <v>105000</v>
      </c>
      <c r="F20" s="222"/>
      <c r="G20" s="222">
        <f t="shared" si="0"/>
        <v>108674.99999999999</v>
      </c>
      <c r="H20" s="222"/>
      <c r="I20" s="222">
        <f t="shared" si="0"/>
        <v>112478.62499999997</v>
      </c>
      <c r="J20" s="222"/>
      <c r="K20" s="222">
        <f t="shared" si="0"/>
        <v>116415.37687499996</v>
      </c>
      <c r="L20" s="222"/>
      <c r="M20" s="222">
        <f t="shared" si="0"/>
        <v>120489.91506562494</v>
      </c>
      <c r="N20" s="222"/>
      <c r="O20" s="222">
        <f t="shared" si="0"/>
        <v>124707.0620929218</v>
      </c>
      <c r="P20" s="222"/>
      <c r="Q20" s="222">
        <f t="shared" si="0"/>
        <v>129071.80926617405</v>
      </c>
      <c r="R20" s="222"/>
      <c r="S20" s="222">
        <f t="shared" si="0"/>
        <v>133589.32259049013</v>
      </c>
      <c r="T20" s="222"/>
      <c r="U20" s="222">
        <f t="shared" si="0"/>
        <v>138264.94888115727</v>
      </c>
      <c r="V20" s="222"/>
      <c r="W20" s="222">
        <f t="shared" si="0"/>
        <v>143104.22209199777</v>
      </c>
      <c r="X20" s="222"/>
      <c r="Y20" s="222">
        <f t="shared" si="0"/>
        <v>148112.86986521768</v>
      </c>
      <c r="Z20" s="222"/>
      <c r="AA20" s="222">
        <f t="shared" si="0"/>
        <v>153296.82031050028</v>
      </c>
      <c r="AB20" s="222"/>
      <c r="AC20" s="222">
        <f t="shared" si="0"/>
        <v>158662.20902136777</v>
      </c>
      <c r="AD20" s="222"/>
      <c r="AE20" s="222">
        <f t="shared" si="0"/>
        <v>164215.38633711563</v>
      </c>
      <c r="AF20" s="222"/>
      <c r="AG20" s="222">
        <f t="shared" si="0"/>
        <v>169962.92485891466</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759953</v>
      </c>
      <c r="G22" s="223">
        <f>SUM(G15:G21)</f>
        <v>786551.35499999998</v>
      </c>
      <c r="I22" s="223">
        <f>SUM(I15:I21)</f>
        <v>814080.65242499986</v>
      </c>
      <c r="K22" s="223">
        <f>SUM(K15:K21)</f>
        <v>842573.47525987483</v>
      </c>
      <c r="M22" s="223">
        <f>SUM(M15:M21)</f>
        <v>872063.54689397034</v>
      </c>
      <c r="O22" s="223">
        <f>SUM(O15:O21)</f>
        <v>902585.77103525924</v>
      </c>
      <c r="Q22" s="223">
        <f>SUM(Q15:Q21)</f>
        <v>934176.27302149322</v>
      </c>
      <c r="S22" s="223">
        <f>SUM(S15:S21)</f>
        <v>966872.44257724541</v>
      </c>
      <c r="U22" s="223">
        <f>SUM(U15:U21)</f>
        <v>1000712.9780674488</v>
      </c>
      <c r="W22" s="223">
        <f>SUM(W15:W21)</f>
        <v>1035737.9322998094</v>
      </c>
      <c r="Y22" s="223">
        <f>SUM(Y15:Y21)</f>
        <v>1071988.7599303026</v>
      </c>
      <c r="AA22" s="223">
        <f>SUM(AA15:AA21)</f>
        <v>1109508.3665278633</v>
      </c>
      <c r="AC22" s="223">
        <f>SUM(AC15:AC21)</f>
        <v>1148341.1593563384</v>
      </c>
      <c r="AE22" s="223">
        <f>SUM(AE15:AE21)</f>
        <v>1188533.0999338103</v>
      </c>
      <c r="AG22" s="223">
        <f>SUM(AG15:AG21)</f>
        <v>1230131.7584314935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28800</v>
      </c>
      <c r="F27" s="222"/>
      <c r="G27" s="222">
        <f>E27*$C$27</f>
        <v>29807.999999999996</v>
      </c>
      <c r="H27" s="222"/>
      <c r="I27" s="222">
        <f>G27*$C$27</f>
        <v>30851.279999999995</v>
      </c>
      <c r="J27" s="222"/>
      <c r="K27" s="222">
        <f>I27*$C$27</f>
        <v>31931.074799999991</v>
      </c>
      <c r="L27" s="222"/>
      <c r="M27" s="222">
        <f>K27*$C$27</f>
        <v>33048.662417999985</v>
      </c>
      <c r="N27" s="222"/>
      <c r="O27" s="222">
        <f>M27*$C$27</f>
        <v>34205.36560262998</v>
      </c>
      <c r="P27" s="222"/>
      <c r="Q27" s="222">
        <f>O27*$C$27</f>
        <v>35402.553398722026</v>
      </c>
      <c r="R27" s="222"/>
      <c r="S27" s="222">
        <f>Q27*$C$27</f>
        <v>36641.642767677295</v>
      </c>
      <c r="T27" s="222"/>
      <c r="U27" s="222">
        <f>S27*$C$27</f>
        <v>37924.100264545996</v>
      </c>
      <c r="V27" s="222"/>
      <c r="W27" s="222">
        <f>U27*$C$27</f>
        <v>39251.443773805106</v>
      </c>
      <c r="X27" s="222"/>
      <c r="Y27" s="222">
        <f>W27*$C$27</f>
        <v>40625.244305888278</v>
      </c>
      <c r="Z27" s="222"/>
      <c r="AA27" s="222">
        <f>Y27*$C$27</f>
        <v>42047.127856594365</v>
      </c>
      <c r="AB27" s="222"/>
      <c r="AC27" s="222">
        <f>AA27*$C$27</f>
        <v>43518.777331575162</v>
      </c>
      <c r="AD27" s="222"/>
      <c r="AE27" s="222">
        <f>AC27*$C$27</f>
        <v>45041.934538180292</v>
      </c>
      <c r="AF27" s="222"/>
      <c r="AG27" s="222">
        <f>AE27*$C$27</f>
        <v>46618.402247016602</v>
      </c>
    </row>
    <row r="28" spans="1:33" s="210" customFormat="1" ht="14.25">
      <c r="A28" s="210" t="s">
        <v>847</v>
      </c>
      <c r="C28" s="237"/>
      <c r="E28" s="222">
        <f>Application!AC889</f>
        <v>38000</v>
      </c>
      <c r="F28" s="222"/>
      <c r="G28" s="222">
        <f>$E$28</f>
        <v>38000</v>
      </c>
      <c r="H28" s="222"/>
      <c r="I28" s="222">
        <f>$E$28</f>
        <v>38000</v>
      </c>
      <c r="J28" s="222"/>
      <c r="K28" s="222">
        <f>$E$28</f>
        <v>38000</v>
      </c>
      <c r="L28" s="222"/>
      <c r="M28" s="222">
        <f>$E$28</f>
        <v>38000</v>
      </c>
      <c r="N28" s="222"/>
      <c r="O28" s="222">
        <f>$E$28</f>
        <v>38000</v>
      </c>
      <c r="P28" s="222"/>
      <c r="Q28" s="222">
        <f>$E$28</f>
        <v>38000</v>
      </c>
      <c r="R28" s="222"/>
      <c r="S28" s="222">
        <f>$E$28</f>
        <v>38000</v>
      </c>
      <c r="T28" s="222"/>
      <c r="U28" s="222">
        <f>$E$28</f>
        <v>38000</v>
      </c>
      <c r="V28" s="222"/>
      <c r="W28" s="222">
        <f>$E$28</f>
        <v>38000</v>
      </c>
      <c r="X28" s="222"/>
      <c r="Y28" s="222">
        <f>$E$28</f>
        <v>38000</v>
      </c>
      <c r="Z28" s="222"/>
      <c r="AA28" s="222">
        <f>$E$28</f>
        <v>38000</v>
      </c>
      <c r="AB28" s="222"/>
      <c r="AC28" s="222">
        <f>$E$28</f>
        <v>38000</v>
      </c>
      <c r="AD28" s="222"/>
      <c r="AE28" s="222">
        <f>$E$28</f>
        <v>38000</v>
      </c>
      <c r="AF28" s="222"/>
      <c r="AG28" s="222">
        <f>$E$28</f>
        <v>38000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826753</v>
      </c>
      <c r="G35" s="223">
        <f>SUM(G22:G33)</f>
        <v>854359.35499999998</v>
      </c>
      <c r="I35" s="223">
        <f>SUM(I22:I33)</f>
        <v>882931.93242499989</v>
      </c>
      <c r="K35" s="223">
        <f>SUM(K22:K33)</f>
        <v>912504.55005987477</v>
      </c>
      <c r="M35" s="223">
        <f>SUM(M22:M33)</f>
        <v>943112.20931197028</v>
      </c>
      <c r="O35" s="223">
        <f>SUM(O22:O33)</f>
        <v>974791.1366378892</v>
      </c>
      <c r="Q35" s="223">
        <f>SUM(Q22:Q33)</f>
        <v>1007578.8264202152</v>
      </c>
      <c r="S35" s="223">
        <f>SUM(S22:S33)</f>
        <v>1041514.0853449227</v>
      </c>
      <c r="U35" s="223">
        <f>SUM(U22:U33)</f>
        <v>1076637.0783319948</v>
      </c>
      <c r="W35" s="223">
        <f>SUM(W22:W33)</f>
        <v>1112989.3760736145</v>
      </c>
      <c r="Y35" s="223">
        <f>SUM(Y22:Y33)</f>
        <v>1150614.0042361908</v>
      </c>
      <c r="AA35" s="223">
        <f>SUM(AA22:AA33)</f>
        <v>1189555.4943844576</v>
      </c>
      <c r="AC35" s="223">
        <f>SUM(AC22:AC33)</f>
        <v>1229859.9366879135</v>
      </c>
      <c r="AE35" s="223">
        <f>SUM(AE22:AE33)</f>
        <v>1271575.0344719905</v>
      </c>
      <c r="AG35" s="223">
        <f>SUM(AG22:AG33)</f>
        <v>1314750.1606785101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1855591</v>
      </c>
      <c r="G37" s="223">
        <f>G11-G35</f>
        <v>1895043.2450000001</v>
      </c>
      <c r="I37" s="223">
        <f>I11-I35</f>
        <v>1935205.7325749998</v>
      </c>
      <c r="K37" s="223">
        <f>K11-K35</f>
        <v>1976086.5565651243</v>
      </c>
      <c r="M37" s="223">
        <f>M11-M35</f>
        <v>2017693.6749786537</v>
      </c>
      <c r="O37" s="223">
        <f>O11-O35</f>
        <v>2060034.8947599996</v>
      </c>
      <c r="Q37" s="223">
        <f>Q11-Q35</f>
        <v>2103117.8557626205</v>
      </c>
      <c r="S37" s="223">
        <f>S11-S35</f>
        <v>2146950.0138924839</v>
      </c>
      <c r="U37" s="223">
        <f>U11-U35</f>
        <v>2191538.6233863472</v>
      </c>
      <c r="W37" s="223">
        <f>W11-W35</f>
        <v>2236890.7181876851</v>
      </c>
      <c r="Y37" s="223">
        <f>Y11-Y35</f>
        <v>2283013.0923816413</v>
      </c>
      <c r="AA37" s="223">
        <f>AA11-AA35</f>
        <v>2329912.2796488199</v>
      </c>
      <c r="AC37" s="223">
        <f>AC11-AC35</f>
        <v>2377594.5316961948</v>
      </c>
      <c r="AE37" s="223">
        <f>AE11-AE35</f>
        <v>2426065.7956217201</v>
      </c>
      <c r="AG37" s="223">
        <f>AG11-AG35</f>
        <v>2475331.6901675435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1613558</v>
      </c>
      <c r="F40" s="222"/>
      <c r="G40" s="222">
        <f>$E$40</f>
        <v>1613558</v>
      </c>
      <c r="H40" s="222"/>
      <c r="I40" s="222">
        <f>$E$40</f>
        <v>1613558</v>
      </c>
      <c r="J40" s="222"/>
      <c r="K40" s="222">
        <f>$E$40</f>
        <v>1613558</v>
      </c>
      <c r="L40" s="222"/>
      <c r="M40" s="222">
        <f>$E$40</f>
        <v>1613558</v>
      </c>
      <c r="N40" s="222"/>
      <c r="O40" s="222">
        <f>$E$40</f>
        <v>1613558</v>
      </c>
      <c r="P40" s="222"/>
      <c r="Q40" s="222">
        <f>$E$40</f>
        <v>1613558</v>
      </c>
      <c r="R40" s="222"/>
      <c r="S40" s="222">
        <f>$E$40</f>
        <v>1613558</v>
      </c>
      <c r="T40" s="222"/>
      <c r="U40" s="222">
        <f>$E$40</f>
        <v>1613558</v>
      </c>
      <c r="V40" s="222"/>
      <c r="W40" s="222">
        <f>$E$40</f>
        <v>1613558</v>
      </c>
      <c r="X40" s="222"/>
      <c r="Y40" s="222">
        <f>$E$40</f>
        <v>1613558</v>
      </c>
      <c r="Z40" s="222"/>
      <c r="AA40" s="222">
        <f>$E$40</f>
        <v>1613558</v>
      </c>
      <c r="AB40" s="222"/>
      <c r="AC40" s="222">
        <f>$E$40</f>
        <v>1613558</v>
      </c>
      <c r="AD40" s="222"/>
      <c r="AE40" s="222">
        <f>$E$40</f>
        <v>1613558</v>
      </c>
      <c r="AF40" s="222"/>
      <c r="AG40" s="222">
        <f>$E$40</f>
        <v>1613558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1613558</v>
      </c>
      <c r="G43" s="223">
        <f>SUM(G40:G42)</f>
        <v>1613558</v>
      </c>
      <c r="I43" s="223">
        <f>SUM(I40:I42)</f>
        <v>1613558</v>
      </c>
      <c r="K43" s="223">
        <f>SUM(K40:K42)</f>
        <v>1613558</v>
      </c>
      <c r="M43" s="223">
        <f>SUM(M40:M42)</f>
        <v>1613558</v>
      </c>
      <c r="O43" s="223">
        <f>SUM(O40:O42)</f>
        <v>1613558</v>
      </c>
      <c r="Q43" s="223">
        <f>SUM(Q40:Q42)</f>
        <v>1613558</v>
      </c>
      <c r="S43" s="223">
        <f>SUM(S40:S42)</f>
        <v>1613558</v>
      </c>
      <c r="U43" s="223">
        <f>SUM(U40:U42)</f>
        <v>1613558</v>
      </c>
      <c r="W43" s="223">
        <f>SUM(W40:W42)</f>
        <v>1613558</v>
      </c>
      <c r="Y43" s="223">
        <f>SUM(Y40:Y42)</f>
        <v>1613558</v>
      </c>
      <c r="AA43" s="223">
        <f>SUM(AA40:AA42)</f>
        <v>1613558</v>
      </c>
      <c r="AC43" s="223">
        <f>SUM(AC40:AC42)</f>
        <v>1613558</v>
      </c>
      <c r="AE43" s="223">
        <f>SUM(AE40:AE42)</f>
        <v>1613558</v>
      </c>
      <c r="AG43" s="223">
        <f>SUM(AG40:AG42)</f>
        <v>1613558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242033</v>
      </c>
      <c r="G45" s="223">
        <f>G37-G43</f>
        <v>281485.24500000011</v>
      </c>
      <c r="I45" s="223">
        <f>I37-I43</f>
        <v>321647.7325749998</v>
      </c>
      <c r="K45" s="223">
        <f>K37-K43</f>
        <v>362528.55656512431</v>
      </c>
      <c r="M45" s="223">
        <f>M37-M43</f>
        <v>404135.67497865367</v>
      </c>
      <c r="O45" s="223">
        <f>O37-O43</f>
        <v>446476.89475999959</v>
      </c>
      <c r="Q45" s="223">
        <f>Q37-Q43</f>
        <v>489559.85576262046</v>
      </c>
      <c r="S45" s="223">
        <f>S37-S43</f>
        <v>533392.0138924839</v>
      </c>
      <c r="U45" s="223">
        <f>U37-U43</f>
        <v>577980.6233863472</v>
      </c>
      <c r="W45" s="223">
        <f>W37-W43</f>
        <v>623332.71818768512</v>
      </c>
      <c r="Y45" s="223">
        <f>Y37-Y43</f>
        <v>669455.09238164127</v>
      </c>
      <c r="AA45" s="223">
        <f>AA37-AA43</f>
        <v>716354.27964881994</v>
      </c>
      <c r="AC45" s="223">
        <f>AC37-AC43</f>
        <v>764036.53169619478</v>
      </c>
      <c r="AE45" s="223">
        <f>AE37-AE43</f>
        <v>812507.79562172014</v>
      </c>
      <c r="AG45" s="223">
        <f>AG37-AG43</f>
        <v>861773.69016754348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8.5720306567688559E-2</v>
      </c>
      <c r="G47" s="227">
        <f>G45/(G4+G6+G8)</f>
        <v>9.7261486095197594E-2</v>
      </c>
      <c r="I47" s="227">
        <f>I45/(I4+I6+I8)</f>
        <v>0.10842811184891134</v>
      </c>
      <c r="K47" s="227">
        <f>K45/(K4+K6+K8)</f>
        <v>0.11922841136877418</v>
      </c>
      <c r="M47" s="227">
        <f>M45/(M4+M6+M8)</f>
        <v>0.12967040266528856</v>
      </c>
      <c r="O47" s="227">
        <f>O45/(O4+O6+O8)</f>
        <v>0.13976189924357146</v>
      </c>
      <c r="Q47" s="227">
        <f>Q45/(Q4+Q6+Q8)</f>
        <v>0.14951051500403201</v>
      </c>
      <c r="S47" s="227">
        <f>S45/(S4+S6+S8)</f>
        <v>0.15892366902266639</v>
      </c>
      <c r="U47" s="227">
        <f>U45/(U4+U6+U8)</f>
        <v>0.16800859021390241</v>
      </c>
      <c r="W47" s="227">
        <f>W45/(W4+W6+W8)</f>
        <v>0.17677232187884703</v>
      </c>
      <c r="Y47" s="227">
        <f>Y45/(Y4+Y6+Y8)</f>
        <v>0.18522172614172641</v>
      </c>
      <c r="AA47" s="227">
        <f>AA45/(AA4+AA6+AA8)</f>
        <v>0.19336348827723185</v>
      </c>
      <c r="AC47" s="227">
        <f>AC45/(AC4+AC6+AC8)</f>
        <v>0.20120412093143036</v>
      </c>
      <c r="AE47" s="227">
        <f>AE45/(AE4+AE6+AE8)</f>
        <v>0.20874996823882214</v>
      </c>
      <c r="AG47" s="227">
        <f>AG45/(AG4+AG6+AG8)</f>
        <v>0.21600720983807056</v>
      </c>
    </row>
    <row r="48" spans="1:33" s="227" customFormat="1" ht="14.25">
      <c r="A48" s="227" t="s">
        <v>853</v>
      </c>
      <c r="C48" s="220"/>
      <c r="E48" s="227">
        <f>E45/E43</f>
        <v>0.14999956617611515</v>
      </c>
      <c r="G48" s="227">
        <f>G45/G43</f>
        <v>0.1744500321649424</v>
      </c>
      <c r="I48" s="227">
        <f>I45/I43</f>
        <v>0.19934066985816426</v>
      </c>
      <c r="K48" s="227">
        <f>K45/K43</f>
        <v>0.22467649540030438</v>
      </c>
      <c r="M48" s="227">
        <f>M45/M43</f>
        <v>0.25046244075431667</v>
      </c>
      <c r="O48" s="227">
        <f>O45/O43</f>
        <v>0.27670334426156334</v>
      </c>
      <c r="Q48" s="227">
        <f>Q45/Q43</f>
        <v>0.30340394070905441</v>
      </c>
      <c r="S48" s="227">
        <f>S45/S43</f>
        <v>0.33056885088263571</v>
      </c>
      <c r="U48" s="227">
        <f>U45/U43</f>
        <v>0.35820257058398097</v>
      </c>
      <c r="W48" s="227">
        <f>W45/W43</f>
        <v>0.38630945908835329</v>
      </c>
      <c r="Y48" s="227">
        <f>Y45/Y43</f>
        <v>0.41489372701919686</v>
      </c>
      <c r="AA48" s="227">
        <f>AA45/AA43</f>
        <v>0.44395942361465773</v>
      </c>
      <c r="AC48" s="227">
        <f>AC45/AC43</f>
        <v>0.47351042336017346</v>
      </c>
      <c r="AE48" s="227">
        <f>AE45/AE43</f>
        <v>0.5035504119602271</v>
      </c>
      <c r="AG48" s="227">
        <f>AG45/AG43</f>
        <v>0.53408287162131352</v>
      </c>
    </row>
    <row r="49" spans="1:34" s="228" customFormat="1" ht="14.25">
      <c r="A49" s="228" t="s">
        <v>851</v>
      </c>
      <c r="C49" s="229"/>
      <c r="E49" s="228">
        <f>E37/E43</f>
        <v>1.1499995661761151</v>
      </c>
      <c r="G49" s="228">
        <f>G37/G43</f>
        <v>1.1744500321649425</v>
      </c>
      <c r="I49" s="228">
        <f>I37/I43</f>
        <v>1.1993406698581643</v>
      </c>
      <c r="K49" s="228">
        <f>K37/K43</f>
        <v>1.2246764954003044</v>
      </c>
      <c r="M49" s="228">
        <f>M37/M43</f>
        <v>1.2504624407543166</v>
      </c>
      <c r="O49" s="228">
        <f>O37/O43</f>
        <v>1.2767033442615634</v>
      </c>
      <c r="Q49" s="228">
        <f>Q37/Q43</f>
        <v>1.3034039407090545</v>
      </c>
      <c r="S49" s="228">
        <f>S37/S43</f>
        <v>1.3305688508826357</v>
      </c>
      <c r="U49" s="228">
        <f>U37/U43</f>
        <v>1.3582025705839811</v>
      </c>
      <c r="W49" s="228">
        <f>W37/W43</f>
        <v>1.3863094590883533</v>
      </c>
      <c r="Y49" s="228">
        <f>Y37/Y43</f>
        <v>1.4148937270191968</v>
      </c>
      <c r="AA49" s="228">
        <f>AA37/AA43</f>
        <v>1.4439594236146578</v>
      </c>
      <c r="AC49" s="228">
        <f>AC37/AC43</f>
        <v>1.4735104233601735</v>
      </c>
      <c r="AE49" s="228">
        <f>AE37/AE43</f>
        <v>1.5035504119602272</v>
      </c>
      <c r="AG49" s="228">
        <f>AG37/AG43</f>
        <v>1.5340828716213135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1260">
        <f>+Application!AO628</f>
        <v>7278376</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242033</v>
      </c>
      <c r="G60" s="962">
        <f>G45-G58</f>
        <v>281485.24500000011</v>
      </c>
      <c r="I60" s="962">
        <f>I45-I58</f>
        <v>321647.7325749998</v>
      </c>
      <c r="K60" s="962">
        <f>K45-K58</f>
        <v>362528.55656512431</v>
      </c>
      <c r="M60" s="962">
        <f>M45-M58</f>
        <v>404135.67497865367</v>
      </c>
      <c r="O60" s="962">
        <f>O45-O58</f>
        <v>446476.89475999959</v>
      </c>
      <c r="Q60" s="962">
        <f>Q45-Q58</f>
        <v>489559.85576262046</v>
      </c>
      <c r="S60" s="962">
        <f>S45-S58</f>
        <v>533392.0138924839</v>
      </c>
      <c r="U60" s="962">
        <f>U45-U58</f>
        <v>577980.6233863472</v>
      </c>
      <c r="W60" s="962">
        <f>W45-W58</f>
        <v>623332.71818768512</v>
      </c>
      <c r="Y60" s="962">
        <f>Y45-Y58</f>
        <v>669455.09238164127</v>
      </c>
      <c r="AA60" s="962">
        <f>AA45-AA58</f>
        <v>716354.27964881994</v>
      </c>
      <c r="AC60" s="962">
        <f>AC45-AC58</f>
        <v>764036.53169619478</v>
      </c>
      <c r="AE60" s="962">
        <f>AE45-AE58</f>
        <v>812507.79562172014</v>
      </c>
      <c r="AG60" s="962">
        <f>AG45-AG58</f>
        <v>861773.69016754348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242033</v>
      </c>
      <c r="G62" s="962">
        <f>G60*$C$62</f>
        <v>281485.24500000011</v>
      </c>
      <c r="I62" s="962">
        <f>I60*$C$62</f>
        <v>321647.7325749998</v>
      </c>
      <c r="K62" s="962">
        <f>K60*$C$62</f>
        <v>362528.55656512431</v>
      </c>
      <c r="M62" s="962">
        <f>M60*$C$62</f>
        <v>404135.67497865367</v>
      </c>
      <c r="O62" s="962">
        <f>O60*$C$62</f>
        <v>446476.89475999959</v>
      </c>
      <c r="Q62" s="962">
        <f>Q60*$C$62</f>
        <v>489559.85576262046</v>
      </c>
      <c r="S62" s="962">
        <f>S60*$C$62</f>
        <v>533392.0138924839</v>
      </c>
      <c r="U62" s="962">
        <f>U60*$C$62</f>
        <v>577980.6233863472</v>
      </c>
      <c r="W62" s="962">
        <f>W60*$C$62</f>
        <v>623332.71818768512</v>
      </c>
      <c r="Y62" s="962">
        <f>Y60*$C$62</f>
        <v>669455.09238164127</v>
      </c>
      <c r="AA62" s="962">
        <f>AA60*$C$62</f>
        <v>716354.27964881994</v>
      </c>
      <c r="AC62" s="962">
        <f>AC60*$C$62</f>
        <v>764036.53169619478</v>
      </c>
      <c r="AE62" s="962">
        <f>AE60*$C$62</f>
        <v>812507.79562172014</v>
      </c>
      <c r="AG62" s="962">
        <f>+C59-SUM(E62:AE62)</f>
        <v>33449.98554371018</v>
      </c>
    </row>
    <row r="63" spans="1:34" s="962" customFormat="1">
      <c r="A63" s="2687" t="s">
        <v>1185</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828323.7046238333</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3000000</v>
      </c>
      <c r="C5" s="266">
        <f>'Sources and Uses Budget'!$C4</f>
        <v>3000000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3000000</v>
      </c>
      <c r="C9" s="270">
        <f>SUM(C5:C8)</f>
        <v>3000000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3000000</v>
      </c>
      <c r="C13" s="270">
        <f>SUM(C9+C12)</f>
        <v>3000000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35595366</v>
      </c>
      <c r="C31" s="266">
        <f>'Sources and Uses Budget'!$C30</f>
        <v>35595366</v>
      </c>
      <c r="D31" s="270">
        <f t="shared" si="0"/>
        <v>0</v>
      </c>
      <c r="E31" s="268"/>
      <c r="F31" s="267"/>
    </row>
    <row r="32" spans="1:6" s="352" customFormat="1">
      <c r="A32" s="145" t="s">
        <v>601</v>
      </c>
      <c r="B32" s="266">
        <f>'Sources and Uses Budget'!$C31</f>
        <v>2135722</v>
      </c>
      <c r="C32" s="266">
        <f>'Sources and Uses Budget'!$C31</f>
        <v>2135722</v>
      </c>
      <c r="D32" s="270">
        <f t="shared" si="0"/>
        <v>0</v>
      </c>
      <c r="E32" s="268"/>
      <c r="F32" s="267"/>
    </row>
    <row r="33" spans="1:6" s="352" customFormat="1">
      <c r="A33" s="145" t="s">
        <v>137</v>
      </c>
      <c r="B33" s="266">
        <f>'Sources and Uses Budget'!$C32</f>
        <v>754622</v>
      </c>
      <c r="C33" s="266">
        <f>'Sources and Uses Budget'!$C32</f>
        <v>754622</v>
      </c>
      <c r="D33" s="270">
        <f t="shared" si="0"/>
        <v>0</v>
      </c>
      <c r="E33" s="268"/>
      <c r="F33" s="267"/>
    </row>
    <row r="34" spans="1:6" s="352" customFormat="1">
      <c r="A34" s="145" t="s">
        <v>138</v>
      </c>
      <c r="B34" s="266">
        <f>'Sources and Uses Budget'!$C33</f>
        <v>2263865</v>
      </c>
      <c r="C34" s="266">
        <f>'Sources and Uses Budget'!$C33</f>
        <v>2263865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1222487</v>
      </c>
      <c r="C36" s="266">
        <f>'Sources and Uses Budget'!$C35</f>
        <v>1222487</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41972062</v>
      </c>
      <c r="C39" s="270">
        <f>SUM(C30:C38)</f>
        <v>41972062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4024603</v>
      </c>
      <c r="C46" s="266">
        <f>'Sources and Uses Budget'!$C45</f>
        <v>4024603</v>
      </c>
      <c r="D46" s="270">
        <f t="shared" si="0"/>
        <v>0</v>
      </c>
      <c r="E46" s="268"/>
      <c r="F46" s="267"/>
    </row>
    <row r="47" spans="1:6" s="352" customFormat="1">
      <c r="A47" s="145" t="s">
        <v>151</v>
      </c>
      <c r="B47" s="266">
        <f>'Sources and Uses Budget'!$C46</f>
        <v>554606</v>
      </c>
      <c r="C47" s="266">
        <f>'Sources and Uses Budget'!$C46</f>
        <v>554606</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227372</v>
      </c>
      <c r="C50" s="266">
        <f>'Sources and Uses Budget'!$C49</f>
        <v>227372</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60000</v>
      </c>
      <c r="C52" s="266">
        <f>'Sources and Uses Budget'!$C51</f>
        <v>60000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4961581</v>
      </c>
      <c r="C55" s="273">
        <f>SUM(C46:C54)</f>
        <v>4961581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51598643</v>
      </c>
      <c r="C64" s="270">
        <f>SUM(C9+C12+C14+C15+C17+C26+C28+C39+C43+C44+C55+C63)</f>
        <v>51598643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610078</v>
      </c>
      <c r="C76" s="266">
        <f>'Sources and Uses Budget'!$C75</f>
        <v>610078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640078</v>
      </c>
      <c r="C78" s="270">
        <f>SUM(C73:C77)</f>
        <v>640078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2098603</v>
      </c>
      <c r="C80" s="266">
        <f>'Sources and Uses Budget'!$C79</f>
        <v>2098603</v>
      </c>
      <c r="D80" s="270">
        <f t="shared" si="1"/>
        <v>0</v>
      </c>
      <c r="E80" s="268"/>
      <c r="F80" s="267"/>
    </row>
    <row r="81" spans="1:6" s="352" customFormat="1">
      <c r="A81" s="510" t="s">
        <v>58</v>
      </c>
      <c r="B81" s="266">
        <f>'Sources and Uses Budget'!$C80</f>
        <v>589502</v>
      </c>
      <c r="C81" s="266">
        <f>'Sources and Uses Budget'!$C80</f>
        <v>589502</v>
      </c>
      <c r="D81" s="270">
        <f>C81-B81</f>
        <v>0</v>
      </c>
      <c r="E81" s="268"/>
      <c r="F81" s="267"/>
    </row>
    <row r="82" spans="1:6" s="352" customFormat="1">
      <c r="A82" s="271" t="s">
        <v>1210</v>
      </c>
      <c r="B82" s="270">
        <f>SUM(B80:B81)</f>
        <v>2688105</v>
      </c>
      <c r="C82" s="270">
        <f>SUM(C80:C81)</f>
        <v>2688105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230914</v>
      </c>
      <c r="C84" s="266">
        <f>'Sources and Uses Budget'!$C83</f>
        <v>230914</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7581614</v>
      </c>
      <c r="C86" s="266">
        <f>'Sources and Uses Budget'!$C85</f>
        <v>7581614</v>
      </c>
      <c r="D86" s="270">
        <f t="shared" si="1"/>
        <v>0</v>
      </c>
      <c r="E86" s="268"/>
      <c r="F86" s="267"/>
    </row>
    <row r="87" spans="1:6" s="352" customFormat="1">
      <c r="A87" s="269" t="s">
        <v>770</v>
      </c>
      <c r="B87" s="266">
        <f>'Sources and Uses Budget'!$C86</f>
        <v>1008557</v>
      </c>
      <c r="C87" s="266">
        <f>'Sources and Uses Budget'!$C86</f>
        <v>1008557</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62880</v>
      </c>
      <c r="C89" s="266">
        <f>'Sources and Uses Budget'!$C88</f>
        <v>62880</v>
      </c>
      <c r="D89" s="270">
        <f t="shared" si="1"/>
        <v>0</v>
      </c>
      <c r="E89" s="268"/>
      <c r="F89" s="267"/>
    </row>
    <row r="90" spans="1:6" s="352" customFormat="1">
      <c r="A90" s="269" t="s">
        <v>773</v>
      </c>
      <c r="B90" s="266">
        <f>'Sources and Uses Budget'!$C89</f>
        <v>80000</v>
      </c>
      <c r="C90" s="266">
        <f>'Sources and Uses Budget'!$C89</f>
        <v>80000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9033465</v>
      </c>
      <c r="C97" s="270">
        <f>SUM(C84:C96)</f>
        <v>9033465</v>
      </c>
      <c r="D97" s="270">
        <f t="shared" si="1"/>
        <v>0</v>
      </c>
      <c r="E97" s="268"/>
      <c r="F97" s="267"/>
    </row>
    <row r="98" spans="1:6" s="352" customFormat="1">
      <c r="A98" s="271" t="s">
        <v>776</v>
      </c>
      <c r="B98" s="270">
        <f>SUM(B64+B71+B78+B82+B97)</f>
        <v>64075291</v>
      </c>
      <c r="C98" s="270">
        <f>SUM(C64+C71+C78+C82+C97)</f>
        <v>64075291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8978857</v>
      </c>
      <c r="C100" s="266">
        <f>'Sources and Uses Budget'!$C99</f>
        <v>8978857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8978857</v>
      </c>
      <c r="C105" s="270">
        <f>SUM(C100:C104)</f>
        <v>8978857</v>
      </c>
      <c r="D105" s="270">
        <f t="shared" si="1"/>
        <v>0</v>
      </c>
      <c r="E105" s="268"/>
      <c r="F105" s="267"/>
    </row>
    <row r="106" spans="1:6" s="352" customFormat="1">
      <c r="A106" s="271" t="s">
        <v>781</v>
      </c>
      <c r="B106" s="273">
        <f>SUM(B98+B105)</f>
        <v>73054148</v>
      </c>
      <c r="C106" s="273">
        <f>SUM(C98+C105)</f>
        <v>73054148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1869</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2047</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1" t="s">
        <v>1874</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1870</v>
      </c>
      <c r="B71" s="1278"/>
      <c r="C71" s="1278"/>
      <c r="D71" s="1278"/>
      <c r="E71" s="1278"/>
      <c r="F71" s="1278"/>
      <c r="G71" s="1278"/>
      <c r="H71" s="1278"/>
      <c r="I71" s="1278"/>
    </row>
    <row r="72" spans="1:9" ht="12.75">
      <c r="A72" s="1268" t="s">
        <v>2045</v>
      </c>
      <c r="B72" s="1268"/>
      <c r="C72" s="1268"/>
      <c r="D72" s="1268"/>
      <c r="E72" s="1268"/>
    </row>
    <row r="73" spans="1:9" ht="12.75">
      <c r="A73" s="1268" t="s">
        <v>2046</v>
      </c>
      <c r="B73" s="1268"/>
      <c r="C73" s="1268"/>
      <c r="D73" s="1268"/>
      <c r="E73" s="1268"/>
    </row>
    <row r="74" spans="1:9" ht="12.75">
      <c r="A74" s="1268" t="s">
        <v>1871</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2458</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1102</v>
      </c>
      <c r="B9" s="1287"/>
      <c r="C9" s="1287"/>
      <c r="D9" s="1287"/>
      <c r="E9" s="1287"/>
      <c r="F9" s="1287"/>
      <c r="G9" s="1287"/>
      <c r="H9" s="1028"/>
      <c r="I9" s="1029"/>
    </row>
    <row r="10" spans="1:13">
      <c r="A10" s="482"/>
      <c r="B10" s="482"/>
      <c r="E10" s="404"/>
    </row>
    <row r="11" spans="1:13" ht="13.7" customHeight="1">
      <c r="C11" s="482"/>
      <c r="D11" s="1306" t="s">
        <v>1101</v>
      </c>
      <c r="E11" s="1306"/>
      <c r="F11" s="1306"/>
    </row>
    <row r="12" spans="1:13">
      <c r="C12" s="482"/>
      <c r="D12" s="1306"/>
      <c r="E12" s="1306"/>
      <c r="F12" s="1306"/>
    </row>
    <row r="13" spans="1:13">
      <c r="A13" s="483"/>
      <c r="B13" s="483"/>
      <c r="C13" s="483"/>
      <c r="D13" s="1285" t="s">
        <v>1091</v>
      </c>
      <c r="E13" s="1285"/>
      <c r="F13" s="1285"/>
      <c r="M13" s="96"/>
    </row>
    <row r="14" spans="1:13">
      <c r="A14" s="483"/>
      <c r="B14" s="483"/>
      <c r="C14" s="483"/>
      <c r="D14" s="476"/>
      <c r="L14" s="312"/>
    </row>
    <row r="15" spans="1:13" ht="14.25">
      <c r="A15" s="484"/>
      <c r="B15" s="485" t="s">
        <v>307</v>
      </c>
      <c r="C15" s="483"/>
      <c r="D15" s="1284" t="s">
        <v>1922</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1920</v>
      </c>
      <c r="F18" s="445"/>
      <c r="I18" s="490"/>
    </row>
    <row r="19" spans="1:9">
      <c r="A19" s="483"/>
      <c r="B19" s="483"/>
      <c r="C19" s="483"/>
      <c r="I19" s="490"/>
    </row>
    <row r="20" spans="1:9" ht="14.25">
      <c r="A20" s="484"/>
      <c r="B20" s="485" t="s">
        <v>307</v>
      </c>
      <c r="D20" s="1284" t="s">
        <v>1923</v>
      </c>
      <c r="E20" s="1284"/>
      <c r="F20" s="1284"/>
      <c r="I20" s="490"/>
    </row>
    <row r="21" spans="1:9" ht="14.25">
      <c r="A21" s="484"/>
      <c r="D21" s="1284"/>
      <c r="E21" s="1284"/>
      <c r="F21" s="1284"/>
      <c r="I21" s="490"/>
    </row>
    <row r="22" spans="1:9" ht="14.25">
      <c r="A22" s="484"/>
      <c r="D22" s="392"/>
      <c r="E22" s="96" t="s">
        <v>1919</v>
      </c>
      <c r="F22" s="392"/>
      <c r="I22" s="490"/>
    </row>
    <row r="23" spans="1:9" ht="14.25">
      <c r="A23" s="484"/>
      <c r="B23" s="484"/>
      <c r="D23" s="446"/>
      <c r="I23" s="490"/>
    </row>
    <row r="24" spans="1:9" ht="14.25">
      <c r="A24" s="484"/>
      <c r="B24" s="485" t="s">
        <v>307</v>
      </c>
      <c r="D24" s="1284" t="s">
        <v>1092</v>
      </c>
      <c r="E24" s="1284"/>
      <c r="F24" s="1284"/>
      <c r="I24" s="490"/>
    </row>
    <row r="25" spans="1:9" ht="14.25">
      <c r="A25" s="484"/>
      <c r="B25" s="484"/>
      <c r="D25" s="1284"/>
      <c r="E25" s="1284"/>
      <c r="F25" s="1284"/>
      <c r="I25" s="490"/>
    </row>
    <row r="26" spans="1:9">
      <c r="I26" s="490"/>
    </row>
    <row r="27" spans="1:9" ht="14.25">
      <c r="A27" s="484"/>
      <c r="B27" s="485" t="s">
        <v>307</v>
      </c>
      <c r="D27" s="1284" t="s">
        <v>2048</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307</v>
      </c>
      <c r="D33" s="1284" t="s">
        <v>2049</v>
      </c>
      <c r="E33" s="1284"/>
      <c r="F33" s="1284"/>
      <c r="I33" s="490"/>
    </row>
    <row r="34" spans="1:9">
      <c r="D34" s="1284"/>
      <c r="E34" s="1284"/>
      <c r="F34" s="1284"/>
      <c r="I34" s="490"/>
    </row>
    <row r="35" spans="1:9" ht="14.25">
      <c r="A35" s="484"/>
      <c r="B35" s="484"/>
      <c r="D35" s="447"/>
      <c r="I35" s="490"/>
    </row>
    <row r="36" spans="1:9" ht="14.45" customHeight="1">
      <c r="A36" s="484"/>
      <c r="B36" s="485" t="s">
        <v>307</v>
      </c>
      <c r="D36" s="1284" t="s">
        <v>1215</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307</v>
      </c>
      <c r="D41" s="1284" t="s">
        <v>1093</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307</v>
      </c>
      <c r="D47" s="1284" t="s">
        <v>1094</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307</v>
      </c>
      <c r="D52" s="1284" t="s">
        <v>1095</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307</v>
      </c>
      <c r="D56" s="1308" t="s">
        <v>1096</v>
      </c>
      <c r="E56" s="1308"/>
      <c r="F56" s="1308"/>
      <c r="I56" s="490"/>
    </row>
    <row r="57" spans="1:9" ht="14.25">
      <c r="A57" s="484"/>
      <c r="B57" s="484"/>
      <c r="D57" s="1308"/>
      <c r="E57" s="1308"/>
      <c r="F57" s="1308"/>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284" t="s">
        <v>1097</v>
      </c>
      <c r="E61" s="1284"/>
      <c r="F61" s="1284"/>
      <c r="I61" s="490"/>
    </row>
    <row r="62" spans="1:9">
      <c r="D62" s="1284"/>
      <c r="E62" s="1284"/>
      <c r="F62" s="1284"/>
      <c r="I62" s="490"/>
    </row>
    <row r="63" spans="1:9">
      <c r="D63" s="1284"/>
      <c r="E63" s="1284"/>
      <c r="F63" s="1284"/>
      <c r="I63" s="490"/>
    </row>
    <row r="64" spans="1:9">
      <c r="I64" s="490"/>
    </row>
    <row r="65" spans="1:9" ht="14.25">
      <c r="A65" s="484"/>
      <c r="B65" s="485" t="s">
        <v>307</v>
      </c>
      <c r="D65" s="1284" t="s">
        <v>1098</v>
      </c>
      <c r="E65" s="1284"/>
      <c r="F65" s="1284"/>
      <c r="I65" s="490"/>
    </row>
    <row r="66" spans="1:9">
      <c r="D66" s="1284"/>
      <c r="E66" s="1284"/>
      <c r="F66" s="1284"/>
      <c r="I66" s="490"/>
    </row>
    <row r="67" spans="1:9">
      <c r="I67" s="490"/>
    </row>
    <row r="68" spans="1:9" ht="14.25">
      <c r="A68" s="484"/>
      <c r="B68" s="485" t="s">
        <v>307</v>
      </c>
      <c r="D68" s="1284" t="s">
        <v>1099</v>
      </c>
      <c r="E68" s="1284"/>
      <c r="F68" s="1284"/>
      <c r="I68" s="490"/>
    </row>
    <row r="69" spans="1:9">
      <c r="D69" s="1284"/>
      <c r="E69" s="1284"/>
      <c r="F69" s="1284"/>
      <c r="I69" s="490"/>
    </row>
    <row r="70" spans="1:9">
      <c r="D70" s="1284"/>
      <c r="E70" s="1284"/>
      <c r="F70" s="1284"/>
      <c r="I70" s="490"/>
    </row>
    <row r="71" spans="1:9">
      <c r="I71" s="490"/>
    </row>
    <row r="72" spans="1:9" ht="14.25">
      <c r="A72" s="484"/>
      <c r="B72" s="485" t="s">
        <v>307</v>
      </c>
      <c r="D72" s="1284" t="s">
        <v>1100</v>
      </c>
      <c r="E72" s="1284"/>
      <c r="F72" s="1284"/>
      <c r="I72" s="490"/>
    </row>
    <row r="73" spans="1:9">
      <c r="D73" s="1284"/>
      <c r="E73" s="1284"/>
      <c r="F73" s="1284"/>
      <c r="I73" s="490"/>
    </row>
    <row r="74" spans="1:9" ht="14.25">
      <c r="A74" s="484"/>
      <c r="B74" s="484"/>
      <c r="D74" s="446"/>
      <c r="I74" s="490"/>
    </row>
    <row r="75" spans="1:9">
      <c r="A75" s="1287" t="s">
        <v>1045</v>
      </c>
      <c r="B75" s="1287"/>
      <c r="C75" s="1287"/>
      <c r="D75" s="1287"/>
      <c r="E75" s="1287"/>
      <c r="F75" s="1287"/>
      <c r="G75" s="1287"/>
      <c r="H75" s="1028"/>
      <c r="I75" s="1153"/>
    </row>
    <row r="76" spans="1:9">
      <c r="I76" s="490"/>
    </row>
    <row r="77" spans="1:9">
      <c r="C77" s="486"/>
      <c r="D77" s="1286" t="s">
        <v>1103</v>
      </c>
      <c r="E77" s="1286"/>
      <c r="F77" s="1286"/>
      <c r="I77" s="490"/>
    </row>
    <row r="78" spans="1:9">
      <c r="A78" s="446"/>
      <c r="B78" s="446"/>
      <c r="D78" s="1284" t="s">
        <v>1118</v>
      </c>
      <c r="E78" s="1284"/>
      <c r="F78" s="1284"/>
      <c r="I78" s="490"/>
    </row>
    <row r="79" spans="1:9">
      <c r="A79" s="446"/>
      <c r="B79" s="446"/>
      <c r="I79" s="490"/>
    </row>
    <row r="80" spans="1:9" ht="13.7" customHeight="1">
      <c r="A80" s="484"/>
      <c r="B80" s="485" t="s">
        <v>307</v>
      </c>
      <c r="D80" s="1284" t="s">
        <v>1246</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307</v>
      </c>
      <c r="D89" s="1284" t="s">
        <v>1743</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307</v>
      </c>
      <c r="D92" s="1284" t="s">
        <v>1746</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307</v>
      </c>
      <c r="D96" s="1284" t="s">
        <v>1745</v>
      </c>
      <c r="E96" s="1284"/>
      <c r="F96" s="1284"/>
      <c r="I96" s="490"/>
    </row>
    <row r="97" spans="1:9" s="987" customFormat="1" ht="14.25">
      <c r="A97" s="985"/>
      <c r="B97" s="985"/>
      <c r="C97" s="986"/>
      <c r="D97" s="1284"/>
      <c r="E97" s="1284"/>
      <c r="F97" s="1284"/>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284" t="s">
        <v>1744</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307</v>
      </c>
      <c r="D103" s="1284" t="s">
        <v>1195</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307</v>
      </c>
      <c r="D119" s="1304" t="s">
        <v>1104</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307</v>
      </c>
      <c r="C128" s="402"/>
      <c r="D128" s="1304" t="s">
        <v>2050</v>
      </c>
      <c r="E128" s="1304"/>
      <c r="F128" s="1304"/>
      <c r="I128" s="490"/>
    </row>
    <row r="129" spans="1:9" ht="14.25">
      <c r="A129" s="484"/>
      <c r="B129" s="484"/>
      <c r="C129" s="402"/>
      <c r="D129" s="1304"/>
      <c r="E129" s="1304"/>
      <c r="F129" s="1304"/>
      <c r="I129" s="490"/>
    </row>
    <row r="130" spans="1:9">
      <c r="I130" s="490"/>
    </row>
    <row r="131" spans="1:9" ht="14.25">
      <c r="A131" s="484"/>
      <c r="B131" s="485" t="s">
        <v>307</v>
      </c>
      <c r="D131" s="1284" t="s">
        <v>1105</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307</v>
      </c>
      <c r="D137" s="1284" t="s">
        <v>1106</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307</v>
      </c>
      <c r="D151" s="1284" t="s">
        <v>1178</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2073</v>
      </c>
      <c r="E169" s="1305"/>
      <c r="F169" s="1305"/>
      <c r="G169" s="507"/>
      <c r="I169" s="490"/>
    </row>
    <row r="170" spans="1:9" ht="13.7" customHeight="1">
      <c r="D170" s="1296"/>
      <c r="E170" s="1296"/>
      <c r="F170" s="1296"/>
      <c r="G170" s="1296"/>
      <c r="I170" s="490"/>
    </row>
    <row r="171" spans="1:9" ht="14.45" customHeight="1">
      <c r="A171" s="489"/>
      <c r="B171" s="485" t="s">
        <v>307</v>
      </c>
      <c r="C171" s="476"/>
      <c r="D171" s="1264" t="s">
        <v>2213</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307</v>
      </c>
      <c r="C177" s="476"/>
      <c r="D177" s="1264" t="s">
        <v>1107</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307</v>
      </c>
      <c r="D182" s="1288" t="s">
        <v>2051</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2052</v>
      </c>
      <c r="B186" s="1287"/>
      <c r="C186" s="1287"/>
      <c r="D186" s="1287"/>
      <c r="E186" s="1287"/>
      <c r="F186" s="1287"/>
      <c r="G186" s="1287"/>
      <c r="H186" s="1028"/>
      <c r="I186" s="1153"/>
    </row>
    <row r="187" spans="1:9" ht="12" customHeight="1">
      <c r="D187" s="446"/>
      <c r="E187" s="446"/>
      <c r="F187" s="446"/>
      <c r="I187" s="490"/>
    </row>
    <row r="188" spans="1:9">
      <c r="B188" s="1290" t="s">
        <v>447</v>
      </c>
      <c r="C188" s="1290"/>
      <c r="D188" s="1290"/>
      <c r="E188" s="1290"/>
      <c r="F188" s="1290"/>
      <c r="I188" s="490"/>
    </row>
    <row r="189" spans="1:9">
      <c r="B189" s="392" t="s">
        <v>1875</v>
      </c>
      <c r="C189" s="392"/>
      <c r="D189" s="392"/>
      <c r="E189" s="392"/>
      <c r="F189" s="392"/>
      <c r="I189" s="490"/>
    </row>
    <row r="190" spans="1:9" ht="12" customHeight="1">
      <c r="A190" s="482"/>
      <c r="B190" s="482"/>
      <c r="C190" s="482"/>
      <c r="I190" s="490"/>
    </row>
    <row r="191" spans="1:9">
      <c r="A191" s="1287" t="s">
        <v>1046</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1747</v>
      </c>
      <c r="E193" s="1286"/>
      <c r="F193" s="1286"/>
      <c r="I193" s="490"/>
    </row>
    <row r="194" spans="1:9">
      <c r="A194" s="404"/>
      <c r="B194" s="404"/>
      <c r="D194" s="1286"/>
      <c r="E194" s="1286"/>
      <c r="F194" s="1286"/>
      <c r="I194" s="490"/>
    </row>
    <row r="195" spans="1:9">
      <c r="A195" s="404"/>
      <c r="B195" s="404"/>
      <c r="D195" s="1290" t="s">
        <v>1196</v>
      </c>
      <c r="E195" s="1290"/>
      <c r="F195" s="1290"/>
      <c r="I195" s="490"/>
    </row>
    <row r="196" spans="1:9">
      <c r="A196" s="404"/>
      <c r="B196" s="404"/>
      <c r="D196" s="392"/>
      <c r="E196" s="392"/>
      <c r="F196" s="392"/>
      <c r="I196" s="490"/>
    </row>
    <row r="197" spans="1:9">
      <c r="A197" s="404"/>
      <c r="B197" s="485" t="s">
        <v>307</v>
      </c>
      <c r="D197" s="1301" t="s">
        <v>1748</v>
      </c>
      <c r="E197" s="1301"/>
      <c r="F197" s="1301"/>
      <c r="I197" s="490"/>
    </row>
    <row r="198" spans="1:9">
      <c r="A198" s="404"/>
      <c r="B198" s="404"/>
      <c r="D198" s="1302" t="s">
        <v>1902</v>
      </c>
      <c r="E198" s="1302"/>
      <c r="F198" s="1302"/>
      <c r="I198" s="490"/>
    </row>
    <row r="199" spans="1:9">
      <c r="A199" s="404"/>
      <c r="B199" s="404"/>
      <c r="D199" s="96" t="s">
        <v>1749</v>
      </c>
      <c r="E199" s="1303" t="s">
        <v>1925</v>
      </c>
      <c r="F199" s="1303"/>
      <c r="I199" s="490"/>
    </row>
    <row r="200" spans="1:9">
      <c r="A200" s="404"/>
      <c r="B200" s="404"/>
      <c r="D200" s="3"/>
      <c r="E200" s="3"/>
      <c r="F200" s="3"/>
      <c r="I200" s="490"/>
    </row>
    <row r="201" spans="1:9">
      <c r="A201" s="404"/>
      <c r="B201" s="485" t="s">
        <v>307</v>
      </c>
      <c r="D201" s="1302" t="s">
        <v>1750</v>
      </c>
      <c r="E201" s="1302"/>
      <c r="F201" s="1302"/>
      <c r="I201" s="490"/>
    </row>
    <row r="202" spans="1:9">
      <c r="A202" s="404"/>
      <c r="B202" s="404"/>
      <c r="D202" s="1301" t="s">
        <v>1902</v>
      </c>
      <c r="E202" s="1301"/>
      <c r="F202" s="1301"/>
      <c r="I202" s="490"/>
    </row>
    <row r="203" spans="1:9">
      <c r="A203" s="404"/>
      <c r="B203" s="404"/>
      <c r="D203" s="57" t="s">
        <v>1751</v>
      </c>
      <c r="E203" s="1303" t="s">
        <v>1926</v>
      </c>
      <c r="F203" s="1303"/>
      <c r="I203" s="490"/>
    </row>
    <row r="204" spans="1:9">
      <c r="A204" s="404"/>
      <c r="B204" s="404"/>
      <c r="D204" s="3"/>
      <c r="E204" s="3"/>
      <c r="F204" s="3"/>
      <c r="I204" s="490"/>
    </row>
    <row r="205" spans="1:9">
      <c r="A205" s="404"/>
      <c r="B205" s="485" t="s">
        <v>307</v>
      </c>
      <c r="D205" s="1302" t="s">
        <v>1752</v>
      </c>
      <c r="E205" s="1302"/>
      <c r="F205" s="1302"/>
      <c r="I205" s="490"/>
    </row>
    <row r="206" spans="1:9">
      <c r="A206" s="404"/>
      <c r="B206" s="404"/>
      <c r="D206" s="1301" t="s">
        <v>1902</v>
      </c>
      <c r="E206" s="1301"/>
      <c r="F206" s="1301"/>
      <c r="I206" s="490"/>
    </row>
    <row r="207" spans="1:9">
      <c r="A207" s="404"/>
      <c r="B207" s="404"/>
      <c r="D207" s="57" t="s">
        <v>1749</v>
      </c>
      <c r="E207" s="1303" t="s">
        <v>1927</v>
      </c>
      <c r="F207" s="1303"/>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301" t="s">
        <v>1902</v>
      </c>
      <c r="E210" s="1301"/>
      <c r="F210" s="1301"/>
      <c r="I210" s="490"/>
    </row>
    <row r="211" spans="1:9">
      <c r="D211" s="385"/>
      <c r="E211" s="1303" t="s">
        <v>1928</v>
      </c>
      <c r="F211" s="1303"/>
      <c r="I211" s="490"/>
    </row>
    <row r="212" spans="1:9">
      <c r="D212" s="447"/>
      <c r="I212" s="490"/>
    </row>
    <row r="213" spans="1:9">
      <c r="B213" s="485" t="s">
        <v>307</v>
      </c>
      <c r="D213" s="1302" t="s">
        <v>1753</v>
      </c>
      <c r="E213" s="1302"/>
      <c r="F213" s="1302"/>
      <c r="I213" s="490"/>
    </row>
    <row r="214" spans="1:9">
      <c r="D214" s="1301" t="s">
        <v>1902</v>
      </c>
      <c r="E214" s="1301"/>
      <c r="F214" s="1301"/>
      <c r="I214" s="490"/>
    </row>
    <row r="215" spans="1:9">
      <c r="D215" s="57" t="s">
        <v>1749</v>
      </c>
      <c r="E215" s="1303" t="s">
        <v>1929</v>
      </c>
      <c r="F215" s="1303"/>
      <c r="I215" s="490"/>
    </row>
    <row r="216" spans="1:9">
      <c r="D216" s="451"/>
      <c r="E216" s="451"/>
      <c r="F216" s="451"/>
      <c r="I216" s="490"/>
    </row>
    <row r="217" spans="1:9" ht="14.25">
      <c r="A217" s="484"/>
      <c r="B217" s="485" t="s">
        <v>307</v>
      </c>
      <c r="D217" s="1284" t="s">
        <v>1217</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1047</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1121</v>
      </c>
      <c r="E225" s="1285"/>
      <c r="F225" s="1285"/>
      <c r="I225" s="490"/>
    </row>
    <row r="226" spans="1:9" ht="12" customHeight="1">
      <c r="A226" s="490"/>
      <c r="B226" s="490"/>
      <c r="C226" s="490"/>
      <c r="I226" s="490"/>
    </row>
    <row r="227" spans="1:9" ht="13.7" customHeight="1">
      <c r="A227" s="490"/>
      <c r="C227" s="490"/>
      <c r="D227" s="1292" t="s">
        <v>547</v>
      </c>
      <c r="E227" s="1292"/>
      <c r="F227" s="1292"/>
      <c r="I227" s="490"/>
    </row>
    <row r="228" spans="1:9" ht="14.25">
      <c r="A228" s="484"/>
      <c r="B228" s="485" t="s">
        <v>307</v>
      </c>
      <c r="D228" s="1284" t="s">
        <v>1754</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307</v>
      </c>
      <c r="D233" s="1284" t="s">
        <v>1755</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1119</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307</v>
      </c>
      <c r="D245" s="1284" t="s">
        <v>2053</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284" t="s">
        <v>2054</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284" t="s">
        <v>1120</v>
      </c>
      <c r="E259" s="1284"/>
      <c r="F259" s="1284"/>
      <c r="I259" s="490"/>
    </row>
    <row r="260" spans="1:9" ht="14.25">
      <c r="A260" s="484"/>
      <c r="B260" s="484"/>
      <c r="D260" s="1284"/>
      <c r="E260" s="1284"/>
      <c r="F260" s="1284"/>
      <c r="I260" s="490"/>
    </row>
    <row r="261" spans="1:9">
      <c r="D261" s="491"/>
      <c r="I261" s="490"/>
    </row>
    <row r="262" spans="1:9">
      <c r="A262" s="1287" t="s">
        <v>1048</v>
      </c>
      <c r="B262" s="1287"/>
      <c r="C262" s="1287"/>
      <c r="D262" s="1287"/>
      <c r="E262" s="1287"/>
      <c r="F262" s="1287"/>
      <c r="G262" s="1287"/>
      <c r="H262" s="1028"/>
      <c r="I262" s="1153"/>
    </row>
    <row r="263" spans="1:9">
      <c r="D263" s="491"/>
      <c r="I263" s="490"/>
    </row>
    <row r="264" spans="1:9">
      <c r="C264" s="486"/>
      <c r="D264" s="1292" t="s">
        <v>1122</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307</v>
      </c>
      <c r="D267" s="1284" t="s">
        <v>1197</v>
      </c>
      <c r="E267" s="1284"/>
      <c r="F267" s="1284"/>
      <c r="I267" s="490"/>
    </row>
    <row r="268" spans="1:9">
      <c r="D268" s="1284"/>
      <c r="E268" s="1284"/>
      <c r="F268" s="1284"/>
      <c r="I268" s="490"/>
    </row>
    <row r="269" spans="1:9">
      <c r="E269" s="1036" t="s">
        <v>1898</v>
      </c>
      <c r="I269" s="490"/>
    </row>
    <row r="270" spans="1:9">
      <c r="D270" s="446"/>
      <c r="E270" s="446"/>
      <c r="F270" s="446"/>
      <c r="I270" s="490"/>
    </row>
    <row r="271" spans="1:9" ht="14.45" customHeight="1">
      <c r="A271" s="484"/>
      <c r="B271" s="485" t="s">
        <v>307</v>
      </c>
      <c r="D271" s="1284" t="s">
        <v>2056</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307</v>
      </c>
      <c r="D278" s="1284" t="s">
        <v>1123</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1049</v>
      </c>
      <c r="B282" s="1287"/>
      <c r="C282" s="1287"/>
      <c r="D282" s="1287"/>
      <c r="E282" s="1287"/>
      <c r="F282" s="1287"/>
      <c r="G282" s="1287"/>
      <c r="H282" s="1028"/>
      <c r="I282" s="1153"/>
    </row>
    <row r="283" spans="1:9">
      <c r="D283" s="492"/>
      <c r="E283" s="446"/>
      <c r="F283" s="446"/>
      <c r="I283" s="490"/>
    </row>
    <row r="284" spans="1:9">
      <c r="C284" s="482"/>
      <c r="D284" s="1286" t="s">
        <v>1124</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1125</v>
      </c>
      <c r="E288" s="1299"/>
      <c r="F288" s="1299"/>
      <c r="I288" s="490"/>
    </row>
    <row r="289" spans="1:9">
      <c r="E289" s="446"/>
      <c r="F289" s="446"/>
      <c r="I289" s="490"/>
    </row>
    <row r="290" spans="1:9" ht="14.25">
      <c r="A290" s="484"/>
      <c r="B290" s="485" t="s">
        <v>307</v>
      </c>
      <c r="D290" s="1284" t="s">
        <v>1126</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307</v>
      </c>
      <c r="D293" s="1284" t="s">
        <v>1127</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307</v>
      </c>
      <c r="D297" s="1284" t="s">
        <v>1128</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1050</v>
      </c>
      <c r="B300" s="1287"/>
      <c r="C300" s="1287"/>
      <c r="D300" s="1287"/>
      <c r="E300" s="1287"/>
      <c r="F300" s="1287"/>
      <c r="G300" s="1287"/>
      <c r="H300" s="1028"/>
      <c r="I300" s="1153"/>
    </row>
    <row r="301" spans="1:9">
      <c r="A301" s="490"/>
      <c r="B301" s="490"/>
      <c r="D301" s="446"/>
      <c r="E301" s="446"/>
      <c r="F301" s="446"/>
      <c r="I301" s="490"/>
    </row>
    <row r="302" spans="1:9">
      <c r="C302" s="490"/>
      <c r="D302" s="1292" t="s">
        <v>683</v>
      </c>
      <c r="E302" s="1292"/>
      <c r="F302" s="1292"/>
      <c r="I302" s="490"/>
    </row>
    <row r="303" spans="1:9">
      <c r="C303" s="490"/>
      <c r="D303" s="1285" t="s">
        <v>1129</v>
      </c>
      <c r="E303" s="1285"/>
      <c r="F303" s="1285"/>
      <c r="I303" s="490"/>
    </row>
    <row r="304" spans="1:9">
      <c r="C304" s="490"/>
      <c r="D304" s="493"/>
      <c r="I304" s="490"/>
    </row>
    <row r="305" spans="1:9">
      <c r="B305" s="485" t="s">
        <v>307</v>
      </c>
      <c r="D305" s="1285" t="s">
        <v>1130</v>
      </c>
      <c r="E305" s="1285"/>
      <c r="F305" s="1285"/>
      <c r="I305" s="490"/>
    </row>
    <row r="306" spans="1:9" ht="14.25">
      <c r="A306" s="484"/>
      <c r="B306" s="484"/>
      <c r="D306" s="494"/>
      <c r="E306" s="495"/>
      <c r="F306" s="495"/>
      <c r="I306" s="490"/>
    </row>
    <row r="307" spans="1:9" ht="13.7" customHeight="1">
      <c r="B307" s="485" t="s">
        <v>307</v>
      </c>
      <c r="D307" s="1294" t="s">
        <v>1220</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307</v>
      </c>
      <c r="D313" s="1294" t="s">
        <v>1131</v>
      </c>
      <c r="E313" s="1294"/>
      <c r="F313" s="1294"/>
      <c r="I313" s="490"/>
    </row>
    <row r="314" spans="1:9">
      <c r="D314" s="1294"/>
      <c r="E314" s="1294"/>
      <c r="F314" s="1294"/>
      <c r="I314" s="490"/>
    </row>
    <row r="315" spans="1:9" ht="14.25">
      <c r="A315" s="484"/>
      <c r="B315" s="484"/>
      <c r="D315" s="494"/>
      <c r="E315" s="495"/>
      <c r="F315" s="495"/>
      <c r="I315" s="490"/>
    </row>
    <row r="316" spans="1:9">
      <c r="B316" s="485" t="s">
        <v>307</v>
      </c>
      <c r="D316" s="1285" t="s">
        <v>1132</v>
      </c>
      <c r="E316" s="1285"/>
      <c r="F316" s="1285"/>
      <c r="I316" s="490"/>
    </row>
    <row r="317" spans="1:9">
      <c r="E317" s="446"/>
      <c r="F317" s="446"/>
      <c r="I317" s="490"/>
    </row>
    <row r="318" spans="1:9" ht="14.25">
      <c r="A318" s="484"/>
      <c r="B318" s="485" t="s">
        <v>307</v>
      </c>
      <c r="D318" s="1284" t="s">
        <v>2245</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307</v>
      </c>
      <c r="D334" s="1284" t="s">
        <v>1133</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307</v>
      </c>
      <c r="D344" s="1284" t="s">
        <v>1903</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7" t="s">
        <v>980</v>
      </c>
      <c r="E351" s="1297"/>
      <c r="F351" s="1297"/>
      <c r="G351" s="1027"/>
      <c r="H351" s="1027"/>
      <c r="I351" s="1156"/>
    </row>
    <row r="352" spans="1:9" ht="13.5" thickTop="1">
      <c r="D352" s="1295" t="s">
        <v>2246</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5" t="s">
        <v>1901</v>
      </c>
      <c r="E355" s="1285"/>
      <c r="F355" s="1285"/>
      <c r="I355" s="490"/>
    </row>
    <row r="356" spans="1:9" ht="12.75" customHeight="1">
      <c r="D356" s="1037"/>
      <c r="E356" s="96" t="s">
        <v>1900</v>
      </c>
      <c r="F356" s="1037"/>
      <c r="I356" s="490"/>
    </row>
    <row r="357" spans="1:9">
      <c r="D357" s="1284" t="s">
        <v>1240</v>
      </c>
      <c r="E357" s="1284"/>
      <c r="F357" s="1284"/>
      <c r="I357" s="490"/>
    </row>
    <row r="358" spans="1:9">
      <c r="D358" s="1284"/>
      <c r="E358" s="1284"/>
      <c r="F358" s="1284"/>
      <c r="I358" s="490"/>
    </row>
    <row r="359" spans="1:9">
      <c r="D359" s="1284"/>
      <c r="E359" s="1284"/>
      <c r="F359" s="1284"/>
      <c r="I359" s="490"/>
    </row>
    <row r="360" spans="1:9" ht="14.25">
      <c r="A360" s="484"/>
      <c r="B360" s="485" t="s">
        <v>307</v>
      </c>
      <c r="C360" s="476"/>
      <c r="D360" s="1296" t="s">
        <v>2057</v>
      </c>
      <c r="E360" s="1296"/>
      <c r="F360" s="1296"/>
      <c r="I360" s="480"/>
    </row>
    <row r="361" spans="1:9">
      <c r="A361" s="476"/>
      <c r="B361" s="476"/>
      <c r="C361" s="476"/>
      <c r="D361" s="447"/>
      <c r="E361" s="447"/>
      <c r="F361" s="446"/>
      <c r="I361" s="490"/>
    </row>
    <row r="362" spans="1:9">
      <c r="A362" s="476"/>
      <c r="B362" s="485" t="s">
        <v>307</v>
      </c>
      <c r="C362" s="476"/>
      <c r="D362" s="1264" t="s">
        <v>2058</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307</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4" t="s">
        <v>1134</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1135</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1136</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307</v>
      </c>
      <c r="C420" s="476"/>
      <c r="D420" s="1264" t="s">
        <v>1137</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307</v>
      </c>
      <c r="D423" s="1264" t="s">
        <v>1882</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307</v>
      </c>
      <c r="C429" s="476"/>
      <c r="D429" s="1264" t="s">
        <v>1241</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2074</v>
      </c>
      <c r="E433" s="1264"/>
      <c r="F433" s="1264"/>
      <c r="I433" s="490"/>
    </row>
    <row r="434" spans="1:9">
      <c r="D434" s="446"/>
      <c r="E434" s="446"/>
      <c r="F434" s="446"/>
      <c r="I434" s="490"/>
    </row>
    <row r="435" spans="1:9" ht="14.25">
      <c r="A435" s="484"/>
      <c r="B435" s="485" t="s">
        <v>307</v>
      </c>
      <c r="C435" s="487"/>
      <c r="D435" s="1284" t="s">
        <v>2059</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307</v>
      </c>
      <c r="C467" s="487"/>
      <c r="D467" s="1284" t="s">
        <v>1138</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307</v>
      </c>
      <c r="C471" s="484"/>
      <c r="D471" s="1284" t="s">
        <v>1198</v>
      </c>
      <c r="E471" s="1284"/>
      <c r="F471" s="1284"/>
      <c r="I471" s="490"/>
    </row>
    <row r="472" spans="1:9">
      <c r="D472" s="1284"/>
      <c r="E472" s="1284"/>
      <c r="F472" s="1284"/>
      <c r="I472" s="490"/>
    </row>
    <row r="473" spans="1:9">
      <c r="D473" s="446"/>
      <c r="E473" s="446"/>
      <c r="F473" s="446"/>
      <c r="I473" s="490"/>
    </row>
    <row r="474" spans="1:9" ht="14.25">
      <c r="B474" s="485" t="s">
        <v>307</v>
      </c>
      <c r="C474" s="484"/>
      <c r="D474" s="1284" t="s">
        <v>1139</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307</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307</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307</v>
      </c>
      <c r="C486" s="402"/>
      <c r="D486" s="1284"/>
      <c r="E486" s="1284"/>
      <c r="F486" s="1284"/>
      <c r="I486" s="490"/>
    </row>
    <row r="487" spans="1:9">
      <c r="A487" s="402"/>
      <c r="C487" s="402"/>
      <c r="D487" s="1284"/>
      <c r="E487" s="1284"/>
      <c r="F487" s="1284"/>
      <c r="I487" s="490"/>
    </row>
    <row r="488" spans="1:9">
      <c r="A488" s="402"/>
      <c r="B488" s="485" t="s">
        <v>307</v>
      </c>
      <c r="C488" s="402"/>
      <c r="D488" s="1284" t="s">
        <v>1140</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307</v>
      </c>
      <c r="D494" s="1285" t="s">
        <v>1141</v>
      </c>
      <c r="E494" s="1285"/>
      <c r="F494" s="1285"/>
      <c r="I494" s="490"/>
    </row>
    <row r="495" spans="1:9">
      <c r="A495" s="446"/>
      <c r="B495" s="446"/>
      <c r="I495" s="490"/>
    </row>
    <row r="496" spans="1:9">
      <c r="A496" s="1287" t="s">
        <v>1051</v>
      </c>
      <c r="B496" s="1287"/>
      <c r="C496" s="1287"/>
      <c r="D496" s="1287"/>
      <c r="E496" s="1287"/>
      <c r="F496" s="1287"/>
      <c r="G496" s="1287"/>
      <c r="H496" s="1028"/>
      <c r="I496" s="1153"/>
    </row>
    <row r="497" spans="1:9">
      <c r="A497" s="446"/>
      <c r="B497" s="446"/>
      <c r="I497" s="490"/>
    </row>
    <row r="498" spans="1:9">
      <c r="D498" s="1300" t="s">
        <v>884</v>
      </c>
      <c r="E498" s="1300"/>
      <c r="F498" s="1300"/>
      <c r="I498" s="490"/>
    </row>
    <row r="499" spans="1:9" ht="14.25">
      <c r="A499" s="484"/>
      <c r="B499" s="484"/>
      <c r="D499" s="1296" t="s">
        <v>1142</v>
      </c>
      <c r="E499" s="1296"/>
      <c r="F499" s="1296"/>
      <c r="I499" s="490"/>
    </row>
    <row r="500" spans="1:9" ht="14.25">
      <c r="A500" s="484"/>
      <c r="B500" s="484"/>
      <c r="D500" s="447"/>
      <c r="I500" s="490"/>
    </row>
    <row r="501" spans="1:9" ht="14.25">
      <c r="A501" s="484"/>
      <c r="B501" s="485" t="s">
        <v>307</v>
      </c>
      <c r="D501" s="1264" t="s">
        <v>1143</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307</v>
      </c>
      <c r="D504" s="1288" t="s">
        <v>1274</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307</v>
      </c>
      <c r="D509" s="1285" t="s">
        <v>1144</v>
      </c>
      <c r="E509" s="1285"/>
      <c r="F509" s="1285"/>
      <c r="I509" s="490"/>
    </row>
    <row r="510" spans="1:9" ht="14.25">
      <c r="A510" s="484"/>
      <c r="B510" s="484"/>
      <c r="D510" s="446"/>
      <c r="I510" s="490"/>
    </row>
    <row r="511" spans="1:9" ht="14.25">
      <c r="A511" s="484"/>
      <c r="B511" s="485" t="s">
        <v>307</v>
      </c>
      <c r="D511" s="1284" t="s">
        <v>1145</v>
      </c>
      <c r="E511" s="1284"/>
      <c r="F511" s="1284"/>
      <c r="I511" s="490"/>
    </row>
    <row r="512" spans="1:9" ht="14.25">
      <c r="A512" s="484"/>
      <c r="D512" s="1284"/>
      <c r="E512" s="1284"/>
      <c r="F512" s="1284"/>
      <c r="I512" s="490"/>
    </row>
    <row r="513" spans="1:9">
      <c r="A513" s="490"/>
      <c r="B513" s="490"/>
      <c r="D513" s="447"/>
      <c r="I513" s="490"/>
    </row>
    <row r="514" spans="1:9">
      <c r="A514" s="490"/>
      <c r="B514" s="485" t="s">
        <v>307</v>
      </c>
      <c r="D514" s="1285" t="s">
        <v>1146</v>
      </c>
      <c r="E514" s="1285"/>
      <c r="F514" s="1285"/>
      <c r="I514" s="490"/>
    </row>
    <row r="515" spans="1:9">
      <c r="D515" s="446"/>
      <c r="E515" s="446"/>
      <c r="F515" s="446"/>
      <c r="I515" s="490"/>
    </row>
    <row r="516" spans="1:9">
      <c r="B516" s="485" t="s">
        <v>307</v>
      </c>
      <c r="D516" s="1284" t="s">
        <v>2280</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1052</v>
      </c>
      <c r="B521" s="1287"/>
      <c r="C521" s="1287"/>
      <c r="D521" s="1287"/>
      <c r="E521" s="1287"/>
      <c r="F521" s="1287"/>
      <c r="G521" s="1287"/>
      <c r="H521" s="1028"/>
      <c r="I521" s="1153"/>
    </row>
    <row r="522" spans="1:9" ht="12" customHeight="1">
      <c r="A522" s="484"/>
      <c r="B522" s="484"/>
      <c r="D522" s="446"/>
      <c r="I522" s="490"/>
    </row>
    <row r="523" spans="1:9">
      <c r="C523" s="482"/>
      <c r="D523" s="1292" t="s">
        <v>794</v>
      </c>
      <c r="E523" s="1292"/>
      <c r="F523" s="129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4" t="s">
        <v>2060</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307</v>
      </c>
      <c r="C536" s="483"/>
      <c r="D536" s="1284" t="s">
        <v>2062</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1053</v>
      </c>
      <c r="B539" s="1287"/>
      <c r="C539" s="1287"/>
      <c r="D539" s="1287"/>
      <c r="E539" s="1287"/>
      <c r="F539" s="1287"/>
      <c r="G539" s="1287"/>
      <c r="H539" s="1028"/>
      <c r="I539" s="1153"/>
    </row>
    <row r="540" spans="1:9">
      <c r="A540" s="446"/>
      <c r="B540" s="446"/>
      <c r="C540" s="487"/>
      <c r="F540" s="448"/>
      <c r="I540" s="490"/>
    </row>
    <row r="541" spans="1:9">
      <c r="B541" s="1290" t="s">
        <v>447</v>
      </c>
      <c r="C541" s="1290"/>
      <c r="D541" s="1290"/>
      <c r="E541" s="1290"/>
      <c r="F541" s="1290"/>
      <c r="I541" s="490"/>
    </row>
    <row r="542" spans="1:9">
      <c r="A542" s="446"/>
      <c r="B542" s="446"/>
      <c r="C542" s="487"/>
      <c r="D542" s="446"/>
      <c r="F542" s="446"/>
      <c r="I542" s="490"/>
    </row>
    <row r="543" spans="1:9">
      <c r="A543" s="1291" t="s">
        <v>1054</v>
      </c>
      <c r="B543" s="1291"/>
      <c r="C543" s="1291"/>
      <c r="D543" s="1291"/>
      <c r="E543" s="1291"/>
      <c r="F543" s="1291"/>
      <c r="G543" s="1291"/>
      <c r="H543" s="1028"/>
      <c r="I543" s="1153"/>
    </row>
    <row r="544" spans="1:9">
      <c r="A544" s="446"/>
      <c r="B544" s="446"/>
      <c r="C544" s="487"/>
      <c r="D544" s="446"/>
      <c r="F544" s="446"/>
      <c r="I544" s="490"/>
    </row>
    <row r="545" spans="1:9">
      <c r="C545" s="487"/>
      <c r="D545" s="1292" t="s">
        <v>684</v>
      </c>
      <c r="E545" s="1292"/>
      <c r="F545" s="1292"/>
      <c r="I545" s="490"/>
    </row>
    <row r="546" spans="1:9">
      <c r="C546" s="487"/>
      <c r="D546" s="1285" t="s">
        <v>1082</v>
      </c>
      <c r="E546" s="1285"/>
      <c r="F546" s="1285"/>
      <c r="I546" s="490"/>
    </row>
    <row r="547" spans="1:9">
      <c r="C547" s="487"/>
      <c r="D547" s="446"/>
      <c r="E547" s="446"/>
      <c r="F547" s="446"/>
      <c r="I547" s="490"/>
    </row>
    <row r="548" spans="1:9" ht="13.7" customHeight="1">
      <c r="A548" s="484"/>
      <c r="B548" s="485" t="s">
        <v>307</v>
      </c>
      <c r="C548" s="487"/>
      <c r="D548" s="1285" t="s">
        <v>885</v>
      </c>
      <c r="E548" s="1285"/>
      <c r="F548" s="1285"/>
      <c r="I548" s="490"/>
    </row>
    <row r="549" spans="1:9" ht="13.7" customHeight="1">
      <c r="A549" s="487"/>
      <c r="B549" s="487"/>
      <c r="C549" s="487"/>
      <c r="D549" s="446"/>
      <c r="I549" s="490"/>
    </row>
    <row r="550" spans="1:9" ht="14.25">
      <c r="A550" s="484"/>
      <c r="B550" s="485" t="s">
        <v>307</v>
      </c>
      <c r="C550" s="487"/>
      <c r="D550" s="1284" t="s">
        <v>1083</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307</v>
      </c>
      <c r="C553" s="487"/>
      <c r="D553" s="1284" t="s">
        <v>1084</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307</v>
      </c>
      <c r="C556" s="487"/>
      <c r="D556" s="1284" t="s">
        <v>1085</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307</v>
      </c>
      <c r="C559" s="487"/>
      <c r="D559" s="1284" t="s">
        <v>1086</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307</v>
      </c>
      <c r="C563" s="487"/>
      <c r="D563" s="1284" t="s">
        <v>2247</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307</v>
      </c>
      <c r="C566" s="487"/>
      <c r="D566" s="1284" t="s">
        <v>1087</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307</v>
      </c>
      <c r="C569" s="487"/>
      <c r="D569" s="1285" t="s">
        <v>1088</v>
      </c>
      <c r="E569" s="1285"/>
      <c r="F569" s="1285"/>
      <c r="I569" s="490"/>
    </row>
    <row r="570" spans="1:9">
      <c r="A570" s="490"/>
      <c r="B570" s="490"/>
      <c r="C570" s="487"/>
      <c r="D570" s="1285" t="s">
        <v>1907</v>
      </c>
      <c r="E570" s="1285"/>
      <c r="F570" s="1285"/>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85" t="s">
        <v>1089</v>
      </c>
      <c r="E573" s="1285"/>
      <c r="F573" s="1285"/>
      <c r="I573" s="490"/>
    </row>
    <row r="574" spans="1:9">
      <c r="C574" s="487"/>
      <c r="D574" s="1284" t="s">
        <v>1090</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307</v>
      </c>
      <c r="C578" s="487"/>
      <c r="D578" s="1284" t="s">
        <v>2063</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1055</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1068</v>
      </c>
      <c r="E586" s="1288"/>
      <c r="F586" s="1288"/>
      <c r="I586" s="490"/>
    </row>
    <row r="587" spans="1:9">
      <c r="A587" s="402"/>
      <c r="B587" s="402"/>
      <c r="C587" s="483"/>
      <c r="D587" s="499"/>
      <c r="I587" s="490"/>
    </row>
    <row r="588" spans="1:9">
      <c r="A588" s="483"/>
      <c r="B588" s="485" t="s">
        <v>307</v>
      </c>
      <c r="D588" s="1288" t="s">
        <v>889</v>
      </c>
      <c r="E588" s="1288"/>
      <c r="F588" s="1288"/>
      <c r="I588" s="490"/>
    </row>
    <row r="589" spans="1:9">
      <c r="A589" s="490"/>
      <c r="B589" s="490"/>
      <c r="D589" s="476"/>
      <c r="I589" s="490"/>
    </row>
    <row r="590" spans="1:9">
      <c r="A590" s="490"/>
      <c r="B590" s="485" t="s">
        <v>307</v>
      </c>
      <c r="D590" s="1288" t="s">
        <v>2064</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307</v>
      </c>
      <c r="D594" s="1288" t="s">
        <v>1069</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307</v>
      </c>
      <c r="D599" s="1288" t="s">
        <v>2065</v>
      </c>
      <c r="E599" s="1288"/>
      <c r="F599" s="1288"/>
      <c r="I599" s="490"/>
    </row>
    <row r="600" spans="1:9">
      <c r="A600" s="490"/>
      <c r="B600" s="490"/>
      <c r="D600" s="1288"/>
      <c r="E600" s="1288"/>
      <c r="F600" s="1288"/>
      <c r="I600" s="490"/>
    </row>
    <row r="601" spans="1:9">
      <c r="A601" s="490"/>
      <c r="B601" s="490"/>
      <c r="D601" s="499"/>
      <c r="I601" s="490"/>
    </row>
    <row r="602" spans="1:9">
      <c r="A602" s="490"/>
      <c r="B602" s="485" t="s">
        <v>307</v>
      </c>
      <c r="D602" s="1288" t="s">
        <v>1070</v>
      </c>
      <c r="E602" s="1288"/>
      <c r="F602" s="1288"/>
      <c r="I602" s="490"/>
    </row>
    <row r="603" spans="1:9">
      <c r="A603" s="490"/>
      <c r="B603" s="490"/>
      <c r="D603" s="1288"/>
      <c r="E603" s="1288"/>
      <c r="F603" s="1288"/>
      <c r="I603" s="490"/>
    </row>
    <row r="604" spans="1:9" ht="14.25">
      <c r="A604" s="484"/>
      <c r="B604" s="484"/>
      <c r="D604" s="499"/>
      <c r="I604" s="490"/>
    </row>
    <row r="605" spans="1:9">
      <c r="A605" s="1287" t="s">
        <v>1056</v>
      </c>
      <c r="B605" s="1287"/>
      <c r="C605" s="1287"/>
      <c r="D605" s="1287"/>
      <c r="E605" s="1287"/>
      <c r="F605" s="1287"/>
      <c r="G605" s="1287"/>
      <c r="H605" s="1028"/>
      <c r="I605" s="1153"/>
    </row>
    <row r="606" spans="1:9">
      <c r="I606" s="490"/>
    </row>
    <row r="607" spans="1:9">
      <c r="D607" s="1292" t="s">
        <v>1108</v>
      </c>
      <c r="E607" s="1292"/>
      <c r="F607" s="1292"/>
      <c r="I607" s="490"/>
    </row>
    <row r="608" spans="1:9">
      <c r="D608" s="1293" t="s">
        <v>1109</v>
      </c>
      <c r="E608" s="1293"/>
      <c r="F608" s="1293"/>
      <c r="I608" s="490"/>
    </row>
    <row r="609" spans="1:9">
      <c r="D609" s="444"/>
      <c r="I609" s="490"/>
    </row>
    <row r="610" spans="1:9" ht="14.25" customHeight="1">
      <c r="A610" s="484"/>
      <c r="B610" s="485" t="s">
        <v>307</v>
      </c>
      <c r="D610" s="1313" t="s">
        <v>1908</v>
      </c>
      <c r="E610" s="1313"/>
      <c r="F610" s="1313"/>
      <c r="I610" s="490"/>
    </row>
    <row r="611" spans="1:9">
      <c r="D611" s="1313"/>
      <c r="E611" s="1313"/>
      <c r="F611" s="1313"/>
      <c r="I611" s="490"/>
    </row>
    <row r="612" spans="1:9">
      <c r="D612" s="385"/>
      <c r="E612" s="1036" t="s">
        <v>1909</v>
      </c>
      <c r="F612" s="385"/>
      <c r="I612" s="490"/>
    </row>
    <row r="613" spans="1:9">
      <c r="I613" s="490"/>
    </row>
    <row r="614" spans="1:9">
      <c r="A614" s="1287" t="s">
        <v>1057</v>
      </c>
      <c r="B614" s="1287"/>
      <c r="C614" s="1287"/>
      <c r="D614" s="1287"/>
      <c r="E614" s="1287"/>
      <c r="F614" s="1287"/>
      <c r="G614" s="1287"/>
      <c r="H614" s="1028"/>
      <c r="I614" s="1153"/>
    </row>
    <row r="615" spans="1:9">
      <c r="A615" s="446"/>
      <c r="B615" s="446"/>
      <c r="I615" s="490"/>
    </row>
    <row r="616" spans="1:9">
      <c r="A616" s="482"/>
      <c r="B616" s="482"/>
      <c r="C616" s="482"/>
      <c r="D616" s="1321" t="s">
        <v>1110</v>
      </c>
      <c r="E616" s="1321"/>
      <c r="F616" s="1321"/>
      <c r="I616" s="490"/>
    </row>
    <row r="617" spans="1:9">
      <c r="A617" s="482"/>
      <c r="B617" s="482"/>
      <c r="C617" s="482"/>
      <c r="D617" s="1321"/>
      <c r="E617" s="1321"/>
      <c r="F617" s="1321"/>
      <c r="I617" s="490"/>
    </row>
    <row r="618" spans="1:9">
      <c r="C618" s="483"/>
      <c r="D618" s="1293" t="s">
        <v>1111</v>
      </c>
      <c r="E618" s="1293"/>
      <c r="F618" s="1293"/>
      <c r="I618" s="490"/>
    </row>
    <row r="619" spans="1:9">
      <c r="C619" s="483"/>
      <c r="D619" s="444"/>
      <c r="E619" s="444"/>
      <c r="F619" s="444"/>
      <c r="I619" s="490"/>
    </row>
    <row r="620" spans="1:9" ht="12.75" customHeight="1">
      <c r="A620" s="490"/>
      <c r="B620" s="485" t="s">
        <v>307</v>
      </c>
      <c r="D620" s="1309" t="s">
        <v>1112</v>
      </c>
      <c r="E620" s="1309"/>
      <c r="F620" s="1309"/>
      <c r="I620" s="490"/>
    </row>
    <row r="621" spans="1:9">
      <c r="D621" s="1309"/>
      <c r="E621" s="1309"/>
      <c r="F621" s="1309"/>
      <c r="I621" s="490"/>
    </row>
    <row r="622" spans="1:9">
      <c r="I622" s="490"/>
    </row>
    <row r="623" spans="1:9">
      <c r="B623" s="485" t="s">
        <v>307</v>
      </c>
      <c r="D623" s="1309" t="s">
        <v>1113</v>
      </c>
      <c r="E623" s="1309"/>
      <c r="F623" s="1309"/>
      <c r="I623" s="490"/>
    </row>
    <row r="624" spans="1:9">
      <c r="C624" s="500"/>
      <c r="D624" s="1309"/>
      <c r="E624" s="1309"/>
      <c r="F624" s="1309"/>
      <c r="I624" s="490"/>
    </row>
    <row r="625" spans="1:9">
      <c r="C625" s="500"/>
      <c r="I625" s="490"/>
    </row>
    <row r="626" spans="1:9">
      <c r="B626" s="485" t="s">
        <v>307</v>
      </c>
      <c r="C626" s="500"/>
      <c r="D626" s="1309" t="s">
        <v>1114</v>
      </c>
      <c r="E626" s="1309"/>
      <c r="F626" s="1309"/>
      <c r="I626" s="490"/>
    </row>
    <row r="627" spans="1:9">
      <c r="C627" s="500"/>
      <c r="D627" s="1309"/>
      <c r="E627" s="1309"/>
      <c r="F627" s="1309"/>
      <c r="I627" s="500"/>
    </row>
    <row r="628" spans="1:9">
      <c r="C628" s="500"/>
      <c r="I628" s="490"/>
    </row>
    <row r="629" spans="1:9">
      <c r="A629" s="1287" t="s">
        <v>1058</v>
      </c>
      <c r="B629" s="1287"/>
      <c r="C629" s="1287"/>
      <c r="D629" s="1287"/>
      <c r="E629" s="1287"/>
      <c r="F629" s="1287"/>
      <c r="G629" s="1287"/>
      <c r="H629" s="1028"/>
      <c r="I629" s="1153"/>
    </row>
    <row r="630" spans="1:9">
      <c r="A630" s="482"/>
      <c r="B630" s="482"/>
      <c r="C630" s="482"/>
      <c r="I630" s="490"/>
    </row>
    <row r="631" spans="1:9">
      <c r="C631" s="490"/>
      <c r="D631" s="1292" t="s">
        <v>1115</v>
      </c>
      <c r="E631" s="1292"/>
      <c r="F631" s="1292"/>
      <c r="I631" s="490"/>
    </row>
    <row r="632" spans="1:9">
      <c r="A632" s="490"/>
      <c r="B632" s="490"/>
      <c r="D632" s="404"/>
      <c r="I632" s="490"/>
    </row>
    <row r="633" spans="1:9" ht="14.25" customHeight="1">
      <c r="A633" s="484"/>
      <c r="B633" s="485" t="s">
        <v>307</v>
      </c>
      <c r="D633" s="1313" t="s">
        <v>2066</v>
      </c>
      <c r="E633" s="1313"/>
      <c r="F633" s="1313"/>
      <c r="I633" s="490"/>
    </row>
    <row r="634" spans="1:9">
      <c r="D634" s="1313"/>
      <c r="E634" s="1313"/>
      <c r="F634" s="1313"/>
      <c r="I634" s="490"/>
    </row>
    <row r="635" spans="1:9">
      <c r="D635" s="385"/>
      <c r="E635" s="1036" t="s">
        <v>1911</v>
      </c>
      <c r="F635" s="385"/>
      <c r="I635" s="490"/>
    </row>
    <row r="636" spans="1:9">
      <c r="D636" s="1284" t="s">
        <v>1910</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307</v>
      </c>
      <c r="D640" s="1284" t="s">
        <v>1116</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307</v>
      </c>
      <c r="C643" s="487"/>
      <c r="D643" s="1284" t="s">
        <v>1226</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307</v>
      </c>
      <c r="C646" s="487"/>
      <c r="D646" s="1285" t="s">
        <v>1117</v>
      </c>
      <c r="E646" s="1285"/>
      <c r="F646" s="1285"/>
      <c r="I646" s="490"/>
    </row>
    <row r="647" spans="1:9">
      <c r="A647" s="487"/>
      <c r="B647" s="487"/>
      <c r="C647" s="487"/>
      <c r="D647" s="446"/>
      <c r="E647" s="446"/>
      <c r="F647" s="446"/>
      <c r="I647" s="490"/>
    </row>
    <row r="648" spans="1:9">
      <c r="A648" s="1287" t="s">
        <v>1059</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1147</v>
      </c>
      <c r="E650" s="1292"/>
      <c r="F650" s="1292"/>
      <c r="I650" s="490"/>
    </row>
    <row r="651" spans="1:9">
      <c r="A651" s="483"/>
      <c r="B651" s="483"/>
      <c r="C651" s="483"/>
      <c r="D651" s="1285" t="s">
        <v>1148</v>
      </c>
      <c r="E651" s="1285"/>
      <c r="F651" s="1285"/>
      <c r="I651" s="490"/>
    </row>
    <row r="652" spans="1:9">
      <c r="A652" s="483"/>
      <c r="B652" s="483"/>
      <c r="C652" s="483"/>
      <c r="D652" s="446"/>
      <c r="E652" s="446"/>
      <c r="F652" s="446"/>
      <c r="I652" s="490"/>
    </row>
    <row r="653" spans="1:9" ht="12.75" customHeight="1">
      <c r="B653" s="485" t="s">
        <v>307</v>
      </c>
      <c r="C653" s="487"/>
      <c r="D653" s="1284" t="s">
        <v>1282</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307</v>
      </c>
      <c r="C658" s="487"/>
      <c r="D658" s="1284" t="s">
        <v>1284</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307</v>
      </c>
      <c r="C664" s="487"/>
      <c r="D664" s="1284" t="s">
        <v>1283</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307</v>
      </c>
      <c r="C669" s="487"/>
      <c r="D669" s="1284" t="s">
        <v>2067</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1060</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1077</v>
      </c>
      <c r="E683" s="1285"/>
      <c r="F683" s="1285"/>
      <c r="H683" s="501"/>
      <c r="I683" s="483"/>
      <c r="J683" s="501"/>
      <c r="K683" s="501"/>
    </row>
    <row r="684" spans="1:11">
      <c r="A684" s="483"/>
      <c r="B684" s="483"/>
      <c r="C684" s="483"/>
      <c r="H684" s="501"/>
      <c r="I684" s="483"/>
      <c r="J684" s="501"/>
      <c r="K684" s="501"/>
    </row>
    <row r="685" spans="1:11" ht="14.25">
      <c r="A685" s="484"/>
      <c r="B685" s="485" t="s">
        <v>307</v>
      </c>
      <c r="C685" s="483"/>
      <c r="D685" s="1285" t="s">
        <v>886</v>
      </c>
      <c r="E685" s="1285"/>
      <c r="F685" s="1285"/>
      <c r="H685" s="501"/>
      <c r="I685" s="483"/>
      <c r="J685" s="501"/>
      <c r="K685" s="501"/>
    </row>
    <row r="686" spans="1:11">
      <c r="A686" s="483"/>
      <c r="B686" s="483"/>
      <c r="C686" s="483"/>
      <c r="D686" s="1285" t="s">
        <v>895</v>
      </c>
      <c r="E686" s="1285"/>
      <c r="F686" s="1285"/>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4" t="s">
        <v>2068</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307</v>
      </c>
      <c r="C694" s="483"/>
      <c r="D694" s="1285" t="s">
        <v>918</v>
      </c>
      <c r="E694" s="1285"/>
      <c r="F694" s="1285"/>
      <c r="H694" s="501"/>
      <c r="I694" s="483"/>
      <c r="J694" s="501"/>
      <c r="K694" s="501"/>
    </row>
    <row r="695" spans="1:11" ht="14.25">
      <c r="A695" s="484"/>
      <c r="B695" s="484"/>
      <c r="C695" s="483"/>
      <c r="D695" s="1285" t="s">
        <v>895</v>
      </c>
      <c r="E695" s="1285"/>
      <c r="F695" s="1285"/>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5" t="s">
        <v>2469</v>
      </c>
      <c r="E698" s="1285"/>
      <c r="F698" s="1285"/>
      <c r="H698" s="501"/>
      <c r="I698" s="483"/>
      <c r="J698" s="501"/>
      <c r="K698" s="501"/>
    </row>
    <row r="699" spans="1:11" ht="14.25">
      <c r="A699" s="484"/>
      <c r="B699" s="484"/>
      <c r="C699" s="483"/>
      <c r="D699" s="1285" t="s">
        <v>895</v>
      </c>
      <c r="E699" s="1285"/>
      <c r="F699" s="1285"/>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4" t="s">
        <v>2244</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4" t="s">
        <v>1202</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4" t="s">
        <v>1078</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307</v>
      </c>
      <c r="C725" s="483"/>
      <c r="D725" s="1284" t="s">
        <v>2462</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4" t="s">
        <v>2461</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307</v>
      </c>
      <c r="C733" s="483"/>
      <c r="D733" s="1284" t="s">
        <v>2460</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307</v>
      </c>
      <c r="C738" s="483"/>
      <c r="D738" s="1284" t="s">
        <v>1079</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307</v>
      </c>
      <c r="C744" s="483"/>
      <c r="D744" s="1284" t="s">
        <v>2146</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2075</v>
      </c>
      <c r="E751" s="1322"/>
      <c r="F751" s="1322"/>
      <c r="H751" s="501"/>
      <c r="I751" s="483"/>
      <c r="J751" s="501"/>
      <c r="K751" s="501"/>
    </row>
    <row r="752" spans="1:11">
      <c r="A752" s="483"/>
      <c r="B752" s="483"/>
      <c r="C752" s="483"/>
      <c r="D752" s="341"/>
      <c r="H752" s="501"/>
      <c r="I752" s="483"/>
      <c r="J752" s="501"/>
      <c r="K752" s="501"/>
    </row>
    <row r="753" spans="1:11">
      <c r="A753" s="1291" t="s">
        <v>1061</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1071</v>
      </c>
      <c r="E755" s="1286"/>
      <c r="F755" s="1286"/>
      <c r="G755" s="501"/>
      <c r="H755" s="501"/>
      <c r="I755" s="483"/>
      <c r="J755" s="501"/>
      <c r="K755" s="501"/>
    </row>
    <row r="756" spans="1:11">
      <c r="A756" s="483"/>
      <c r="B756" s="483"/>
      <c r="C756" s="483"/>
      <c r="D756" s="1290" t="s">
        <v>1072</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307</v>
      </c>
      <c r="D758" s="1284" t="s">
        <v>1073</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4" t="s">
        <v>1242</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307</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307</v>
      </c>
      <c r="D774" s="1284" t="s">
        <v>1199</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307</v>
      </c>
      <c r="D777" s="1284" t="s">
        <v>1216</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296" t="s">
        <v>1756</v>
      </c>
      <c r="E784" s="1296"/>
      <c r="F784" s="1296"/>
      <c r="G784" s="3"/>
      <c r="I784" s="490"/>
    </row>
    <row r="785" spans="1:9">
      <c r="A785" s="57"/>
      <c r="B785" s="57"/>
      <c r="C785" s="354"/>
      <c r="D785" s="447"/>
      <c r="E785" s="447"/>
      <c r="F785" s="447"/>
      <c r="G785" s="3"/>
      <c r="I785" s="490"/>
    </row>
    <row r="786" spans="1:9">
      <c r="A786" s="57"/>
      <c r="B786" s="485" t="s">
        <v>307</v>
      </c>
      <c r="C786" s="354"/>
      <c r="D786" s="1317" t="s">
        <v>1757</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307</v>
      </c>
      <c r="C790" s="172"/>
      <c r="D790" s="1317" t="s">
        <v>1758</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307</v>
      </c>
      <c r="C794" s="989"/>
      <c r="D794" s="1317" t="s">
        <v>1759</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307</v>
      </c>
      <c r="C798" s="989"/>
      <c r="D798" s="1317" t="s">
        <v>1760</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1803</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307</v>
      </c>
      <c r="C808" s="989"/>
      <c r="D808" s="1317" t="s">
        <v>1761</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307</v>
      </c>
      <c r="C815" s="989"/>
      <c r="D815" s="1317" t="s">
        <v>1762</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1764</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1804</v>
      </c>
      <c r="E831" s="1314"/>
      <c r="F831" s="1314"/>
      <c r="G831" s="3"/>
      <c r="I831" s="490"/>
    </row>
    <row r="832" spans="1:9" ht="14.25" customHeight="1">
      <c r="A832" s="175"/>
      <c r="B832" s="175"/>
      <c r="C832" s="354"/>
      <c r="D832" s="1261" t="s">
        <v>1765</v>
      </c>
      <c r="E832" s="1261"/>
      <c r="F832" s="1261"/>
      <c r="G832" s="3"/>
      <c r="I832" s="490"/>
    </row>
    <row r="833" spans="1:9" ht="12.75" customHeight="1">
      <c r="A833" s="175"/>
      <c r="B833" s="175"/>
      <c r="C833" s="354"/>
      <c r="D833" s="441"/>
      <c r="E833" s="441"/>
      <c r="F833" s="441"/>
      <c r="G833" s="3"/>
      <c r="I833" s="490"/>
    </row>
    <row r="834" spans="1:9" ht="12.75" customHeight="1">
      <c r="A834" s="354"/>
      <c r="B834" s="485" t="s">
        <v>307</v>
      </c>
      <c r="C834" s="989"/>
      <c r="D834" s="1261" t="s">
        <v>1766</v>
      </c>
      <c r="E834" s="1261"/>
      <c r="F834" s="1261"/>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2076</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307</v>
      </c>
      <c r="C848" s="989"/>
      <c r="D848" s="1261" t="s">
        <v>1767</v>
      </c>
      <c r="E848" s="1261"/>
      <c r="F848" s="1261"/>
      <c r="G848" s="3"/>
      <c r="I848" s="490" t="s">
        <v>1883</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307</v>
      </c>
      <c r="C852" s="989"/>
      <c r="D852" s="1314" t="s">
        <v>1768</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307</v>
      </c>
      <c r="C861" s="989"/>
      <c r="D861" s="1261" t="s">
        <v>1769</v>
      </c>
      <c r="E861" s="1261"/>
      <c r="F861" s="1261"/>
      <c r="G861" s="3"/>
      <c r="I861" s="490" t="s">
        <v>1881</v>
      </c>
    </row>
    <row r="862" spans="1:9" ht="12.75" customHeight="1">
      <c r="A862" s="175"/>
      <c r="B862" s="175"/>
      <c r="C862" s="989"/>
      <c r="D862" s="1261" t="s">
        <v>1770</v>
      </c>
      <c r="E862" s="1261"/>
      <c r="F862" s="1261"/>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1" t="s">
        <v>1771</v>
      </c>
      <c r="E865" s="1261"/>
      <c r="F865" s="1261"/>
      <c r="G865" s="3"/>
      <c r="I865" s="490" t="s">
        <v>1884</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1805</v>
      </c>
      <c r="E872" s="1323"/>
      <c r="F872" s="1323"/>
      <c r="G872" s="988"/>
      <c r="I872" s="490"/>
    </row>
    <row r="873" spans="1:9" ht="12.75" customHeight="1">
      <c r="A873" s="354"/>
      <c r="B873" s="354"/>
      <c r="C873" s="174"/>
      <c r="D873" s="1318" t="s">
        <v>1773</v>
      </c>
      <c r="E873" s="1318"/>
      <c r="F873" s="1318"/>
      <c r="G873" s="988"/>
      <c r="I873" s="490"/>
    </row>
    <row r="874" spans="1:9" ht="12.75" customHeight="1">
      <c r="A874" s="354"/>
      <c r="B874" s="354"/>
      <c r="C874" s="174"/>
      <c r="D874" s="995"/>
      <c r="E874" s="995"/>
      <c r="F874" s="995"/>
      <c r="G874" s="988"/>
      <c r="I874" s="490"/>
    </row>
    <row r="875" spans="1:9" ht="12.75" customHeight="1">
      <c r="A875" s="175"/>
      <c r="B875" s="485" t="s">
        <v>307</v>
      </c>
      <c r="C875" s="354"/>
      <c r="D875" s="1301" t="s">
        <v>1774</v>
      </c>
      <c r="E875" s="1301"/>
      <c r="F875" s="1301"/>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1"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307</v>
      </c>
      <c r="C890" s="354"/>
      <c r="D890" s="1302" t="s">
        <v>1769</v>
      </c>
      <c r="E890" s="1302"/>
      <c r="F890" s="1302"/>
      <c r="G890" s="988"/>
      <c r="I890" s="490"/>
    </row>
    <row r="891" spans="1:9" ht="12.75" customHeight="1">
      <c r="A891" s="175"/>
      <c r="B891" s="175"/>
      <c r="C891" s="354"/>
      <c r="D891" s="1302" t="s">
        <v>1770</v>
      </c>
      <c r="E891" s="1302"/>
      <c r="F891" s="1302"/>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1" t="s">
        <v>1771</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1806</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1812</v>
      </c>
      <c r="E901" s="1326"/>
      <c r="F901" s="1326"/>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1807</v>
      </c>
      <c r="E905" s="1326"/>
      <c r="F905" s="1326"/>
      <c r="G905" s="988"/>
      <c r="I905" s="490"/>
    </row>
    <row r="906" spans="1:9" ht="12.75" customHeight="1">
      <c r="A906" s="172"/>
      <c r="B906" s="172"/>
      <c r="C906" s="172"/>
      <c r="D906" s="1301" t="s">
        <v>1777</v>
      </c>
      <c r="E906" s="1301"/>
      <c r="F906" s="1301"/>
      <c r="G906" s="988"/>
      <c r="I906" s="490"/>
    </row>
    <row r="907" spans="1:9" ht="12.75" customHeight="1">
      <c r="A907" s="989"/>
      <c r="B907" s="989"/>
      <c r="C907" s="989"/>
      <c r="D907" s="2"/>
      <c r="E907" s="988"/>
      <c r="F907" s="988"/>
      <c r="G907" s="988"/>
      <c r="I907" s="490"/>
    </row>
    <row r="908" spans="1:9" ht="12.75" customHeight="1">
      <c r="A908" s="175"/>
      <c r="B908" s="485" t="s">
        <v>307</v>
      </c>
      <c r="C908" s="354"/>
      <c r="D908" s="1261" t="s">
        <v>1781</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1780</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307</v>
      </c>
      <c r="C913" s="174"/>
      <c r="D913" s="1265" t="s">
        <v>1778</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307</v>
      </c>
      <c r="C922" s="989"/>
      <c r="D922" s="1261" t="s">
        <v>1782</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301" t="s">
        <v>2070</v>
      </c>
      <c r="E930" s="1301"/>
      <c r="F930" s="1301"/>
      <c r="G930" s="988"/>
      <c r="I930" s="490"/>
    </row>
    <row r="931" spans="1:9" ht="12.75" customHeight="1">
      <c r="A931" s="989"/>
      <c r="B931" s="989"/>
      <c r="C931" s="989"/>
      <c r="D931" s="118"/>
      <c r="E931" s="988"/>
      <c r="F931" s="988"/>
      <c r="G931" s="988"/>
      <c r="I931" s="490"/>
    </row>
    <row r="932" spans="1:9" ht="12.75" customHeight="1">
      <c r="A932" s="989"/>
      <c r="B932" s="485" t="s">
        <v>307</v>
      </c>
      <c r="C932" s="989"/>
      <c r="D932" s="1301" t="s">
        <v>2071</v>
      </c>
      <c r="E932" s="1301"/>
      <c r="F932" s="1301"/>
      <c r="G932" s="988"/>
      <c r="I932" s="490"/>
    </row>
    <row r="933" spans="1:9" ht="12.75" customHeight="1">
      <c r="A933" s="174"/>
      <c r="B933" s="174"/>
      <c r="C933" s="174"/>
      <c r="D933" s="2"/>
      <c r="E933" s="3"/>
      <c r="F933" s="988"/>
      <c r="G933" s="988"/>
      <c r="I933" s="490"/>
    </row>
    <row r="934" spans="1:9" ht="12.75" customHeight="1">
      <c r="A934" s="997"/>
      <c r="B934" s="485" t="s">
        <v>307</v>
      </c>
      <c r="C934" s="998"/>
      <c r="D934" s="1265" t="s">
        <v>1779</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307</v>
      </c>
      <c r="C944" s="174"/>
      <c r="D944" s="1320" t="s">
        <v>1887</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4" t="s">
        <v>2138</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5" t="s">
        <v>1886</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1785</v>
      </c>
      <c r="E969" s="1323"/>
      <c r="F969" s="1323"/>
      <c r="G969" s="3"/>
      <c r="I969" s="490"/>
    </row>
    <row r="970" spans="1:9" ht="12.75" customHeight="1">
      <c r="A970" s="175"/>
      <c r="B970" s="485" t="s">
        <v>307</v>
      </c>
      <c r="C970" s="354"/>
      <c r="D970" s="1301" t="s">
        <v>1808</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1786</v>
      </c>
      <c r="E972" s="1323"/>
      <c r="F972" s="1323"/>
      <c r="G972"/>
      <c r="I972" s="490"/>
    </row>
    <row r="973" spans="1:9" ht="12.75" customHeight="1">
      <c r="A973" s="175"/>
      <c r="B973" s="485" t="s">
        <v>307</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1787</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1809</v>
      </c>
      <c r="E991" s="1323"/>
      <c r="F991" s="1323"/>
      <c r="G991" s="3"/>
      <c r="I991" s="490"/>
    </row>
    <row r="992" spans="1:9" ht="12.75" customHeight="1">
      <c r="A992" s="172"/>
      <c r="B992" s="172"/>
      <c r="C992" s="172"/>
      <c r="D992" s="1301" t="s">
        <v>1788</v>
      </c>
      <c r="E992" s="1301"/>
      <c r="F992" s="1301"/>
      <c r="G992" s="3"/>
      <c r="I992" s="490"/>
    </row>
    <row r="993" spans="1:9" ht="12.75" customHeight="1">
      <c r="A993" s="172"/>
      <c r="B993" s="172"/>
      <c r="C993" s="172"/>
      <c r="D993" s="3"/>
      <c r="E993" s="3"/>
      <c r="F993" s="988"/>
      <c r="G993"/>
      <c r="I993" s="490"/>
    </row>
    <row r="994" spans="1:9" ht="12.75" customHeight="1">
      <c r="A994" s="354"/>
      <c r="B994" s="485" t="s">
        <v>307</v>
      </c>
      <c r="C994" s="354"/>
      <c r="D994" s="1325" t="s">
        <v>1916</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1" t="s">
        <v>1789</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1" t="s">
        <v>2230</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1" t="s">
        <v>1790</v>
      </c>
      <c r="E1010" s="1301"/>
      <c r="F1010" s="1301"/>
      <c r="G1010"/>
      <c r="I1010" s="490"/>
    </row>
    <row r="1011" spans="1:9" ht="12.75" customHeight="1">
      <c r="A1011" s="354"/>
      <c r="B1011" s="354"/>
      <c r="C1011" s="354"/>
      <c r="D1011" s="3"/>
      <c r="E1011" s="3"/>
      <c r="F1011" s="3"/>
      <c r="G1011"/>
      <c r="I1011" s="490"/>
    </row>
    <row r="1012" spans="1:9" ht="12.75" customHeight="1">
      <c r="A1012" s="175"/>
      <c r="B1012" s="485" t="s">
        <v>307</v>
      </c>
      <c r="C1012" s="354"/>
      <c r="D1012" s="1301" t="s">
        <v>1791</v>
      </c>
      <c r="E1012" s="1301"/>
      <c r="F1012" s="1301"/>
      <c r="G1012"/>
      <c r="I1012" s="490"/>
    </row>
    <row r="1013" spans="1:9" ht="12.75" customHeight="1">
      <c r="A1013" s="354"/>
      <c r="B1013" s="354"/>
      <c r="C1013" s="354"/>
      <c r="D1013" s="118"/>
      <c r="E1013" s="3"/>
      <c r="F1013" s="3"/>
      <c r="G1013"/>
      <c r="I1013" s="490"/>
    </row>
    <row r="1014" spans="1:9" ht="12.75" customHeight="1">
      <c r="A1014" s="175"/>
      <c r="B1014" s="485" t="s">
        <v>307</v>
      </c>
      <c r="C1014" s="354"/>
      <c r="D1014" s="1301" t="s">
        <v>1792</v>
      </c>
      <c r="E1014" s="1301"/>
      <c r="F1014" s="1301"/>
      <c r="G1014"/>
      <c r="I1014" s="490"/>
    </row>
    <row r="1015" spans="1:9" ht="12.75" customHeight="1">
      <c r="A1015" s="354"/>
      <c r="B1015" s="354"/>
      <c r="C1015" s="354"/>
      <c r="D1015" s="118"/>
      <c r="E1015" s="3"/>
      <c r="F1015" s="3"/>
      <c r="G1015"/>
      <c r="I1015" s="490"/>
    </row>
    <row r="1016" spans="1:9" ht="12.75" customHeight="1">
      <c r="A1016" s="175"/>
      <c r="B1016" s="485" t="s">
        <v>307</v>
      </c>
      <c r="C1016" s="354"/>
      <c r="D1016" s="1261" t="s">
        <v>1793</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7" t="s">
        <v>1794</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4" t="s">
        <v>1795</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1" t="s">
        <v>1796</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1" t="s">
        <v>1797</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1798</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1799</v>
      </c>
      <c r="E1031" s="1326"/>
      <c r="F1031" s="1326"/>
      <c r="G1031" s="3"/>
      <c r="I1031" s="490"/>
    </row>
    <row r="1032" spans="1:9" ht="12.75" customHeight="1">
      <c r="A1032" s="354"/>
      <c r="B1032" s="354"/>
      <c r="C1032" s="354"/>
      <c r="D1032" s="1324" t="s">
        <v>1800</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1814</v>
      </c>
      <c r="E1034" s="1326"/>
      <c r="F1034" s="1326"/>
      <c r="G1034" s="3"/>
      <c r="I1034" s="490"/>
    </row>
    <row r="1035" spans="1:9" ht="12.75" customHeight="1">
      <c r="A1035" s="354"/>
      <c r="B1035" s="485" t="s">
        <v>307</v>
      </c>
      <c r="C1035" s="354"/>
      <c r="D1035" s="1324" t="s">
        <v>1272</v>
      </c>
      <c r="E1035" s="1324"/>
      <c r="F1035" s="1324"/>
      <c r="G1035" s="3"/>
      <c r="I1035" s="490"/>
    </row>
    <row r="1036" spans="1:9" ht="12.75" customHeight="1">
      <c r="A1036" s="354"/>
      <c r="B1036" s="175"/>
      <c r="C1036" s="354"/>
      <c r="D1036" s="1324" t="s">
        <v>1801</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1810</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1273</v>
      </c>
      <c r="E1040" s="1331"/>
      <c r="F1040" s="1331"/>
      <c r="G1040" s="3"/>
      <c r="I1040" s="490"/>
    </row>
    <row r="1041" spans="1:9" ht="12.75" hidden="1" customHeight="1">
      <c r="A1041" s="118"/>
      <c r="B1041" s="485" t="s">
        <v>307</v>
      </c>
      <c r="D1041" s="1293" t="s">
        <v>1272</v>
      </c>
      <c r="E1041" s="1293"/>
      <c r="F1041" s="1293"/>
      <c r="G1041" s="3"/>
      <c r="I1041" s="490"/>
    </row>
    <row r="1042" spans="1:9" ht="12.75" hidden="1" customHeight="1">
      <c r="A1042" s="118"/>
      <c r="B1042" s="402"/>
      <c r="D1042" s="1293" t="s">
        <v>1811</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1067</v>
      </c>
      <c r="E1044" s="1332"/>
      <c r="F1044" s="1332"/>
      <c r="G1044" s="3"/>
      <c r="I1044" s="490"/>
    </row>
    <row r="1045" spans="1:9" ht="12.75" customHeight="1">
      <c r="A1045" s="319"/>
      <c r="B1045" s="319"/>
      <c r="C1045" s="319"/>
      <c r="D1045" s="1302" t="s">
        <v>2248</v>
      </c>
      <c r="E1045" s="1302"/>
      <c r="F1045" s="1302"/>
      <c r="G1045" s="98"/>
      <c r="I1045" s="490"/>
    </row>
    <row r="1046" spans="1:9" ht="12.75" customHeight="1">
      <c r="A1046" s="175"/>
      <c r="B1046" s="485" t="s">
        <v>307</v>
      </c>
      <c r="C1046" s="354"/>
      <c r="D1046" s="1302" t="s">
        <v>986</v>
      </c>
      <c r="E1046" s="1302"/>
      <c r="F1046" s="1302"/>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0" t="s">
        <v>1831</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8" t="s">
        <v>1815</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8" t="s">
        <v>1819</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1820</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1" t="s">
        <v>1830</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7" t="s">
        <v>1822</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1832</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9" t="s">
        <v>1930</v>
      </c>
      <c r="E1101" s="1329"/>
      <c r="F1101" s="1329"/>
      <c r="I1101" s="490"/>
    </row>
    <row r="1102" spans="1:9">
      <c r="A1102" s="402"/>
      <c r="B1102" s="402"/>
      <c r="C1102" s="402"/>
      <c r="D1102" s="1329"/>
      <c r="E1102" s="1329"/>
      <c r="F1102" s="1329"/>
      <c r="I1102" s="490"/>
    </row>
    <row r="1103" spans="1:9">
      <c r="A1103" s="402"/>
      <c r="B1103" s="402"/>
      <c r="C1103" s="402"/>
      <c r="D1103" s="1330" t="s">
        <v>2144</v>
      </c>
      <c r="E1103" s="1261"/>
      <c r="F1103" s="1261"/>
      <c r="I1103" s="490"/>
    </row>
    <row r="1104" spans="1:9">
      <c r="A1104" s="402"/>
      <c r="B1104" s="402"/>
      <c r="C1104" s="402"/>
      <c r="D1104" s="527"/>
      <c r="I1104" s="490"/>
    </row>
    <row r="1105" spans="1:9">
      <c r="A1105" s="402"/>
      <c r="B1105" s="485" t="s">
        <v>307</v>
      </c>
      <c r="C1105" s="402"/>
      <c r="D1105" s="1327" t="s">
        <v>1833</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307</v>
      </c>
      <c r="C1108" s="402"/>
      <c r="D1108" s="1327" t="s">
        <v>1888</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307</v>
      </c>
      <c r="C1115" s="402"/>
      <c r="D1115" s="1327" t="s">
        <v>1834</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1" t="s">
        <v>1890</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3" workbookViewId="0">
      <selection activeCell="A712" sqref="A712:AT75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23</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8"/>
      <c r="AV8" s="898"/>
      <c r="AW8" s="898"/>
      <c r="AX8" s="898"/>
      <c r="AY8" s="898"/>
      <c r="BD8" s="3" t="s">
        <v>2510</v>
      </c>
      <c r="BE8" s="1249">
        <f>SUMIF($AC$718:$AC$752,"&lt;=35%",$G$718:G$752)-SUM($BE$5:BE7)</f>
        <v>0</v>
      </c>
    </row>
    <row r="9" spans="1:58" ht="12.95" customHeight="1">
      <c r="A9" s="1833" t="s">
        <v>2077</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48" t="s">
        <v>2502</v>
      </c>
      <c r="BE9" s="1249">
        <f>SUMIF($AC$718:$AC$752,"&lt;=40%",$G$718:G$752)-SUM($BE$5:BE8)</f>
        <v>0</v>
      </c>
    </row>
    <row r="10" spans="1:58" ht="12.95" customHeight="1">
      <c r="A10" s="1833" t="s">
        <v>2459</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2511</v>
      </c>
      <c r="BE10" s="1249">
        <f>SUMIF($AC$718:$AC$752,"&lt;=45%",$G$718:G$752)-SUM($BE$5:BE9)</f>
        <v>0</v>
      </c>
    </row>
    <row r="11" spans="1:58" ht="12.95" customHeight="1">
      <c r="A11" s="1833" t="s">
        <v>2605</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47" t="s">
        <v>2503</v>
      </c>
      <c r="BE11" s="1249">
        <f>SUMIF($AC$718:$AC$752,"&lt;=50%",$G$718:G$752)-SUM($BE$5:BE10)</f>
        <v>16</v>
      </c>
    </row>
    <row r="12" spans="1:58" ht="12.95" customHeight="1">
      <c r="A12" s="1834" t="s">
        <v>2611</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2512</v>
      </c>
      <c r="BE12" s="1249">
        <f>SUMIF($AC$718:$AC$752,"&lt;=55%",$G$718:G$752)-SUM($BE$5:BE11)</f>
        <v>0</v>
      </c>
    </row>
    <row r="13" spans="1:58" ht="12.95"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2504</v>
      </c>
      <c r="BE13" s="1249">
        <f>SUMIF($AC$718:$AC$752,"&lt;=60%",$G$718:G$752)-SUM($BE$5:BE12)</f>
        <v>38</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2505</v>
      </c>
      <c r="BE14" s="1249">
        <f>SUMIF($AC$718:$AC$752,"&lt;=70%",$G$718:G$752)-SUM($BE$5:BE13)</f>
        <v>74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822"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1990 Lake Washington Housing</v>
      </c>
    </row>
    <row r="17" spans="1:58" ht="12.95" customHeight="1">
      <c r="BD17" s="1247" t="s">
        <v>2519</v>
      </c>
      <c r="BE17" s="1249">
        <f>Application!AA934</f>
        <v>0</v>
      </c>
    </row>
    <row r="18" spans="1:58" ht="12.95" customHeight="1">
      <c r="A18" s="57" t="s">
        <v>101</v>
      </c>
      <c r="C18" s="4"/>
      <c r="D18" s="4"/>
      <c r="E18" s="4"/>
      <c r="F18" s="4"/>
      <c r="G18" s="4"/>
      <c r="H18" s="1503" t="s">
        <v>2614</v>
      </c>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BD18" s="1248" t="s">
        <v>2520</v>
      </c>
      <c r="BE18" s="1249">
        <f>'CalHFA Addendum'!N11</f>
        <v>0</v>
      </c>
    </row>
    <row r="19" spans="1:58" ht="12.95" customHeight="1">
      <c r="BD19" s="1247" t="s">
        <v>2521</v>
      </c>
      <c r="BE19" s="1249">
        <f>Application!M26</f>
        <v>2755116</v>
      </c>
    </row>
    <row r="20" spans="1:58" ht="12.95" customHeight="1">
      <c r="A20" s="1835" t="s">
        <v>874</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0"/>
      <c r="AV20" s="900"/>
      <c r="AW20" s="900"/>
      <c r="AX20" s="900"/>
      <c r="AY20" s="900"/>
      <c r="BD20" s="1248" t="s">
        <v>2522</v>
      </c>
      <c r="BE20" s="1249">
        <f>Application!M27</f>
        <v>20635374</v>
      </c>
    </row>
    <row r="21" spans="1:58" ht="12.95" customHeight="1">
      <c r="A21" s="1823" t="s">
        <v>1010</v>
      </c>
      <c r="B21" s="1823"/>
      <c r="C21" s="1823"/>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1823"/>
      <c r="AM21" s="901"/>
      <c r="AN21" s="901"/>
      <c r="AO21" s="901"/>
      <c r="AP21" s="901"/>
      <c r="AQ21" s="901"/>
      <c r="AR21" s="901"/>
      <c r="AS21" s="901"/>
      <c r="AT21" s="901"/>
      <c r="AU21" s="901"/>
      <c r="AV21" s="901"/>
      <c r="AW21" s="901"/>
      <c r="AX21" s="901"/>
      <c r="AY21" s="901"/>
      <c r="BD21" s="1247" t="s">
        <v>2523</v>
      </c>
      <c r="BE21" s="1249">
        <f>Application!AM554</f>
        <v>20832992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73054148</v>
      </c>
      <c r="BF22" s="3" t="s">
        <v>2596</v>
      </c>
    </row>
    <row r="23" spans="1:58" ht="12.95"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2524</v>
      </c>
      <c r="BE23" s="1249">
        <f>'Sources and Uses Budget'!B4</f>
        <v>3000000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2525</v>
      </c>
      <c r="BE24" s="1249">
        <f>Application!AG450</f>
        <v>21391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821">
        <f>'Basis &amp; Credits'!AB56</f>
        <v>2755116</v>
      </c>
      <c r="N26" s="1821"/>
      <c r="O26" s="1821"/>
      <c r="P26" s="1821"/>
      <c r="Q26" s="1821"/>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66">
        <f>'Basis &amp; Credits'!AB78</f>
        <v>20635374</v>
      </c>
      <c r="N27" s="1366"/>
      <c r="O27" s="1366"/>
      <c r="P27" s="1366"/>
      <c r="Q27" s="1366"/>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2528</v>
      </c>
      <c r="BE29" s="1249" t="b">
        <f>Application!M358="Yes"</f>
        <v>0</v>
      </c>
    </row>
    <row r="30" spans="1:58" ht="12.9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0</v>
      </c>
    </row>
    <row r="31" spans="1:58" ht="12.9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79" t="s">
        <v>546</v>
      </c>
      <c r="P33" s="1379"/>
      <c r="Q33" s="1836" t="s">
        <v>2149</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47" t="s">
        <v>2597</v>
      </c>
      <c r="BE33" s="1249" t="str">
        <f>Application!D220</f>
        <v>Capital Region: El Dorado, Placer, Sacramento, Sutter, Yuba, and Yolo Counties</v>
      </c>
    </row>
    <row r="34" spans="1:57" ht="12.95"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2531</v>
      </c>
      <c r="BE34" s="1249" t="str">
        <f>Application!I185</f>
        <v>1990 Lake Washington Blvd, West Sacramento, CA 95691</v>
      </c>
    </row>
    <row r="35" spans="1:57" ht="12.9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2532</v>
      </c>
      <c r="BE35" s="1249" t="str">
        <f>IF(Application!E187="","",Application!E187)</f>
        <v/>
      </c>
    </row>
    <row r="36" spans="1:57" ht="12.9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2533</v>
      </c>
      <c r="BE36" s="1249" t="str">
        <f>Application!I189</f>
        <v xml:space="preserve">Sacramento </v>
      </c>
    </row>
    <row r="37" spans="1:57" ht="12.9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2534</v>
      </c>
      <c r="BE37" s="1249" t="str">
        <f>Application!T189</f>
        <v>Yolo</v>
      </c>
    </row>
    <row r="38" spans="1:57" ht="12.95" customHeight="1">
      <c r="A38" s="3"/>
      <c r="AZ38" s="20"/>
      <c r="BD38" s="1248" t="s">
        <v>2535</v>
      </c>
      <c r="BE38" s="1249">
        <f>Application!I190</f>
        <v>95691</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2536</v>
      </c>
      <c r="BE39" s="1249">
        <f>Application!AG437</f>
        <v>152</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151</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2537</v>
      </c>
      <c r="BE42" s="1251">
        <f>Application!AC753</f>
        <v>0.5927152317880795</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2538</v>
      </c>
      <c r="BE43" s="1251">
        <f>Application!AH753</f>
        <v>0.5505869517461448</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2539</v>
      </c>
      <c r="BE44" s="1249">
        <f>Application!AC454</f>
        <v>480619.39473684208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2.95"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2541</v>
      </c>
      <c r="BE46" s="1249" t="b">
        <f>Application!T195="Yes"</f>
        <v>0</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2542</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2543</v>
      </c>
      <c r="BE48" s="1249" t="str">
        <f>Application!M243</f>
        <v>Community Revitalization and Development Corporation</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2544</v>
      </c>
      <c r="BE49" s="1249" t="str">
        <f>Application!M246</f>
        <v>David Rutledge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2546</v>
      </c>
      <c r="BE51" s="1249" t="str">
        <f>Application!M251</f>
        <v>West Sacramento Lake Washington Boulevard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2547</v>
      </c>
      <c r="BE52" s="1249" t="str">
        <f>Application!M254</f>
        <v>Chris Dart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Johnson &amp; Johnson Investments, LLC</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2549</v>
      </c>
      <c r="BE54" s="1249">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2550</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2551</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2552</v>
      </c>
      <c r="BE57" s="1249" t="str">
        <f>Application!H287</f>
        <v>Danco Communities</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2553</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2555</v>
      </c>
      <c r="BE60" s="1249" t="str">
        <f>Application!H290</f>
        <v>Chris Dart</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2556</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t="str">
        <f>Z205</f>
        <v>$500M</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CMFA</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2565</v>
      </c>
      <c r="BE72" s="1249">
        <f>'Points System'!AF805</f>
        <v>10</v>
      </c>
    </row>
    <row r="73" spans="1:57" ht="12.9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10</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2576</v>
      </c>
      <c r="BE83" s="1253">
        <f>'Tie Breaker'!H5</f>
        <v>1.0902365158552667</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2577</v>
      </c>
      <c r="BE84" s="1249" t="str">
        <f>Application!O153</f>
        <v xml:space="preserve">City of West Sacramento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 xml:space="preserve">Aaron Laurel </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2579</v>
      </c>
      <c r="BE86" s="1249"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2580</v>
      </c>
      <c r="BE87" s="1249" t="str">
        <f>Application!O156</f>
        <v>1110 W Capitol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West Sacramento</v>
      </c>
    </row>
    <row r="89" spans="1:57" ht="12.95"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2582</v>
      </c>
      <c r="BE89" s="1249">
        <f>Application!O158</f>
        <v>95691</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2583</v>
      </c>
      <c r="BE90" s="1249" t="str">
        <f>Application!H16</f>
        <v>Community Revitalization and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1918 West St</v>
      </c>
    </row>
    <row r="92" spans="1:57" ht="12.95"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Redding</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96001</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David Rutledge</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david@crdc-housing.org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david@crdc-housing.org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t="str">
        <f>Application!M256</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2593</v>
      </c>
      <c r="BE100" s="1249" t="str">
        <f>Application!L279</f>
        <v>hwilson@danco-group.com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2598</v>
      </c>
      <c r="BE101">
        <f>'Sources and Uses Budget'!C105</f>
        <v>73054148</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2599</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v>5</v>
      </c>
      <c r="H113" s="1548"/>
      <c r="I113" s="3" t="s">
        <v>182</v>
      </c>
      <c r="L113" s="1548" t="s">
        <v>2716</v>
      </c>
      <c r="M113" s="1548"/>
      <c r="N113" s="1548"/>
      <c r="O113" s="1548"/>
      <c r="P113" s="1562" t="s">
        <v>2240</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2626</v>
      </c>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2628</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75" t="s">
        <v>470</v>
      </c>
      <c r="CV122" s="1676"/>
      <c r="CW122" s="14"/>
      <c r="CX122" s="14" t="s">
        <v>635</v>
      </c>
      <c r="CY122" s="14"/>
      <c r="CZ122" s="14"/>
      <c r="DA122" s="14"/>
      <c r="DB122" s="14"/>
      <c r="DC122" s="14"/>
      <c r="DD122" s="14"/>
      <c r="DE122" s="14"/>
      <c r="DF122" s="14"/>
      <c r="DG122" s="1672" t="str">
        <f>T189</f>
        <v>Yolo</v>
      </c>
      <c r="DH122" s="1673"/>
      <c r="DI122" s="1673"/>
      <c r="DJ122" s="1673"/>
      <c r="DK122" s="1673"/>
      <c r="DL122" s="1673"/>
      <c r="DM122" s="1674"/>
    </row>
    <row r="123" spans="1:117" ht="12.95" customHeight="1">
      <c r="A123" s="3"/>
      <c r="B123" s="3"/>
      <c r="T123" s="3"/>
      <c r="U123" s="3"/>
      <c r="V123" s="3"/>
      <c r="W123" s="3"/>
      <c r="X123" s="3"/>
      <c r="Y123" s="1548" t="s">
        <v>2717</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56"/>
      <c r="G150" s="1456"/>
      <c r="H150" s="1456"/>
      <c r="I150" s="1456"/>
      <c r="J150" s="1456"/>
      <c r="K150" s="1456"/>
      <c r="L150" s="1456"/>
      <c r="M150" s="1456"/>
      <c r="N150" s="1456"/>
      <c r="O150" s="1456"/>
      <c r="P150" s="1456"/>
      <c r="Q150" s="1456"/>
      <c r="R150" s="1456"/>
      <c r="S150" s="1456"/>
      <c r="T150" s="14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517" t="s">
        <v>2615</v>
      </c>
      <c r="P153" s="1517"/>
      <c r="Q153" s="1517"/>
      <c r="R153" s="1517"/>
      <c r="S153" s="1517"/>
      <c r="T153" s="1517"/>
      <c r="U153" s="1517"/>
      <c r="V153" s="1517"/>
      <c r="W153" s="1517"/>
      <c r="X153" s="1517"/>
      <c r="Y153" s="1517"/>
      <c r="Z153" s="1517"/>
      <c r="AA153" s="1517"/>
      <c r="AB153" s="1517"/>
      <c r="AC153" s="1517"/>
      <c r="AD153" s="1517"/>
      <c r="AE153" s="1517"/>
      <c r="AF153" s="1517"/>
      <c r="AG153" s="1517"/>
      <c r="AH153" s="1517"/>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40" t="s">
        <v>2616</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93" t="s">
        <v>2617</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7" t="s">
        <v>2618</v>
      </c>
      <c r="P157" s="1517"/>
      <c r="Q157" s="1517"/>
      <c r="R157" s="1517"/>
      <c r="S157" s="1517"/>
      <c r="T157" s="1517"/>
      <c r="U157" s="1517"/>
      <c r="V157" s="1517"/>
      <c r="W157" s="1517"/>
      <c r="X157" s="15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v>95691</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
        <v>2619</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3"/>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2620</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6" t="s">
        <v>540</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93" t="s">
        <v>2102</v>
      </c>
      <c r="K174" s="1393"/>
      <c r="L174" s="1393"/>
      <c r="M174" s="1393"/>
      <c r="N174" s="1393"/>
      <c r="O174" s="1393"/>
      <c r="P174" s="1393"/>
      <c r="Q174" s="1393"/>
      <c r="R174" s="1393"/>
      <c r="S174" s="1393"/>
      <c r="T174" s="1393"/>
      <c r="U174" s="1393"/>
      <c r="V174" s="1393"/>
      <c r="W174" s="1393"/>
      <c r="X174" s="1393"/>
      <c r="Y174" s="1393"/>
      <c r="Z174" s="1393"/>
      <c r="AA174" s="1393"/>
      <c r="AB174" s="1393"/>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79" t="s">
        <v>546</v>
      </c>
      <c r="V175" s="1379"/>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87">
        <v>25</v>
      </c>
      <c r="V176" s="1487"/>
      <c r="W176" s="1" t="s">
        <v>306</v>
      </c>
      <c r="X176" s="1566">
        <v>636</v>
      </c>
      <c r="Y176" s="1566"/>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79" t="s">
        <v>670</v>
      </c>
      <c r="S177" s="1379"/>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5"/>
      <c r="AG178" s="1565"/>
      <c r="AH178" s="1" t="s">
        <v>306</v>
      </c>
      <c r="AI178" s="1442"/>
      <c r="AJ178" s="1442"/>
      <c r="AK178" s="1442"/>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79" t="s">
        <v>670</v>
      </c>
      <c r="Y180" s="1379"/>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71" t="str">
        <f>H18</f>
        <v>1990 Lake Washington Housing</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15" t="s">
        <v>2621</v>
      </c>
      <c r="J185" s="1415"/>
      <c r="K185" s="1415"/>
      <c r="L185" s="1415"/>
      <c r="M185" s="1415"/>
      <c r="N185" s="1415"/>
      <c r="O185" s="1415"/>
      <c r="P185" s="1415"/>
      <c r="Q185" s="1415"/>
      <c r="R185" s="1415"/>
      <c r="S185" s="1415"/>
      <c r="T185" s="1415"/>
      <c r="U185" s="1415"/>
      <c r="V185" s="1415"/>
      <c r="W185" s="1415"/>
      <c r="X185" s="1415"/>
      <c r="Y185" s="1415"/>
      <c r="Z185" s="1415"/>
      <c r="AA185" s="1415"/>
      <c r="AB185" s="1415"/>
      <c r="AC185" s="1415"/>
      <c r="AD185" s="1415"/>
      <c r="AE185" s="1415"/>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0"/>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03" t="s">
        <v>2622</v>
      </c>
      <c r="J189" s="1393"/>
      <c r="K189" s="1393"/>
      <c r="L189" s="1393"/>
      <c r="M189" s="1393"/>
      <c r="N189" s="1393"/>
      <c r="O189" s="1393"/>
      <c r="P189" s="1393"/>
      <c r="Q189" t="s">
        <v>583</v>
      </c>
      <c r="T189" s="1393" t="s">
        <v>204</v>
      </c>
      <c r="U189" s="1393"/>
      <c r="V189" s="1393"/>
      <c r="W189" s="1393"/>
      <c r="X189" s="1393"/>
      <c r="Y189" s="1393"/>
      <c r="Z189" s="1393"/>
      <c r="AA189" s="1393"/>
      <c r="AB189" s="1393"/>
      <c r="AC189" s="1393"/>
      <c r="AD189" s="1393"/>
      <c r="AE189" s="139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15">
        <v>95691</v>
      </c>
      <c r="J190" s="1415"/>
      <c r="K190" s="1415"/>
      <c r="L190" s="1415"/>
      <c r="M190" s="1415"/>
      <c r="N190" s="1415"/>
      <c r="O190" t="s">
        <v>586</v>
      </c>
      <c r="T190" s="1556">
        <v>103.15</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0" t="s">
        <v>2623</v>
      </c>
      <c r="O191" s="1520"/>
      <c r="P191" s="1520"/>
      <c r="Q191" s="1520"/>
      <c r="R191" s="1520"/>
      <c r="S191" s="1520"/>
      <c r="T191" s="1520"/>
      <c r="U191" s="1520"/>
      <c r="V191" s="1520"/>
      <c r="W191" s="1520"/>
      <c r="X191" s="1520"/>
      <c r="Y191" s="1520"/>
      <c r="Z191" s="1520"/>
      <c r="AA191" s="1520"/>
      <c r="AB191" s="1520"/>
      <c r="AC191" s="1520"/>
      <c r="AD191" s="1520"/>
      <c r="AE191" s="152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0" t="s">
        <v>1970</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79" t="s">
        <v>670</v>
      </c>
      <c r="AI194" s="1379"/>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79" t="s">
        <v>670</v>
      </c>
      <c r="U195" s="1379"/>
      <c r="W195" t="s">
        <v>685</v>
      </c>
      <c r="AH195" s="1379">
        <v>7</v>
      </c>
      <c r="AI195" s="1379"/>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391" t="s">
        <v>670</v>
      </c>
      <c r="U196" s="1391"/>
      <c r="W196" t="s">
        <v>686</v>
      </c>
      <c r="AH196" s="1379">
        <v>4</v>
      </c>
      <c r="AI196" s="1379"/>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391" t="s">
        <v>670</v>
      </c>
      <c r="U197" s="1391"/>
      <c r="W197" t="s">
        <v>687</v>
      </c>
      <c r="AH197" s="1379">
        <v>3</v>
      </c>
      <c r="AI197" s="1379"/>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391">
        <v>0</v>
      </c>
      <c r="U198" s="1391"/>
      <c r="V198"/>
      <c r="X198" s="1537" t="s">
        <v>2514</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79" t="s">
        <v>670</v>
      </c>
      <c r="U199" s="1379"/>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79" t="s">
        <v>670</v>
      </c>
      <c r="U200" s="1379"/>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71" t="s">
        <v>385</v>
      </c>
      <c r="E204" s="1471"/>
      <c r="F204" s="1471"/>
      <c r="G204" s="1471"/>
      <c r="H204" s="1471"/>
      <c r="I204" s="1471"/>
      <c r="J204" s="1471"/>
      <c r="K204" s="1471"/>
      <c r="L204" s="1471"/>
      <c r="M204" s="1471"/>
      <c r="P204" s="1551">
        <f>M26</f>
        <v>2755116</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9" t="s">
        <v>1248</v>
      </c>
      <c r="E205" s="1471"/>
      <c r="F205" s="1471"/>
      <c r="G205" s="1471"/>
      <c r="H205" s="1471"/>
      <c r="I205" s="1471"/>
      <c r="J205" s="1471"/>
      <c r="K205" s="1471"/>
      <c r="L205" s="1471"/>
      <c r="M205" s="1471"/>
      <c r="P205" s="1552">
        <f>M27</f>
        <v>20635374</v>
      </c>
      <c r="Q205" s="1552"/>
      <c r="R205" s="1552"/>
      <c r="S205" s="1552"/>
      <c r="T205" s="1552"/>
      <c r="U205" s="1552"/>
      <c r="V205" s="28"/>
      <c r="W205" s="3" t="s">
        <v>1721</v>
      </c>
      <c r="Z205" s="1535" t="s">
        <v>2220</v>
      </c>
      <c r="AA205" s="1535"/>
      <c r="AB205" s="1535"/>
      <c r="AC205" s="1535"/>
      <c r="AD205" s="1535"/>
      <c r="AE205" s="1535"/>
      <c r="AF205" s="1535"/>
      <c r="AG205" s="1535"/>
      <c r="AH205" s="1535"/>
      <c r="AI205" s="1535"/>
      <c r="AJ205" s="1535"/>
      <c r="AK205" s="1535"/>
      <c r="AL205" s="1535"/>
      <c r="AM205" s="1535"/>
      <c r="AN205" s="1535"/>
      <c r="AP205" s="1456"/>
      <c r="AQ205" s="145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17" t="s">
        <v>2624</v>
      </c>
      <c r="E208" s="1517"/>
      <c r="F208" s="1517"/>
      <c r="G208" s="1517"/>
      <c r="H208" s="1517"/>
      <c r="I208" s="1517"/>
      <c r="J208" s="1517"/>
      <c r="K208" s="1517"/>
      <c r="L208" s="1517"/>
      <c r="M208" s="151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17" t="s">
        <v>1042</v>
      </c>
      <c r="E211" s="1517"/>
      <c r="F211" s="1517"/>
      <c r="G211" s="1517"/>
      <c r="H211" s="1517"/>
      <c r="I211" s="1517"/>
      <c r="J211" s="1517"/>
      <c r="K211" s="1517"/>
      <c r="L211" s="1517"/>
      <c r="M211" s="15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79">
        <v>19</v>
      </c>
      <c r="R212" s="1379"/>
      <c r="T212" s="1563">
        <f>IFERROR(Q212/AG440,0)</f>
        <v>0.12582781456953643</v>
      </c>
      <c r="U212" s="156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00"/>
      <c r="AC215" s="1500"/>
      <c r="AD215" s="1500"/>
      <c r="AE215" s="1500"/>
      <c r="AF215" s="1500"/>
      <c r="AG215" s="1500"/>
      <c r="AH215" s="1500"/>
      <c r="AI215" s="1500"/>
      <c r="AJ215" s="1500"/>
      <c r="AK215" s="1500"/>
      <c r="AL215" s="15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00"/>
      <c r="AC216" s="1500"/>
      <c r="AD216" s="1500"/>
      <c r="AE216" s="1500"/>
      <c r="AF216" s="1500"/>
      <c r="AG216" s="1500"/>
      <c r="AH216" s="1500"/>
      <c r="AI216" s="1500"/>
      <c r="AJ216" s="1500"/>
      <c r="AK216" s="1500"/>
      <c r="AL216" s="15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17" t="s">
        <v>1065</v>
      </c>
      <c r="E220" s="1517"/>
      <c r="F220" s="1517"/>
      <c r="G220" s="1517"/>
      <c r="H220" s="1517"/>
      <c r="I220" s="1517"/>
      <c r="J220" s="1517"/>
      <c r="K220" s="1517"/>
      <c r="L220" s="1517"/>
      <c r="M220" s="1517"/>
      <c r="N220" s="1517"/>
      <c r="O220" s="1517"/>
      <c r="P220" s="1517"/>
      <c r="Q220" s="1517"/>
      <c r="R220" s="1517"/>
      <c r="S220" s="1517"/>
      <c r="T220" s="1517"/>
      <c r="U220" s="1517"/>
      <c r="V220" s="1517"/>
      <c r="W220" s="1517"/>
      <c r="X220" s="1517"/>
      <c r="Y220" s="1517"/>
      <c r="Z220" s="1517"/>
      <c r="AC220" s="1538" t="s">
        <v>2468</v>
      </c>
      <c r="AD220" s="1538"/>
      <c r="AE220" s="1538"/>
      <c r="AF220" s="1538"/>
      <c r="AG220" s="1538"/>
      <c r="AH220" s="1538"/>
      <c r="AI220" s="1538"/>
      <c r="AJ220" s="1538"/>
      <c r="AK220" s="1538"/>
      <c r="AL220" s="1538"/>
      <c r="AM220" s="1538"/>
      <c r="AN220" s="1538"/>
      <c r="AO220" s="1538"/>
      <c r="AP220" s="1538"/>
      <c r="AQ220" s="1538"/>
      <c r="BA220" s="3"/>
      <c r="BC220" t="s">
        <v>300</v>
      </c>
    </row>
    <row r="221" spans="1:108" ht="12.95" customHeight="1">
      <c r="A221" s="2"/>
      <c r="B221" s="14"/>
      <c r="C221" s="2"/>
      <c r="BA221" s="3"/>
    </row>
    <row r="222" spans="1:108" ht="12.95" customHeight="1">
      <c r="A222" s="1536" t="s">
        <v>541</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592</v>
      </c>
      <c r="AJ226" s="1379"/>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546</v>
      </c>
      <c r="AJ227" s="1379"/>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592</v>
      </c>
      <c r="AJ228" s="1379"/>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592</v>
      </c>
      <c r="AJ229" s="1379"/>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7" t="str">
        <f>H16</f>
        <v>Community Revitalization and Development Corporation</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2.95" customHeight="1">
      <c r="D233" s="4" t="s">
        <v>85</v>
      </c>
      <c r="E233" s="4"/>
      <c r="F233" s="4"/>
      <c r="G233" s="4"/>
      <c r="H233" s="4"/>
      <c r="I233" s="4"/>
      <c r="J233" s="4"/>
      <c r="K233" s="4"/>
      <c r="M233" s="1517" t="s">
        <v>2625</v>
      </c>
      <c r="N233" s="1517"/>
      <c r="O233" s="1517"/>
      <c r="P233" s="1517"/>
      <c r="Q233" s="1517"/>
      <c r="R233" s="1517"/>
      <c r="S233" s="1517"/>
      <c r="T233" s="1517"/>
      <c r="U233" s="1517"/>
      <c r="V233" s="1517"/>
      <c r="W233" s="1517"/>
      <c r="X233" s="1517"/>
      <c r="Y233" s="1517"/>
      <c r="Z233" s="1517"/>
      <c r="AA233" s="1517"/>
      <c r="AB233" s="1517"/>
      <c r="AC233" s="1517"/>
      <c r="AD233" s="1517"/>
      <c r="AE233" s="1517"/>
      <c r="BB233" s="205" t="s">
        <v>539</v>
      </c>
      <c r="BG233" s="241">
        <f>IF(AND(AND($M$249="nonprofit",$M$257="for profit",$M$265="nonprofit")),2,0)</f>
        <v>0</v>
      </c>
    </row>
    <row r="234" spans="1:59" ht="12.95" customHeight="1">
      <c r="D234" s="4" t="s">
        <v>581</v>
      </c>
      <c r="E234" s="4"/>
      <c r="M234" s="1503" t="s">
        <v>2626</v>
      </c>
      <c r="N234" s="1517"/>
      <c r="O234" s="1517"/>
      <c r="P234" s="1517"/>
      <c r="Q234" s="1517"/>
      <c r="R234" s="1517"/>
      <c r="S234" s="1517"/>
      <c r="T234" s="1517"/>
      <c r="V234" s="33" t="s">
        <v>86</v>
      </c>
      <c r="W234" s="1544" t="s">
        <v>2627</v>
      </c>
      <c r="X234" s="1440"/>
      <c r="Y234" s="4" t="s">
        <v>584</v>
      </c>
      <c r="AC234" s="1517">
        <v>96001</v>
      </c>
      <c r="AD234" s="1517"/>
      <c r="AE234" s="15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03" t="s">
        <v>2628</v>
      </c>
      <c r="N235" s="1517"/>
      <c r="O235" s="1517"/>
      <c r="P235" s="1517"/>
      <c r="Q235" s="1517"/>
      <c r="R235" s="1517"/>
      <c r="S235" s="1517"/>
      <c r="T235" s="1517"/>
      <c r="U235" s="1517"/>
      <c r="V235" s="1517"/>
      <c r="W235" s="1517"/>
      <c r="X235" s="1517"/>
      <c r="Y235" s="1517"/>
      <c r="Z235" s="1517"/>
      <c r="AA235" s="1517"/>
      <c r="AB235" s="1517"/>
      <c r="AC235" s="1517"/>
      <c r="AD235" s="1517"/>
      <c r="AE235" s="1517"/>
      <c r="AI235" s="4"/>
      <c r="AJ235" s="4"/>
      <c r="AK235" s="4"/>
      <c r="AL235" s="4"/>
      <c r="AM235" s="4"/>
      <c r="AN235" s="4"/>
      <c r="AO235" s="4"/>
      <c r="AP235" s="4"/>
      <c r="AQ235" s="4"/>
      <c r="AR235" s="4"/>
      <c r="AS235" s="4"/>
      <c r="AT235" s="4"/>
      <c r="BB235" s="205"/>
      <c r="BG235" s="204"/>
    </row>
    <row r="236" spans="1:59" ht="12.95" customHeight="1">
      <c r="D236" s="4" t="s">
        <v>88</v>
      </c>
      <c r="E236" s="4"/>
      <c r="F236" s="4"/>
      <c r="M236" s="1472">
        <v>5302416960</v>
      </c>
      <c r="N236" s="1472"/>
      <c r="O236" s="1472"/>
      <c r="P236" s="1472"/>
      <c r="Q236" s="1472"/>
      <c r="R236" s="1472"/>
      <c r="S236" s="4" t="s">
        <v>206</v>
      </c>
      <c r="T236" s="4"/>
      <c r="U236" s="1440"/>
      <c r="V236" s="1440"/>
      <c r="W236" s="1440"/>
      <c r="X236" s="4" t="s">
        <v>89</v>
      </c>
      <c r="Z236" s="1472"/>
      <c r="AA236" s="1472"/>
      <c r="AB236" s="1472"/>
      <c r="AC236" s="1472"/>
      <c r="AD236" s="1472"/>
      <c r="AE236" s="1472"/>
      <c r="AU236" s="4"/>
      <c r="AV236" s="4"/>
      <c r="AW236" s="4"/>
      <c r="AX236" s="4"/>
      <c r="AY236" s="4"/>
      <c r="AZ236" s="4"/>
      <c r="BB236" s="204" t="s">
        <v>538</v>
      </c>
      <c r="BG236" s="241">
        <f>IF(AND(AND($M$249="nonprofit",$M$257="nonprofit",$M$265="(select one)")),1,0)</f>
        <v>0</v>
      </c>
    </row>
    <row r="237" spans="1:59" ht="12.95" customHeight="1">
      <c r="D237" s="4" t="s">
        <v>90</v>
      </c>
      <c r="E237" s="4"/>
      <c r="F237" s="4"/>
      <c r="M237" s="1540" t="s">
        <v>2629</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15" t="s">
        <v>377</v>
      </c>
      <c r="N238" s="1415"/>
      <c r="O238" s="1415"/>
      <c r="P238" s="1415"/>
      <c r="Q238" s="1415"/>
      <c r="R238" s="1415"/>
      <c r="S238" s="1415"/>
      <c r="T238" s="1415"/>
      <c r="U238" s="204" t="s">
        <v>907</v>
      </c>
      <c r="V238" s="204"/>
      <c r="W238" s="204"/>
      <c r="X238" s="204"/>
      <c r="Y238" s="204"/>
      <c r="Z238" s="204"/>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93"/>
      <c r="N239" s="1393"/>
      <c r="O239" s="1393"/>
      <c r="P239" s="1393"/>
      <c r="Q239" s="1393"/>
      <c r="R239" s="1393"/>
      <c r="S239" s="1393"/>
      <c r="T239" s="1393"/>
      <c r="U239" s="1393"/>
      <c r="V239" s="1393"/>
      <c r="W239" s="1393"/>
      <c r="X239" s="1393"/>
      <c r="Y239" s="1393"/>
      <c r="Z239" s="1393"/>
      <c r="AA239" s="1393"/>
      <c r="AB239" s="1393"/>
      <c r="AC239" s="1393"/>
      <c r="AD239" s="1393"/>
      <c r="AE239" s="139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2" t="s">
        <v>2613</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2712</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17" t="s">
        <v>2625</v>
      </c>
      <c r="N244" s="1517"/>
      <c r="O244" s="1517"/>
      <c r="P244" s="1517"/>
      <c r="Q244" s="1517"/>
      <c r="R244" s="1517"/>
      <c r="S244" s="1517"/>
      <c r="T244" s="1517"/>
      <c r="U244" s="1517"/>
      <c r="V244" s="1517"/>
      <c r="W244" s="1517"/>
      <c r="X244" s="1517"/>
      <c r="Y244" s="1517"/>
      <c r="Z244" s="1517"/>
      <c r="AA244" s="1517"/>
      <c r="AB244" s="1517"/>
      <c r="AC244" s="1517"/>
      <c r="AD244" s="1517"/>
      <c r="AE244" s="15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03" t="s">
        <v>2626</v>
      </c>
      <c r="N245" s="1517"/>
      <c r="O245" s="1517"/>
      <c r="P245" s="1517"/>
      <c r="Q245" s="1517"/>
      <c r="R245" s="1517"/>
      <c r="S245" s="1517"/>
      <c r="T245" s="1517"/>
      <c r="V245" s="33" t="s">
        <v>86</v>
      </c>
      <c r="W245" s="1544" t="s">
        <v>2627</v>
      </c>
      <c r="X245" s="1440"/>
      <c r="Y245" s="4" t="s">
        <v>584</v>
      </c>
      <c r="AC245" s="1517">
        <v>96001</v>
      </c>
      <c r="AD245" s="1517"/>
      <c r="AE245" s="15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03" t="s">
        <v>2628</v>
      </c>
      <c r="N246" s="1517"/>
      <c r="O246" s="1517"/>
      <c r="P246" s="1517"/>
      <c r="Q246" s="1517"/>
      <c r="R246" s="1517"/>
      <c r="S246" s="1517"/>
      <c r="T246" s="1517"/>
      <c r="U246" s="1517"/>
      <c r="V246" s="1517"/>
      <c r="W246" s="1517"/>
      <c r="X246" s="1517"/>
      <c r="Y246" s="1517"/>
      <c r="Z246" s="1517"/>
      <c r="AA246" s="1517"/>
      <c r="AB246" s="1517"/>
      <c r="AC246" s="1517"/>
      <c r="AD246" s="1517"/>
      <c r="AE246" s="1517"/>
      <c r="AH246" s="1533">
        <v>0.01</v>
      </c>
      <c r="AI246" s="1533"/>
      <c r="AJ246" s="1533"/>
      <c r="AK246" s="153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72">
        <v>5302416960</v>
      </c>
      <c r="N247" s="1472"/>
      <c r="O247" s="1472"/>
      <c r="P247" s="1472"/>
      <c r="Q247" s="1472"/>
      <c r="R247" s="1472"/>
      <c r="S247" s="4" t="s">
        <v>206</v>
      </c>
      <c r="T247" s="4"/>
      <c r="U247" s="1440"/>
      <c r="V247" s="1440"/>
      <c r="W247" s="1440"/>
      <c r="X247" s="4" t="s">
        <v>89</v>
      </c>
      <c r="Z247" s="1472"/>
      <c r="AA247" s="1472"/>
      <c r="AB247" s="1472"/>
      <c r="AC247" s="1472"/>
      <c r="AD247" s="1472"/>
      <c r="AE247" s="1472"/>
      <c r="AU247" s="4"/>
      <c r="AV247" s="4"/>
      <c r="AW247" s="4"/>
      <c r="AX247" s="4"/>
      <c r="AY247" s="4"/>
      <c r="BG247">
        <v>0</v>
      </c>
      <c r="BH247" s="3" t="str">
        <f>""</f>
        <v/>
      </c>
      <c r="BN247" s="34"/>
    </row>
    <row r="248" spans="1:67" ht="12.95" customHeight="1">
      <c r="A248" s="19"/>
      <c r="B248" s="4"/>
      <c r="C248" s="4"/>
      <c r="D248" s="4" t="s">
        <v>90</v>
      </c>
      <c r="E248" s="4"/>
      <c r="F248" s="4"/>
      <c r="M248" s="1540" t="s">
        <v>2629</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15" t="s">
        <v>535</v>
      </c>
      <c r="N249" s="1415"/>
      <c r="O249" s="1415"/>
      <c r="P249" s="1415"/>
      <c r="Q249" s="1415"/>
      <c r="R249" s="1415"/>
      <c r="S249" s="1415"/>
      <c r="T249" s="1415"/>
      <c r="U249" s="204" t="s">
        <v>907</v>
      </c>
      <c r="V249" s="204"/>
      <c r="W249" s="204"/>
      <c r="X249" s="204"/>
      <c r="Y249" s="204"/>
      <c r="Z249" s="204"/>
      <c r="AA249" s="1561"/>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2" t="s">
        <v>2630</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2713</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17" t="s">
        <v>2631</v>
      </c>
      <c r="N252" s="1517"/>
      <c r="O252" s="1517"/>
      <c r="P252" s="1517"/>
      <c r="Q252" s="1517"/>
      <c r="R252" s="1517"/>
      <c r="S252" s="1517"/>
      <c r="T252" s="1517"/>
      <c r="U252" s="1517"/>
      <c r="V252" s="1517"/>
      <c r="W252" s="1517"/>
      <c r="X252" s="1517"/>
      <c r="Y252" s="1517"/>
      <c r="Z252" s="1517"/>
      <c r="AA252" s="1517"/>
      <c r="AB252" s="1517"/>
      <c r="AC252" s="1517"/>
      <c r="AD252" s="1517"/>
      <c r="AE252" s="1517"/>
      <c r="AF252" s="3" t="s">
        <v>1180</v>
      </c>
      <c r="AL252" s="4"/>
      <c r="AM252" s="4"/>
      <c r="AN252" s="4"/>
      <c r="AO252" s="4"/>
      <c r="AP252" s="4"/>
      <c r="AQ252" s="4"/>
      <c r="AR252" s="4"/>
      <c r="AS252" s="4"/>
      <c r="AT252" s="4"/>
      <c r="BN252" s="34"/>
    </row>
    <row r="253" spans="1:67" ht="12.95" customHeight="1">
      <c r="A253" s="19"/>
      <c r="B253" s="4"/>
      <c r="C253" s="4"/>
      <c r="D253" s="4" t="s">
        <v>581</v>
      </c>
      <c r="E253" s="4"/>
      <c r="M253" s="1517" t="s">
        <v>2632</v>
      </c>
      <c r="N253" s="1517"/>
      <c r="O253" s="1517"/>
      <c r="P253" s="1517"/>
      <c r="Q253" s="1517"/>
      <c r="R253" s="1517"/>
      <c r="S253" s="1517"/>
      <c r="T253" s="1517"/>
      <c r="V253" s="33" t="s">
        <v>86</v>
      </c>
      <c r="W253" s="1544" t="s">
        <v>2627</v>
      </c>
      <c r="X253" s="1440"/>
      <c r="Y253" s="4" t="s">
        <v>584</v>
      </c>
      <c r="AC253" s="1517">
        <v>95521</v>
      </c>
      <c r="AD253" s="1517"/>
      <c r="AE253" s="15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03" t="s">
        <v>2633</v>
      </c>
      <c r="N254" s="1517"/>
      <c r="O254" s="1517"/>
      <c r="P254" s="1517"/>
      <c r="Q254" s="1517"/>
      <c r="R254" s="1517"/>
      <c r="S254" s="1517"/>
      <c r="T254" s="1517"/>
      <c r="U254" s="1517"/>
      <c r="V254" s="1517"/>
      <c r="W254" s="1517"/>
      <c r="X254" s="1517"/>
      <c r="Y254" s="1517"/>
      <c r="Z254" s="1517"/>
      <c r="AA254" s="1517"/>
      <c r="AB254" s="1517"/>
      <c r="AC254" s="1517"/>
      <c r="AD254" s="1517"/>
      <c r="AE254" s="1517"/>
      <c r="AH254" s="1533">
        <v>0.09</v>
      </c>
      <c r="AI254" s="1533"/>
      <c r="AJ254" s="1533"/>
      <c r="AK254" s="1533"/>
      <c r="AL254" s="4"/>
      <c r="AM254" s="4"/>
      <c r="AN254" s="4"/>
      <c r="AO254" s="4"/>
      <c r="AP254" s="4"/>
      <c r="AQ254" s="4"/>
      <c r="AR254" s="4"/>
      <c r="AS254" s="4"/>
      <c r="AT254" s="4"/>
    </row>
    <row r="255" spans="1:67" ht="12.95" customHeight="1">
      <c r="A255" s="19"/>
      <c r="B255" s="4"/>
      <c r="C255" s="4"/>
      <c r="D255" s="4" t="s">
        <v>88</v>
      </c>
      <c r="E255" s="4"/>
      <c r="F255" s="4"/>
      <c r="M255" s="1472">
        <v>7078229000</v>
      </c>
      <c r="N255" s="1472"/>
      <c r="O255" s="1472"/>
      <c r="P255" s="1472"/>
      <c r="Q255" s="1472"/>
      <c r="R255" s="1472"/>
      <c r="S255" s="4" t="s">
        <v>206</v>
      </c>
      <c r="T255" s="4"/>
      <c r="U255" s="1440"/>
      <c r="V255" s="1440"/>
      <c r="W255" s="1440"/>
      <c r="X255" s="4" t="s">
        <v>89</v>
      </c>
      <c r="Z255" s="1472"/>
      <c r="AA255" s="1472"/>
      <c r="AB255" s="1472"/>
      <c r="AC255" s="1472"/>
      <c r="AD255" s="1472"/>
      <c r="AE255" s="1472"/>
      <c r="AU255" s="4"/>
      <c r="AV255" s="4"/>
      <c r="AW255" s="4"/>
      <c r="AX255" s="4"/>
      <c r="AY255" s="4"/>
      <c r="BN255" s="34"/>
    </row>
    <row r="256" spans="1:67" ht="12.95" customHeight="1">
      <c r="A256" s="19"/>
      <c r="B256" s="4"/>
      <c r="C256" s="4"/>
      <c r="D256" s="4" t="s">
        <v>90</v>
      </c>
      <c r="E256" s="4"/>
      <c r="F256" s="4"/>
      <c r="M256" s="1540" t="s">
        <v>2634</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15" t="s">
        <v>537</v>
      </c>
      <c r="N257" s="1415"/>
      <c r="O257" s="1415"/>
      <c r="P257" s="1415"/>
      <c r="Q257" s="1415"/>
      <c r="R257" s="1415"/>
      <c r="S257" s="1415"/>
      <c r="T257" s="1415"/>
      <c r="U257" s="204" t="s">
        <v>907</v>
      </c>
      <c r="V257" s="204"/>
      <c r="W257" s="204"/>
      <c r="X257" s="204"/>
      <c r="Y257" s="204"/>
      <c r="Z257" s="204"/>
      <c r="AA257" s="1561" t="s">
        <v>2635</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17"/>
      <c r="N260" s="1517"/>
      <c r="O260" s="1517"/>
      <c r="P260" s="1517"/>
      <c r="Q260" s="1517"/>
      <c r="R260" s="1517"/>
      <c r="S260" s="1517"/>
      <c r="T260" s="1517"/>
      <c r="U260" s="1517"/>
      <c r="V260" s="1517"/>
      <c r="W260" s="1517"/>
      <c r="X260" s="1517"/>
      <c r="Y260" s="1517"/>
      <c r="Z260" s="1517"/>
      <c r="AA260" s="1517"/>
      <c r="AB260" s="1517"/>
      <c r="AC260" s="1517"/>
      <c r="AD260" s="1517"/>
      <c r="AE260" s="15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17"/>
      <c r="N261" s="1517"/>
      <c r="O261" s="1517"/>
      <c r="P261" s="1517"/>
      <c r="Q261" s="1517"/>
      <c r="R261" s="1517"/>
      <c r="S261" s="1517"/>
      <c r="T261" s="1517"/>
      <c r="V261" s="33" t="s">
        <v>86</v>
      </c>
      <c r="W261" s="1440"/>
      <c r="X261" s="1440"/>
      <c r="Y261" s="4" t="s">
        <v>584</v>
      </c>
      <c r="AC261" s="1517"/>
      <c r="AD261" s="1517"/>
      <c r="AE261" s="15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17"/>
      <c r="N262" s="1517"/>
      <c r="O262" s="1517"/>
      <c r="P262" s="1517"/>
      <c r="Q262" s="1517"/>
      <c r="R262" s="1517"/>
      <c r="S262" s="1517"/>
      <c r="T262" s="1517"/>
      <c r="U262" s="1517"/>
      <c r="V262" s="1517"/>
      <c r="W262" s="1517"/>
      <c r="X262" s="1517"/>
      <c r="Y262" s="1517"/>
      <c r="Z262" s="1517"/>
      <c r="AA262" s="1517"/>
      <c r="AB262" s="1517"/>
      <c r="AC262" s="1517"/>
      <c r="AD262" s="1517"/>
      <c r="AE262" s="1517"/>
      <c r="AH262" s="1533"/>
      <c r="AI262" s="1533"/>
      <c r="AJ262" s="1533"/>
      <c r="AK262" s="153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72"/>
      <c r="N263" s="1472"/>
      <c r="O263" s="1472"/>
      <c r="P263" s="1472"/>
      <c r="Q263" s="1472"/>
      <c r="R263" s="1472"/>
      <c r="S263" s="4" t="s">
        <v>206</v>
      </c>
      <c r="T263" s="4"/>
      <c r="U263" s="1440"/>
      <c r="V263" s="1440"/>
      <c r="W263" s="1440"/>
      <c r="X263" s="4" t="s">
        <v>89</v>
      </c>
      <c r="Z263" s="1472"/>
      <c r="AA263" s="1472"/>
      <c r="AB263" s="1472"/>
      <c r="AC263" s="1472"/>
      <c r="AD263" s="1472"/>
      <c r="AE263" s="147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15" t="s">
        <v>307</v>
      </c>
      <c r="N265" s="1415"/>
      <c r="O265" s="1415"/>
      <c r="P265" s="1415"/>
      <c r="Q265" s="1415"/>
      <c r="R265" s="1415"/>
      <c r="S265" s="1415"/>
      <c r="T265" s="1415"/>
      <c r="U265" s="204" t="s">
        <v>907</v>
      </c>
      <c r="V265" s="204"/>
      <c r="W265" s="204"/>
      <c r="X265" s="204"/>
      <c r="Y265" s="204"/>
      <c r="Z265" s="204"/>
      <c r="AA265" s="1567"/>
      <c r="AB265" s="1567"/>
      <c r="AC265" s="1567"/>
      <c r="AD265" s="1567"/>
      <c r="AE265" s="1567"/>
      <c r="AF265" s="1567"/>
      <c r="AG265" s="1567"/>
      <c r="AH265" s="1567"/>
      <c r="AI265" s="1567"/>
      <c r="AJ265" s="1567"/>
      <c r="AK265" s="156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17" t="s">
        <v>280</v>
      </c>
      <c r="E270" s="1517"/>
      <c r="F270" s="1517"/>
      <c r="G270" s="1517"/>
      <c r="H270" s="1517"/>
      <c r="J270" t="s">
        <v>279</v>
      </c>
      <c r="X270" s="1476"/>
      <c r="Y270" s="1476"/>
      <c r="Z270" s="1476"/>
      <c r="AA270" s="1476"/>
      <c r="AB270" s="1476"/>
      <c r="AC270" s="147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2" t="s">
        <v>2636</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17" t="s">
        <v>2631</v>
      </c>
      <c r="M275" s="1517"/>
      <c r="N275" s="1517"/>
      <c r="O275" s="1517"/>
      <c r="P275" s="1517"/>
      <c r="Q275" s="1517"/>
      <c r="R275" s="1517"/>
      <c r="S275" s="1517"/>
      <c r="T275" s="1517"/>
      <c r="U275" s="1517"/>
      <c r="V275" s="1517"/>
      <c r="W275" s="1517"/>
      <c r="X275" s="1517"/>
      <c r="Y275" s="1517"/>
      <c r="Z275" s="1517"/>
      <c r="AA275" s="1517"/>
      <c r="AB275" s="1517"/>
      <c r="AC275" s="1517"/>
      <c r="AD275" s="1517"/>
      <c r="AK275" s="3"/>
      <c r="AL275" s="3"/>
      <c r="AM275" s="3"/>
      <c r="AN275" s="3"/>
      <c r="AO275" s="3"/>
      <c r="AP275" s="3"/>
      <c r="AQ275" s="3"/>
      <c r="AR275" s="3"/>
      <c r="AS275" s="3"/>
      <c r="AT275" s="3"/>
      <c r="AU275" s="3"/>
      <c r="AV275" s="3"/>
      <c r="AW275" s="3"/>
      <c r="AX275" s="3"/>
      <c r="AY275" s="3"/>
    </row>
    <row r="276" spans="1:51" ht="12.95" customHeight="1">
      <c r="D276" s="4" t="s">
        <v>581</v>
      </c>
      <c r="E276" s="4"/>
      <c r="L276" s="1517" t="s">
        <v>2632</v>
      </c>
      <c r="M276" s="1517"/>
      <c r="N276" s="1517"/>
      <c r="O276" s="1517"/>
      <c r="P276" s="1517"/>
      <c r="Q276" s="1517"/>
      <c r="R276" s="1517"/>
      <c r="S276" s="1517"/>
      <c r="U276" s="33" t="s">
        <v>86</v>
      </c>
      <c r="V276" s="1544" t="s">
        <v>2627</v>
      </c>
      <c r="W276" s="1440"/>
      <c r="X276" s="4" t="s">
        <v>584</v>
      </c>
      <c r="AB276" s="1517">
        <v>95521</v>
      </c>
      <c r="AC276" s="1517"/>
      <c r="AD276" s="15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03" t="s">
        <v>2637</v>
      </c>
      <c r="M277" s="1517"/>
      <c r="N277" s="1517"/>
      <c r="O277" s="1517"/>
      <c r="P277" s="1517"/>
      <c r="Q277" s="1517"/>
      <c r="R277" s="1517"/>
      <c r="S277" s="1517"/>
      <c r="T277" s="1517"/>
      <c r="U277" s="1517"/>
      <c r="V277" s="1517"/>
      <c r="W277" s="1517"/>
      <c r="X277" s="1517"/>
      <c r="Y277" s="1517"/>
      <c r="Z277" s="1517"/>
      <c r="AA277" s="1517"/>
      <c r="AB277" s="1517"/>
      <c r="AC277" s="1517"/>
      <c r="AD277" s="1517"/>
      <c r="AI277" s="4"/>
      <c r="AJ277" s="4"/>
      <c r="AK277" s="3"/>
      <c r="AL277" s="3"/>
      <c r="AM277" s="3"/>
      <c r="AN277" s="3"/>
      <c r="AO277" s="3"/>
      <c r="AP277" s="3"/>
      <c r="AQ277" s="3"/>
      <c r="AR277" s="3"/>
      <c r="AS277" s="3"/>
      <c r="AT277" s="3"/>
    </row>
    <row r="278" spans="1:51" ht="12.95" customHeight="1">
      <c r="D278" s="4" t="s">
        <v>88</v>
      </c>
      <c r="E278" s="4"/>
      <c r="F278" s="4"/>
      <c r="L278" s="1472">
        <v>7078229000</v>
      </c>
      <c r="M278" s="1472"/>
      <c r="N278" s="1472"/>
      <c r="O278" s="1472"/>
      <c r="P278" s="1472"/>
      <c r="Q278" s="1472"/>
      <c r="R278" s="4" t="s">
        <v>206</v>
      </c>
      <c r="S278" s="4"/>
      <c r="T278" s="1440"/>
      <c r="U278" s="1440"/>
      <c r="V278" s="1440"/>
      <c r="W278" s="4" t="s">
        <v>89</v>
      </c>
      <c r="Y278" s="1472"/>
      <c r="Z278" s="1472"/>
      <c r="AA278" s="1472"/>
      <c r="AB278" s="1472"/>
      <c r="AC278" s="1472"/>
      <c r="AD278" s="1472"/>
    </row>
    <row r="279" spans="1:51" ht="12.95" customHeight="1">
      <c r="D279" s="4" t="s">
        <v>90</v>
      </c>
      <c r="E279" s="4"/>
      <c r="F279" s="4"/>
      <c r="L279" s="1540" t="s">
        <v>2638</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44" t="s">
        <v>2639</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6" t="s">
        <v>542</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93" t="s">
        <v>2640</v>
      </c>
      <c r="I287" s="1393"/>
      <c r="J287" s="1393"/>
      <c r="K287" s="1393"/>
      <c r="L287" s="1393"/>
      <c r="M287" s="1393"/>
      <c r="N287" s="1393"/>
      <c r="O287" s="1393"/>
      <c r="P287" s="1393"/>
      <c r="Q287" s="1393"/>
      <c r="R287" s="1393"/>
      <c r="T287" s="3" t="s">
        <v>568</v>
      </c>
      <c r="V287" s="3"/>
      <c r="W287" s="3"/>
      <c r="X287" s="3"/>
      <c r="Y287" s="3"/>
      <c r="AA287" s="1393" t="s">
        <v>2645</v>
      </c>
      <c r="AB287" s="1393"/>
      <c r="AC287" s="1393"/>
      <c r="AD287" s="1393"/>
      <c r="AE287" s="1393"/>
      <c r="AF287" s="1393"/>
      <c r="AG287" s="1393"/>
      <c r="AH287" s="1393"/>
      <c r="AI287" s="1393"/>
      <c r="AJ287" s="1393"/>
      <c r="AK287" s="1393"/>
    </row>
    <row r="288" spans="1:51" ht="12.95" customHeight="1">
      <c r="B288" s="3" t="s">
        <v>472</v>
      </c>
      <c r="C288" s="3"/>
      <c r="D288" s="3"/>
      <c r="E288" s="3"/>
      <c r="F288" s="3"/>
      <c r="H288" s="1415" t="s">
        <v>2641</v>
      </c>
      <c r="I288" s="1415"/>
      <c r="J288" s="1415"/>
      <c r="K288" s="1415"/>
      <c r="L288" s="1415"/>
      <c r="M288" s="1415"/>
      <c r="N288" s="1415"/>
      <c r="O288" s="1415"/>
      <c r="P288" s="1415"/>
      <c r="Q288" s="1415"/>
      <c r="R288" s="1415"/>
      <c r="T288" s="3" t="s">
        <v>472</v>
      </c>
      <c r="V288" s="3"/>
      <c r="W288" s="3"/>
      <c r="X288" s="3"/>
      <c r="Y288" s="3"/>
      <c r="AA288" s="1415" t="s">
        <v>2646</v>
      </c>
      <c r="AB288" s="1415"/>
      <c r="AC288" s="1415"/>
      <c r="AD288" s="1415"/>
      <c r="AE288" s="1415"/>
      <c r="AF288" s="1415"/>
      <c r="AG288" s="1415"/>
      <c r="AH288" s="1415"/>
      <c r="AI288" s="1415"/>
      <c r="AJ288" s="1415"/>
      <c r="AK288" s="1415"/>
    </row>
    <row r="289" spans="2:37" ht="12.95" customHeight="1">
      <c r="B289" s="3" t="s">
        <v>473</v>
      </c>
      <c r="C289" s="3"/>
      <c r="D289" s="3"/>
      <c r="E289" s="3"/>
      <c r="F289" s="3"/>
      <c r="H289" s="1415" t="s">
        <v>2642</v>
      </c>
      <c r="I289" s="1415"/>
      <c r="J289" s="1415"/>
      <c r="K289" s="1415"/>
      <c r="L289" s="1415"/>
      <c r="M289" s="1415"/>
      <c r="N289" s="1415"/>
      <c r="O289" s="1415"/>
      <c r="P289" s="1415"/>
      <c r="Q289" s="1415"/>
      <c r="R289" s="1415"/>
      <c r="T289" s="3" t="s">
        <v>75</v>
      </c>
      <c r="V289" s="3"/>
      <c r="W289" s="3"/>
      <c r="X289" s="3"/>
      <c r="Y289" s="3"/>
      <c r="AA289" s="1415" t="s">
        <v>2647</v>
      </c>
      <c r="AB289" s="1415"/>
      <c r="AC289" s="1415"/>
      <c r="AD289" s="1415"/>
      <c r="AE289" s="1415"/>
      <c r="AF289" s="1415"/>
      <c r="AG289" s="1415"/>
      <c r="AH289" s="1415"/>
      <c r="AI289" s="1415"/>
      <c r="AJ289" s="1415"/>
      <c r="AK289" s="1415"/>
    </row>
    <row r="290" spans="2:37" ht="12.95" customHeight="1">
      <c r="B290" s="3" t="s">
        <v>87</v>
      </c>
      <c r="C290" s="3"/>
      <c r="D290" s="3"/>
      <c r="E290" s="3"/>
      <c r="F290" s="3"/>
      <c r="H290" s="1415" t="s">
        <v>2633</v>
      </c>
      <c r="I290" s="1415"/>
      <c r="J290" s="1415"/>
      <c r="K290" s="1415"/>
      <c r="L290" s="1415"/>
      <c r="M290" s="1415"/>
      <c r="N290" s="1415"/>
      <c r="O290" s="1415"/>
      <c r="P290" s="1415"/>
      <c r="Q290" s="1415"/>
      <c r="R290" s="1415"/>
      <c r="T290" s="3" t="s">
        <v>87</v>
      </c>
      <c r="V290" s="3"/>
      <c r="W290" s="3"/>
      <c r="X290" s="3"/>
      <c r="Y290" s="3"/>
      <c r="AA290" s="1415" t="s">
        <v>2648</v>
      </c>
      <c r="AB290" s="1415"/>
      <c r="AC290" s="1415"/>
      <c r="AD290" s="1415"/>
      <c r="AE290" s="1415"/>
      <c r="AF290" s="1415"/>
      <c r="AG290" s="1415"/>
      <c r="AH290" s="1415"/>
      <c r="AI290" s="1415"/>
      <c r="AJ290" s="1415"/>
      <c r="AK290" s="1415"/>
    </row>
    <row r="291" spans="2:37" ht="12.95" customHeight="1">
      <c r="B291" s="3" t="s">
        <v>88</v>
      </c>
      <c r="C291" s="3"/>
      <c r="D291" s="3"/>
      <c r="E291" s="3"/>
      <c r="F291" s="3"/>
      <c r="G291" s="3"/>
      <c r="H291" s="1525" t="s">
        <v>2643</v>
      </c>
      <c r="I291" s="1525"/>
      <c r="J291" s="1525"/>
      <c r="K291" s="1525"/>
      <c r="L291" s="1525"/>
      <c r="M291" s="1525"/>
      <c r="N291" s="4" t="s">
        <v>206</v>
      </c>
      <c r="O291" s="4"/>
      <c r="P291" s="1517"/>
      <c r="Q291" s="1517"/>
      <c r="R291" s="1517"/>
      <c r="S291" s="3"/>
      <c r="T291" s="3" t="s">
        <v>88</v>
      </c>
      <c r="V291" s="3"/>
      <c r="W291" s="3"/>
      <c r="X291" s="3"/>
      <c r="Y291" s="3"/>
      <c r="AA291" s="1525" t="s">
        <v>2649</v>
      </c>
      <c r="AB291" s="1525"/>
      <c r="AC291" s="1525"/>
      <c r="AD291" s="1525"/>
      <c r="AE291" s="1525"/>
      <c r="AF291" s="1525"/>
      <c r="AG291" s="4" t="s">
        <v>206</v>
      </c>
      <c r="AH291" s="4"/>
      <c r="AI291" s="1517"/>
      <c r="AJ291" s="1517"/>
      <c r="AK291" s="1517"/>
    </row>
    <row r="292" spans="2:37" ht="12.95" customHeight="1">
      <c r="B292" s="3" t="s">
        <v>89</v>
      </c>
      <c r="C292" s="3"/>
      <c r="D292" s="3"/>
      <c r="E292" s="3"/>
      <c r="F292" s="3"/>
      <c r="G292" s="3"/>
      <c r="H292" s="1472" t="s">
        <v>2644</v>
      </c>
      <c r="I292" s="1472"/>
      <c r="J292" s="1472"/>
      <c r="K292" s="1472"/>
      <c r="L292" s="1472"/>
      <c r="M292" s="1472"/>
      <c r="N292" s="4"/>
      <c r="O292" s="4"/>
      <c r="P292" s="35"/>
      <c r="Q292" s="35"/>
      <c r="R292" s="35"/>
      <c r="S292" s="3"/>
      <c r="T292" s="3" t="s">
        <v>89</v>
      </c>
      <c r="V292" s="3"/>
      <c r="W292" s="3"/>
      <c r="X292" s="3"/>
      <c r="Y292" s="3"/>
      <c r="AA292" s="1472"/>
      <c r="AB292" s="1472"/>
      <c r="AC292" s="1472"/>
      <c r="AD292" s="1472"/>
      <c r="AE292" s="1472"/>
      <c r="AF292" s="1472"/>
      <c r="AG292" s="4"/>
      <c r="AH292" s="4"/>
      <c r="AI292" s="35"/>
      <c r="AJ292" s="35"/>
      <c r="AK292" s="35"/>
    </row>
    <row r="293" spans="2:37" ht="12.95" customHeight="1">
      <c r="B293" s="3" t="s">
        <v>76</v>
      </c>
      <c r="C293" s="3"/>
      <c r="D293" s="3"/>
      <c r="E293" s="3"/>
      <c r="F293" s="3"/>
      <c r="G293" s="3"/>
      <c r="H293" s="1415" t="s">
        <v>2634</v>
      </c>
      <c r="I293" s="1415"/>
      <c r="J293" s="1415"/>
      <c r="K293" s="1415"/>
      <c r="L293" s="1415"/>
      <c r="M293" s="1415"/>
      <c r="N293" s="1393"/>
      <c r="O293" s="1393"/>
      <c r="P293" s="1393"/>
      <c r="Q293" s="1393"/>
      <c r="R293" s="1393"/>
      <c r="S293" s="3"/>
      <c r="T293" s="3" t="s">
        <v>76</v>
      </c>
      <c r="V293" s="3"/>
      <c r="W293" s="3"/>
      <c r="X293" s="3"/>
      <c r="Y293" s="3"/>
      <c r="AA293" s="1415" t="s">
        <v>2650</v>
      </c>
      <c r="AB293" s="1415"/>
      <c r="AC293" s="1415"/>
      <c r="AD293" s="1415"/>
      <c r="AE293" s="1415"/>
      <c r="AF293" s="1415"/>
      <c r="AG293" s="1393"/>
      <c r="AH293" s="1393"/>
      <c r="AI293" s="1393"/>
      <c r="AJ293" s="1393"/>
      <c r="AK293" s="139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93" t="s">
        <v>2651</v>
      </c>
      <c r="I295" s="1393"/>
      <c r="J295" s="1393"/>
      <c r="K295" s="1393"/>
      <c r="L295" s="1393"/>
      <c r="M295" s="1393"/>
      <c r="N295" s="1393"/>
      <c r="O295" s="1393"/>
      <c r="P295" s="1393"/>
      <c r="Q295" s="1393"/>
      <c r="R295" s="1393"/>
      <c r="T295" s="3" t="s">
        <v>364</v>
      </c>
      <c r="V295" s="3"/>
      <c r="W295" s="3"/>
      <c r="X295" s="3"/>
      <c r="Y295" s="3"/>
      <c r="AA295" s="1393" t="s">
        <v>2656</v>
      </c>
      <c r="AB295" s="1393"/>
      <c r="AC295" s="1393"/>
      <c r="AD295" s="1393"/>
      <c r="AE295" s="1393"/>
      <c r="AF295" s="1393"/>
      <c r="AG295" s="1393"/>
      <c r="AH295" s="1393"/>
      <c r="AI295" s="1393"/>
      <c r="AJ295" s="1393"/>
      <c r="AK295" s="1393"/>
    </row>
    <row r="296" spans="2:37" ht="12.95" customHeight="1">
      <c r="B296" s="3" t="s">
        <v>472</v>
      </c>
      <c r="C296" s="3"/>
      <c r="D296" s="3"/>
      <c r="E296" s="3"/>
      <c r="F296" s="3"/>
      <c r="H296" s="1415" t="s">
        <v>2652</v>
      </c>
      <c r="I296" s="1415"/>
      <c r="J296" s="1415"/>
      <c r="K296" s="1415"/>
      <c r="L296" s="1415"/>
      <c r="M296" s="1415"/>
      <c r="N296" s="1415"/>
      <c r="O296" s="1415"/>
      <c r="P296" s="1415"/>
      <c r="Q296" s="1415"/>
      <c r="R296" s="1415"/>
      <c r="T296" s="3" t="s">
        <v>472</v>
      </c>
      <c r="V296" s="3"/>
      <c r="W296" s="3"/>
      <c r="X296" s="3"/>
      <c r="Y296" s="3"/>
      <c r="AA296" s="1415" t="s">
        <v>2641</v>
      </c>
      <c r="AB296" s="1415"/>
      <c r="AC296" s="1415"/>
      <c r="AD296" s="1415"/>
      <c r="AE296" s="1415"/>
      <c r="AF296" s="1415"/>
      <c r="AG296" s="1415"/>
      <c r="AH296" s="1415"/>
      <c r="AI296" s="1415"/>
      <c r="AJ296" s="1415"/>
      <c r="AK296" s="1415"/>
    </row>
    <row r="297" spans="2:37" ht="12.95" customHeight="1">
      <c r="B297" s="3" t="s">
        <v>473</v>
      </c>
      <c r="C297" s="3"/>
      <c r="D297" s="3"/>
      <c r="E297" s="3"/>
      <c r="F297" s="3"/>
      <c r="H297" s="1415" t="s">
        <v>2653</v>
      </c>
      <c r="I297" s="1415"/>
      <c r="J297" s="1415"/>
      <c r="K297" s="1415"/>
      <c r="L297" s="1415"/>
      <c r="M297" s="1415"/>
      <c r="N297" s="1415"/>
      <c r="O297" s="1415"/>
      <c r="P297" s="1415"/>
      <c r="Q297" s="1415"/>
      <c r="R297" s="1415"/>
      <c r="T297" s="3" t="s">
        <v>75</v>
      </c>
      <c r="V297" s="3"/>
      <c r="W297" s="3"/>
      <c r="X297" s="3"/>
      <c r="Y297" s="3"/>
      <c r="AA297" s="1415" t="s">
        <v>2642</v>
      </c>
      <c r="AB297" s="1415"/>
      <c r="AC297" s="1415"/>
      <c r="AD297" s="1415"/>
      <c r="AE297" s="1415"/>
      <c r="AF297" s="1415"/>
      <c r="AG297" s="1415"/>
      <c r="AH297" s="1415"/>
      <c r="AI297" s="1415"/>
      <c r="AJ297" s="1415"/>
      <c r="AK297" s="1415"/>
    </row>
    <row r="298" spans="2:37" ht="12.95" customHeight="1">
      <c r="B298" s="3" t="s">
        <v>87</v>
      </c>
      <c r="C298" s="3"/>
      <c r="D298" s="3"/>
      <c r="E298" s="3"/>
      <c r="F298" s="3"/>
      <c r="H298" s="1415" t="s">
        <v>2654</v>
      </c>
      <c r="I298" s="1415"/>
      <c r="J298" s="1415"/>
      <c r="K298" s="1415"/>
      <c r="L298" s="1415"/>
      <c r="M298" s="1415"/>
      <c r="N298" s="1415"/>
      <c r="O298" s="1415"/>
      <c r="P298" s="1415"/>
      <c r="Q298" s="1415"/>
      <c r="R298" s="1415"/>
      <c r="T298" s="3" t="s">
        <v>87</v>
      </c>
      <c r="V298" s="3"/>
      <c r="W298" s="3"/>
      <c r="X298" s="3"/>
      <c r="Y298" s="3"/>
      <c r="AA298" s="1415" t="s">
        <v>2633</v>
      </c>
      <c r="AB298" s="1415"/>
      <c r="AC298" s="1415"/>
      <c r="AD298" s="1415"/>
      <c r="AE298" s="1415"/>
      <c r="AF298" s="1415"/>
      <c r="AG298" s="1415"/>
      <c r="AH298" s="1415"/>
      <c r="AI298" s="1415"/>
      <c r="AJ298" s="1415"/>
      <c r="AK298" s="1415"/>
    </row>
    <row r="299" spans="2:37" ht="12.95" customHeight="1">
      <c r="B299" s="3" t="s">
        <v>88</v>
      </c>
      <c r="C299" s="3"/>
      <c r="D299" s="3"/>
      <c r="E299" s="3"/>
      <c r="F299" s="3"/>
      <c r="G299" s="3"/>
      <c r="H299" s="1525">
        <v>9512156212</v>
      </c>
      <c r="I299" s="1525"/>
      <c r="J299" s="1525"/>
      <c r="K299" s="1525"/>
      <c r="L299" s="1525"/>
      <c r="M299" s="1525"/>
      <c r="N299" s="4" t="s">
        <v>206</v>
      </c>
      <c r="O299" s="4"/>
      <c r="P299" s="1517"/>
      <c r="Q299" s="1517"/>
      <c r="R299" s="1517"/>
      <c r="S299" s="3"/>
      <c r="T299" s="3" t="s">
        <v>88</v>
      </c>
      <c r="V299" s="3"/>
      <c r="W299" s="3"/>
      <c r="X299" s="3"/>
      <c r="Y299" s="3"/>
      <c r="AA299" s="1525" t="s">
        <v>2643</v>
      </c>
      <c r="AB299" s="1525"/>
      <c r="AC299" s="1525"/>
      <c r="AD299" s="1525"/>
      <c r="AE299" s="1525"/>
      <c r="AF299" s="1525"/>
      <c r="AG299" s="4" t="s">
        <v>206</v>
      </c>
      <c r="AH299" s="4"/>
      <c r="AI299" s="1517"/>
      <c r="AJ299" s="1517"/>
      <c r="AK299" s="1517"/>
    </row>
    <row r="300" spans="2:37" ht="12.95" customHeight="1">
      <c r="B300" s="3" t="s">
        <v>89</v>
      </c>
      <c r="C300" s="3"/>
      <c r="D300" s="3"/>
      <c r="E300" s="3"/>
      <c r="F300" s="3"/>
      <c r="G300" s="3"/>
      <c r="H300" s="1472"/>
      <c r="I300" s="1472"/>
      <c r="J300" s="1472"/>
      <c r="K300" s="1472"/>
      <c r="L300" s="1472"/>
      <c r="M300" s="1472"/>
      <c r="N300" s="4"/>
      <c r="O300" s="4"/>
      <c r="P300" s="35"/>
      <c r="Q300" s="35"/>
      <c r="R300" s="35"/>
      <c r="S300" s="3"/>
      <c r="T300" s="3" t="s">
        <v>89</v>
      </c>
      <c r="V300" s="3"/>
      <c r="W300" s="3"/>
      <c r="X300" s="3"/>
      <c r="Y300" s="3"/>
      <c r="AA300" s="1472" t="s">
        <v>2644</v>
      </c>
      <c r="AB300" s="1472"/>
      <c r="AC300" s="1472"/>
      <c r="AD300" s="1472"/>
      <c r="AE300" s="1472"/>
      <c r="AF300" s="1472"/>
      <c r="AG300" s="4"/>
      <c r="AH300" s="4"/>
      <c r="AI300" s="35"/>
      <c r="AJ300" s="35"/>
      <c r="AK300" s="35"/>
    </row>
    <row r="301" spans="2:37" ht="12.95" customHeight="1">
      <c r="B301" s="3" t="s">
        <v>76</v>
      </c>
      <c r="C301" s="3"/>
      <c r="D301" s="3"/>
      <c r="E301" s="3"/>
      <c r="F301" s="3"/>
      <c r="G301" s="3"/>
      <c r="H301" s="1415" t="s">
        <v>2655</v>
      </c>
      <c r="I301" s="1415"/>
      <c r="J301" s="1415"/>
      <c r="K301" s="1415"/>
      <c r="L301" s="1415"/>
      <c r="M301" s="1415"/>
      <c r="N301" s="1393"/>
      <c r="O301" s="1393"/>
      <c r="P301" s="1393"/>
      <c r="Q301" s="1393"/>
      <c r="R301" s="1393"/>
      <c r="S301" s="3"/>
      <c r="T301" s="3" t="s">
        <v>76</v>
      </c>
      <c r="V301" s="3"/>
      <c r="W301" s="3"/>
      <c r="X301" s="3"/>
      <c r="Y301" s="3"/>
      <c r="AA301" s="1415" t="s">
        <v>2634</v>
      </c>
      <c r="AB301" s="1415"/>
      <c r="AC301" s="1415"/>
      <c r="AD301" s="1415"/>
      <c r="AE301" s="1415"/>
      <c r="AF301" s="1415"/>
      <c r="AG301" s="1393"/>
      <c r="AH301" s="1393"/>
      <c r="AI301" s="1393"/>
      <c r="AJ301" s="1393"/>
      <c r="AK301" s="1393"/>
    </row>
    <row r="302" spans="2:37" ht="12.95" customHeight="1"/>
    <row r="303" spans="2:37" ht="12.95" customHeight="1">
      <c r="B303" s="3" t="s">
        <v>77</v>
      </c>
      <c r="C303" s="3"/>
      <c r="D303" s="3"/>
      <c r="E303" s="3"/>
      <c r="F303" s="3"/>
      <c r="H303" s="1393" t="s">
        <v>2657</v>
      </c>
      <c r="I303" s="1393"/>
      <c r="J303" s="1393"/>
      <c r="K303" s="1393"/>
      <c r="L303" s="1393"/>
      <c r="M303" s="1393"/>
      <c r="N303" s="1393"/>
      <c r="O303" s="1393"/>
      <c r="P303" s="1393"/>
      <c r="Q303" s="1393"/>
      <c r="R303" s="1393"/>
      <c r="T303" s="4" t="s">
        <v>879</v>
      </c>
      <c r="V303" s="3"/>
      <c r="W303" s="3"/>
      <c r="X303" s="3"/>
      <c r="Y303" s="3"/>
      <c r="AA303" s="1393" t="s">
        <v>2662</v>
      </c>
      <c r="AB303" s="1393"/>
      <c r="AC303" s="1393"/>
      <c r="AD303" s="1393"/>
      <c r="AE303" s="1393"/>
      <c r="AF303" s="1393"/>
      <c r="AG303" s="1393"/>
      <c r="AH303" s="1393"/>
      <c r="AI303" s="1393"/>
      <c r="AJ303" s="1393"/>
      <c r="AK303" s="1393"/>
    </row>
    <row r="304" spans="2:37" ht="12.95" customHeight="1">
      <c r="B304" s="3" t="s">
        <v>472</v>
      </c>
      <c r="C304" s="3"/>
      <c r="D304" s="3"/>
      <c r="E304" s="3"/>
      <c r="F304" s="3"/>
      <c r="H304" s="1415" t="s">
        <v>2658</v>
      </c>
      <c r="I304" s="1415"/>
      <c r="J304" s="1415"/>
      <c r="K304" s="1415"/>
      <c r="L304" s="1415"/>
      <c r="M304" s="1415"/>
      <c r="N304" s="1415"/>
      <c r="O304" s="1415"/>
      <c r="P304" s="1415"/>
      <c r="Q304" s="1415"/>
      <c r="R304" s="1415"/>
      <c r="T304" s="3" t="s">
        <v>472</v>
      </c>
      <c r="V304" s="3"/>
      <c r="W304" s="3"/>
      <c r="X304" s="3"/>
      <c r="Y304" s="3"/>
      <c r="AA304" s="1415" t="s">
        <v>2663</v>
      </c>
      <c r="AB304" s="1415"/>
      <c r="AC304" s="1415"/>
      <c r="AD304" s="1415"/>
      <c r="AE304" s="1415"/>
      <c r="AF304" s="1415"/>
      <c r="AG304" s="1415"/>
      <c r="AH304" s="1415"/>
      <c r="AI304" s="1415"/>
      <c r="AJ304" s="1415"/>
      <c r="AK304" s="1415"/>
    </row>
    <row r="305" spans="2:37" ht="12.95" customHeight="1">
      <c r="B305" s="3" t="s">
        <v>473</v>
      </c>
      <c r="C305" s="3"/>
      <c r="D305" s="3"/>
      <c r="E305" s="3"/>
      <c r="F305" s="3"/>
      <c r="H305" s="1415" t="s">
        <v>2659</v>
      </c>
      <c r="I305" s="1415"/>
      <c r="J305" s="1415"/>
      <c r="K305" s="1415"/>
      <c r="L305" s="1415"/>
      <c r="M305" s="1415"/>
      <c r="N305" s="1415"/>
      <c r="O305" s="1415"/>
      <c r="P305" s="1415"/>
      <c r="Q305" s="1415"/>
      <c r="R305" s="1415"/>
      <c r="T305" s="3" t="s">
        <v>75</v>
      </c>
      <c r="V305" s="3"/>
      <c r="W305" s="3"/>
      <c r="X305" s="3"/>
      <c r="Y305" s="3"/>
      <c r="AA305" s="1415" t="s">
        <v>2642</v>
      </c>
      <c r="AB305" s="1415"/>
      <c r="AC305" s="1415"/>
      <c r="AD305" s="1415"/>
      <c r="AE305" s="1415"/>
      <c r="AF305" s="1415"/>
      <c r="AG305" s="1415"/>
      <c r="AH305" s="1415"/>
      <c r="AI305" s="1415"/>
      <c r="AJ305" s="1415"/>
      <c r="AK305" s="1415"/>
    </row>
    <row r="306" spans="2:37" ht="12.95" customHeight="1">
      <c r="B306" s="3" t="s">
        <v>87</v>
      </c>
      <c r="C306" s="3"/>
      <c r="D306" s="3"/>
      <c r="E306" s="3"/>
      <c r="F306" s="3"/>
      <c r="H306" s="1415" t="s">
        <v>2660</v>
      </c>
      <c r="I306" s="1415"/>
      <c r="J306" s="1415"/>
      <c r="K306" s="1415"/>
      <c r="L306" s="1415"/>
      <c r="M306" s="1415"/>
      <c r="N306" s="1415"/>
      <c r="O306" s="1415"/>
      <c r="P306" s="1415"/>
      <c r="Q306" s="1415"/>
      <c r="R306" s="1415"/>
      <c r="T306" s="3" t="s">
        <v>87</v>
      </c>
      <c r="V306" s="3"/>
      <c r="W306" s="3"/>
      <c r="X306" s="3"/>
      <c r="Y306" s="3"/>
      <c r="AA306" s="1415" t="s">
        <v>2664</v>
      </c>
      <c r="AB306" s="1415"/>
      <c r="AC306" s="1415"/>
      <c r="AD306" s="1415"/>
      <c r="AE306" s="1415"/>
      <c r="AF306" s="1415"/>
      <c r="AG306" s="1415"/>
      <c r="AH306" s="1415"/>
      <c r="AI306" s="1415"/>
      <c r="AJ306" s="1415"/>
      <c r="AK306" s="1415"/>
    </row>
    <row r="307" spans="2:37" ht="12.95" customHeight="1">
      <c r="B307" s="3" t="s">
        <v>88</v>
      </c>
      <c r="C307" s="3"/>
      <c r="D307" s="3"/>
      <c r="E307" s="3"/>
      <c r="F307" s="3"/>
      <c r="G307" s="3"/>
      <c r="H307" s="1525">
        <v>2082875353</v>
      </c>
      <c r="I307" s="1525"/>
      <c r="J307" s="1525"/>
      <c r="K307" s="1525"/>
      <c r="L307" s="1525"/>
      <c r="M307" s="1525"/>
      <c r="N307" s="4" t="s">
        <v>206</v>
      </c>
      <c r="O307" s="4"/>
      <c r="P307" s="1517"/>
      <c r="Q307" s="1517"/>
      <c r="R307" s="1517"/>
      <c r="S307" s="3"/>
      <c r="T307" s="3" t="s">
        <v>88</v>
      </c>
      <c r="V307" s="3"/>
      <c r="W307" s="3"/>
      <c r="X307" s="3"/>
      <c r="Y307" s="3"/>
      <c r="AA307" s="1525">
        <v>7078221857</v>
      </c>
      <c r="AB307" s="1525"/>
      <c r="AC307" s="1525"/>
      <c r="AD307" s="1525"/>
      <c r="AE307" s="1525"/>
      <c r="AF307" s="1525"/>
      <c r="AG307" s="4" t="s">
        <v>206</v>
      </c>
      <c r="AH307" s="4"/>
      <c r="AI307" s="1517"/>
      <c r="AJ307" s="1517"/>
      <c r="AK307" s="1517"/>
    </row>
    <row r="308" spans="2:37" ht="12.95" customHeight="1">
      <c r="B308" s="3" t="s">
        <v>89</v>
      </c>
      <c r="C308" s="3"/>
      <c r="D308" s="3"/>
      <c r="E308" s="3"/>
      <c r="F308" s="3"/>
      <c r="G308" s="3"/>
      <c r="H308" s="1472"/>
      <c r="I308" s="1472"/>
      <c r="J308" s="1472"/>
      <c r="K308" s="1472"/>
      <c r="L308" s="1472"/>
      <c r="M308" s="1472"/>
      <c r="N308" s="4"/>
      <c r="O308" s="4"/>
      <c r="P308" s="35"/>
      <c r="Q308" s="35"/>
      <c r="R308" s="35"/>
      <c r="S308" s="3"/>
      <c r="T308" s="3" t="s">
        <v>89</v>
      </c>
      <c r="V308" s="3"/>
      <c r="W308" s="3"/>
      <c r="X308" s="3"/>
      <c r="Y308" s="3"/>
      <c r="AA308" s="1472"/>
      <c r="AB308" s="1472"/>
      <c r="AC308" s="1472"/>
      <c r="AD308" s="1472"/>
      <c r="AE308" s="1472"/>
      <c r="AF308" s="1472"/>
      <c r="AG308" s="4"/>
      <c r="AH308" s="4"/>
      <c r="AI308" s="35"/>
      <c r="AJ308" s="35"/>
      <c r="AK308" s="35"/>
    </row>
    <row r="309" spans="2:37" ht="12.95" customHeight="1">
      <c r="B309" s="3" t="s">
        <v>76</v>
      </c>
      <c r="C309" s="3"/>
      <c r="D309" s="3"/>
      <c r="E309" s="3"/>
      <c r="F309" s="3"/>
      <c r="G309" s="3"/>
      <c r="H309" s="1415" t="s">
        <v>2661</v>
      </c>
      <c r="I309" s="1415"/>
      <c r="J309" s="1415"/>
      <c r="K309" s="1415"/>
      <c r="L309" s="1415"/>
      <c r="M309" s="1415"/>
      <c r="N309" s="1393"/>
      <c r="O309" s="1393"/>
      <c r="P309" s="1393"/>
      <c r="Q309" s="1393"/>
      <c r="R309" s="1393"/>
      <c r="S309" s="3"/>
      <c r="T309" s="3" t="s">
        <v>76</v>
      </c>
      <c r="V309" s="3"/>
      <c r="W309" s="3"/>
      <c r="X309" s="3"/>
      <c r="Y309" s="3"/>
      <c r="AA309" s="1415" t="s">
        <v>2665</v>
      </c>
      <c r="AB309" s="1415"/>
      <c r="AC309" s="1415"/>
      <c r="AD309" s="1415"/>
      <c r="AE309" s="1415"/>
      <c r="AF309" s="1415"/>
      <c r="AG309" s="1393"/>
      <c r="AH309" s="1393"/>
      <c r="AI309" s="1393"/>
      <c r="AJ309" s="1393"/>
      <c r="AK309" s="139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93"/>
      <c r="I311" s="1393"/>
      <c r="J311" s="1393"/>
      <c r="K311" s="1393"/>
      <c r="L311" s="1393"/>
      <c r="M311" s="1393"/>
      <c r="N311" s="1393"/>
      <c r="O311" s="1393"/>
      <c r="P311" s="1393"/>
      <c r="Q311" s="1393"/>
      <c r="R311" s="1393"/>
      <c r="S311" s="3"/>
      <c r="T311" s="3" t="s">
        <v>365</v>
      </c>
      <c r="V311" s="3"/>
      <c r="W311" s="3"/>
      <c r="X311" s="3"/>
      <c r="Y311" s="3"/>
      <c r="AA311" s="1393" t="s">
        <v>2666</v>
      </c>
      <c r="AB311" s="1393"/>
      <c r="AC311" s="1393"/>
      <c r="AD311" s="1393"/>
      <c r="AE311" s="1393"/>
      <c r="AF311" s="1393"/>
      <c r="AG311" s="1393"/>
      <c r="AH311" s="1393"/>
      <c r="AI311" s="1393"/>
      <c r="AJ311" s="1393"/>
      <c r="AK311" s="1393"/>
    </row>
    <row r="312" spans="2:37" ht="12.95" customHeight="1">
      <c r="B312" s="3" t="s">
        <v>472</v>
      </c>
      <c r="C312" s="3"/>
      <c r="D312" s="3"/>
      <c r="E312" s="3"/>
      <c r="F312" s="3"/>
      <c r="H312" s="1415"/>
      <c r="I312" s="1415"/>
      <c r="J312" s="1415"/>
      <c r="K312" s="1415"/>
      <c r="L312" s="1415"/>
      <c r="M312" s="1415"/>
      <c r="N312" s="1415"/>
      <c r="O312" s="1415"/>
      <c r="P312" s="1415"/>
      <c r="Q312" s="1415"/>
      <c r="R312" s="1415"/>
      <c r="S312" s="3"/>
      <c r="T312" s="3" t="s">
        <v>472</v>
      </c>
      <c r="V312" s="3"/>
      <c r="W312" s="3"/>
      <c r="X312" s="3"/>
      <c r="Y312" s="3"/>
      <c r="AA312" s="1415" t="s">
        <v>2667</v>
      </c>
      <c r="AB312" s="1415"/>
      <c r="AC312" s="1415"/>
      <c r="AD312" s="1415"/>
      <c r="AE312" s="1415"/>
      <c r="AF312" s="1415"/>
      <c r="AG312" s="1415"/>
      <c r="AH312" s="1415"/>
      <c r="AI312" s="1415"/>
      <c r="AJ312" s="1415"/>
      <c r="AK312" s="1415"/>
    </row>
    <row r="313" spans="2:37" ht="12.95" customHeight="1">
      <c r="B313" s="3" t="s">
        <v>473</v>
      </c>
      <c r="C313" s="3"/>
      <c r="D313" s="3"/>
      <c r="E313" s="3"/>
      <c r="F313" s="3"/>
      <c r="H313" s="1415"/>
      <c r="I313" s="1415"/>
      <c r="J313" s="1415"/>
      <c r="K313" s="1415"/>
      <c r="L313" s="1415"/>
      <c r="M313" s="1415"/>
      <c r="N313" s="1415"/>
      <c r="O313" s="1415"/>
      <c r="P313" s="1415"/>
      <c r="Q313" s="1415"/>
      <c r="R313" s="1415"/>
      <c r="S313" s="3"/>
      <c r="T313" s="3" t="s">
        <v>75</v>
      </c>
      <c r="V313" s="3"/>
      <c r="W313" s="3"/>
      <c r="X313" s="3"/>
      <c r="Y313" s="3"/>
      <c r="AA313" s="1415" t="s">
        <v>2668</v>
      </c>
      <c r="AB313" s="1415"/>
      <c r="AC313" s="1415"/>
      <c r="AD313" s="1415"/>
      <c r="AE313" s="1415"/>
      <c r="AF313" s="1415"/>
      <c r="AG313" s="1415"/>
      <c r="AH313" s="1415"/>
      <c r="AI313" s="1415"/>
      <c r="AJ313" s="1415"/>
      <c r="AK313" s="1415"/>
    </row>
    <row r="314" spans="2:37" ht="12.95" customHeight="1">
      <c r="B314" s="3" t="s">
        <v>87</v>
      </c>
      <c r="C314" s="3"/>
      <c r="D314" s="3"/>
      <c r="E314" s="3"/>
      <c r="F314" s="3"/>
      <c r="H314" s="1415"/>
      <c r="I314" s="1415"/>
      <c r="J314" s="1415"/>
      <c r="K314" s="1415"/>
      <c r="L314" s="1415"/>
      <c r="M314" s="1415"/>
      <c r="N314" s="1415"/>
      <c r="O314" s="1415"/>
      <c r="P314" s="1415"/>
      <c r="Q314" s="1415"/>
      <c r="R314" s="1415"/>
      <c r="S314" s="3"/>
      <c r="T314" s="3" t="s">
        <v>87</v>
      </c>
      <c r="V314" s="3"/>
      <c r="W314" s="3"/>
      <c r="X314" s="3"/>
      <c r="Y314" s="3"/>
      <c r="AA314" s="1415" t="s">
        <v>2669</v>
      </c>
      <c r="AB314" s="1415"/>
      <c r="AC314" s="1415"/>
      <c r="AD314" s="1415"/>
      <c r="AE314" s="1415"/>
      <c r="AF314" s="1415"/>
      <c r="AG314" s="1415"/>
      <c r="AH314" s="1415"/>
      <c r="AI314" s="1415"/>
      <c r="AJ314" s="1415"/>
      <c r="AK314" s="1415"/>
    </row>
    <row r="315" spans="2:37" ht="12.95" customHeight="1">
      <c r="B315" s="3" t="s">
        <v>88</v>
      </c>
      <c r="C315" s="3"/>
      <c r="D315" s="3"/>
      <c r="E315" s="3"/>
      <c r="F315" s="3"/>
      <c r="G315" s="3"/>
      <c r="H315" s="1525"/>
      <c r="I315" s="1525"/>
      <c r="J315" s="1525"/>
      <c r="K315" s="1525"/>
      <c r="L315" s="1525"/>
      <c r="M315" s="1525"/>
      <c r="N315" s="4" t="s">
        <v>206</v>
      </c>
      <c r="O315" s="4"/>
      <c r="P315" s="1517"/>
      <c r="Q315" s="1517"/>
      <c r="R315" s="1517"/>
      <c r="S315" s="3"/>
      <c r="T315" s="3" t="s">
        <v>88</v>
      </c>
      <c r="V315" s="3"/>
      <c r="W315" s="3"/>
      <c r="X315" s="3"/>
      <c r="Y315" s="3"/>
      <c r="AA315" s="1525">
        <v>3108604550</v>
      </c>
      <c r="AB315" s="1525"/>
      <c r="AC315" s="1525"/>
      <c r="AD315" s="1525"/>
      <c r="AE315" s="1525"/>
      <c r="AF315" s="1525"/>
      <c r="AG315" s="4" t="s">
        <v>206</v>
      </c>
      <c r="AH315" s="4"/>
      <c r="AI315" s="1517"/>
      <c r="AJ315" s="1517"/>
      <c r="AK315" s="1517"/>
    </row>
    <row r="316" spans="2:37" ht="12.95" customHeight="1">
      <c r="B316" s="3" t="s">
        <v>89</v>
      </c>
      <c r="C316" s="3"/>
      <c r="D316" s="3"/>
      <c r="E316" s="3"/>
      <c r="F316" s="3"/>
      <c r="G316" s="3"/>
      <c r="H316" s="1472"/>
      <c r="I316" s="1472"/>
      <c r="J316" s="1472"/>
      <c r="K316" s="1472"/>
      <c r="L316" s="1472"/>
      <c r="M316" s="1472"/>
      <c r="N316" s="4"/>
      <c r="O316" s="4"/>
      <c r="P316" s="35"/>
      <c r="Q316" s="35"/>
      <c r="R316" s="35"/>
      <c r="S316" s="3"/>
      <c r="T316" s="3" t="s">
        <v>89</v>
      </c>
      <c r="V316" s="3"/>
      <c r="W316" s="3"/>
      <c r="X316" s="3"/>
      <c r="Y316" s="3"/>
      <c r="AA316" s="1472"/>
      <c r="AB316" s="1472"/>
      <c r="AC316" s="1472"/>
      <c r="AD316" s="1472"/>
      <c r="AE316" s="1472"/>
      <c r="AF316" s="1472"/>
      <c r="AG316" s="4"/>
      <c r="AH316" s="4"/>
      <c r="AI316" s="35"/>
      <c r="AJ316" s="35"/>
      <c r="AK316" s="35"/>
    </row>
    <row r="317" spans="2:37" ht="12.95" customHeight="1">
      <c r="B317" s="3" t="s">
        <v>76</v>
      </c>
      <c r="C317" s="3"/>
      <c r="D317" s="3"/>
      <c r="E317" s="3"/>
      <c r="F317" s="3"/>
      <c r="G317" s="3"/>
      <c r="H317" s="1415"/>
      <c r="I317" s="1415"/>
      <c r="J317" s="1415"/>
      <c r="K317" s="1415"/>
      <c r="L317" s="1415"/>
      <c r="M317" s="1415"/>
      <c r="N317" s="1393"/>
      <c r="O317" s="1393"/>
      <c r="P317" s="1393"/>
      <c r="Q317" s="1393"/>
      <c r="R317" s="1393"/>
      <c r="S317" s="3"/>
      <c r="T317" s="3" t="s">
        <v>76</v>
      </c>
      <c r="V317" s="3"/>
      <c r="W317" s="3"/>
      <c r="X317" s="3"/>
      <c r="Y317" s="3"/>
      <c r="AA317" s="1415" t="s">
        <v>2670</v>
      </c>
      <c r="AB317" s="1415"/>
      <c r="AC317" s="1415"/>
      <c r="AD317" s="1415"/>
      <c r="AE317" s="1415"/>
      <c r="AF317" s="1415"/>
      <c r="AG317" s="1393"/>
      <c r="AH317" s="1393"/>
      <c r="AI317" s="1393"/>
      <c r="AJ317" s="1393"/>
      <c r="AK317" s="1393"/>
    </row>
    <row r="318" spans="2:37" ht="12.95" customHeight="1"/>
    <row r="319" spans="2:37" ht="12.95" customHeight="1">
      <c r="B319" s="4" t="s">
        <v>909</v>
      </c>
      <c r="C319" s="3"/>
      <c r="D319" s="3"/>
      <c r="E319" s="3"/>
      <c r="F319" s="3"/>
      <c r="H319" s="1393"/>
      <c r="I319" s="1393"/>
      <c r="J319" s="1393"/>
      <c r="K319" s="1393"/>
      <c r="L319" s="1393"/>
      <c r="M319" s="1393"/>
      <c r="N319" s="1393"/>
      <c r="O319" s="1393"/>
      <c r="P319" s="1393"/>
      <c r="Q319" s="1393"/>
      <c r="R319" s="1393"/>
      <c r="T319" s="3" t="s">
        <v>366</v>
      </c>
      <c r="V319" s="3"/>
      <c r="W319" s="3"/>
      <c r="X319" s="3"/>
      <c r="Y319" s="3"/>
      <c r="AA319" s="1393" t="s">
        <v>2671</v>
      </c>
      <c r="AB319" s="1393"/>
      <c r="AC319" s="1393"/>
      <c r="AD319" s="1393"/>
      <c r="AE319" s="1393"/>
      <c r="AF319" s="1393"/>
      <c r="AG319" s="1393"/>
      <c r="AH319" s="1393"/>
      <c r="AI319" s="1393"/>
      <c r="AJ319" s="1393"/>
      <c r="AK319" s="1393"/>
    </row>
    <row r="320" spans="2:37" ht="12.95" customHeight="1">
      <c r="B320" s="3" t="s">
        <v>472</v>
      </c>
      <c r="C320" s="3"/>
      <c r="D320" s="3"/>
      <c r="E320" s="3"/>
      <c r="F320" s="3"/>
      <c r="H320" s="1415"/>
      <c r="I320" s="1415"/>
      <c r="J320" s="1415"/>
      <c r="K320" s="1415"/>
      <c r="L320" s="1415"/>
      <c r="M320" s="1415"/>
      <c r="N320" s="1415"/>
      <c r="O320" s="1415"/>
      <c r="P320" s="1415"/>
      <c r="Q320" s="1415"/>
      <c r="R320" s="1415"/>
      <c r="T320" s="3" t="s">
        <v>472</v>
      </c>
      <c r="V320" s="3"/>
      <c r="W320" s="3"/>
      <c r="X320" s="3"/>
      <c r="Y320" s="3"/>
      <c r="AA320" s="1415" t="s">
        <v>2672</v>
      </c>
      <c r="AB320" s="1415"/>
      <c r="AC320" s="1415"/>
      <c r="AD320" s="1415"/>
      <c r="AE320" s="1415"/>
      <c r="AF320" s="1415"/>
      <c r="AG320" s="1415"/>
      <c r="AH320" s="1415"/>
      <c r="AI320" s="1415"/>
      <c r="AJ320" s="1415"/>
      <c r="AK320" s="1415"/>
    </row>
    <row r="321" spans="2:37" ht="12.95" customHeight="1">
      <c r="B321" s="3" t="s">
        <v>473</v>
      </c>
      <c r="C321" s="3"/>
      <c r="D321" s="3"/>
      <c r="E321" s="3"/>
      <c r="F321" s="3"/>
      <c r="H321" s="1415"/>
      <c r="I321" s="1415"/>
      <c r="J321" s="1415"/>
      <c r="K321" s="1415"/>
      <c r="L321" s="1415"/>
      <c r="M321" s="1415"/>
      <c r="N321" s="1415"/>
      <c r="O321" s="1415"/>
      <c r="P321" s="1415"/>
      <c r="Q321" s="1415"/>
      <c r="R321" s="1415"/>
      <c r="T321" s="3" t="s">
        <v>75</v>
      </c>
      <c r="V321" s="3"/>
      <c r="W321" s="3"/>
      <c r="X321" s="3"/>
      <c r="Y321" s="3"/>
      <c r="AA321" s="1415" t="s">
        <v>2673</v>
      </c>
      <c r="AB321" s="1415"/>
      <c r="AC321" s="1415"/>
      <c r="AD321" s="1415"/>
      <c r="AE321" s="1415"/>
      <c r="AF321" s="1415"/>
      <c r="AG321" s="1415"/>
      <c r="AH321" s="1415"/>
      <c r="AI321" s="1415"/>
      <c r="AJ321" s="1415"/>
      <c r="AK321" s="1415"/>
    </row>
    <row r="322" spans="2:37" ht="12.95" customHeight="1">
      <c r="B322" s="3" t="s">
        <v>87</v>
      </c>
      <c r="C322" s="3"/>
      <c r="D322" s="3"/>
      <c r="E322" s="3"/>
      <c r="F322" s="3"/>
      <c r="H322" s="1415"/>
      <c r="I322" s="1415"/>
      <c r="J322" s="1415"/>
      <c r="K322" s="1415"/>
      <c r="L322" s="1415"/>
      <c r="M322" s="1415"/>
      <c r="N322" s="1415"/>
      <c r="O322" s="1415"/>
      <c r="P322" s="1415"/>
      <c r="Q322" s="1415"/>
      <c r="R322" s="1415"/>
      <c r="T322" s="3" t="s">
        <v>87</v>
      </c>
      <c r="V322" s="3"/>
      <c r="W322" s="3"/>
      <c r="X322" s="3"/>
      <c r="Y322" s="3"/>
      <c r="AA322" s="1415" t="s">
        <v>2674</v>
      </c>
      <c r="AB322" s="1415"/>
      <c r="AC322" s="1415"/>
      <c r="AD322" s="1415"/>
      <c r="AE322" s="1415"/>
      <c r="AF322" s="1415"/>
      <c r="AG322" s="1415"/>
      <c r="AH322" s="1415"/>
      <c r="AI322" s="1415"/>
      <c r="AJ322" s="1415"/>
      <c r="AK322" s="1415"/>
    </row>
    <row r="323" spans="2:37" ht="12.95" customHeight="1">
      <c r="B323" s="3" t="s">
        <v>88</v>
      </c>
      <c r="C323" s="3"/>
      <c r="D323" s="3"/>
      <c r="E323" s="3"/>
      <c r="F323" s="3"/>
      <c r="G323" s="3"/>
      <c r="H323" s="1525"/>
      <c r="I323" s="1525"/>
      <c r="J323" s="1525"/>
      <c r="K323" s="1525"/>
      <c r="L323" s="1525"/>
      <c r="M323" s="1525"/>
      <c r="N323" s="4" t="s">
        <v>206</v>
      </c>
      <c r="O323" s="4"/>
      <c r="P323" s="1517"/>
      <c r="Q323" s="1517"/>
      <c r="R323" s="1517"/>
      <c r="S323" s="3"/>
      <c r="T323" s="3" t="s">
        <v>88</v>
      </c>
      <c r="V323" s="3"/>
      <c r="W323" s="3"/>
      <c r="X323" s="3"/>
      <c r="Y323" s="3"/>
      <c r="AA323" s="1525">
        <v>9163726100</v>
      </c>
      <c r="AB323" s="1525"/>
      <c r="AC323" s="1525"/>
      <c r="AD323" s="1525"/>
      <c r="AE323" s="1525"/>
      <c r="AF323" s="1525"/>
      <c r="AG323" s="4" t="s">
        <v>206</v>
      </c>
      <c r="AH323" s="4"/>
      <c r="AI323" s="1517"/>
      <c r="AJ323" s="1517"/>
      <c r="AK323" s="1517"/>
    </row>
    <row r="324" spans="2:37" ht="12.95" customHeight="1">
      <c r="B324" s="3" t="s">
        <v>89</v>
      </c>
      <c r="C324" s="3"/>
      <c r="D324" s="3"/>
      <c r="E324" s="3"/>
      <c r="F324" s="3"/>
      <c r="G324" s="3"/>
      <c r="H324" s="1472"/>
      <c r="I324" s="1472"/>
      <c r="J324" s="1472"/>
      <c r="K324" s="1472"/>
      <c r="L324" s="1472"/>
      <c r="M324" s="1472"/>
      <c r="N324" s="4"/>
      <c r="O324" s="4"/>
      <c r="P324" s="35"/>
      <c r="Q324" s="35"/>
      <c r="R324" s="35"/>
      <c r="S324" s="3"/>
      <c r="T324" s="3" t="s">
        <v>89</v>
      </c>
      <c r="V324" s="3"/>
      <c r="W324" s="3"/>
      <c r="X324" s="3"/>
      <c r="Y324" s="3"/>
      <c r="AA324" s="1472">
        <v>9164916108</v>
      </c>
      <c r="AB324" s="1472"/>
      <c r="AC324" s="1472"/>
      <c r="AD324" s="1472"/>
      <c r="AE324" s="1472"/>
      <c r="AF324" s="1472"/>
      <c r="AG324" s="4"/>
      <c r="AH324" s="4"/>
      <c r="AI324" s="35"/>
      <c r="AJ324" s="35"/>
      <c r="AK324" s="35"/>
    </row>
    <row r="325" spans="2:37" ht="12.95" customHeight="1">
      <c r="B325" s="3" t="s">
        <v>76</v>
      </c>
      <c r="C325" s="3"/>
      <c r="D325" s="3"/>
      <c r="E325" s="3"/>
      <c r="F325" s="3"/>
      <c r="G325" s="3"/>
      <c r="H325" s="1415"/>
      <c r="I325" s="1415"/>
      <c r="J325" s="1415"/>
      <c r="K325" s="1415"/>
      <c r="L325" s="1415"/>
      <c r="M325" s="1415"/>
      <c r="N325" s="1393"/>
      <c r="O325" s="1393"/>
      <c r="P325" s="1393"/>
      <c r="Q325" s="1393"/>
      <c r="R325" s="1393"/>
      <c r="S325" s="3"/>
      <c r="T325" s="3" t="s">
        <v>76</v>
      </c>
      <c r="V325" s="3"/>
      <c r="W325" s="3"/>
      <c r="X325" s="3"/>
      <c r="Y325" s="3"/>
      <c r="AA325" s="1415" t="s">
        <v>2675</v>
      </c>
      <c r="AB325" s="1415"/>
      <c r="AC325" s="1415"/>
      <c r="AD325" s="1415"/>
      <c r="AE325" s="1415"/>
      <c r="AF325" s="1415"/>
      <c r="AG325" s="1393"/>
      <c r="AH325" s="1393"/>
      <c r="AI325" s="1393"/>
      <c r="AJ325" s="1393"/>
      <c r="AK325" s="139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93"/>
      <c r="I327" s="1393"/>
      <c r="J327" s="1393"/>
      <c r="K327" s="1393"/>
      <c r="L327" s="1393"/>
      <c r="M327" s="1393"/>
      <c r="N327" s="1393"/>
      <c r="O327" s="1393"/>
      <c r="P327" s="1393"/>
      <c r="Q327" s="1393"/>
      <c r="R327" s="1393"/>
      <c r="T327" s="3" t="s">
        <v>368</v>
      </c>
      <c r="V327" s="3"/>
      <c r="W327" s="3"/>
      <c r="X327" s="3"/>
      <c r="Y327" s="3"/>
      <c r="AA327" s="1393"/>
      <c r="AB327" s="1393"/>
      <c r="AC327" s="1393"/>
      <c r="AD327" s="1393"/>
      <c r="AE327" s="1393"/>
      <c r="AF327" s="1393"/>
      <c r="AG327" s="1393"/>
      <c r="AH327" s="1393"/>
      <c r="AI327" s="1393"/>
      <c r="AJ327" s="1393"/>
      <c r="AK327" s="1393"/>
    </row>
    <row r="328" spans="2:37" ht="12.95" customHeight="1">
      <c r="B328" s="3" t="s">
        <v>472</v>
      </c>
      <c r="C328" s="3"/>
      <c r="D328" s="3"/>
      <c r="E328" s="3"/>
      <c r="F328" s="3"/>
      <c r="H328" s="1415"/>
      <c r="I328" s="1415"/>
      <c r="J328" s="1415"/>
      <c r="K328" s="1415"/>
      <c r="L328" s="1415"/>
      <c r="M328" s="1415"/>
      <c r="N328" s="1415"/>
      <c r="O328" s="1415"/>
      <c r="P328" s="1415"/>
      <c r="Q328" s="1415"/>
      <c r="R328" s="1415"/>
      <c r="T328" s="3" t="s">
        <v>472</v>
      </c>
      <c r="V328" s="3"/>
      <c r="W328" s="3"/>
      <c r="X328" s="3"/>
      <c r="Y328" s="3"/>
      <c r="AA328" s="1415"/>
      <c r="AB328" s="1415"/>
      <c r="AC328" s="1415"/>
      <c r="AD328" s="1415"/>
      <c r="AE328" s="1415"/>
      <c r="AF328" s="1415"/>
      <c r="AG328" s="1415"/>
      <c r="AH328" s="1415"/>
      <c r="AI328" s="1415"/>
      <c r="AJ328" s="1415"/>
      <c r="AK328" s="1415"/>
    </row>
    <row r="329" spans="2:37" ht="12.95" customHeight="1">
      <c r="B329" s="3" t="s">
        <v>473</v>
      </c>
      <c r="C329" s="3"/>
      <c r="D329" s="3"/>
      <c r="E329" s="3"/>
      <c r="F329" s="3"/>
      <c r="H329" s="1415"/>
      <c r="I329" s="1415"/>
      <c r="J329" s="1415"/>
      <c r="K329" s="1415"/>
      <c r="L329" s="1415"/>
      <c r="M329" s="1415"/>
      <c r="N329" s="1415"/>
      <c r="O329" s="1415"/>
      <c r="P329" s="1415"/>
      <c r="Q329" s="1415"/>
      <c r="R329" s="1415"/>
      <c r="T329" s="3" t="s">
        <v>75</v>
      </c>
      <c r="V329" s="3"/>
      <c r="W329" s="3"/>
      <c r="X329" s="3"/>
      <c r="Y329" s="3"/>
      <c r="AA329" s="1415"/>
      <c r="AB329" s="1415"/>
      <c r="AC329" s="1415"/>
      <c r="AD329" s="1415"/>
      <c r="AE329" s="1415"/>
      <c r="AF329" s="1415"/>
      <c r="AG329" s="1415"/>
      <c r="AH329" s="1415"/>
      <c r="AI329" s="1415"/>
      <c r="AJ329" s="1415"/>
      <c r="AK329" s="1415"/>
    </row>
    <row r="330" spans="2:37" ht="12.95" customHeight="1">
      <c r="B330" s="3" t="s">
        <v>87</v>
      </c>
      <c r="C330" s="3"/>
      <c r="D330" s="3"/>
      <c r="E330" s="3"/>
      <c r="F330" s="3"/>
      <c r="H330" s="1415"/>
      <c r="I330" s="1415"/>
      <c r="J330" s="1415"/>
      <c r="K330" s="1415"/>
      <c r="L330" s="1415"/>
      <c r="M330" s="1415"/>
      <c r="N330" s="1415"/>
      <c r="O330" s="1415"/>
      <c r="P330" s="1415"/>
      <c r="Q330" s="1415"/>
      <c r="R330" s="1415"/>
      <c r="T330" s="3" t="s">
        <v>87</v>
      </c>
      <c r="V330" s="3"/>
      <c r="W330" s="3"/>
      <c r="X330" s="3"/>
      <c r="Y330" s="3"/>
      <c r="AA330" s="1415"/>
      <c r="AB330" s="1415"/>
      <c r="AC330" s="1415"/>
      <c r="AD330" s="1415"/>
      <c r="AE330" s="1415"/>
      <c r="AF330" s="1415"/>
      <c r="AG330" s="1415"/>
      <c r="AH330" s="1415"/>
      <c r="AI330" s="1415"/>
      <c r="AJ330" s="1415"/>
      <c r="AK330" s="1415"/>
    </row>
    <row r="331" spans="2:37" ht="12.95" customHeight="1">
      <c r="B331" s="3" t="s">
        <v>88</v>
      </c>
      <c r="C331" s="3"/>
      <c r="D331" s="3"/>
      <c r="E331" s="3"/>
      <c r="F331" s="3"/>
      <c r="G331" s="3"/>
      <c r="H331" s="1525"/>
      <c r="I331" s="1525"/>
      <c r="J331" s="1525"/>
      <c r="K331" s="1525"/>
      <c r="L331" s="1525"/>
      <c r="M331" s="1525"/>
      <c r="N331" s="4" t="s">
        <v>206</v>
      </c>
      <c r="O331" s="4"/>
      <c r="P331" s="1517"/>
      <c r="Q331" s="1517"/>
      <c r="R331" s="1517"/>
      <c r="S331" s="3"/>
      <c r="T331" s="3" t="s">
        <v>88</v>
      </c>
      <c r="V331" s="3"/>
      <c r="W331" s="3"/>
      <c r="X331" s="3"/>
      <c r="Y331" s="3"/>
      <c r="AA331" s="1525"/>
      <c r="AB331" s="1525"/>
      <c r="AC331" s="1525"/>
      <c r="AD331" s="1525"/>
      <c r="AE331" s="1525"/>
      <c r="AF331" s="1525"/>
      <c r="AG331" s="4" t="s">
        <v>206</v>
      </c>
      <c r="AH331" s="4"/>
      <c r="AI331" s="1517"/>
      <c r="AJ331" s="1517"/>
      <c r="AK331" s="1517"/>
    </row>
    <row r="332" spans="2:37" ht="12.95" customHeight="1">
      <c r="B332" s="3" t="s">
        <v>89</v>
      </c>
      <c r="C332" s="3"/>
      <c r="D332" s="3"/>
      <c r="E332" s="3"/>
      <c r="F332" s="3"/>
      <c r="G332" s="3"/>
      <c r="H332" s="1472"/>
      <c r="I332" s="1472"/>
      <c r="J332" s="1472"/>
      <c r="K332" s="1472"/>
      <c r="L332" s="1472"/>
      <c r="M332" s="1472"/>
      <c r="N332" s="4"/>
      <c r="O332" s="4"/>
      <c r="P332" s="35"/>
      <c r="Q332" s="35"/>
      <c r="R332" s="35"/>
      <c r="S332" s="3"/>
      <c r="T332" s="3" t="s">
        <v>89</v>
      </c>
      <c r="V332" s="3"/>
      <c r="W332" s="3"/>
      <c r="X332" s="3"/>
      <c r="Y332" s="3"/>
      <c r="AA332" s="1472"/>
      <c r="AB332" s="1472"/>
      <c r="AC332" s="1472"/>
      <c r="AD332" s="1472"/>
      <c r="AE332" s="1472"/>
      <c r="AF332" s="1472"/>
      <c r="AG332" s="4"/>
      <c r="AH332" s="4"/>
      <c r="AI332" s="35"/>
      <c r="AJ332" s="35"/>
      <c r="AK332" s="35"/>
    </row>
    <row r="333" spans="2:37" ht="12.95" customHeight="1">
      <c r="B333" s="3" t="s">
        <v>76</v>
      </c>
      <c r="C333" s="3"/>
      <c r="D333" s="3"/>
      <c r="E333" s="3"/>
      <c r="F333" s="3"/>
      <c r="G333" s="3"/>
      <c r="H333" s="1415"/>
      <c r="I333" s="1415"/>
      <c r="J333" s="1415"/>
      <c r="K333" s="1415"/>
      <c r="L333" s="1415"/>
      <c r="M333" s="1415"/>
      <c r="N333" s="1393"/>
      <c r="O333" s="1393"/>
      <c r="P333" s="1393"/>
      <c r="Q333" s="1393"/>
      <c r="R333" s="1393"/>
      <c r="S333" s="3"/>
      <c r="T333" s="3" t="s">
        <v>76</v>
      </c>
      <c r="V333" s="3"/>
      <c r="W333" s="3"/>
      <c r="X333" s="3"/>
      <c r="Y333" s="3"/>
      <c r="AA333" s="1415"/>
      <c r="AB333" s="1415"/>
      <c r="AC333" s="1415"/>
      <c r="AD333" s="1415"/>
      <c r="AE333" s="1415"/>
      <c r="AF333" s="1415"/>
      <c r="AG333" s="1393"/>
      <c r="AH333" s="1393"/>
      <c r="AI333" s="1393"/>
      <c r="AJ333" s="1393"/>
      <c r="AK333" s="139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93" t="s">
        <v>2676</v>
      </c>
      <c r="I335" s="1393"/>
      <c r="J335" s="1393"/>
      <c r="K335" s="1393"/>
      <c r="L335" s="1393"/>
      <c r="M335" s="1393"/>
      <c r="N335" s="1393"/>
      <c r="O335" s="1393"/>
      <c r="P335" s="1393"/>
      <c r="Q335" s="1393"/>
      <c r="R335" s="1393"/>
      <c r="T335" s="204" t="s">
        <v>887</v>
      </c>
      <c r="V335" s="3"/>
      <c r="W335" s="3"/>
      <c r="X335" s="3"/>
      <c r="Y335" s="3"/>
      <c r="AA335" s="1393" t="s">
        <v>2683</v>
      </c>
      <c r="AB335" s="1393"/>
      <c r="AC335" s="1393"/>
      <c r="AD335" s="1393"/>
      <c r="AE335" s="1393"/>
      <c r="AF335" s="1393"/>
      <c r="AG335" s="1393"/>
      <c r="AH335" s="1393"/>
      <c r="AI335" s="1393"/>
      <c r="AJ335" s="1393"/>
      <c r="AK335" s="1393"/>
    </row>
    <row r="336" spans="2:37" ht="12.95" customHeight="1">
      <c r="B336" s="3" t="s">
        <v>472</v>
      </c>
      <c r="C336" s="3"/>
      <c r="D336" s="3"/>
      <c r="E336" s="3"/>
      <c r="F336" s="3"/>
      <c r="H336" s="1415" t="s">
        <v>2677</v>
      </c>
      <c r="I336" s="1415"/>
      <c r="J336" s="1415"/>
      <c r="K336" s="1415"/>
      <c r="L336" s="1415"/>
      <c r="M336" s="1415"/>
      <c r="N336" s="1415"/>
      <c r="O336" s="1415"/>
      <c r="P336" s="1415"/>
      <c r="Q336" s="1415"/>
      <c r="R336" s="1415"/>
      <c r="T336" s="3" t="s">
        <v>472</v>
      </c>
      <c r="V336" s="3"/>
      <c r="W336" s="3"/>
      <c r="X336" s="3"/>
      <c r="Y336" s="3"/>
      <c r="AA336" s="1415" t="s">
        <v>2641</v>
      </c>
      <c r="AB336" s="1415"/>
      <c r="AC336" s="1415"/>
      <c r="AD336" s="1415"/>
      <c r="AE336" s="1415"/>
      <c r="AF336" s="1415"/>
      <c r="AG336" s="1415"/>
      <c r="AH336" s="1415"/>
      <c r="AI336" s="1415"/>
      <c r="AJ336" s="1415"/>
      <c r="AK336" s="1415"/>
    </row>
    <row r="337" spans="1:66" ht="12.95" customHeight="1">
      <c r="B337" s="3" t="s">
        <v>75</v>
      </c>
      <c r="C337" s="3"/>
      <c r="D337" s="3"/>
      <c r="E337" s="3"/>
      <c r="F337" s="3"/>
      <c r="H337" s="1415" t="s">
        <v>2678</v>
      </c>
      <c r="I337" s="1415"/>
      <c r="J337" s="1415"/>
      <c r="K337" s="1415"/>
      <c r="L337" s="1415"/>
      <c r="M337" s="1415"/>
      <c r="N337" s="1415"/>
      <c r="O337" s="1415"/>
      <c r="P337" s="1415"/>
      <c r="Q337" s="1415"/>
      <c r="R337" s="1415"/>
      <c r="T337" s="3" t="s">
        <v>75</v>
      </c>
      <c r="V337" s="3"/>
      <c r="W337" s="3"/>
      <c r="X337" s="3"/>
      <c r="Y337" s="3"/>
      <c r="AA337" s="1415" t="s">
        <v>2642</v>
      </c>
      <c r="AB337" s="1415"/>
      <c r="AC337" s="1415"/>
      <c r="AD337" s="1415"/>
      <c r="AE337" s="1415"/>
      <c r="AF337" s="1415"/>
      <c r="AG337" s="1415"/>
      <c r="AH337" s="1415"/>
      <c r="AI337" s="1415"/>
      <c r="AJ337" s="1415"/>
      <c r="AK337" s="1415"/>
    </row>
    <row r="338" spans="1:66" ht="12.95" customHeight="1">
      <c r="B338" s="3" t="s">
        <v>87</v>
      </c>
      <c r="C338" s="3"/>
      <c r="D338" s="3"/>
      <c r="E338" s="3"/>
      <c r="F338" s="3"/>
      <c r="G338" s="3"/>
      <c r="H338" s="1415" t="s">
        <v>2679</v>
      </c>
      <c r="I338" s="1415"/>
      <c r="J338" s="1415"/>
      <c r="K338" s="1415"/>
      <c r="L338" s="1415"/>
      <c r="M338" s="1415"/>
      <c r="N338" s="1415"/>
      <c r="O338" s="1415"/>
      <c r="P338" s="1415"/>
      <c r="Q338" s="1415"/>
      <c r="R338" s="1415"/>
      <c r="T338" s="3" t="s">
        <v>87</v>
      </c>
      <c r="V338" s="3"/>
      <c r="W338" s="3"/>
      <c r="X338" s="3"/>
      <c r="Y338" s="3"/>
      <c r="AA338" s="1415" t="s">
        <v>2714</v>
      </c>
      <c r="AB338" s="1415"/>
      <c r="AC338" s="1415"/>
      <c r="AD338" s="1415"/>
      <c r="AE338" s="1415"/>
      <c r="AF338" s="1415"/>
      <c r="AG338" s="1415"/>
      <c r="AH338" s="1415"/>
      <c r="AI338" s="1415"/>
      <c r="AJ338" s="1415"/>
      <c r="AK338" s="1415"/>
    </row>
    <row r="339" spans="1:66" ht="12.95" customHeight="1">
      <c r="B339" s="3" t="s">
        <v>88</v>
      </c>
      <c r="C339" s="3"/>
      <c r="D339" s="3"/>
      <c r="E339" s="3"/>
      <c r="F339" s="3"/>
      <c r="G339" s="3"/>
      <c r="H339" s="1525" t="s">
        <v>2680</v>
      </c>
      <c r="I339" s="1525"/>
      <c r="J339" s="1525"/>
      <c r="K339" s="1525"/>
      <c r="L339" s="1525"/>
      <c r="M339" s="1525"/>
      <c r="N339" s="4" t="s">
        <v>206</v>
      </c>
      <c r="O339" s="4"/>
      <c r="P339" s="1517"/>
      <c r="Q339" s="1517"/>
      <c r="R339" s="1517"/>
      <c r="S339" s="3"/>
      <c r="T339" s="3" t="s">
        <v>88</v>
      </c>
      <c r="V339" s="3"/>
      <c r="W339" s="3"/>
      <c r="X339" s="3"/>
      <c r="Y339" s="3"/>
      <c r="AA339" s="1525">
        <v>7078229000</v>
      </c>
      <c r="AB339" s="1525"/>
      <c r="AC339" s="1525"/>
      <c r="AD339" s="1525"/>
      <c r="AE339" s="1525"/>
      <c r="AF339" s="1525"/>
      <c r="AG339" s="4" t="s">
        <v>206</v>
      </c>
      <c r="AH339" s="4"/>
      <c r="AI339" s="1517"/>
      <c r="AJ339" s="1517"/>
      <c r="AK339" s="1517"/>
    </row>
    <row r="340" spans="1:66" ht="12.95" customHeight="1">
      <c r="B340" s="3" t="s">
        <v>89</v>
      </c>
      <c r="C340" s="3"/>
      <c r="D340" s="3"/>
      <c r="E340" s="3"/>
      <c r="F340" s="3"/>
      <c r="G340" s="3"/>
      <c r="H340" s="1472" t="s">
        <v>2681</v>
      </c>
      <c r="I340" s="1472"/>
      <c r="J340" s="1472"/>
      <c r="K340" s="1472"/>
      <c r="L340" s="1472"/>
      <c r="M340" s="1472"/>
      <c r="N340" s="4"/>
      <c r="O340" s="4"/>
      <c r="P340" s="35"/>
      <c r="Q340" s="35"/>
      <c r="R340" s="35"/>
      <c r="S340" s="3"/>
      <c r="T340" s="3" t="s">
        <v>89</v>
      </c>
      <c r="V340" s="3"/>
      <c r="W340" s="3"/>
      <c r="X340" s="3"/>
      <c r="Y340" s="3"/>
      <c r="AA340" s="1472">
        <v>7078229596</v>
      </c>
      <c r="AB340" s="1472"/>
      <c r="AC340" s="1472"/>
      <c r="AD340" s="1472"/>
      <c r="AE340" s="1472"/>
      <c r="AF340" s="1472"/>
      <c r="AG340" s="4"/>
      <c r="AH340" s="4"/>
      <c r="AI340" s="35"/>
      <c r="AJ340" s="35"/>
      <c r="AK340" s="35"/>
    </row>
    <row r="341" spans="1:66" ht="12.95" customHeight="1">
      <c r="B341" s="3" t="s">
        <v>76</v>
      </c>
      <c r="C341" s="3"/>
      <c r="D341" s="3"/>
      <c r="E341" s="3"/>
      <c r="F341" s="3"/>
      <c r="G341" s="3"/>
      <c r="H341" s="1415" t="s">
        <v>2682</v>
      </c>
      <c r="I341" s="1415"/>
      <c r="J341" s="1415"/>
      <c r="K341" s="1415"/>
      <c r="L341" s="1415"/>
      <c r="M341" s="1415"/>
      <c r="N341" s="1393"/>
      <c r="O341" s="1393"/>
      <c r="P341" s="1393"/>
      <c r="Q341" s="1393"/>
      <c r="R341" s="1393"/>
      <c r="S341" s="3"/>
      <c r="T341" s="3" t="s">
        <v>76</v>
      </c>
      <c r="V341" s="3"/>
      <c r="W341" s="3"/>
      <c r="X341" s="3"/>
      <c r="Y341" s="3"/>
      <c r="AA341" s="1415" t="s">
        <v>2715</v>
      </c>
      <c r="AB341" s="1415"/>
      <c r="AC341" s="1415"/>
      <c r="AD341" s="1415"/>
      <c r="AE341" s="1415"/>
      <c r="AF341" s="1415"/>
      <c r="AG341" s="1393"/>
      <c r="AH341" s="1393"/>
      <c r="AI341" s="1393"/>
      <c r="AJ341" s="1393"/>
      <c r="AK341" s="139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93"/>
      <c r="Q343" s="1393"/>
      <c r="R343" s="1393"/>
      <c r="S343" s="1393"/>
      <c r="T343" s="1393"/>
      <c r="U343" s="1393"/>
      <c r="V343" s="1393"/>
      <c r="W343" s="1393"/>
      <c r="X343" s="1393"/>
      <c r="Y343" s="1393"/>
      <c r="Z343" s="1393"/>
      <c r="AA343" s="1393"/>
      <c r="AB343" s="1393"/>
      <c r="AC343" s="1393"/>
      <c r="AD343" s="1393"/>
      <c r="AE343" s="1393"/>
      <c r="BN343" t="s">
        <v>670</v>
      </c>
    </row>
    <row r="344" spans="1:66" ht="12.95" customHeight="1">
      <c r="B344" s="4"/>
      <c r="C344" s="4"/>
      <c r="D344" s="4"/>
      <c r="E344" s="4"/>
      <c r="F344" s="4"/>
      <c r="I344" s="4" t="s">
        <v>472</v>
      </c>
      <c r="P344" s="1415"/>
      <c r="Q344" s="1415"/>
      <c r="R344" s="1415"/>
      <c r="S344" s="1415"/>
      <c r="T344" s="1415"/>
      <c r="U344" s="1415"/>
      <c r="V344" s="1415"/>
      <c r="W344" s="1415"/>
      <c r="X344" s="1415"/>
      <c r="Y344" s="1415"/>
      <c r="Z344" s="1415"/>
      <c r="AA344" s="1415"/>
      <c r="AB344" s="1415"/>
      <c r="AC344" s="1415"/>
      <c r="AD344" s="1415"/>
      <c r="AE344" s="1415"/>
      <c r="BN344" t="s">
        <v>546</v>
      </c>
    </row>
    <row r="345" spans="1:66" ht="12.95" customHeight="1">
      <c r="B345" s="4"/>
      <c r="C345" s="4"/>
      <c r="D345" s="4"/>
      <c r="E345" s="4"/>
      <c r="F345" s="4"/>
      <c r="I345" s="4" t="s">
        <v>75</v>
      </c>
      <c r="P345" s="1415"/>
      <c r="Q345" s="1415"/>
      <c r="R345" s="1415"/>
      <c r="S345" s="1415"/>
      <c r="T345" s="1415"/>
      <c r="U345" s="1415"/>
      <c r="V345" s="1415"/>
      <c r="W345" s="1415"/>
      <c r="X345" s="1415"/>
      <c r="Y345" s="1415"/>
      <c r="Z345" s="1415"/>
      <c r="AA345" s="1415"/>
      <c r="AB345" s="1415"/>
      <c r="AC345" s="1415"/>
      <c r="AD345" s="1415"/>
      <c r="AE345" s="1415"/>
    </row>
    <row r="346" spans="1:66" ht="12.95" customHeight="1">
      <c r="B346" s="4"/>
      <c r="C346" s="4"/>
      <c r="D346" s="4"/>
      <c r="E346" s="4"/>
      <c r="F346" s="4"/>
      <c r="G346" s="4"/>
      <c r="I346" s="4" t="s">
        <v>87</v>
      </c>
      <c r="P346" s="1415"/>
      <c r="Q346" s="1415"/>
      <c r="R346" s="1415"/>
      <c r="S346" s="1415"/>
      <c r="T346" s="1415"/>
      <c r="U346" s="1415"/>
      <c r="V346" s="1415"/>
      <c r="W346" s="1415"/>
      <c r="X346" s="1415"/>
      <c r="Y346" s="1415"/>
      <c r="Z346" s="1415"/>
      <c r="AA346" s="1415"/>
      <c r="AB346" s="1415"/>
      <c r="AC346" s="1415"/>
      <c r="AD346" s="1415"/>
      <c r="AE346" s="1415"/>
    </row>
    <row r="347" spans="1:66" ht="12.95" customHeight="1">
      <c r="B347" s="4"/>
      <c r="C347" s="4"/>
      <c r="D347" s="4"/>
      <c r="E347" s="4"/>
      <c r="F347" s="4"/>
      <c r="G347" s="4"/>
      <c r="H347" s="302"/>
      <c r="I347" s="4" t="s">
        <v>88</v>
      </c>
      <c r="P347" s="1472"/>
      <c r="Q347" s="1472"/>
      <c r="R347" s="1472"/>
      <c r="S347" s="1472"/>
      <c r="T347" s="1472"/>
      <c r="U347" s="1472"/>
      <c r="V347" s="1472"/>
      <c r="W347" s="1472"/>
      <c r="X347" s="1472"/>
      <c r="Y347" s="1472"/>
      <c r="Z347" s="1472"/>
      <c r="AA347" s="4" t="s">
        <v>206</v>
      </c>
      <c r="AB347" s="4"/>
      <c r="AC347" s="1440"/>
      <c r="AD347" s="1440"/>
      <c r="AE347" s="1440"/>
      <c r="AF347" s="302"/>
      <c r="AG347" s="4"/>
      <c r="AH347" s="4"/>
      <c r="AI347" s="4"/>
      <c r="AJ347" s="4"/>
      <c r="AK347" s="4"/>
    </row>
    <row r="348" spans="1:66" ht="12.95" customHeight="1">
      <c r="B348" s="4"/>
      <c r="C348" s="4"/>
      <c r="D348" s="4"/>
      <c r="E348" s="4"/>
      <c r="F348" s="4"/>
      <c r="G348" s="4"/>
      <c r="H348" s="302"/>
      <c r="I348" s="4" t="s">
        <v>89</v>
      </c>
      <c r="P348" s="1472"/>
      <c r="Q348" s="1472"/>
      <c r="R348" s="1472"/>
      <c r="S348" s="1472"/>
      <c r="T348" s="1472"/>
      <c r="U348" s="1472"/>
      <c r="V348" s="1472"/>
      <c r="W348" s="1472"/>
      <c r="X348" s="1472"/>
      <c r="Y348" s="1472"/>
      <c r="Z348" s="1472"/>
      <c r="AF348" s="302"/>
      <c r="AG348" s="4"/>
      <c r="AH348" s="4"/>
      <c r="AI348" s="35"/>
      <c r="AJ348" s="35"/>
      <c r="AK348" s="35"/>
    </row>
    <row r="349" spans="1:66" ht="12.95" customHeight="1">
      <c r="B349" s="4"/>
      <c r="C349" s="4"/>
      <c r="D349" s="4"/>
      <c r="E349" s="4"/>
      <c r="F349" s="4"/>
      <c r="G349" s="4"/>
      <c r="I349" s="4" t="s">
        <v>76</v>
      </c>
      <c r="P349" s="1393"/>
      <c r="Q349" s="1393"/>
      <c r="R349" s="1393"/>
      <c r="S349" s="1393"/>
      <c r="T349" s="1393"/>
      <c r="U349" s="1393"/>
      <c r="V349" s="1393"/>
      <c r="W349" s="1393"/>
      <c r="X349" s="1393"/>
      <c r="Y349" s="1393"/>
      <c r="Z349" s="1393"/>
      <c r="AA349" s="1393"/>
      <c r="AB349" s="1393"/>
      <c r="AC349" s="1393"/>
      <c r="AD349" s="1393"/>
      <c r="AE349" s="1393"/>
    </row>
    <row r="350" spans="1:66" ht="12.95" customHeight="1">
      <c r="T350" s="8"/>
      <c r="U350" s="8"/>
      <c r="V350" s="8"/>
      <c r="W350" s="8"/>
      <c r="X350" s="8"/>
      <c r="Y350" s="8"/>
      <c r="Z350" s="8"/>
      <c r="AU350" s="95"/>
      <c r="AV350" s="95"/>
      <c r="AW350" s="95"/>
      <c r="AX350" s="95"/>
      <c r="AY350" s="95"/>
    </row>
    <row r="351" spans="1:66" ht="12.95" customHeight="1">
      <c r="A351" s="1536" t="s">
        <v>543</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79" t="s">
        <v>546</v>
      </c>
      <c r="N355" s="1379"/>
      <c r="P355" t="s">
        <v>1651</v>
      </c>
      <c r="AJ355" s="1379" t="s">
        <v>592</v>
      </c>
      <c r="AK355" s="1379"/>
    </row>
    <row r="356" spans="1:46" ht="12.95" customHeight="1">
      <c r="D356" s="3" t="s">
        <v>1640</v>
      </c>
      <c r="M356" s="1379" t="s">
        <v>592</v>
      </c>
      <c r="N356" s="1379"/>
      <c r="P356" s="3" t="s">
        <v>1720</v>
      </c>
      <c r="AJ356" s="1426"/>
      <c r="AK356" s="1426"/>
    </row>
    <row r="357" spans="1:46" ht="12.95" customHeight="1">
      <c r="D357" s="3" t="s">
        <v>705</v>
      </c>
      <c r="M357" s="1379" t="s">
        <v>592</v>
      </c>
      <c r="N357" s="1379"/>
      <c r="P357" t="s">
        <v>1650</v>
      </c>
      <c r="AJ357" s="1379" t="s">
        <v>592</v>
      </c>
      <c r="AK357" s="1379"/>
    </row>
    <row r="358" spans="1:46" ht="12.95" customHeight="1">
      <c r="D358" s="3" t="s">
        <v>706</v>
      </c>
      <c r="M358" s="1379" t="s">
        <v>592</v>
      </c>
      <c r="N358" s="1379"/>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592</v>
      </c>
      <c r="O363" s="1379"/>
      <c r="P363" s="40"/>
      <c r="Q363" s="40"/>
      <c r="R363" s="40"/>
      <c r="S363" s="40"/>
      <c r="T363" s="40"/>
      <c r="U363" s="40"/>
      <c r="V363" s="40"/>
      <c r="W363" s="40"/>
      <c r="X363" s="40"/>
      <c r="Y363" s="40"/>
      <c r="Z363" s="40"/>
      <c r="AC363" s="40"/>
      <c r="AD363" s="40"/>
      <c r="AE363" s="40"/>
    </row>
    <row r="364" spans="1:46" ht="12.95" customHeight="1">
      <c r="E364" t="s">
        <v>370</v>
      </c>
      <c r="Y364" s="1379" t="s">
        <v>592</v>
      </c>
      <c r="Z364" s="1379"/>
    </row>
    <row r="365" spans="1:46" ht="12.95" customHeight="1">
      <c r="D365" s="4" t="s">
        <v>979</v>
      </c>
      <c r="Q365" s="1393"/>
      <c r="R365" s="1393"/>
      <c r="S365" s="1393"/>
      <c r="T365" s="1393"/>
      <c r="U365" s="1393"/>
      <c r="V365" s="1393"/>
      <c r="W365" s="1393"/>
      <c r="X365" s="1393"/>
      <c r="Y365" s="1393"/>
      <c r="Z365" s="1393"/>
      <c r="AA365" s="1393"/>
      <c r="AB365" s="1393"/>
      <c r="AC365" s="1393"/>
      <c r="AD365" s="1393"/>
      <c r="AE365" s="1393"/>
      <c r="AF365" s="1393"/>
      <c r="AG365" s="139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592</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449</v>
      </c>
      <c r="F370" s="4"/>
      <c r="G370" s="4"/>
      <c r="H370" s="4"/>
      <c r="I370" s="4"/>
      <c r="J370" s="4"/>
      <c r="K370" s="4"/>
      <c r="L370" s="4"/>
      <c r="N370" s="1368"/>
      <c r="O370" s="1368"/>
      <c r="P370" s="1368"/>
      <c r="Q370" s="1368"/>
      <c r="R370" s="4"/>
      <c r="U370" s="4" t="s">
        <v>450</v>
      </c>
      <c r="V370" s="4"/>
      <c r="W370" s="4"/>
      <c r="X370" s="4"/>
      <c r="Y370" s="4"/>
      <c r="Z370" s="4"/>
      <c r="AA370" s="4"/>
      <c r="AB370" s="4"/>
      <c r="AC370" s="1368"/>
      <c r="AD370" s="1368"/>
      <c r="AE370" s="1368"/>
      <c r="AF370" s="1368"/>
    </row>
    <row r="371" spans="1:34" ht="12.95" customHeight="1">
      <c r="E371" s="4" t="s">
        <v>451</v>
      </c>
      <c r="F371" s="4"/>
      <c r="G371" s="4"/>
      <c r="H371" s="4"/>
      <c r="I371" s="4"/>
      <c r="J371" s="4"/>
      <c r="K371" s="4"/>
      <c r="L371" s="4"/>
      <c r="N371" s="1368"/>
      <c r="O371" s="1368"/>
      <c r="P371" s="1368"/>
      <c r="Q371" s="1368"/>
      <c r="R371" s="4"/>
      <c r="U371" s="4" t="s">
        <v>0</v>
      </c>
      <c r="V371" s="4"/>
      <c r="W371" s="4"/>
      <c r="X371" s="4"/>
      <c r="Y371" s="4"/>
      <c r="Z371" s="4"/>
      <c r="AA371" s="4"/>
      <c r="AB371" s="4"/>
      <c r="AC371" s="1368"/>
      <c r="AD371" s="1368"/>
      <c r="AE371" s="1368"/>
      <c r="AF371" s="1368"/>
    </row>
    <row r="372" spans="1:34" ht="12.95" customHeight="1">
      <c r="E372" s="4" t="s">
        <v>1</v>
      </c>
      <c r="F372" s="4"/>
      <c r="G372" s="4"/>
      <c r="H372" s="4"/>
      <c r="I372" s="4"/>
      <c r="J372" s="4"/>
      <c r="K372" s="4"/>
      <c r="L372" s="4"/>
      <c r="N372" s="1368"/>
      <c r="O372" s="1368"/>
      <c r="P372" s="1368"/>
      <c r="Q372" s="1368"/>
      <c r="R372" s="4"/>
      <c r="V372" s="4"/>
      <c r="W372" s="4"/>
      <c r="X372" s="4"/>
      <c r="Y372" s="4"/>
      <c r="Z372" s="4"/>
      <c r="AA372" s="4"/>
      <c r="AB372" s="4"/>
    </row>
    <row r="373" spans="1:34" ht="12.95" customHeight="1">
      <c r="E373" s="4" t="s">
        <v>2</v>
      </c>
      <c r="F373" s="4"/>
      <c r="G373" s="4"/>
      <c r="H373" s="4"/>
      <c r="I373" s="4"/>
      <c r="J373" s="4"/>
      <c r="K373" s="4"/>
      <c r="L373" s="4"/>
      <c r="N373" s="1518"/>
      <c r="O373" s="1518"/>
      <c r="P373" s="1518"/>
      <c r="Q373" s="1518"/>
      <c r="R373" s="1518"/>
      <c r="S373" s="1518"/>
      <c r="T373" s="1518"/>
      <c r="U373" s="1518"/>
      <c r="V373" s="1518"/>
      <c r="W373" s="1518"/>
      <c r="X373" s="1518"/>
      <c r="Y373" s="1518"/>
      <c r="Z373" s="1518"/>
      <c r="AA373" s="1518"/>
      <c r="AB373" s="1518"/>
      <c r="AC373" s="1518"/>
      <c r="AD373" s="1518"/>
      <c r="AE373" s="1518"/>
      <c r="AF373" s="1518"/>
    </row>
    <row r="374" spans="1:34" ht="12.95" customHeight="1">
      <c r="E374" s="4"/>
      <c r="F374" s="4"/>
      <c r="G374" s="4"/>
      <c r="H374" s="4"/>
      <c r="I374" s="4"/>
      <c r="J374" s="4"/>
      <c r="K374" s="4"/>
      <c r="L374" s="4"/>
      <c r="N374" s="1519"/>
      <c r="O374" s="1519"/>
      <c r="P374" s="1519"/>
      <c r="Q374" s="1519"/>
      <c r="R374" s="1519"/>
      <c r="S374" s="1519"/>
      <c r="T374" s="1519"/>
      <c r="U374" s="1519"/>
      <c r="V374" s="1519"/>
      <c r="W374" s="1519"/>
      <c r="X374" s="1519"/>
      <c r="Y374" s="1519"/>
      <c r="Z374" s="1519"/>
      <c r="AA374" s="1519"/>
      <c r="AB374" s="1519"/>
      <c r="AC374" s="1519"/>
      <c r="AD374" s="1519"/>
      <c r="AE374" s="1519"/>
      <c r="AF374" s="1519"/>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50"/>
      <c r="T377" s="1450"/>
      <c r="U377" s="1" t="s">
        <v>306</v>
      </c>
      <c r="V377" s="1450"/>
      <c r="W377" s="1450"/>
      <c r="Y377" t="s">
        <v>2080</v>
      </c>
      <c r="AC377" s="27" t="s">
        <v>305</v>
      </c>
      <c r="AD377" s="1450"/>
      <c r="AE377" s="1450"/>
      <c r="AF377" s="1" t="s">
        <v>306</v>
      </c>
      <c r="AG377" s="1450"/>
      <c r="AH377" s="1450"/>
    </row>
    <row r="378" spans="1:34" ht="12.95" customHeight="1">
      <c r="E378" s="4" t="s">
        <v>988</v>
      </c>
      <c r="F378" s="4"/>
      <c r="G378" s="4"/>
      <c r="H378" s="4"/>
      <c r="I378" s="4"/>
      <c r="J378" s="4"/>
      <c r="K378" s="4"/>
      <c r="L378" s="4"/>
      <c r="N378" s="1450"/>
      <c r="O378" s="1450"/>
      <c r="P378" s="1450"/>
    </row>
    <row r="379" spans="1:34" ht="12.95" customHeight="1">
      <c r="E379" s="204" t="s">
        <v>2086</v>
      </c>
      <c r="F379" s="4"/>
      <c r="G379" s="4"/>
      <c r="H379" s="4"/>
      <c r="I379" s="4"/>
      <c r="J379" s="4"/>
      <c r="K379" s="4"/>
      <c r="L379" s="4"/>
      <c r="AG379" s="1442" t="s">
        <v>592</v>
      </c>
      <c r="AH379" s="1442"/>
    </row>
    <row r="380" spans="1:34" ht="12.95" customHeight="1">
      <c r="E380" s="4"/>
      <c r="F380" s="4"/>
      <c r="G380" s="4" t="s">
        <v>2087</v>
      </c>
      <c r="H380" s="4"/>
      <c r="I380" s="4"/>
      <c r="J380" s="4"/>
      <c r="K380" s="4"/>
      <c r="L380" s="4"/>
      <c r="AG380" s="1442" t="s">
        <v>592</v>
      </c>
      <c r="AH380" s="1442"/>
    </row>
    <row r="381" spans="1:34" ht="12.95" customHeight="1">
      <c r="E381" s="4"/>
      <c r="F381" s="4"/>
      <c r="G381" s="320" t="s">
        <v>989</v>
      </c>
      <c r="H381" s="4"/>
      <c r="I381" s="4"/>
      <c r="J381" s="4"/>
      <c r="K381" s="4"/>
      <c r="L381" s="4"/>
      <c r="V381" s="1379" t="s">
        <v>592</v>
      </c>
      <c r="W381" s="1379"/>
      <c r="Y381" s="22" t="s">
        <v>981</v>
      </c>
    </row>
    <row r="382" spans="1:34" ht="12.95" customHeight="1">
      <c r="E382" s="4" t="s">
        <v>982</v>
      </c>
      <c r="F382" s="4"/>
      <c r="G382" s="4"/>
      <c r="H382" s="4"/>
      <c r="I382" s="4"/>
      <c r="J382" s="4"/>
      <c r="K382" s="4"/>
      <c r="L382" s="4"/>
      <c r="V382" s="1379" t="s">
        <v>592</v>
      </c>
      <c r="W382" s="1379"/>
      <c r="Y382" s="4" t="s">
        <v>983</v>
      </c>
    </row>
    <row r="383" spans="1:34" ht="12.95" customHeight="1"/>
    <row r="384" spans="1:34" ht="12.95" customHeight="1">
      <c r="A384" s="2" t="s">
        <v>78</v>
      </c>
      <c r="B384" s="2"/>
    </row>
    <row r="385" spans="4:36" ht="12.95" customHeight="1">
      <c r="D385" t="s">
        <v>428</v>
      </c>
      <c r="J385" s="1393" t="s">
        <v>2684</v>
      </c>
      <c r="K385" s="1393"/>
      <c r="L385" s="1393"/>
      <c r="M385" s="1393"/>
      <c r="N385" s="1393"/>
      <c r="O385" s="1393"/>
      <c r="P385" s="1393"/>
      <c r="Q385" s="1393"/>
      <c r="R385" s="1393"/>
      <c r="S385" s="1393"/>
      <c r="T385" s="1393"/>
      <c r="U385" s="1393"/>
      <c r="V385" s="8" t="s">
        <v>83</v>
      </c>
      <c r="W385" s="8"/>
      <c r="X385" s="8"/>
      <c r="Y385" s="8"/>
      <c r="Z385" s="8"/>
      <c r="AA385" s="8"/>
      <c r="AB385" s="8"/>
      <c r="AC385" s="1393"/>
      <c r="AD385" s="1393"/>
      <c r="AE385" s="1393"/>
      <c r="AF385" s="1393"/>
      <c r="AG385" s="1393"/>
      <c r="AH385" s="1393"/>
      <c r="AI385" s="1393"/>
      <c r="AJ385" s="1393"/>
    </row>
    <row r="386" spans="4:36" ht="12.95" customHeight="1">
      <c r="D386" s="3" t="s">
        <v>1183</v>
      </c>
      <c r="J386" s="1415" t="s">
        <v>2685</v>
      </c>
      <c r="K386" s="1415"/>
      <c r="L386" s="1415"/>
      <c r="M386" s="1415"/>
      <c r="N386" s="1415"/>
      <c r="O386" s="1415"/>
      <c r="P386" s="1415"/>
      <c r="Q386" s="1415"/>
      <c r="R386" s="1415"/>
      <c r="S386" s="1415"/>
      <c r="T386" s="1415"/>
      <c r="U386" s="1415"/>
      <c r="V386" s="3" t="s">
        <v>1183</v>
      </c>
      <c r="W386" s="8"/>
      <c r="X386" s="8"/>
      <c r="Y386" s="8"/>
      <c r="Z386" s="8"/>
      <c r="AA386" s="8"/>
      <c r="AB386" s="8"/>
      <c r="AC386" s="1393"/>
      <c r="AD386" s="1393"/>
      <c r="AE386" s="1393"/>
      <c r="AF386" s="1393"/>
      <c r="AG386" s="1393"/>
      <c r="AH386" s="1393"/>
      <c r="AI386" s="1393"/>
      <c r="AJ386" s="1393"/>
    </row>
    <row r="387" spans="4:36" ht="12.95" customHeight="1">
      <c r="D387" s="3" t="s">
        <v>442</v>
      </c>
      <c r="J387" s="1415"/>
      <c r="K387" s="1415"/>
      <c r="L387" s="1415"/>
      <c r="M387" s="1415"/>
      <c r="N387" s="1415"/>
      <c r="O387" s="1415"/>
      <c r="P387" s="1415"/>
      <c r="Q387" s="1415"/>
      <c r="R387" s="1415"/>
      <c r="S387" s="1415"/>
      <c r="T387" s="1415"/>
      <c r="U387" s="1415"/>
      <c r="V387" s="3" t="s">
        <v>442</v>
      </c>
      <c r="W387" s="8"/>
      <c r="X387" s="8"/>
      <c r="Y387" s="8"/>
      <c r="Z387" s="8"/>
      <c r="AA387" s="8"/>
      <c r="AB387" s="8"/>
      <c r="AC387" s="1393"/>
      <c r="AD387" s="1393"/>
      <c r="AE387" s="1393"/>
      <c r="AF387" s="1393"/>
      <c r="AG387" s="1393"/>
      <c r="AH387" s="1393"/>
      <c r="AI387" s="1393"/>
      <c r="AJ387" s="1393"/>
    </row>
    <row r="388" spans="4:36" ht="12.95" customHeight="1">
      <c r="D388" t="s">
        <v>1179</v>
      </c>
      <c r="J388" s="1391"/>
      <c r="K388" s="1391"/>
      <c r="L388" s="1391"/>
      <c r="M388" s="1391"/>
      <c r="N388" s="1391"/>
      <c r="O388" s="1391"/>
      <c r="P388" s="1391"/>
      <c r="Q388" s="1391"/>
      <c r="R388" s="1391"/>
      <c r="S388" s="1391"/>
      <c r="T388" s="1391"/>
      <c r="U388" s="1391"/>
      <c r="V388" s="1393"/>
      <c r="W388" s="1393"/>
      <c r="X388" s="1393"/>
      <c r="Y388" s="1393"/>
      <c r="Z388" s="1393"/>
      <c r="AA388" s="1393"/>
      <c r="AB388" s="1393"/>
      <c r="AC388" s="1393"/>
      <c r="AD388" s="1393"/>
      <c r="AE388" s="1393"/>
      <c r="AF388" s="1393"/>
      <c r="AG388" s="1393"/>
      <c r="AH388" s="1393"/>
      <c r="AI388" s="1393"/>
      <c r="AJ388" s="1393"/>
    </row>
    <row r="389" spans="4:36" ht="12.95" customHeight="1">
      <c r="D389" t="s">
        <v>4</v>
      </c>
      <c r="Q389" s="1577">
        <v>45195</v>
      </c>
      <c r="R389" s="1577"/>
      <c r="S389" s="1577"/>
      <c r="T389" s="1577"/>
      <c r="U389" s="1577"/>
      <c r="V389" t="s">
        <v>309</v>
      </c>
      <c r="AI389" s="1379" t="s">
        <v>670</v>
      </c>
      <c r="AJ389" s="1379"/>
    </row>
    <row r="390" spans="4:36" ht="12.95" customHeight="1">
      <c r="D390" t="s">
        <v>5</v>
      </c>
      <c r="Q390" s="1501">
        <v>46006</v>
      </c>
      <c r="R390" s="1502"/>
      <c r="S390" s="1502"/>
      <c r="T390" s="1502"/>
      <c r="U390" s="1502"/>
      <c r="W390" s="21" t="s">
        <v>74</v>
      </c>
      <c r="AG390" s="1454"/>
      <c r="AH390" s="1454"/>
      <c r="AI390" s="1454"/>
      <c r="AJ390" s="1454"/>
    </row>
    <row r="391" spans="4:36" ht="12.95" customHeight="1">
      <c r="D391" t="s">
        <v>427</v>
      </c>
      <c r="Q391" s="1455">
        <v>3000000</v>
      </c>
      <c r="R391" s="1455"/>
      <c r="S391" s="1455"/>
      <c r="T391" s="1455"/>
      <c r="U391" s="1455"/>
      <c r="V391" s="3" t="s">
        <v>1182</v>
      </c>
      <c r="AG391" s="1499"/>
      <c r="AH391" s="1499"/>
      <c r="AI391" s="1499"/>
      <c r="AJ391" s="1499"/>
    </row>
    <row r="392" spans="4:36" ht="12.95" customHeight="1">
      <c r="D392" t="s">
        <v>88</v>
      </c>
      <c r="I392" s="1525"/>
      <c r="J392" s="1525"/>
      <c r="K392" s="1525"/>
      <c r="L392" s="1525"/>
      <c r="M392" s="1525"/>
      <c r="N392" s="1525"/>
      <c r="Q392" s="4" t="s">
        <v>206</v>
      </c>
      <c r="S392" s="1453"/>
      <c r="T392" s="1453"/>
      <c r="U392" s="1453"/>
      <c r="V392" t="s">
        <v>73</v>
      </c>
      <c r="AI392" s="1379" t="s">
        <v>670</v>
      </c>
      <c r="AJ392" s="1379"/>
    </row>
    <row r="393" spans="4:36" ht="12.95" customHeight="1">
      <c r="D393" t="s">
        <v>310</v>
      </c>
      <c r="Q393" s="1441"/>
      <c r="R393" s="1441"/>
      <c r="S393" s="1441"/>
      <c r="T393" s="1441"/>
      <c r="U393" s="1441"/>
      <c r="V393" t="s">
        <v>311</v>
      </c>
      <c r="AG393" s="1454"/>
      <c r="AH393" s="1454"/>
      <c r="AI393" s="1454"/>
      <c r="AJ393" s="1454"/>
    </row>
    <row r="394" spans="4:36" ht="12.95" customHeight="1">
      <c r="D394" t="s">
        <v>312</v>
      </c>
      <c r="Q394" s="1522"/>
      <c r="R394" s="1522"/>
      <c r="S394" s="1522"/>
      <c r="T394" s="1522"/>
      <c r="U394" s="1522"/>
      <c r="V394" t="s">
        <v>1164</v>
      </c>
      <c r="AG394" s="1454"/>
      <c r="AH394" s="1454"/>
      <c r="AI394" s="1454"/>
      <c r="AJ394" s="1454"/>
    </row>
    <row r="395" spans="4:36" ht="12.95" customHeight="1">
      <c r="D395" t="s">
        <v>1163</v>
      </c>
      <c r="AG395" s="1454"/>
      <c r="AH395" s="1454"/>
      <c r="AI395" s="1454"/>
      <c r="AJ395" s="1454"/>
    </row>
    <row r="396" spans="4:36" ht="12.95" customHeight="1">
      <c r="AG396" s="456"/>
      <c r="AH396" s="456"/>
      <c r="AI396" s="456"/>
      <c r="AJ396" s="456"/>
    </row>
    <row r="397" spans="4:36" ht="12.95" customHeight="1">
      <c r="D397" s="3" t="s">
        <v>2143</v>
      </c>
      <c r="AG397" s="456"/>
      <c r="AH397" s="456"/>
      <c r="AI397" s="1379" t="s">
        <v>670</v>
      </c>
      <c r="AJ397" s="1379"/>
    </row>
    <row r="398" spans="4:36" ht="12.95" customHeight="1">
      <c r="D398" s="3" t="s">
        <v>1668</v>
      </c>
      <c r="T398" s="1412"/>
      <c r="U398" s="1412"/>
      <c r="V398" s="1412"/>
      <c r="W398" s="1412"/>
      <c r="X398" s="1412"/>
      <c r="Y398" s="1412"/>
      <c r="Z398" s="1412"/>
      <c r="AA398" s="1412"/>
      <c r="AB398" s="1412"/>
      <c r="AC398" s="1412"/>
      <c r="AD398" s="1412"/>
      <c r="AE398" s="1412"/>
      <c r="AF398" s="1412"/>
      <c r="AG398" s="1412"/>
      <c r="AH398" s="1412"/>
      <c r="AI398" s="1412"/>
      <c r="AJ398" s="1412"/>
    </row>
    <row r="399" spans="4:36" ht="12.95" customHeight="1">
      <c r="D399" s="3" t="s">
        <v>1667</v>
      </c>
      <c r="T399" s="1412"/>
      <c r="U399" s="1412"/>
      <c r="V399" s="1412"/>
      <c r="W399" s="1412"/>
      <c r="X399" s="1412"/>
      <c r="Y399" s="1412"/>
      <c r="Z399" s="1412"/>
      <c r="AA399" s="1412"/>
      <c r="AB399" s="1412"/>
      <c r="AC399" s="1412"/>
      <c r="AD399" s="1412"/>
      <c r="AE399" s="1412"/>
      <c r="AF399" s="1412"/>
      <c r="AG399" s="1412"/>
      <c r="AH399" s="1412"/>
      <c r="AI399" s="1412"/>
      <c r="AJ399" s="1412"/>
    </row>
    <row r="400" spans="4:36" ht="12.95" customHeight="1">
      <c r="AG400" s="456"/>
      <c r="AH400" s="456"/>
      <c r="AI400" s="456"/>
      <c r="AJ400" s="456"/>
    </row>
    <row r="401" spans="1:36" ht="12.95" customHeight="1">
      <c r="D401" s="3" t="s">
        <v>1661</v>
      </c>
      <c r="S401" s="1412" t="s">
        <v>670</v>
      </c>
      <c r="T401" s="1412"/>
      <c r="U401" s="1412"/>
      <c r="V401" t="s">
        <v>1662</v>
      </c>
      <c r="AG401" s="1504"/>
      <c r="AH401" s="1504"/>
      <c r="AI401" s="1504"/>
      <c r="AJ401" s="1504"/>
    </row>
    <row r="402" spans="1:36" ht="12.95" customHeight="1">
      <c r="D402" s="3" t="s">
        <v>1659</v>
      </c>
      <c r="S402" s="1412" t="s">
        <v>592</v>
      </c>
      <c r="T402" s="1412"/>
      <c r="U402" s="1412"/>
      <c r="V402" t="s">
        <v>1664</v>
      </c>
      <c r="AE402" s="1531"/>
      <c r="AF402" s="1531"/>
      <c r="AG402" s="1531"/>
      <c r="AH402" s="1531"/>
      <c r="AI402" s="1531"/>
      <c r="AJ402" s="1531"/>
    </row>
    <row r="403" spans="1:36" ht="12.95" customHeight="1">
      <c r="D403" s="3" t="s">
        <v>1660</v>
      </c>
      <c r="K403" s="1500"/>
      <c r="L403" s="1500"/>
      <c r="M403" s="1500"/>
      <c r="N403" s="1500"/>
      <c r="O403" s="1500"/>
      <c r="P403" s="1500"/>
      <c r="Q403" s="1500"/>
      <c r="R403" s="1500"/>
      <c r="S403" s="1500"/>
      <c r="T403" s="1500"/>
      <c r="U403" s="1500"/>
      <c r="V403" s="1500"/>
      <c r="W403" s="1500"/>
      <c r="X403" s="1500"/>
      <c r="Y403" s="1500"/>
      <c r="Z403" s="1500"/>
      <c r="AA403" s="1500"/>
      <c r="AB403" s="1500"/>
      <c r="AC403" s="1500"/>
      <c r="AD403" s="1500"/>
      <c r="AE403" s="1500"/>
      <c r="AF403" s="1500"/>
      <c r="AG403" s="1500"/>
      <c r="AH403" s="1500"/>
      <c r="AI403" s="1500"/>
      <c r="AJ403" s="1500"/>
    </row>
    <row r="404" spans="1:36" ht="12.95" customHeight="1">
      <c r="D404" s="3" t="s">
        <v>1663</v>
      </c>
      <c r="K404" s="1500"/>
      <c r="L404" s="1500"/>
      <c r="M404" s="1500"/>
      <c r="N404" s="1500"/>
      <c r="O404" s="1500"/>
      <c r="P404" s="1500"/>
      <c r="Q404" s="1500"/>
      <c r="R404" s="1500"/>
      <c r="S404" s="1500"/>
      <c r="T404" s="1500"/>
      <c r="U404" s="1500"/>
      <c r="V404" s="1500"/>
      <c r="W404" s="1500"/>
      <c r="X404" s="1500"/>
      <c r="Y404" s="1500"/>
      <c r="Z404" s="1500"/>
      <c r="AA404" s="1500"/>
      <c r="AB404" s="1500"/>
      <c r="AC404" s="1500"/>
      <c r="AD404" s="1500"/>
      <c r="AE404" s="1500"/>
      <c r="AF404" s="1500"/>
      <c r="AG404" s="1500"/>
      <c r="AH404" s="1500"/>
      <c r="AI404" s="1500"/>
      <c r="AJ404" s="1500"/>
    </row>
    <row r="405" spans="1:36" ht="12.95" customHeight="1">
      <c r="D405" s="3" t="s">
        <v>1666</v>
      </c>
      <c r="E405" s="477"/>
      <c r="F405" s="477"/>
      <c r="G405" s="477"/>
      <c r="H405" s="477"/>
      <c r="I405" s="477"/>
      <c r="J405" s="477"/>
      <c r="K405" s="477"/>
      <c r="L405" s="477"/>
      <c r="M405" s="477"/>
      <c r="N405" s="477"/>
      <c r="O405" s="477"/>
      <c r="P405" s="477"/>
      <c r="Q405" s="477"/>
      <c r="R405" s="477"/>
      <c r="S405" s="1452" t="s">
        <v>1185</v>
      </c>
      <c r="T405" s="1452"/>
      <c r="U405" s="1452"/>
      <c r="V405" s="1452"/>
      <c r="W405" s="1452"/>
      <c r="X405" s="1452"/>
      <c r="Y405" s="1452"/>
      <c r="Z405" s="1452"/>
      <c r="AA405" s="1452"/>
      <c r="AB405" s="1452"/>
      <c r="AC405" s="1452"/>
      <c r="AD405" s="1452"/>
      <c r="AE405" s="1452"/>
      <c r="AF405" s="1452"/>
      <c r="AG405" s="1452"/>
      <c r="AH405" s="1452"/>
      <c r="AI405" s="1452"/>
      <c r="AJ405" s="1452"/>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03" t="s">
        <v>2686</v>
      </c>
      <c r="J410" s="1503"/>
      <c r="K410" s="1503"/>
      <c r="L410" s="1503"/>
      <c r="M410" s="1503"/>
      <c r="N410" s="1503"/>
      <c r="O410" s="1503"/>
      <c r="P410" s="1503"/>
      <c r="Q410" s="1503"/>
      <c r="R410" s="1503"/>
      <c r="S410" s="1503"/>
      <c r="T410" s="1503"/>
      <c r="U410" s="1503"/>
      <c r="V410" s="1503"/>
      <c r="W410" s="1503"/>
      <c r="X410" s="1503"/>
      <c r="Y410" s="1503"/>
      <c r="Z410" s="1503"/>
      <c r="AA410" s="1503"/>
      <c r="AB410" s="1503"/>
      <c r="AC410" s="1503"/>
      <c r="AD410" s="1503"/>
      <c r="AE410" s="1503"/>
    </row>
    <row r="411" spans="1:36" ht="12.95" customHeight="1">
      <c r="E411" t="s">
        <v>106</v>
      </c>
      <c r="R411" s="1379" t="s">
        <v>546</v>
      </c>
      <c r="S411" s="1379"/>
      <c r="AC411" s="27" t="s">
        <v>571</v>
      </c>
      <c r="AD411" s="1368">
        <v>5</v>
      </c>
      <c r="AE411" s="1368"/>
    </row>
    <row r="412" spans="1:36" ht="12.95" customHeight="1">
      <c r="E412" t="s">
        <v>107</v>
      </c>
      <c r="R412" s="1379" t="s">
        <v>592</v>
      </c>
      <c r="S412" s="1379"/>
      <c r="AC412" s="27" t="s">
        <v>571</v>
      </c>
      <c r="AD412" s="1368"/>
      <c r="AE412" s="1368"/>
    </row>
    <row r="413" spans="1:36" ht="12.95" customHeight="1">
      <c r="E413" t="s">
        <v>108</v>
      </c>
      <c r="S413" s="1379" t="s">
        <v>592</v>
      </c>
      <c r="T413" s="1379"/>
    </row>
    <row r="414" spans="1:36" ht="12.95" customHeight="1">
      <c r="E414" t="s">
        <v>170</v>
      </c>
      <c r="H414" s="1578" t="s">
        <v>334</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5" customHeight="1"/>
    <row r="417" spans="1:39" ht="12.95" customHeight="1">
      <c r="A417" s="2" t="s">
        <v>591</v>
      </c>
      <c r="B417" s="2"/>
      <c r="C417" s="2"/>
      <c r="D417" s="2" t="s">
        <v>114</v>
      </c>
      <c r="AF417" s="2" t="s">
        <v>958</v>
      </c>
    </row>
    <row r="418" spans="1:39" ht="12.95" customHeight="1">
      <c r="E418" s="1450"/>
      <c r="F418" s="1450"/>
      <c r="G418" s="1450"/>
      <c r="H418" s="13" t="s">
        <v>115</v>
      </c>
      <c r="I418" s="1450"/>
      <c r="J418" s="1450"/>
      <c r="K418" s="1450"/>
      <c r="L418" t="s">
        <v>116</v>
      </c>
      <c r="N418" s="27" t="s">
        <v>576</v>
      </c>
      <c r="P418" s="1575">
        <v>3.42</v>
      </c>
      <c r="Q418" s="1575"/>
      <c r="R418" s="1575"/>
      <c r="S418" t="s">
        <v>117</v>
      </c>
      <c r="W418" s="1451">
        <f>IF(E418&gt;0,(E418*I418),(P418*43560))</f>
        <v>148975.19999999998</v>
      </c>
      <c r="X418" s="1451"/>
      <c r="Y418" s="1451"/>
      <c r="Z418" t="s">
        <v>118</v>
      </c>
      <c r="AF418" s="1576">
        <f>IFERROR(IF(P418&gt;0,(AG437/P418),(AG437/(W418/43560))),0)</f>
        <v>44.444444444444443</v>
      </c>
      <c r="AG418" s="1576"/>
      <c r="AH418" s="1576"/>
      <c r="AM418" s="3"/>
    </row>
    <row r="419" spans="1:39" ht="12.95" customHeight="1">
      <c r="E419" t="s">
        <v>51</v>
      </c>
    </row>
    <row r="420" spans="1:39" ht="12.95" customHeight="1">
      <c r="E420" s="1572"/>
      <c r="F420" s="1572"/>
      <c r="G420" s="1572"/>
      <c r="H420" s="1572"/>
      <c r="I420" s="1572"/>
      <c r="J420" s="1572"/>
      <c r="K420" s="1572"/>
      <c r="L420" s="1572"/>
      <c r="M420" s="1572"/>
      <c r="N420" s="1572"/>
      <c r="O420" s="1572"/>
      <c r="P420" s="1572"/>
      <c r="Q420" s="1572"/>
      <c r="R420" s="1572"/>
      <c r="S420" s="1572"/>
      <c r="T420" s="1572"/>
      <c r="U420" s="1572"/>
      <c r="V420" s="1572"/>
      <c r="W420" s="1572"/>
      <c r="X420" s="1572"/>
      <c r="Y420" s="1572"/>
      <c r="Z420" s="1572"/>
      <c r="AA420" s="1572"/>
      <c r="AB420" s="1572"/>
      <c r="AC420" s="1572"/>
      <c r="AD420" s="1572"/>
      <c r="AE420" s="1572"/>
      <c r="AF420" s="1572"/>
      <c r="AG420" s="1572"/>
      <c r="AH420" s="1572"/>
      <c r="AI420" s="1572"/>
      <c r="AJ420" s="1572"/>
    </row>
    <row r="421" spans="1:39" ht="12.95" customHeight="1">
      <c r="E421" s="118" t="s">
        <v>1737</v>
      </c>
      <c r="F421" s="1013"/>
      <c r="G421" s="1013"/>
      <c r="H421" s="1013"/>
      <c r="I421" s="1574">
        <v>3.42</v>
      </c>
      <c r="J421" s="1574"/>
      <c r="K421" s="1574"/>
      <c r="L421" s="1013"/>
      <c r="M421" s="118"/>
      <c r="N421" s="1013"/>
      <c r="O421" s="1013"/>
      <c r="P421" s="1583">
        <f>(DU755+DU778+DU800)/I421</f>
        <v>88.304093567251471</v>
      </c>
      <c r="Q421" s="1583"/>
      <c r="R421" s="158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79">
        <v>2</v>
      </c>
      <c r="Q424" s="1379"/>
      <c r="S424" t="s">
        <v>189</v>
      </c>
      <c r="AE424" s="1379">
        <v>2</v>
      </c>
      <c r="AF424" s="1379"/>
    </row>
    <row r="425" spans="1:39" ht="12.95" customHeight="1">
      <c r="E425" t="s">
        <v>190</v>
      </c>
      <c r="P425" s="1379">
        <v>0</v>
      </c>
      <c r="Q425" s="1379"/>
      <c r="S425" t="s">
        <v>131</v>
      </c>
      <c r="AE425" s="1379" t="s">
        <v>592</v>
      </c>
      <c r="AF425" s="1379"/>
    </row>
    <row r="426" spans="1:39" ht="12.95" customHeight="1">
      <c r="F426" s="28" t="s">
        <v>132</v>
      </c>
    </row>
    <row r="427" spans="1:39" ht="12.95" customHeight="1">
      <c r="F427" s="1520"/>
      <c r="G427" s="1520"/>
      <c r="H427" s="1520"/>
      <c r="I427" s="1520"/>
      <c r="J427" s="1520"/>
      <c r="K427" s="1520"/>
      <c r="L427" s="1520"/>
      <c r="M427" s="1520"/>
      <c r="N427" s="1520"/>
      <c r="O427" s="1520"/>
      <c r="P427" s="1520"/>
      <c r="Q427" s="1520"/>
      <c r="R427" s="1520"/>
      <c r="S427" s="1520"/>
      <c r="T427" s="1520"/>
      <c r="U427" s="1520"/>
      <c r="V427" s="1520"/>
      <c r="W427" s="1520"/>
      <c r="X427" s="1520"/>
      <c r="Y427" s="1520"/>
      <c r="Z427" s="1520"/>
      <c r="AA427" s="1520"/>
      <c r="AB427" s="1520"/>
      <c r="AC427" s="1520"/>
      <c r="AD427" s="1520"/>
      <c r="AE427" s="1520"/>
      <c r="AF427" s="1520"/>
      <c r="AG427" s="1520"/>
      <c r="AH427" s="1520"/>
    </row>
    <row r="428" spans="1:39" ht="12.95" customHeight="1">
      <c r="F428" s="1521"/>
      <c r="G428" s="1521"/>
      <c r="H428" s="1521"/>
      <c r="I428" s="1521"/>
      <c r="J428" s="1521"/>
      <c r="K428" s="1521"/>
      <c r="L428" s="1521"/>
      <c r="M428" s="1521"/>
      <c r="N428" s="1521"/>
      <c r="O428" s="1521"/>
      <c r="P428" s="1521"/>
      <c r="Q428" s="1521"/>
      <c r="R428" s="1521"/>
      <c r="S428" s="1521"/>
      <c r="T428" s="1521"/>
      <c r="U428" s="1521"/>
      <c r="V428" s="1521"/>
      <c r="W428" s="1521"/>
      <c r="X428" s="1521"/>
      <c r="Y428" s="1521"/>
      <c r="Z428" s="1521"/>
      <c r="AA428" s="1521"/>
      <c r="AB428" s="1521"/>
      <c r="AC428" s="1521"/>
      <c r="AD428" s="1521"/>
      <c r="AE428" s="1521"/>
      <c r="AF428" s="1521"/>
      <c r="AG428" s="1521"/>
      <c r="AH428" s="1521"/>
    </row>
    <row r="429" spans="1:39" ht="12.95" customHeight="1">
      <c r="E429" t="s">
        <v>609</v>
      </c>
      <c r="P429" s="1"/>
      <c r="Q429" s="1379" t="s">
        <v>546</v>
      </c>
      <c r="R429" s="1379"/>
    </row>
    <row r="430" spans="1:39" ht="12.95" customHeight="1">
      <c r="F430" t="s">
        <v>610</v>
      </c>
      <c r="P430" s="1"/>
      <c r="Q430" s="1"/>
      <c r="AF430" s="1379" t="s">
        <v>592</v>
      </c>
      <c r="AG430" s="1474"/>
    </row>
    <row r="431" spans="1:39" ht="12.95" customHeight="1"/>
    <row r="432" spans="1:39" ht="12.95" customHeight="1">
      <c r="A432" s="2"/>
      <c r="B432" s="2"/>
      <c r="C432" s="2"/>
      <c r="E432" s="4" t="s">
        <v>308</v>
      </c>
      <c r="Z432" s="1379" t="s">
        <v>670</v>
      </c>
      <c r="AA432" s="1379"/>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79" t="s">
        <v>592</v>
      </c>
      <c r="AA434" s="1379"/>
    </row>
    <row r="435" spans="1:55" ht="12.95" customHeight="1"/>
    <row r="436" spans="1:55" ht="12.95" customHeight="1">
      <c r="A436" s="2" t="s">
        <v>468</v>
      </c>
      <c r="B436" s="2"/>
      <c r="C436" s="2"/>
      <c r="D436" s="2" t="s">
        <v>765</v>
      </c>
      <c r="AF436" s="48"/>
    </row>
    <row r="437" spans="1:55" ht="12.95" customHeight="1">
      <c r="D437" s="1573"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429">
        <v>152</v>
      </c>
      <c r="AH437" s="1429"/>
      <c r="AI437" s="1429"/>
      <c r="AJ437" s="1429"/>
    </row>
    <row r="438" spans="1:55" ht="12.95" customHeight="1">
      <c r="D438" s="1444" t="s">
        <v>1223</v>
      </c>
      <c r="E438" s="1505"/>
      <c r="F438" s="1505"/>
      <c r="G438" s="1505"/>
      <c r="H438" s="1505"/>
      <c r="I438" s="1505"/>
      <c r="J438" s="1505"/>
      <c r="K438" s="1505"/>
      <c r="L438" s="1505"/>
      <c r="M438" s="1505"/>
      <c r="N438" s="1505"/>
      <c r="O438" s="1505"/>
      <c r="P438" s="1505"/>
      <c r="Q438" s="1505"/>
      <c r="R438" s="1505"/>
      <c r="S438" s="1505"/>
      <c r="T438" s="1505"/>
      <c r="U438" s="1505"/>
      <c r="V438" s="1505"/>
      <c r="W438" s="1505"/>
      <c r="X438" s="1505"/>
      <c r="Y438" s="1505"/>
      <c r="Z438" s="1505"/>
      <c r="AA438" s="1505"/>
      <c r="AB438" s="1505"/>
      <c r="AC438" s="1505"/>
      <c r="AD438" s="1505"/>
      <c r="AE438" s="1505"/>
      <c r="AF438" s="1506"/>
      <c r="AG438" s="1443">
        <v>0</v>
      </c>
      <c r="AH438" s="1375"/>
      <c r="AI438" s="1375"/>
      <c r="AJ438" s="1375"/>
    </row>
    <row r="439" spans="1:55" ht="12.95" customHeight="1">
      <c r="D439" s="1444" t="s">
        <v>1032</v>
      </c>
      <c r="E439" s="1505"/>
      <c r="F439" s="1505"/>
      <c r="G439" s="1505"/>
      <c r="H439" s="1505"/>
      <c r="I439" s="1505"/>
      <c r="J439" s="1505"/>
      <c r="K439" s="1505"/>
      <c r="L439" s="1505"/>
      <c r="M439" s="1505"/>
      <c r="N439" s="1505"/>
      <c r="O439" s="1505"/>
      <c r="P439" s="1505"/>
      <c r="Q439" s="1505"/>
      <c r="R439" s="1505"/>
      <c r="S439" s="1505"/>
      <c r="T439" s="1505"/>
      <c r="U439" s="1505"/>
      <c r="V439" s="1505"/>
      <c r="W439" s="1505"/>
      <c r="X439" s="1505"/>
      <c r="Y439" s="1505"/>
      <c r="Z439" s="1505"/>
      <c r="AA439" s="1505"/>
      <c r="AB439" s="1505"/>
      <c r="AC439" s="1505"/>
      <c r="AD439" s="1505"/>
      <c r="AE439" s="1505"/>
      <c r="AF439" s="1506"/>
      <c r="AG439" s="1429">
        <v>151</v>
      </c>
      <c r="AH439" s="1429"/>
      <c r="AI439" s="1429"/>
      <c r="AJ439" s="1429"/>
    </row>
    <row r="440" spans="1:55" ht="12.95" customHeight="1">
      <c r="D440" s="1444" t="s">
        <v>1033</v>
      </c>
      <c r="E440" s="1505"/>
      <c r="F440" s="1505"/>
      <c r="G440" s="1505"/>
      <c r="H440" s="1505"/>
      <c r="I440" s="1505"/>
      <c r="J440" s="1505"/>
      <c r="K440" s="1505"/>
      <c r="L440" s="1505"/>
      <c r="M440" s="1505"/>
      <c r="N440" s="1505"/>
      <c r="O440" s="1505"/>
      <c r="P440" s="1505"/>
      <c r="Q440" s="1505"/>
      <c r="R440" s="1505"/>
      <c r="S440" s="1505"/>
      <c r="T440" s="1505"/>
      <c r="U440" s="1505"/>
      <c r="V440" s="1505"/>
      <c r="W440" s="1505"/>
      <c r="X440" s="1505"/>
      <c r="Y440" s="1505"/>
      <c r="Z440" s="1505"/>
      <c r="AA440" s="1505"/>
      <c r="AB440" s="1505"/>
      <c r="AC440" s="1505"/>
      <c r="AD440" s="1505"/>
      <c r="AE440" s="1505"/>
      <c r="AF440" s="1506"/>
      <c r="AG440" s="1429">
        <v>151</v>
      </c>
      <c r="AH440" s="1429"/>
      <c r="AI440" s="1429"/>
      <c r="AJ440" s="1429"/>
    </row>
    <row r="441" spans="1:55" ht="12.95" customHeight="1">
      <c r="D441" s="1444" t="s">
        <v>1035</v>
      </c>
      <c r="E441" s="1505"/>
      <c r="F441" s="1505"/>
      <c r="G441" s="1505"/>
      <c r="H441" s="1505"/>
      <c r="I441" s="1505"/>
      <c r="J441" s="1505"/>
      <c r="K441" s="1505"/>
      <c r="L441" s="1505"/>
      <c r="M441" s="1505"/>
      <c r="N441" s="1505"/>
      <c r="O441" s="1505"/>
      <c r="P441" s="1505"/>
      <c r="Q441" s="1505"/>
      <c r="R441" s="1505"/>
      <c r="S441" s="1505"/>
      <c r="T441" s="1505"/>
      <c r="U441" s="1505"/>
      <c r="V441" s="1505"/>
      <c r="W441" s="1505"/>
      <c r="X441" s="1505"/>
      <c r="Y441" s="1505"/>
      <c r="Z441" s="1505"/>
      <c r="AA441" s="1505"/>
      <c r="AB441" s="1505"/>
      <c r="AC441" s="1505"/>
      <c r="AD441" s="1505"/>
      <c r="AE441" s="1505"/>
      <c r="AF441" s="1506"/>
      <c r="AG441" s="1460">
        <f>IF(ISERROR(AG440/AG439),0,AG440/AG439)</f>
        <v>1</v>
      </c>
      <c r="AH441" s="1460"/>
      <c r="AI441" s="1460"/>
      <c r="AJ441" s="1460"/>
    </row>
    <row r="442" spans="1:55" ht="12.95" customHeight="1">
      <c r="D442" s="1444" t="s">
        <v>1034</v>
      </c>
      <c r="E442" s="1505"/>
      <c r="F442" s="1505"/>
      <c r="G442" s="1505"/>
      <c r="H442" s="1505"/>
      <c r="I442" s="1505"/>
      <c r="J442" s="1505"/>
      <c r="K442" s="1505"/>
      <c r="L442" s="1505"/>
      <c r="M442" s="1505"/>
      <c r="N442" s="1505"/>
      <c r="O442" s="1505"/>
      <c r="P442" s="1505"/>
      <c r="Q442" s="1505"/>
      <c r="R442" s="1505"/>
      <c r="S442" s="1505"/>
      <c r="T442" s="1505"/>
      <c r="U442" s="1505"/>
      <c r="V442" s="1505"/>
      <c r="W442" s="1505"/>
      <c r="X442" s="1505"/>
      <c r="Y442" s="1505"/>
      <c r="Z442" s="1505"/>
      <c r="AA442" s="1505"/>
      <c r="AB442" s="1505"/>
      <c r="AC442" s="1505"/>
      <c r="AD442" s="1505"/>
      <c r="AE442" s="1505"/>
      <c r="AF442" s="1506"/>
      <c r="AG442" s="1475">
        <v>16783</v>
      </c>
      <c r="AH442" s="1475"/>
      <c r="AI442" s="1475"/>
      <c r="AJ442" s="1475"/>
    </row>
    <row r="443" spans="1:55" ht="12.95" customHeight="1">
      <c r="D443" s="1444" t="s">
        <v>1036</v>
      </c>
      <c r="E443" s="1505"/>
      <c r="F443" s="1505"/>
      <c r="G443" s="1505"/>
      <c r="H443" s="1505"/>
      <c r="I443" s="1505"/>
      <c r="J443" s="1505"/>
      <c r="K443" s="1505"/>
      <c r="L443" s="1505"/>
      <c r="M443" s="1505"/>
      <c r="N443" s="1505"/>
      <c r="O443" s="1505"/>
      <c r="P443" s="1505"/>
      <c r="Q443" s="1505"/>
      <c r="R443" s="1505"/>
      <c r="S443" s="1505"/>
      <c r="T443" s="1505"/>
      <c r="U443" s="1505"/>
      <c r="V443" s="1505"/>
      <c r="W443" s="1505"/>
      <c r="X443" s="1505"/>
      <c r="Y443" s="1505"/>
      <c r="Z443" s="1505"/>
      <c r="AA443" s="1505"/>
      <c r="AB443" s="1505"/>
      <c r="AC443" s="1505"/>
      <c r="AD443" s="1505"/>
      <c r="AE443" s="1505"/>
      <c r="AF443" s="1506"/>
      <c r="AG443" s="1475">
        <v>16783</v>
      </c>
      <c r="AH443" s="1475"/>
      <c r="AI443" s="1475"/>
      <c r="AJ443" s="1475"/>
    </row>
    <row r="444" spans="1:55" ht="12.95" customHeight="1">
      <c r="D444" s="1444" t="s">
        <v>1037</v>
      </c>
      <c r="E444" s="1505"/>
      <c r="F444" s="1505"/>
      <c r="G444" s="1505"/>
      <c r="H444" s="1505"/>
      <c r="I444" s="1505"/>
      <c r="J444" s="1505"/>
      <c r="K444" s="1505"/>
      <c r="L444" s="1505"/>
      <c r="M444" s="1505"/>
      <c r="N444" s="1505"/>
      <c r="O444" s="1505"/>
      <c r="P444" s="1505"/>
      <c r="Q444" s="1505"/>
      <c r="R444" s="1505"/>
      <c r="S444" s="1505"/>
      <c r="T444" s="1505"/>
      <c r="U444" s="1505"/>
      <c r="V444" s="1505"/>
      <c r="W444" s="1505"/>
      <c r="X444" s="1505"/>
      <c r="Y444" s="1505"/>
      <c r="Z444" s="1505"/>
      <c r="AA444" s="1505"/>
      <c r="AB444" s="1505"/>
      <c r="AC444" s="1505"/>
      <c r="AD444" s="1505"/>
      <c r="AE444" s="1505"/>
      <c r="AF444" s="1506"/>
      <c r="AG444" s="1460">
        <f>IF(ISERROR(AG443/AG442),0,AG443/AG442)</f>
        <v>1</v>
      </c>
      <c r="AH444" s="1460"/>
      <c r="AI444" s="1460"/>
      <c r="AJ444" s="1460"/>
    </row>
    <row r="445" spans="1:55" ht="12.95" customHeight="1">
      <c r="D445" s="1444" t="s">
        <v>1038</v>
      </c>
      <c r="E445" s="1505"/>
      <c r="F445" s="1505"/>
      <c r="G445" s="1505"/>
      <c r="H445" s="1505"/>
      <c r="I445" s="1505"/>
      <c r="J445" s="1505"/>
      <c r="K445" s="1505"/>
      <c r="L445" s="1505"/>
      <c r="M445" s="1505"/>
      <c r="N445" s="1505"/>
      <c r="O445" s="1505"/>
      <c r="P445" s="1505"/>
      <c r="Q445" s="1505"/>
      <c r="R445" s="1505"/>
      <c r="S445" s="1505"/>
      <c r="T445" s="1505"/>
      <c r="U445" s="1505"/>
      <c r="V445" s="1505"/>
      <c r="W445" s="1505"/>
      <c r="X445" s="1505"/>
      <c r="Y445" s="1505"/>
      <c r="Z445" s="1505"/>
      <c r="AA445" s="1505"/>
      <c r="AB445" s="1505"/>
      <c r="AC445" s="1505"/>
      <c r="AD445" s="1505"/>
      <c r="AE445" s="1505"/>
      <c r="AF445" s="1506"/>
      <c r="AG445" s="1460">
        <f>MIN(IF(AG441&gt;AG444,AG444,AG441),1)</f>
        <v>1</v>
      </c>
      <c r="AH445" s="1460"/>
      <c r="AI445" s="1460"/>
      <c r="AJ445" s="1460"/>
    </row>
    <row r="446" spans="1:55" ht="12.95" customHeight="1">
      <c r="D446" s="1444" t="s">
        <v>2088</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75">
        <v>3580</v>
      </c>
      <c r="AH446" s="1475"/>
      <c r="AI446" s="1475"/>
      <c r="AJ446" s="1475"/>
      <c r="AZ446" s="34"/>
      <c r="BA446" s="34"/>
      <c r="BB446" s="34"/>
      <c r="BC446" s="34"/>
    </row>
    <row r="447" spans="1:55" ht="12.95" customHeight="1">
      <c r="D447" s="1573"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75">
        <v>0</v>
      </c>
      <c r="AH447" s="1475"/>
      <c r="AI447" s="1475"/>
      <c r="AJ447" s="1475"/>
      <c r="AZ447" s="3"/>
      <c r="BA447" s="3"/>
      <c r="BB447" s="3"/>
      <c r="BC447" s="3"/>
    </row>
    <row r="448" spans="1:55" ht="12.95" customHeight="1">
      <c r="D448" s="1444" t="s">
        <v>1206</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75">
        <v>1028</v>
      </c>
      <c r="AH448" s="1475"/>
      <c r="AI448" s="1475"/>
      <c r="AJ448" s="1475"/>
      <c r="AZ448" s="3"/>
      <c r="BA448" s="3"/>
      <c r="BB448" s="3"/>
      <c r="BC448" s="3"/>
    </row>
    <row r="449" spans="1:55" ht="12.95" customHeight="1">
      <c r="D449" s="1444" t="s">
        <v>1039</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75">
        <v>0</v>
      </c>
      <c r="AH449" s="1475"/>
      <c r="AI449" s="1475"/>
      <c r="AJ449" s="1475"/>
      <c r="BB449" s="3"/>
      <c r="BC449" s="3"/>
    </row>
    <row r="450" spans="1:55" ht="12.95" customHeight="1">
      <c r="D450" s="1568" t="s">
        <v>1040</v>
      </c>
      <c r="E450" s="1569"/>
      <c r="F450" s="1569"/>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1569"/>
      <c r="AD450" s="1569"/>
      <c r="AE450" s="1569"/>
      <c r="AF450" s="1570"/>
      <c r="AG450" s="1447">
        <f>AG442+AG446+AG448+AG449</f>
        <v>21391</v>
      </c>
      <c r="AH450" s="1447"/>
      <c r="AI450" s="1447"/>
      <c r="AJ450" s="1447"/>
      <c r="AZ450" s="3"/>
      <c r="BA450" s="3"/>
      <c r="BB450" s="3"/>
      <c r="BC450" s="3"/>
    </row>
    <row r="451" spans="1:55" ht="12.95" customHeight="1">
      <c r="D451" s="1523" t="s">
        <v>1207</v>
      </c>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3"/>
      <c r="BA451" s="3"/>
      <c r="BB451" s="3"/>
      <c r="BC451" s="3"/>
    </row>
    <row r="452" spans="1:55" ht="12.95" customHeight="1">
      <c r="D452" s="1524"/>
      <c r="E452" s="1524"/>
      <c r="F452" s="1524"/>
      <c r="G452" s="1524"/>
      <c r="H452" s="1524"/>
      <c r="I452" s="1524"/>
      <c r="J452" s="1524"/>
      <c r="K452" s="1524"/>
      <c r="L452" s="1524"/>
      <c r="M452" s="1524"/>
      <c r="N452" s="1524"/>
      <c r="O452" s="1524"/>
      <c r="P452" s="1524"/>
      <c r="Q452" s="1524"/>
      <c r="R452" s="1524"/>
      <c r="S452" s="1524"/>
      <c r="T452" s="1524"/>
      <c r="U452" s="1524"/>
      <c r="V452" s="1524"/>
      <c r="W452" s="1524"/>
      <c r="X452" s="1524"/>
      <c r="Y452" s="1524"/>
      <c r="Z452" s="1524"/>
      <c r="AA452" s="1524"/>
      <c r="AB452" s="1524"/>
      <c r="AC452" s="1524"/>
      <c r="AD452" s="1524"/>
      <c r="AE452" s="1524"/>
      <c r="AF452" s="1524"/>
      <c r="AG452" s="1524"/>
      <c r="AH452" s="1524"/>
      <c r="AI452" s="1524"/>
      <c r="AJ452" s="152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17">
        <f>IF(AG437=0,"",'Sources and Uses Budget'!B105/Application!AG437)</f>
        <v>480619.39473684208</v>
      </c>
      <c r="AD454" s="1417"/>
      <c r="AE454" s="1417"/>
      <c r="AF454" s="1417"/>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17">
        <f>IF(AG437=0,"",'Sources and Uses Budget'!C105/Application!AG437)</f>
        <v>480619.39473684208</v>
      </c>
      <c r="AD455" s="1417"/>
      <c r="AE455" s="1417"/>
      <c r="AF455" s="1417"/>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17">
        <f>IF(AG437=0,"",('Sources and Uses Budget'!$S$107+'Sources and Uses Budget'!$T$107)/Application!AG437)</f>
        <v>453144.10526315792</v>
      </c>
      <c r="AD456" s="1417"/>
      <c r="AE456" s="1417"/>
      <c r="AF456" s="1417"/>
      <c r="AG456" s="177"/>
      <c r="AH456" s="177"/>
      <c r="AI456" s="177"/>
      <c r="AJ456" s="183"/>
      <c r="AZ456" s="3"/>
      <c r="BA456" s="3"/>
      <c r="BB456" s="3"/>
      <c r="BC456" s="3"/>
    </row>
    <row r="457" spans="1:55" ht="12.95" customHeight="1">
      <c r="D457" s="177"/>
      <c r="E457" s="177"/>
      <c r="F457" s="1418" t="str">
        <f>IFERROR(IF(AC454&gt;650000,"Please provide a justification of cost per unit in Tab 12 for all projects with per unit costs of greater than $650,000.",""),"")</f>
        <v/>
      </c>
      <c r="G457" s="1418"/>
      <c r="H457" s="1418"/>
      <c r="I457" s="1418"/>
      <c r="J457" s="1418"/>
      <c r="K457" s="1418"/>
      <c r="L457" s="1418"/>
      <c r="M457" s="1418"/>
      <c r="N457" s="1418"/>
      <c r="O457" s="1418"/>
      <c r="P457" s="1418"/>
      <c r="Q457" s="1418"/>
      <c r="R457" s="1418"/>
      <c r="S457" s="1418"/>
      <c r="T457" s="1418"/>
      <c r="U457" s="1418"/>
      <c r="V457" s="1418"/>
      <c r="W457" s="1418"/>
      <c r="X457" s="1418"/>
      <c r="Y457" s="1418"/>
      <c r="Z457" s="1418"/>
      <c r="AA457" s="1418"/>
      <c r="AB457" s="1418"/>
      <c r="AC457" s="515"/>
      <c r="AD457" s="177"/>
      <c r="AE457" s="177"/>
      <c r="AF457" s="177"/>
      <c r="AG457" s="177"/>
      <c r="AH457" s="177"/>
      <c r="AI457" s="177"/>
      <c r="AJ457" s="183"/>
      <c r="AZ457" s="3"/>
      <c r="BA457" s="3"/>
      <c r="BB457" s="3"/>
      <c r="BC457" s="3"/>
    </row>
    <row r="458" spans="1:55" ht="12.95" customHeight="1">
      <c r="A458" s="2"/>
      <c r="D458" s="2"/>
      <c r="E458" s="177"/>
      <c r="F458" s="1418"/>
      <c r="G458" s="1418"/>
      <c r="H458" s="1418"/>
      <c r="I458" s="1418"/>
      <c r="J458" s="1418"/>
      <c r="K458" s="1418"/>
      <c r="L458" s="1418"/>
      <c r="M458" s="1418"/>
      <c r="N458" s="1418"/>
      <c r="O458" s="1418"/>
      <c r="P458" s="1418"/>
      <c r="Q458" s="1418"/>
      <c r="R458" s="1418"/>
      <c r="S458" s="1418"/>
      <c r="T458" s="1418"/>
      <c r="U458" s="1418"/>
      <c r="V458" s="1418"/>
      <c r="W458" s="1418"/>
      <c r="X458" s="1418"/>
      <c r="Y458" s="1418"/>
      <c r="Z458" s="1418"/>
      <c r="AA458" s="1418"/>
      <c r="AB458" s="141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428" t="s">
        <v>2100</v>
      </c>
      <c r="E465" s="1420"/>
      <c r="F465" s="1420"/>
      <c r="G465" s="1420"/>
      <c r="H465" s="1420"/>
      <c r="I465" s="1420"/>
      <c r="J465" s="1420"/>
      <c r="K465" s="1420"/>
      <c r="L465" s="1420"/>
      <c r="M465" s="1420"/>
      <c r="N465" s="1420"/>
      <c r="O465" s="1420"/>
      <c r="P465" s="1420"/>
      <c r="Q465" s="1420"/>
      <c r="R465" s="1420"/>
      <c r="S465" s="1420"/>
      <c r="T465" s="1420"/>
      <c r="U465" s="1420"/>
      <c r="V465" s="1421"/>
      <c r="W465" s="1433">
        <v>0</v>
      </c>
      <c r="X465" s="1434"/>
      <c r="Y465" s="143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19" t="s">
        <v>694</v>
      </c>
      <c r="E466" s="1420"/>
      <c r="F466" s="1420"/>
      <c r="G466" s="1420"/>
      <c r="H466" s="1420"/>
      <c r="I466" s="1420"/>
      <c r="J466" s="1420"/>
      <c r="K466" s="1420"/>
      <c r="L466" s="1420"/>
      <c r="M466" s="1420"/>
      <c r="N466" s="1420"/>
      <c r="O466" s="1420"/>
      <c r="P466" s="1420"/>
      <c r="Q466" s="1420"/>
      <c r="R466" s="1420"/>
      <c r="S466" s="1420"/>
      <c r="T466" s="1420"/>
      <c r="U466" s="1420"/>
      <c r="V466" s="1421"/>
      <c r="W466" s="1433">
        <v>0</v>
      </c>
      <c r="X466" s="1434"/>
      <c r="Y466" s="143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19" t="s">
        <v>695</v>
      </c>
      <c r="E467" s="1420"/>
      <c r="F467" s="1420"/>
      <c r="G467" s="1420"/>
      <c r="H467" s="1420"/>
      <c r="I467" s="1420"/>
      <c r="J467" s="1420"/>
      <c r="K467" s="1420"/>
      <c r="L467" s="1420"/>
      <c r="M467" s="1420"/>
      <c r="N467" s="1420"/>
      <c r="O467" s="1420"/>
      <c r="P467" s="1420"/>
      <c r="Q467" s="1420"/>
      <c r="R467" s="1420"/>
      <c r="S467" s="1420"/>
      <c r="T467" s="1420"/>
      <c r="U467" s="1420"/>
      <c r="V467" s="1421"/>
      <c r="W467" s="1433">
        <v>0</v>
      </c>
      <c r="X467" s="1434"/>
      <c r="Y467" s="143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19" t="s">
        <v>696</v>
      </c>
      <c r="E468" s="1420"/>
      <c r="F468" s="1420"/>
      <c r="G468" s="1420"/>
      <c r="H468" s="1420"/>
      <c r="I468" s="1420"/>
      <c r="J468" s="1420"/>
      <c r="K468" s="1420"/>
      <c r="L468" s="1420"/>
      <c r="M468" s="1420"/>
      <c r="N468" s="1420"/>
      <c r="O468" s="1420"/>
      <c r="P468" s="1420"/>
      <c r="Q468" s="1420"/>
      <c r="R468" s="1420"/>
      <c r="S468" s="1420"/>
      <c r="T468" s="1420"/>
      <c r="U468" s="1420"/>
      <c r="V468" s="1421"/>
      <c r="W468" s="1433">
        <v>0</v>
      </c>
      <c r="X468" s="1434"/>
      <c r="Y468" s="143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19" t="s">
        <v>882</v>
      </c>
      <c r="E469" s="1420"/>
      <c r="F469" s="1420"/>
      <c r="G469" s="1420"/>
      <c r="H469" s="1420"/>
      <c r="I469" s="1420"/>
      <c r="J469" s="1420"/>
      <c r="K469" s="1420"/>
      <c r="L469" s="1420"/>
      <c r="M469" s="1420"/>
      <c r="N469" s="1420"/>
      <c r="O469" s="1420"/>
      <c r="P469" s="1420"/>
      <c r="Q469" s="1420"/>
      <c r="R469" s="1420"/>
      <c r="S469" s="1420"/>
      <c r="T469" s="1420"/>
      <c r="U469" s="1420"/>
      <c r="V469" s="1421"/>
      <c r="W469" s="1433">
        <v>0</v>
      </c>
      <c r="X469" s="1434"/>
      <c r="Y469" s="1435"/>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419" t="s">
        <v>697</v>
      </c>
      <c r="E470" s="1420"/>
      <c r="F470" s="1420"/>
      <c r="G470" s="1420"/>
      <c r="H470" s="1420"/>
      <c r="I470" s="1420"/>
      <c r="J470" s="1420"/>
      <c r="K470" s="1420"/>
      <c r="L470" s="1420"/>
      <c r="M470" s="1420"/>
      <c r="N470" s="1420"/>
      <c r="O470" s="1420"/>
      <c r="P470" s="1420"/>
      <c r="Q470" s="1420"/>
      <c r="R470" s="1420"/>
      <c r="S470" s="1420"/>
      <c r="T470" s="1420"/>
      <c r="U470" s="1420"/>
      <c r="V470" s="1421"/>
      <c r="W470" s="1433">
        <v>0</v>
      </c>
      <c r="X470" s="1434"/>
      <c r="Y470" s="143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419" t="s">
        <v>1013</v>
      </c>
      <c r="E471" s="1420"/>
      <c r="F471" s="1420"/>
      <c r="G471" s="1420"/>
      <c r="H471" s="1420"/>
      <c r="I471" s="1420"/>
      <c r="J471" s="1420"/>
      <c r="K471" s="1420"/>
      <c r="L471" s="1420"/>
      <c r="M471" s="1420"/>
      <c r="N471" s="1420"/>
      <c r="O471" s="1420"/>
      <c r="P471" s="1420"/>
      <c r="Q471" s="1420"/>
      <c r="R471" s="1420"/>
      <c r="S471" s="1420"/>
      <c r="T471" s="1420"/>
      <c r="U471" s="1420"/>
      <c r="V471" s="1421"/>
      <c r="W471" s="1433">
        <v>0</v>
      </c>
      <c r="X471" s="1434"/>
      <c r="Y471" s="143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428" t="s">
        <v>2191</v>
      </c>
      <c r="E472" s="1448"/>
      <c r="F472" s="1448"/>
      <c r="G472" s="1448"/>
      <c r="H472" s="1448"/>
      <c r="I472" s="1448"/>
      <c r="J472" s="1448"/>
      <c r="K472" s="1448"/>
      <c r="L472" s="1448"/>
      <c r="M472" s="1448"/>
      <c r="N472" s="1448"/>
      <c r="O472" s="1448"/>
      <c r="P472" s="1448"/>
      <c r="Q472" s="1448"/>
      <c r="R472" s="1448"/>
      <c r="S472" s="1448"/>
      <c r="T472" s="1448"/>
      <c r="U472" s="1448"/>
      <c r="V472" s="1449"/>
      <c r="W472" s="1433">
        <v>0</v>
      </c>
      <c r="X472" s="1434"/>
      <c r="Y472" s="143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8" t="s">
        <v>1655</v>
      </c>
      <c r="E473" s="1420"/>
      <c r="F473" s="1420"/>
      <c r="G473" s="1420"/>
      <c r="H473" s="1420"/>
      <c r="I473" s="1420"/>
      <c r="J473" s="1420"/>
      <c r="K473" s="1420"/>
      <c r="L473" s="1420"/>
      <c r="M473" s="1420"/>
      <c r="N473" s="1420"/>
      <c r="O473" s="1420"/>
      <c r="P473" s="1420"/>
      <c r="Q473" s="1420"/>
      <c r="R473" s="1420"/>
      <c r="S473" s="1420"/>
      <c r="T473" s="1420"/>
      <c r="U473" s="1420"/>
      <c r="V473" s="1421"/>
      <c r="W473" s="1433">
        <v>0</v>
      </c>
      <c r="X473" s="1434"/>
      <c r="Y473" s="143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580" t="s">
        <v>2687</v>
      </c>
      <c r="H474" s="1581"/>
      <c r="I474" s="1581"/>
      <c r="J474" s="1581"/>
      <c r="K474" s="1581"/>
      <c r="L474" s="1581"/>
      <c r="M474" s="1581"/>
      <c r="N474" s="1581"/>
      <c r="O474" s="1581"/>
      <c r="P474" s="1581"/>
      <c r="Q474" s="1581"/>
      <c r="R474" s="1581"/>
      <c r="S474" s="1581"/>
      <c r="T474" s="1581"/>
      <c r="U474" s="1581"/>
      <c r="V474" s="1582"/>
      <c r="W474" s="1433">
        <v>19</v>
      </c>
      <c r="X474" s="1434"/>
      <c r="Y474" s="143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6" t="s">
        <v>811</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30" t="s">
        <v>393</v>
      </c>
      <c r="R485" s="1431"/>
      <c r="S485" s="1431"/>
      <c r="T485" s="1431"/>
      <c r="U485" s="1431"/>
      <c r="V485" s="1431"/>
      <c r="W485" s="1431"/>
      <c r="X485" s="1431"/>
      <c r="Y485" s="1431"/>
      <c r="Z485" s="1431"/>
      <c r="AA485" s="1431"/>
      <c r="AB485" s="1431"/>
      <c r="AC485" s="1431"/>
      <c r="AD485" s="1431"/>
      <c r="AE485" s="1431"/>
      <c r="AF485" s="1431"/>
      <c r="AG485" s="1431"/>
      <c r="AH485" s="1431"/>
      <c r="AI485" s="1431"/>
      <c r="AJ485" s="1431"/>
      <c r="AK485" s="1432"/>
      <c r="AZ485" s="3"/>
      <c r="BB485" s="3"/>
      <c r="BC485" s="3"/>
    </row>
    <row r="486" spans="1:55" ht="12.95" customHeight="1">
      <c r="B486" s="45" t="s">
        <v>394</v>
      </c>
      <c r="C486" s="5"/>
      <c r="D486" s="5"/>
      <c r="E486" s="5"/>
      <c r="F486" s="5"/>
      <c r="G486" s="5"/>
      <c r="H486" s="5"/>
      <c r="I486" s="5"/>
      <c r="J486" s="5"/>
      <c r="K486" s="5"/>
      <c r="L486" s="5"/>
      <c r="M486" s="5"/>
      <c r="N486" s="5"/>
      <c r="O486" s="5"/>
      <c r="P486" s="5"/>
      <c r="Q486" s="1414" t="s">
        <v>2688</v>
      </c>
      <c r="R486" s="1415"/>
      <c r="S486" s="1415"/>
      <c r="T486" s="1415"/>
      <c r="U486" s="1415"/>
      <c r="V486" s="1415"/>
      <c r="W486" s="1415"/>
      <c r="X486" s="1415"/>
      <c r="Y486" s="1415"/>
      <c r="Z486" s="1415"/>
      <c r="AA486" s="1415"/>
      <c r="AB486" s="1415"/>
      <c r="AC486" s="1415"/>
      <c r="AD486" s="1415"/>
      <c r="AE486" s="1415"/>
      <c r="AF486" s="1415"/>
      <c r="AG486" s="1415"/>
      <c r="AH486" s="1415"/>
      <c r="AI486" s="1415"/>
      <c r="AJ486" s="1415"/>
      <c r="AK486" s="1416"/>
      <c r="AZ486" s="3"/>
      <c r="BB486" s="3"/>
      <c r="BC486" s="3"/>
    </row>
    <row r="487" spans="1:55" ht="12.95" customHeight="1">
      <c r="B487" s="45" t="s">
        <v>395</v>
      </c>
      <c r="C487" s="5"/>
      <c r="D487" s="5"/>
      <c r="E487" s="5"/>
      <c r="F487" s="5"/>
      <c r="G487" s="5"/>
      <c r="H487" s="5"/>
      <c r="I487" s="5"/>
      <c r="J487" s="5"/>
      <c r="K487" s="5"/>
      <c r="L487" s="5"/>
      <c r="M487" s="5"/>
      <c r="N487" s="5"/>
      <c r="O487" s="5"/>
      <c r="P487" s="5"/>
      <c r="Q487" s="1414" t="s">
        <v>2688</v>
      </c>
      <c r="R487" s="1415"/>
      <c r="S487" s="1415"/>
      <c r="T487" s="1415"/>
      <c r="U487" s="1415"/>
      <c r="V487" s="1415"/>
      <c r="W487" s="1415"/>
      <c r="X487" s="1415"/>
      <c r="Y487" s="1415"/>
      <c r="Z487" s="1415"/>
      <c r="AA487" s="1415"/>
      <c r="AB487" s="1415"/>
      <c r="AC487" s="1415"/>
      <c r="AD487" s="1415"/>
      <c r="AE487" s="1415"/>
      <c r="AF487" s="1415"/>
      <c r="AG487" s="1415"/>
      <c r="AH487" s="1415"/>
      <c r="AI487" s="1415"/>
      <c r="AJ487" s="1415"/>
      <c r="AK487" s="1416"/>
      <c r="AZ487" s="3"/>
      <c r="BB487" s="3"/>
      <c r="BC487" s="3"/>
    </row>
    <row r="488" spans="1:55" ht="12.95" customHeight="1">
      <c r="B488" s="45" t="s">
        <v>396</v>
      </c>
      <c r="C488" s="5"/>
      <c r="D488" s="5"/>
      <c r="E488" s="5"/>
      <c r="F488" s="5"/>
      <c r="G488" s="5"/>
      <c r="H488" s="5"/>
      <c r="I488" s="5"/>
      <c r="J488" s="5"/>
      <c r="K488" s="5"/>
      <c r="L488" s="5"/>
      <c r="M488" s="5"/>
      <c r="N488" s="5"/>
      <c r="O488" s="5"/>
      <c r="P488" s="5"/>
      <c r="Q488" s="1414" t="s">
        <v>2688</v>
      </c>
      <c r="R488" s="1415"/>
      <c r="S488" s="1415"/>
      <c r="T488" s="1415"/>
      <c r="U488" s="1415"/>
      <c r="V488" s="1415"/>
      <c r="W488" s="1415"/>
      <c r="X488" s="1415"/>
      <c r="Y488" s="1415"/>
      <c r="Z488" s="1415"/>
      <c r="AA488" s="1415"/>
      <c r="AB488" s="1415"/>
      <c r="AC488" s="1415"/>
      <c r="AD488" s="1415"/>
      <c r="AE488" s="1415"/>
      <c r="AF488" s="1415"/>
      <c r="AG488" s="1415"/>
      <c r="AH488" s="1415"/>
      <c r="AI488" s="1415"/>
      <c r="AJ488" s="1415"/>
      <c r="AK488" s="1416"/>
      <c r="AZ488" s="3"/>
      <c r="BA488" s="3"/>
      <c r="BB488" s="3"/>
      <c r="BC488" s="3"/>
    </row>
    <row r="489" spans="1:55" ht="12.95" customHeight="1">
      <c r="B489" s="1507" t="s">
        <v>397</v>
      </c>
      <c r="C489" s="1508"/>
      <c r="D489" s="1508"/>
      <c r="E489" s="1508"/>
      <c r="F489" s="1508"/>
      <c r="G489" s="1508"/>
      <c r="H489" s="1508"/>
      <c r="I489" s="1508"/>
      <c r="J489" s="1508"/>
      <c r="K489" s="1508"/>
      <c r="L489" s="1508"/>
      <c r="M489" s="1508"/>
      <c r="N489" s="1508"/>
      <c r="O489" s="1508"/>
      <c r="P489" s="1509"/>
      <c r="Q489" s="1513" t="s">
        <v>670</v>
      </c>
      <c r="R489" s="1514"/>
      <c r="S489" s="1526" t="s">
        <v>166</v>
      </c>
      <c r="T489" s="1527"/>
      <c r="U489" s="1527"/>
      <c r="V489" s="1527"/>
      <c r="W489" s="1527"/>
      <c r="X489" s="1527"/>
      <c r="Y489" s="1527"/>
      <c r="Z489" s="1527"/>
      <c r="AA489" s="1527"/>
      <c r="AB489" s="1527"/>
      <c r="AC489" s="1527"/>
      <c r="AD489" s="1527"/>
      <c r="AE489" s="1527"/>
      <c r="AF489" s="1527"/>
      <c r="AG489" s="1527"/>
      <c r="AH489" s="1527"/>
      <c r="AI489" s="1527"/>
      <c r="AJ489" s="1527"/>
      <c r="AK489" s="1528"/>
      <c r="AZ489" s="3"/>
      <c r="BA489" s="3"/>
      <c r="BB489" s="3"/>
      <c r="BC489" s="3"/>
    </row>
    <row r="490" spans="1:55" ht="12.95" customHeight="1">
      <c r="B490" s="1510"/>
      <c r="C490" s="1511"/>
      <c r="D490" s="1511"/>
      <c r="E490" s="1511"/>
      <c r="F490" s="1511"/>
      <c r="G490" s="1511"/>
      <c r="H490" s="1511"/>
      <c r="I490" s="1511"/>
      <c r="J490" s="1511"/>
      <c r="K490" s="1511"/>
      <c r="L490" s="1511"/>
      <c r="M490" s="1511"/>
      <c r="N490" s="1511"/>
      <c r="O490" s="1511"/>
      <c r="P490" s="1512"/>
      <c r="Q490" s="1515"/>
      <c r="R490" s="1516"/>
      <c r="S490" s="1529"/>
      <c r="T490" s="1521"/>
      <c r="U490" s="1521"/>
      <c r="V490" s="1521"/>
      <c r="W490" s="1521"/>
      <c r="X490" s="1521"/>
      <c r="Y490" s="1521"/>
      <c r="Z490" s="1521"/>
      <c r="AA490" s="1521"/>
      <c r="AB490" s="1521"/>
      <c r="AC490" s="1521"/>
      <c r="AD490" s="1521"/>
      <c r="AE490" s="1521"/>
      <c r="AF490" s="1521"/>
      <c r="AG490" s="1521"/>
      <c r="AH490" s="1521"/>
      <c r="AI490" s="1521"/>
      <c r="AJ490" s="1521"/>
      <c r="AK490" s="1530"/>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422" t="s">
        <v>2689</v>
      </c>
      <c r="R491" s="1423"/>
      <c r="S491" s="1423"/>
      <c r="T491" s="1423"/>
      <c r="U491" s="1423"/>
      <c r="V491" s="1423"/>
      <c r="W491" s="1423"/>
      <c r="X491" s="1423"/>
      <c r="Y491" s="1423"/>
      <c r="Z491" s="1423"/>
      <c r="AA491" s="1423"/>
      <c r="AB491" s="1423"/>
      <c r="AC491" s="1423"/>
      <c r="AD491" s="1423"/>
      <c r="AE491" s="1423"/>
      <c r="AF491" s="1423"/>
      <c r="AG491" s="1423"/>
      <c r="AH491" s="1423"/>
      <c r="AI491" s="1423"/>
      <c r="AJ491" s="1423"/>
      <c r="AK491" s="142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14" t="s">
        <v>2690</v>
      </c>
      <c r="R492" s="1415"/>
      <c r="S492" s="1415"/>
      <c r="T492" s="1415"/>
      <c r="U492" s="1415"/>
      <c r="V492" s="1415"/>
      <c r="W492" s="1415"/>
      <c r="X492" s="1415"/>
      <c r="Y492" s="1415"/>
      <c r="Z492" s="1415"/>
      <c r="AA492" s="1415"/>
      <c r="AB492" s="1415"/>
      <c r="AC492" s="1415"/>
      <c r="AD492" s="1415"/>
      <c r="AE492" s="1415"/>
      <c r="AF492" s="1415"/>
      <c r="AG492" s="1415"/>
      <c r="AH492" s="1415"/>
      <c r="AI492" s="1415"/>
      <c r="AJ492" s="1415"/>
      <c r="AK492" s="141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14">
        <v>159</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414">
        <v>159</v>
      </c>
      <c r="R494" s="1415"/>
      <c r="S494" s="1415"/>
      <c r="T494" s="1415"/>
      <c r="U494" s="1415"/>
      <c r="V494" s="1415"/>
      <c r="W494" s="1415"/>
      <c r="X494" s="1415"/>
      <c r="Y494" s="1415"/>
      <c r="Z494" s="1415"/>
      <c r="AA494" s="1415"/>
      <c r="AB494" s="1415"/>
      <c r="AC494" s="1415"/>
      <c r="AD494" s="1415"/>
      <c r="AE494" s="1415"/>
      <c r="AF494" s="1415"/>
      <c r="AG494" s="1415"/>
      <c r="AH494" s="1415"/>
      <c r="AI494" s="1415"/>
      <c r="AJ494" s="1415"/>
      <c r="AK494" s="1416"/>
      <c r="AZ494" s="3"/>
      <c r="BA494" s="3"/>
      <c r="BB494" s="3"/>
      <c r="BC494" s="3"/>
    </row>
    <row r="495" spans="1:55" ht="12.95" customHeight="1">
      <c r="B495" s="121" t="s">
        <v>1670</v>
      </c>
      <c r="C495" s="5"/>
      <c r="D495" s="5"/>
      <c r="E495" s="5"/>
      <c r="F495" s="5"/>
      <c r="G495" s="5"/>
      <c r="H495" s="5"/>
      <c r="I495" s="5"/>
      <c r="J495" s="5"/>
      <c r="K495" s="5"/>
      <c r="L495" s="5"/>
      <c r="M495" s="1425"/>
      <c r="N495" s="1426"/>
      <c r="O495" s="1426"/>
      <c r="P495" s="1427"/>
      <c r="Q495" s="121" t="s">
        <v>1671</v>
      </c>
      <c r="R495" s="5"/>
      <c r="S495" s="5"/>
      <c r="T495" s="5"/>
      <c r="U495" s="5"/>
      <c r="V495" s="5"/>
      <c r="W495" s="5"/>
      <c r="X495" s="5"/>
      <c r="Y495" s="5"/>
      <c r="Z495" s="5"/>
      <c r="AA495" s="5"/>
      <c r="AB495" s="5"/>
      <c r="AC495" s="5"/>
      <c r="AD495" s="5"/>
      <c r="AE495" s="5"/>
      <c r="AF495" s="5"/>
      <c r="AG495" s="5"/>
      <c r="AH495" s="1425">
        <v>159</v>
      </c>
      <c r="AI495" s="1426"/>
      <c r="AJ495" s="1426"/>
      <c r="AK495" s="142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0" t="s">
        <v>401</v>
      </c>
      <c r="AD499" s="1431"/>
      <c r="AE499" s="1431"/>
      <c r="AF499" s="1431"/>
      <c r="AG499" s="1431"/>
      <c r="AH499" s="1431"/>
      <c r="AI499" s="1431"/>
      <c r="AJ499" s="1431"/>
      <c r="AK499" s="143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0" t="s">
        <v>402</v>
      </c>
      <c r="AD500" s="1431"/>
      <c r="AE500" s="1431"/>
      <c r="AF500" s="1431"/>
      <c r="AG500" s="50" t="s">
        <v>403</v>
      </c>
      <c r="AH500" s="1431" t="s">
        <v>404</v>
      </c>
      <c r="AI500" s="1431"/>
      <c r="AJ500" s="1431"/>
      <c r="AK500" s="1432"/>
      <c r="AZ500" s="3"/>
      <c r="BA500" s="3"/>
      <c r="BB500" s="3"/>
      <c r="BC500" s="3"/>
      <c r="BD500" s="3"/>
      <c r="BE500" s="3"/>
      <c r="BF500" s="3"/>
      <c r="BG500" s="3"/>
      <c r="BH500" s="3"/>
      <c r="BI500" s="3"/>
      <c r="BJ500" s="3"/>
      <c r="BK500" s="3"/>
      <c r="BL500" s="3"/>
      <c r="BM500" s="3"/>
      <c r="BN500" s="3"/>
    </row>
    <row r="501" spans="1:66" ht="12.95" customHeight="1">
      <c r="B501" s="1380" t="s">
        <v>405</v>
      </c>
      <c r="C501" s="1381"/>
      <c r="D501" s="1381"/>
      <c r="E501" s="1381"/>
      <c r="F501" s="1381"/>
      <c r="G501" s="1381"/>
      <c r="H501" s="1382"/>
      <c r="I501" s="42" t="s">
        <v>406</v>
      </c>
      <c r="J501" s="42"/>
      <c r="K501" s="42"/>
      <c r="L501" s="42"/>
      <c r="M501" s="42"/>
      <c r="N501" s="42"/>
      <c r="O501" s="42"/>
      <c r="P501" s="42"/>
      <c r="Q501" s="42"/>
      <c r="R501" s="42"/>
      <c r="S501" s="42"/>
      <c r="T501" s="42"/>
      <c r="U501" s="42"/>
      <c r="V501" s="42"/>
      <c r="W501" s="42"/>
      <c r="AC501" s="1408">
        <v>4</v>
      </c>
      <c r="AD501" s="1368"/>
      <c r="AE501" s="1368"/>
      <c r="AF501" s="1368"/>
      <c r="AG501" s="13" t="s">
        <v>403</v>
      </c>
      <c r="AH501" s="1391">
        <v>2024</v>
      </c>
      <c r="AI501" s="1391"/>
      <c r="AJ501" s="1391"/>
      <c r="AK501" s="1392"/>
      <c r="AZ501" s="3"/>
      <c r="BA501" s="3"/>
      <c r="BB501" s="3"/>
      <c r="BC501" s="3"/>
      <c r="BD501" s="3"/>
      <c r="BE501" s="3"/>
      <c r="BF501" s="3"/>
      <c r="BG501" s="3"/>
      <c r="BH501" s="3"/>
      <c r="BI501" s="3"/>
      <c r="BJ501" s="3"/>
      <c r="BK501" s="3"/>
      <c r="BL501" s="3"/>
      <c r="BM501" s="3"/>
      <c r="BN501" s="3"/>
    </row>
    <row r="502" spans="1:66" ht="12.95" customHeight="1">
      <c r="B502" s="1383"/>
      <c r="C502" s="1384"/>
      <c r="D502" s="1384"/>
      <c r="E502" s="1384"/>
      <c r="F502" s="1384"/>
      <c r="G502" s="1384"/>
      <c r="H502" s="1385"/>
      <c r="I502" s="48" t="s">
        <v>407</v>
      </c>
      <c r="J502" s="48"/>
      <c r="K502" s="48"/>
      <c r="L502" s="48"/>
      <c r="M502" s="48"/>
      <c r="N502" s="48"/>
      <c r="O502" s="48"/>
      <c r="P502" s="48"/>
      <c r="Q502" s="48"/>
      <c r="R502" s="48"/>
      <c r="S502" s="48"/>
      <c r="T502" s="48"/>
      <c r="U502" s="48"/>
      <c r="V502" s="48"/>
      <c r="W502" s="48"/>
      <c r="X502" s="48"/>
      <c r="Y502" s="48"/>
      <c r="Z502" s="48"/>
      <c r="AA502" s="48"/>
      <c r="AB502" s="48"/>
      <c r="AC502" s="1408">
        <v>9</v>
      </c>
      <c r="AD502" s="1368"/>
      <c r="AE502" s="1368"/>
      <c r="AF502" s="1368"/>
      <c r="AG502" s="38" t="s">
        <v>403</v>
      </c>
      <c r="AH502" s="1391">
        <v>2023</v>
      </c>
      <c r="AI502" s="1391"/>
      <c r="AJ502" s="1391"/>
      <c r="AK502" s="1392"/>
      <c r="AZ502" s="3"/>
      <c r="BA502" s="3"/>
      <c r="BB502" s="3"/>
      <c r="BC502" s="3"/>
      <c r="BD502" s="3"/>
      <c r="BE502" s="3"/>
      <c r="BF502" s="3"/>
      <c r="BG502" s="3"/>
      <c r="BH502" s="3"/>
      <c r="BI502" s="3"/>
      <c r="BJ502" s="3"/>
      <c r="BK502" s="3"/>
      <c r="BL502" s="3"/>
      <c r="BM502" s="3"/>
      <c r="BN502" s="3"/>
    </row>
    <row r="503" spans="1:66" ht="12.95" customHeight="1">
      <c r="B503" s="1380" t="s">
        <v>408</v>
      </c>
      <c r="C503" s="1381"/>
      <c r="D503" s="1381"/>
      <c r="E503" s="1381"/>
      <c r="F503" s="1381"/>
      <c r="G503" s="1381"/>
      <c r="H503" s="1382"/>
      <c r="I503" s="42" t="s">
        <v>409</v>
      </c>
      <c r="J503" s="42"/>
      <c r="K503" s="42"/>
      <c r="L503" s="42"/>
      <c r="M503" s="42"/>
      <c r="N503" s="42"/>
      <c r="O503" s="42"/>
      <c r="P503" s="42"/>
      <c r="Q503" s="42"/>
      <c r="R503" s="42"/>
      <c r="S503" s="42"/>
      <c r="T503" s="42"/>
      <c r="U503" s="42"/>
      <c r="V503" s="42"/>
      <c r="W503" s="42"/>
      <c r="AC503" s="1408" t="s">
        <v>592</v>
      </c>
      <c r="AD503" s="1368"/>
      <c r="AE503" s="1368"/>
      <c r="AF503" s="1368"/>
      <c r="AG503" s="13" t="s">
        <v>403</v>
      </c>
      <c r="AH503" s="1391"/>
      <c r="AI503" s="1391"/>
      <c r="AJ503" s="1391"/>
      <c r="AK503" s="1392"/>
      <c r="AZ503" s="3"/>
      <c r="BA503" s="3"/>
      <c r="BB503" s="3"/>
      <c r="BC503" s="3"/>
      <c r="BD503" s="3"/>
      <c r="BE503" s="3"/>
      <c r="BF503" s="3"/>
      <c r="BG503" s="3"/>
      <c r="BH503" s="3"/>
      <c r="BI503" s="3"/>
      <c r="BJ503" s="3"/>
      <c r="BK503" s="3"/>
      <c r="BL503" s="3"/>
      <c r="BM503" s="3"/>
      <c r="BN503" s="3"/>
    </row>
    <row r="504" spans="1:66" ht="12.95" customHeight="1">
      <c r="B504" s="1383"/>
      <c r="C504" s="1384"/>
      <c r="D504" s="1384"/>
      <c r="E504" s="1384"/>
      <c r="F504" s="1384"/>
      <c r="G504" s="1384"/>
      <c r="H504" s="1385"/>
      <c r="I504" t="s">
        <v>410</v>
      </c>
      <c r="AC504" s="1408" t="s">
        <v>592</v>
      </c>
      <c r="AD504" s="1368"/>
      <c r="AE504" s="1368"/>
      <c r="AF504" s="1368"/>
      <c r="AG504" s="13" t="s">
        <v>403</v>
      </c>
      <c r="AH504" s="1391"/>
      <c r="AI504" s="1391"/>
      <c r="AJ504" s="1391"/>
      <c r="AK504" s="1392"/>
      <c r="AZ504" s="3"/>
      <c r="BA504" s="3"/>
      <c r="BB504" s="3"/>
      <c r="BC504" s="3"/>
      <c r="BD504" s="3"/>
      <c r="BE504" s="3"/>
      <c r="BF504" s="3"/>
      <c r="BG504" s="3"/>
      <c r="BH504" s="3"/>
      <c r="BI504" s="3"/>
      <c r="BJ504" s="3"/>
      <c r="BK504" s="3"/>
      <c r="BL504" s="3"/>
      <c r="BM504" s="3"/>
      <c r="BN504" s="3"/>
    </row>
    <row r="505" spans="1:66" ht="12.95" customHeight="1">
      <c r="B505" s="1383"/>
      <c r="C505" s="1384"/>
      <c r="D505" s="1384"/>
      <c r="E505" s="1384"/>
      <c r="F505" s="1384"/>
      <c r="G505" s="1384"/>
      <c r="H505" s="1385"/>
      <c r="I505" t="s">
        <v>411</v>
      </c>
      <c r="AC505" s="1408" t="s">
        <v>592</v>
      </c>
      <c r="AD505" s="1368"/>
      <c r="AE505" s="1368"/>
      <c r="AF505" s="1368"/>
      <c r="AG505" s="13" t="s">
        <v>403</v>
      </c>
      <c r="AH505" s="1391"/>
      <c r="AI505" s="1391"/>
      <c r="AJ505" s="1391"/>
      <c r="AK505" s="1392"/>
      <c r="AZ505" s="3"/>
      <c r="BA505" s="3"/>
      <c r="BB505" s="3"/>
      <c r="BC505" s="3"/>
      <c r="BD505" s="3"/>
      <c r="BE505" s="3"/>
      <c r="BF505" s="3"/>
      <c r="BG505" s="3"/>
      <c r="BH505" s="3"/>
      <c r="BI505" s="3"/>
      <c r="BJ505" s="3"/>
      <c r="BK505" s="3"/>
      <c r="BL505" s="3"/>
      <c r="BM505" s="3"/>
      <c r="BN505" s="3"/>
    </row>
    <row r="506" spans="1:66" ht="12.95" customHeight="1">
      <c r="B506" s="1383"/>
      <c r="C506" s="1384"/>
      <c r="D506" s="1384"/>
      <c r="E506" s="1384"/>
      <c r="F506" s="1384"/>
      <c r="G506" s="1384"/>
      <c r="H506" s="1385"/>
      <c r="I506" t="s">
        <v>412</v>
      </c>
      <c r="AC506" s="1408">
        <v>5</v>
      </c>
      <c r="AD506" s="1368"/>
      <c r="AE506" s="1368"/>
      <c r="AF506" s="1368"/>
      <c r="AG506" s="13" t="s">
        <v>403</v>
      </c>
      <c r="AH506" s="1391">
        <v>2026</v>
      </c>
      <c r="AI506" s="1391"/>
      <c r="AJ506" s="1391"/>
      <c r="AK506" s="1392"/>
      <c r="AZ506" s="3"/>
      <c r="BA506" s="3"/>
      <c r="BB506" s="3"/>
      <c r="BC506" s="3"/>
      <c r="BD506" s="3"/>
      <c r="BE506" s="3"/>
      <c r="BF506" s="3"/>
      <c r="BG506" s="3"/>
      <c r="BH506" s="3"/>
      <c r="BI506" s="3"/>
      <c r="BJ506" s="3"/>
      <c r="BK506" s="3"/>
      <c r="BL506" s="3"/>
      <c r="BM506" s="3"/>
      <c r="BN506" s="3"/>
    </row>
    <row r="507" spans="1:66" ht="12.95" customHeight="1">
      <c r="B507" s="1383"/>
      <c r="C507" s="1384"/>
      <c r="D507" s="1384"/>
      <c r="E507" s="1384"/>
      <c r="F507" s="1384"/>
      <c r="G507" s="1384"/>
      <c r="H507" s="1385"/>
      <c r="I507" s="3" t="s">
        <v>413</v>
      </c>
      <c r="AC507" s="1362">
        <v>5</v>
      </c>
      <c r="AD507" s="1363"/>
      <c r="AE507" s="1363"/>
      <c r="AF507" s="1363"/>
      <c r="AG507" s="13" t="s">
        <v>403</v>
      </c>
      <c r="AH507" s="1391">
        <v>2026</v>
      </c>
      <c r="AI507" s="1391"/>
      <c r="AJ507" s="1391"/>
      <c r="AK507" s="1392"/>
      <c r="AZ507" s="3"/>
      <c r="BA507" s="3"/>
      <c r="BB507" s="3"/>
      <c r="BC507" s="3"/>
      <c r="BD507" s="3"/>
      <c r="BE507" s="3"/>
      <c r="BF507" s="3"/>
      <c r="BG507" s="3"/>
      <c r="BH507" s="3"/>
      <c r="BI507" s="3"/>
      <c r="BJ507" s="3"/>
      <c r="BK507" s="3"/>
      <c r="BL507" s="3"/>
      <c r="BM507" s="3"/>
      <c r="BN507" s="3"/>
    </row>
    <row r="508" spans="1:66" ht="12.95" customHeight="1">
      <c r="B508" s="1383"/>
      <c r="C508" s="1384"/>
      <c r="D508" s="1384"/>
      <c r="E508" s="1384"/>
      <c r="F508" s="1384"/>
      <c r="G508" s="1384"/>
      <c r="H508" s="1385"/>
      <c r="I508" s="896" t="s">
        <v>170</v>
      </c>
      <c r="J508" s="48"/>
      <c r="K508" s="48"/>
      <c r="L508" s="1411" t="s">
        <v>334</v>
      </c>
      <c r="M508" s="1412"/>
      <c r="N508" s="1412"/>
      <c r="O508" s="1412"/>
      <c r="P508" s="1412"/>
      <c r="Q508" s="1412"/>
      <c r="R508" s="1412"/>
      <c r="S508" s="1412"/>
      <c r="T508" s="1412"/>
      <c r="U508" s="1412"/>
      <c r="V508" s="1412"/>
      <c r="W508" s="1412"/>
      <c r="X508" s="1412"/>
      <c r="Y508" s="1412"/>
      <c r="Z508" s="1412"/>
      <c r="AA508" s="1412"/>
      <c r="AB508" s="1413"/>
      <c r="AC508" s="1408" t="s">
        <v>592</v>
      </c>
      <c r="AD508" s="1368"/>
      <c r="AE508" s="1368"/>
      <c r="AF508" s="1368"/>
      <c r="AG508" s="38" t="s">
        <v>403</v>
      </c>
      <c r="AH508" s="1391"/>
      <c r="AI508" s="1391"/>
      <c r="AJ508" s="1391"/>
      <c r="AK508" s="1392"/>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429" t="s">
        <v>670</v>
      </c>
      <c r="AD509" s="1429"/>
      <c r="AE509" s="1429"/>
      <c r="AF509" s="1429"/>
      <c r="AG509" s="13"/>
      <c r="AH509" s="1456"/>
      <c r="AI509" s="1456"/>
      <c r="AJ509" s="1456"/>
      <c r="AK509" s="145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62"/>
      <c r="AD510" s="1363"/>
      <c r="AE510" s="1363"/>
      <c r="AF510" s="1364"/>
      <c r="AG510" s="13"/>
      <c r="AH510" s="1456"/>
      <c r="AI510" s="1456"/>
      <c r="AJ510" s="1456"/>
      <c r="AK510" s="145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95">
        <v>0.5</v>
      </c>
      <c r="AD512" s="1496"/>
      <c r="AE512" s="1496"/>
      <c r="AF512" s="1497"/>
      <c r="AG512" s="38"/>
      <c r="AH512" s="1458"/>
      <c r="AI512" s="1458"/>
      <c r="AJ512" s="1458"/>
      <c r="AK512" s="145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571" t="s">
        <v>402</v>
      </c>
      <c r="AD513" s="1389"/>
      <c r="AE513" s="1389"/>
      <c r="AF513" s="1389"/>
      <c r="AG513" s="38" t="s">
        <v>403</v>
      </c>
      <c r="AH513" s="1389" t="s">
        <v>404</v>
      </c>
      <c r="AI513" s="1389"/>
      <c r="AJ513" s="1389"/>
      <c r="AK513" s="1390"/>
      <c r="AZ513" s="3"/>
      <c r="BA513" s="3"/>
      <c r="BB513" s="3"/>
      <c r="BC513" s="3"/>
      <c r="BD513" s="3"/>
      <c r="BE513" s="3"/>
      <c r="BF513" s="3"/>
      <c r="BG513" s="3"/>
      <c r="BH513" s="3"/>
      <c r="BI513" s="3"/>
      <c r="BJ513" s="3"/>
      <c r="BK513" s="3"/>
      <c r="BL513" s="3"/>
      <c r="BM513" s="3"/>
      <c r="BN513" s="3" t="s">
        <v>2105</v>
      </c>
    </row>
    <row r="514" spans="2:66" ht="12.95" customHeight="1">
      <c r="B514" s="1380" t="s">
        <v>414</v>
      </c>
      <c r="C514" s="1381"/>
      <c r="D514" s="1381"/>
      <c r="E514" s="1381"/>
      <c r="F514" s="1381"/>
      <c r="G514" s="1381"/>
      <c r="H514" s="1382"/>
      <c r="I514" s="42" t="s">
        <v>415</v>
      </c>
      <c r="J514" s="42"/>
      <c r="K514" s="42"/>
      <c r="L514" s="42"/>
      <c r="M514" s="42"/>
      <c r="N514" s="42"/>
      <c r="O514" s="42"/>
      <c r="P514" s="42"/>
      <c r="Q514" s="42"/>
      <c r="R514" s="42"/>
      <c r="S514" s="42"/>
      <c r="T514" s="42"/>
      <c r="U514" s="42"/>
      <c r="V514" s="42"/>
      <c r="W514" s="42"/>
      <c r="AC514" s="1408">
        <v>9</v>
      </c>
      <c r="AD514" s="1368"/>
      <c r="AE514" s="1368"/>
      <c r="AF514" s="1368"/>
      <c r="AG514" s="13" t="s">
        <v>403</v>
      </c>
      <c r="AH514" s="1391">
        <v>2025</v>
      </c>
      <c r="AI514" s="1391"/>
      <c r="AJ514" s="1391"/>
      <c r="AK514" s="1392"/>
      <c r="AZ514" s="3"/>
      <c r="BA514" s="3"/>
      <c r="BB514" s="3"/>
      <c r="BC514" s="3"/>
      <c r="BD514" s="3"/>
      <c r="BE514" s="3"/>
      <c r="BF514" s="3"/>
      <c r="BG514" s="3"/>
      <c r="BH514" s="3"/>
      <c r="BI514" s="3"/>
      <c r="BJ514" s="3"/>
      <c r="BK514" s="3"/>
      <c r="BL514" s="3"/>
      <c r="BM514" s="3"/>
      <c r="BN514" s="3" t="s">
        <v>2106</v>
      </c>
    </row>
    <row r="515" spans="2:66" ht="12.95" customHeight="1">
      <c r="B515" s="1383"/>
      <c r="C515" s="1384"/>
      <c r="D515" s="1384"/>
      <c r="E515" s="1384"/>
      <c r="F515" s="1384"/>
      <c r="G515" s="1384"/>
      <c r="H515" s="1385"/>
      <c r="I515" t="s">
        <v>416</v>
      </c>
      <c r="AC515" s="1408">
        <v>9</v>
      </c>
      <c r="AD515" s="1368"/>
      <c r="AE515" s="1368"/>
      <c r="AF515" s="1368"/>
      <c r="AG515" s="13" t="s">
        <v>403</v>
      </c>
      <c r="AH515" s="1391">
        <v>2025</v>
      </c>
      <c r="AI515" s="1391"/>
      <c r="AJ515" s="1391"/>
      <c r="AK515" s="1392"/>
      <c r="AZ515" s="3"/>
      <c r="BA515" s="3"/>
      <c r="BB515" s="3"/>
      <c r="BC515" s="3"/>
      <c r="BD515" s="3"/>
      <c r="BE515" s="3"/>
      <c r="BF515" s="3"/>
      <c r="BG515" s="3"/>
      <c r="BH515" s="3"/>
      <c r="BI515" s="3"/>
      <c r="BJ515" s="3"/>
      <c r="BK515" s="3"/>
      <c r="BL515" s="3"/>
      <c r="BM515" s="3"/>
      <c r="BN515" s="3" t="s">
        <v>2107</v>
      </c>
    </row>
    <row r="516" spans="2:66" ht="12.95" customHeight="1">
      <c r="B516" s="1383"/>
      <c r="C516" s="1384"/>
      <c r="D516" s="1384"/>
      <c r="E516" s="1384"/>
      <c r="F516" s="1384"/>
      <c r="G516" s="1384"/>
      <c r="H516" s="1385"/>
      <c r="I516" s="48" t="s">
        <v>417</v>
      </c>
      <c r="J516" s="48"/>
      <c r="K516" s="48"/>
      <c r="L516" s="48"/>
      <c r="M516" s="48"/>
      <c r="N516" s="48"/>
      <c r="O516" s="48"/>
      <c r="P516" s="48"/>
      <c r="Q516" s="48"/>
      <c r="R516" s="48"/>
      <c r="S516" s="48"/>
      <c r="T516" s="48"/>
      <c r="U516" s="48"/>
      <c r="V516" s="48"/>
      <c r="W516" s="48"/>
      <c r="X516" s="48"/>
      <c r="Y516" s="48"/>
      <c r="Z516" s="48"/>
      <c r="AA516" s="48"/>
      <c r="AB516" s="48"/>
      <c r="AC516" s="1408">
        <v>5</v>
      </c>
      <c r="AD516" s="1368"/>
      <c r="AE516" s="1368"/>
      <c r="AF516" s="1368"/>
      <c r="AG516" s="38" t="s">
        <v>403</v>
      </c>
      <c r="AH516" s="1391">
        <v>2026</v>
      </c>
      <c r="AI516" s="1391"/>
      <c r="AJ516" s="1391"/>
      <c r="AK516" s="1392"/>
      <c r="AZ516" s="3"/>
      <c r="BA516" s="3"/>
      <c r="BB516" s="3"/>
      <c r="BC516" s="3"/>
      <c r="BD516" s="3"/>
      <c r="BE516" s="3"/>
      <c r="BF516" s="3"/>
      <c r="BG516" s="3"/>
      <c r="BH516" s="3"/>
      <c r="BI516" s="3"/>
      <c r="BJ516" s="3"/>
      <c r="BK516" s="3"/>
      <c r="BL516" s="3"/>
      <c r="BM516" s="3"/>
      <c r="BN516" s="3" t="s">
        <v>2108</v>
      </c>
    </row>
    <row r="517" spans="2:66" ht="12.95" customHeight="1">
      <c r="B517" s="1380" t="s">
        <v>418</v>
      </c>
      <c r="C517" s="1381"/>
      <c r="D517" s="1381"/>
      <c r="E517" s="1381"/>
      <c r="F517" s="1381"/>
      <c r="G517" s="1381"/>
      <c r="H517" s="1382"/>
      <c r="I517" s="42" t="s">
        <v>415</v>
      </c>
      <c r="J517" s="42"/>
      <c r="K517" s="42"/>
      <c r="L517" s="42"/>
      <c r="M517" s="42"/>
      <c r="N517" s="42"/>
      <c r="O517" s="42"/>
      <c r="P517" s="42"/>
      <c r="Q517" s="42"/>
      <c r="R517" s="42"/>
      <c r="S517" s="42"/>
      <c r="T517" s="42"/>
      <c r="U517" s="42"/>
      <c r="V517" s="42"/>
      <c r="W517" s="42"/>
      <c r="X517" s="42"/>
      <c r="Y517" s="42"/>
      <c r="Z517" s="42"/>
      <c r="AA517" s="42"/>
      <c r="AB517" s="42"/>
      <c r="AC517" s="1362">
        <v>9</v>
      </c>
      <c r="AD517" s="1363"/>
      <c r="AE517" s="1363"/>
      <c r="AF517" s="1363"/>
      <c r="AG517" s="129" t="s">
        <v>403</v>
      </c>
      <c r="AH517" s="1391">
        <v>2025</v>
      </c>
      <c r="AI517" s="1391"/>
      <c r="AJ517" s="1391"/>
      <c r="AK517" s="1392"/>
      <c r="AZ517" s="3"/>
      <c r="BB517" s="3"/>
      <c r="BC517" s="3"/>
      <c r="BD517" s="3"/>
      <c r="BE517" s="3"/>
      <c r="BF517" s="3"/>
      <c r="BG517" s="3"/>
      <c r="BH517" s="3"/>
      <c r="BI517" s="3"/>
      <c r="BJ517" s="3"/>
      <c r="BK517" s="3"/>
      <c r="BL517" s="3"/>
      <c r="BM517" s="3"/>
      <c r="BN517" s="3" t="s">
        <v>2109</v>
      </c>
    </row>
    <row r="518" spans="2:66" ht="12.95" customHeight="1">
      <c r="B518" s="1383"/>
      <c r="C518" s="1384"/>
      <c r="D518" s="1384"/>
      <c r="E518" s="1384"/>
      <c r="F518" s="1384"/>
      <c r="G518" s="1384"/>
      <c r="H518" s="1385"/>
      <c r="I518" t="s">
        <v>416</v>
      </c>
      <c r="AC518" s="1408">
        <v>9</v>
      </c>
      <c r="AD518" s="1368"/>
      <c r="AE518" s="1368"/>
      <c r="AF518" s="1368"/>
      <c r="AG518" s="13" t="s">
        <v>403</v>
      </c>
      <c r="AH518" s="1391">
        <v>2025</v>
      </c>
      <c r="AI518" s="1391"/>
      <c r="AJ518" s="1391"/>
      <c r="AK518" s="1392"/>
      <c r="BB518" s="3"/>
      <c r="BC518" s="3"/>
      <c r="BD518" s="3"/>
      <c r="BE518" s="3"/>
      <c r="BF518" s="3"/>
      <c r="BG518" s="3"/>
      <c r="BH518" s="3"/>
      <c r="BI518" s="3"/>
      <c r="BJ518" s="3"/>
      <c r="BK518" s="3"/>
      <c r="BL518" s="3"/>
      <c r="BM518" s="3"/>
      <c r="BN518" s="3" t="s">
        <v>2110</v>
      </c>
    </row>
    <row r="519" spans="2:66" ht="12.95" customHeight="1">
      <c r="B519" s="1386"/>
      <c r="C519" s="1387"/>
      <c r="D519" s="1387"/>
      <c r="E519" s="1387"/>
      <c r="F519" s="1387"/>
      <c r="G519" s="1387"/>
      <c r="H519" s="1388"/>
      <c r="I519" s="48" t="s">
        <v>417</v>
      </c>
      <c r="J519" s="48"/>
      <c r="K519" s="48"/>
      <c r="L519" s="48"/>
      <c r="M519" s="48"/>
      <c r="N519" s="48"/>
      <c r="O519" s="48"/>
      <c r="P519" s="48"/>
      <c r="Q519" s="48"/>
      <c r="R519" s="48"/>
      <c r="S519" s="48"/>
      <c r="T519" s="48"/>
      <c r="U519" s="48"/>
      <c r="V519" s="48"/>
      <c r="W519" s="48"/>
      <c r="X519" s="48"/>
      <c r="Y519" s="48"/>
      <c r="Z519" s="48"/>
      <c r="AA519" s="48"/>
      <c r="AB519" s="48"/>
      <c r="AC519" s="1408">
        <v>5</v>
      </c>
      <c r="AD519" s="1368"/>
      <c r="AE519" s="1368"/>
      <c r="AF519" s="1368"/>
      <c r="AG519" s="38" t="s">
        <v>403</v>
      </c>
      <c r="AH519" s="1391">
        <v>2026</v>
      </c>
      <c r="AI519" s="1391"/>
      <c r="AJ519" s="1391"/>
      <c r="AK519" s="1392"/>
      <c r="BB519" s="3"/>
      <c r="BC519" s="3"/>
      <c r="BD519" s="3"/>
      <c r="BE519" s="3"/>
      <c r="BF519" s="3"/>
      <c r="BG519" s="3"/>
      <c r="BH519" s="3"/>
      <c r="BI519" s="3"/>
      <c r="BJ519" s="3"/>
      <c r="BK519" s="3"/>
      <c r="BL519" s="3"/>
      <c r="BM519" s="3"/>
      <c r="BN519" s="3" t="s">
        <v>2111</v>
      </c>
    </row>
    <row r="520" spans="2:66" ht="12.95" customHeight="1">
      <c r="B520" s="1380" t="s">
        <v>419</v>
      </c>
      <c r="C520" s="1381"/>
      <c r="D520" s="1381"/>
      <c r="E520" s="1381"/>
      <c r="F520" s="1381"/>
      <c r="G520" s="1381"/>
      <c r="H520" s="1382"/>
      <c r="I520" s="41" t="s">
        <v>420</v>
      </c>
      <c r="J520" s="42"/>
      <c r="K520" s="42"/>
      <c r="L520" s="42"/>
      <c r="M520" s="42"/>
      <c r="N520" s="42"/>
      <c r="O520" s="1411" t="s">
        <v>2718</v>
      </c>
      <c r="P520" s="1412"/>
      <c r="Q520" s="1412"/>
      <c r="R520" s="1412"/>
      <c r="S520" s="1412"/>
      <c r="T520" s="1412"/>
      <c r="U520" s="1412"/>
      <c r="V520" s="1412"/>
      <c r="W520" s="1412"/>
      <c r="X520" s="1412"/>
      <c r="Y520" s="1412"/>
      <c r="Z520" s="1412"/>
      <c r="AA520" s="1412"/>
      <c r="AB520" s="58"/>
      <c r="AC520" s="1362" t="s">
        <v>592</v>
      </c>
      <c r="AD520" s="1363"/>
      <c r="AE520" s="1363"/>
      <c r="AF520" s="1363"/>
      <c r="AG520" s="129" t="s">
        <v>403</v>
      </c>
      <c r="AH520" s="1391"/>
      <c r="AI520" s="1391"/>
      <c r="AJ520" s="1391"/>
      <c r="AK520" s="1392"/>
      <c r="AZ520" s="3"/>
      <c r="BB520" s="3"/>
      <c r="BC520" s="3"/>
      <c r="BD520" s="3"/>
      <c r="BE520" s="3"/>
      <c r="BF520" s="3"/>
      <c r="BG520" s="3"/>
      <c r="BH520" s="3"/>
      <c r="BI520" s="3"/>
      <c r="BJ520" s="3"/>
      <c r="BK520" s="3"/>
      <c r="BL520" s="3"/>
      <c r="BM520" s="3"/>
      <c r="BN520" s="3" t="s">
        <v>2112</v>
      </c>
    </row>
    <row r="521" spans="2:66" ht="12.95" customHeight="1">
      <c r="B521" s="1383"/>
      <c r="C521" s="1384"/>
      <c r="D521" s="1384"/>
      <c r="E521" s="1384"/>
      <c r="F521" s="1384"/>
      <c r="G521" s="1384"/>
      <c r="H521" s="1385"/>
      <c r="I521" s="114" t="s">
        <v>421</v>
      </c>
      <c r="AB521" s="65"/>
      <c r="AC521" s="1408">
        <v>4</v>
      </c>
      <c r="AD521" s="1368"/>
      <c r="AE521" s="1368"/>
      <c r="AF521" s="1368"/>
      <c r="AG521" s="13" t="s">
        <v>403</v>
      </c>
      <c r="AH521" s="1391">
        <v>2024</v>
      </c>
      <c r="AI521" s="1391"/>
      <c r="AJ521" s="1391"/>
      <c r="AK521" s="1392"/>
      <c r="AZ521" s="3"/>
      <c r="BB521" s="3"/>
      <c r="BC521" s="3"/>
      <c r="BD521" s="3"/>
      <c r="BE521" s="3"/>
      <c r="BF521" s="3"/>
      <c r="BG521" s="3"/>
      <c r="BH521" s="3"/>
      <c r="BI521" s="3"/>
      <c r="BJ521" s="3"/>
      <c r="BK521" s="3"/>
      <c r="BL521" s="3"/>
      <c r="BM521" s="3"/>
      <c r="BN521" s="3" t="s">
        <v>2113</v>
      </c>
    </row>
    <row r="522" spans="2:66" ht="12.95" customHeight="1">
      <c r="B522" s="1383"/>
      <c r="C522" s="1384"/>
      <c r="D522" s="1384"/>
      <c r="E522" s="1384"/>
      <c r="F522" s="1384"/>
      <c r="G522" s="1384"/>
      <c r="H522" s="1385"/>
      <c r="I522" s="47" t="s">
        <v>422</v>
      </c>
      <c r="J522" s="48"/>
      <c r="K522" s="48"/>
      <c r="L522" s="48"/>
      <c r="M522" s="48"/>
      <c r="N522" s="48"/>
      <c r="O522" s="48"/>
      <c r="P522" s="48"/>
      <c r="Q522" s="48"/>
      <c r="R522" s="48"/>
      <c r="S522" s="48"/>
      <c r="T522" s="48"/>
      <c r="U522" s="48"/>
      <c r="V522" s="48"/>
      <c r="W522" s="48"/>
      <c r="X522" s="48"/>
      <c r="Y522" s="48"/>
      <c r="Z522" s="48"/>
      <c r="AA522" s="48"/>
      <c r="AB522" s="49"/>
      <c r="AC522" s="1408">
        <v>4</v>
      </c>
      <c r="AD522" s="1368"/>
      <c r="AE522" s="1368"/>
      <c r="AF522" s="1368"/>
      <c r="AG522" s="38" t="s">
        <v>403</v>
      </c>
      <c r="AH522" s="1391">
        <v>2024</v>
      </c>
      <c r="AI522" s="1391"/>
      <c r="AJ522" s="1391"/>
      <c r="AK522" s="1392"/>
      <c r="AZ522" s="3"/>
      <c r="BA522" s="3"/>
      <c r="BB522" s="3"/>
      <c r="BC522" s="3"/>
      <c r="BD522" s="3"/>
      <c r="BE522" s="3"/>
      <c r="BF522" s="3"/>
      <c r="BG522" s="3"/>
      <c r="BH522" s="3"/>
      <c r="BI522" s="3"/>
      <c r="BJ522" s="3"/>
      <c r="BK522" s="3"/>
      <c r="BL522" s="3"/>
      <c r="BM522" s="3"/>
      <c r="BN522" s="3" t="s">
        <v>2114</v>
      </c>
    </row>
    <row r="523" spans="2:66" ht="12.95" customHeight="1">
      <c r="B523" s="1383"/>
      <c r="C523" s="1384"/>
      <c r="D523" s="1384"/>
      <c r="E523" s="1384"/>
      <c r="F523" s="1384"/>
      <c r="G523" s="1384"/>
      <c r="H523" s="1385"/>
      <c r="I523" s="42" t="s">
        <v>423</v>
      </c>
      <c r="J523" s="42"/>
      <c r="K523" s="42"/>
      <c r="L523" s="42"/>
      <c r="M523" s="42"/>
      <c r="N523" s="42"/>
      <c r="O523" s="1411" t="s">
        <v>334</v>
      </c>
      <c r="P523" s="1412"/>
      <c r="Q523" s="1412"/>
      <c r="R523" s="1412"/>
      <c r="S523" s="1412"/>
      <c r="T523" s="1412"/>
      <c r="U523" s="1412"/>
      <c r="V523" s="1412"/>
      <c r="W523" s="1412"/>
      <c r="X523" s="1412"/>
      <c r="Y523" s="1412"/>
      <c r="Z523" s="1412"/>
      <c r="AA523" s="1412"/>
      <c r="AC523" s="1408" t="s">
        <v>592</v>
      </c>
      <c r="AD523" s="1368"/>
      <c r="AE523" s="1368"/>
      <c r="AF523" s="1368"/>
      <c r="AG523" s="13" t="s">
        <v>403</v>
      </c>
      <c r="AH523" s="1391"/>
      <c r="AI523" s="1391"/>
      <c r="AJ523" s="1391"/>
      <c r="AK523" s="1392"/>
      <c r="AZ523" s="3"/>
      <c r="BA523" s="3"/>
      <c r="BB523" s="3"/>
      <c r="BC523" s="3"/>
      <c r="BD523" s="3"/>
      <c r="BE523" s="3"/>
      <c r="BF523" s="3"/>
      <c r="BG523" s="3"/>
      <c r="BH523" s="3"/>
      <c r="BI523" s="3"/>
      <c r="BJ523" s="3"/>
      <c r="BK523" s="3"/>
      <c r="BL523" s="3"/>
      <c r="BM523" s="3"/>
      <c r="BN523" s="3" t="s">
        <v>2115</v>
      </c>
    </row>
    <row r="524" spans="2:66" ht="12.95" customHeight="1">
      <c r="B524" s="1383"/>
      <c r="C524" s="1384"/>
      <c r="D524" s="1384"/>
      <c r="E524" s="1384"/>
      <c r="F524" s="1384"/>
      <c r="G524" s="1384"/>
      <c r="H524" s="1385"/>
      <c r="I524" t="s">
        <v>421</v>
      </c>
      <c r="AC524" s="1408" t="s">
        <v>592</v>
      </c>
      <c r="AD524" s="1368"/>
      <c r="AE524" s="1368"/>
      <c r="AF524" s="1368"/>
      <c r="AG524" s="13" t="s">
        <v>403</v>
      </c>
      <c r="AH524" s="1391"/>
      <c r="AI524" s="1391"/>
      <c r="AJ524" s="1391"/>
      <c r="AK524" s="1392"/>
      <c r="AZ524" s="3"/>
      <c r="BA524" s="3"/>
      <c r="BB524" s="3"/>
      <c r="BC524" s="3"/>
      <c r="BD524" s="3"/>
      <c r="BE524" s="3"/>
      <c r="BF524" s="3"/>
      <c r="BG524" s="3"/>
      <c r="BH524" s="3"/>
      <c r="BI524" s="3"/>
      <c r="BJ524" s="3"/>
      <c r="BK524" s="3"/>
      <c r="BL524" s="3"/>
      <c r="BM524" s="3"/>
      <c r="BN524" s="3" t="s">
        <v>2116</v>
      </c>
    </row>
    <row r="525" spans="2:66" ht="12.95" customHeight="1">
      <c r="B525" s="1383"/>
      <c r="C525" s="1384"/>
      <c r="D525" s="1384"/>
      <c r="E525" s="1384"/>
      <c r="F525" s="1384"/>
      <c r="G525" s="1384"/>
      <c r="H525" s="1385"/>
      <c r="I525" s="48" t="s">
        <v>422</v>
      </c>
      <c r="J525" s="48"/>
      <c r="K525" s="48"/>
      <c r="L525" s="48"/>
      <c r="M525" s="48"/>
      <c r="N525" s="48"/>
      <c r="O525" s="48"/>
      <c r="P525" s="48"/>
      <c r="Q525" s="48"/>
      <c r="R525" s="48"/>
      <c r="S525" s="48"/>
      <c r="T525" s="48"/>
      <c r="U525" s="48"/>
      <c r="V525" s="48"/>
      <c r="W525" s="48"/>
      <c r="X525" s="48"/>
      <c r="Y525" s="48"/>
      <c r="Z525" s="48"/>
      <c r="AA525" s="48"/>
      <c r="AB525" s="48"/>
      <c r="AC525" s="1408" t="s">
        <v>592</v>
      </c>
      <c r="AD525" s="1368"/>
      <c r="AE525" s="1368"/>
      <c r="AF525" s="1368"/>
      <c r="AG525" s="38" t="s">
        <v>403</v>
      </c>
      <c r="AH525" s="1391"/>
      <c r="AI525" s="1391"/>
      <c r="AJ525" s="1391"/>
      <c r="AK525" s="1392"/>
      <c r="AZ525" s="3"/>
      <c r="BA525" s="3"/>
      <c r="BB525" s="3"/>
      <c r="BC525" s="3"/>
      <c r="BD525" s="3"/>
      <c r="BE525" s="3"/>
      <c r="BF525" s="3"/>
      <c r="BG525" s="3"/>
      <c r="BH525" s="3"/>
      <c r="BI525" s="3"/>
      <c r="BJ525" s="3"/>
      <c r="BK525" s="3"/>
      <c r="BL525" s="3"/>
      <c r="BM525" s="3"/>
      <c r="BN525" s="3" t="s">
        <v>2117</v>
      </c>
    </row>
    <row r="526" spans="2:66" ht="12.95" customHeight="1">
      <c r="B526" s="1383"/>
      <c r="C526" s="1384"/>
      <c r="D526" s="1384"/>
      <c r="E526" s="1384"/>
      <c r="F526" s="1384"/>
      <c r="G526" s="1384"/>
      <c r="H526" s="1385"/>
      <c r="I526" s="42" t="s">
        <v>423</v>
      </c>
      <c r="J526" s="42"/>
      <c r="K526" s="42"/>
      <c r="L526" s="42"/>
      <c r="M526" s="42"/>
      <c r="N526" s="42"/>
      <c r="O526" s="1411" t="s">
        <v>334</v>
      </c>
      <c r="P526" s="1412"/>
      <c r="Q526" s="1412"/>
      <c r="R526" s="1412"/>
      <c r="S526" s="1412"/>
      <c r="T526" s="1412"/>
      <c r="U526" s="1412"/>
      <c r="V526" s="1412"/>
      <c r="W526" s="1412"/>
      <c r="X526" s="1412"/>
      <c r="Y526" s="1412"/>
      <c r="Z526" s="1412"/>
      <c r="AA526" s="1412"/>
      <c r="AC526" s="1408" t="s">
        <v>592</v>
      </c>
      <c r="AD526" s="1368"/>
      <c r="AE526" s="1368"/>
      <c r="AF526" s="1368"/>
      <c r="AG526" s="13" t="s">
        <v>403</v>
      </c>
      <c r="AH526" s="1391"/>
      <c r="AI526" s="1391"/>
      <c r="AJ526" s="1391"/>
      <c r="AK526" s="1392"/>
      <c r="AZ526" s="3"/>
      <c r="BA526" s="3"/>
      <c r="BB526" s="3"/>
      <c r="BC526" s="3"/>
      <c r="BD526" s="3"/>
      <c r="BE526" s="3"/>
      <c r="BF526" s="3"/>
      <c r="BG526" s="3"/>
      <c r="BH526" s="3"/>
      <c r="BI526" s="3"/>
      <c r="BJ526" s="3"/>
      <c r="BK526" s="3"/>
      <c r="BL526" s="3"/>
      <c r="BM526" s="3"/>
      <c r="BN526" s="3" t="s">
        <v>2118</v>
      </c>
    </row>
    <row r="527" spans="2:66" ht="12.95" customHeight="1">
      <c r="B527" s="1383"/>
      <c r="C527" s="1384"/>
      <c r="D527" s="1384"/>
      <c r="E527" s="1384"/>
      <c r="F527" s="1384"/>
      <c r="G527" s="1384"/>
      <c r="H527" s="1385"/>
      <c r="I527" t="s">
        <v>421</v>
      </c>
      <c r="AC527" s="1408" t="s">
        <v>592</v>
      </c>
      <c r="AD527" s="1368"/>
      <c r="AE527" s="1368"/>
      <c r="AF527" s="1368"/>
      <c r="AG527" s="13" t="s">
        <v>403</v>
      </c>
      <c r="AH527" s="1391"/>
      <c r="AI527" s="1391"/>
      <c r="AJ527" s="1391"/>
      <c r="AK527" s="1392"/>
      <c r="AZ527" s="3"/>
      <c r="BA527" s="3"/>
      <c r="BB527" s="3"/>
      <c r="BC527" s="3"/>
      <c r="BD527" s="3"/>
      <c r="BE527" s="3"/>
      <c r="BF527" s="3"/>
      <c r="BG527" s="3"/>
      <c r="BH527" s="3"/>
      <c r="BI527" s="3"/>
      <c r="BJ527" s="3"/>
      <c r="BK527" s="3"/>
      <c r="BL527" s="3"/>
      <c r="BM527" s="3"/>
      <c r="BN527" s="3" t="s">
        <v>2119</v>
      </c>
    </row>
    <row r="528" spans="2:66" ht="12.95" customHeight="1">
      <c r="B528" s="1383"/>
      <c r="C528" s="1384"/>
      <c r="D528" s="1384"/>
      <c r="E528" s="1384"/>
      <c r="F528" s="1384"/>
      <c r="G528" s="1384"/>
      <c r="H528" s="1385"/>
      <c r="I528" s="48" t="s">
        <v>422</v>
      </c>
      <c r="J528" s="48"/>
      <c r="K528" s="48"/>
      <c r="L528" s="48"/>
      <c r="M528" s="48"/>
      <c r="N528" s="48"/>
      <c r="O528" s="48"/>
      <c r="P528" s="48"/>
      <c r="Q528" s="48"/>
      <c r="R528" s="48"/>
      <c r="S528" s="48"/>
      <c r="T528" s="48"/>
      <c r="U528" s="48"/>
      <c r="V528" s="48"/>
      <c r="W528" s="48"/>
      <c r="X528" s="48"/>
      <c r="Y528" s="48"/>
      <c r="Z528" s="48"/>
      <c r="AA528" s="48"/>
      <c r="AB528" s="48"/>
      <c r="AC528" s="1408" t="s">
        <v>592</v>
      </c>
      <c r="AD528" s="1368"/>
      <c r="AE528" s="1368"/>
      <c r="AF528" s="1368"/>
      <c r="AG528" s="38" t="s">
        <v>403</v>
      </c>
      <c r="AH528" s="1391"/>
      <c r="AI528" s="1391"/>
      <c r="AJ528" s="1391"/>
      <c r="AK528" s="1392"/>
      <c r="AZ528" s="3"/>
      <c r="BA528" s="3"/>
      <c r="BB528" s="3"/>
      <c r="BC528" s="3"/>
      <c r="BD528" s="3"/>
      <c r="BE528" s="3"/>
      <c r="BF528" s="3"/>
      <c r="BG528" s="3"/>
      <c r="BH528" s="3"/>
      <c r="BI528" s="3"/>
      <c r="BJ528" s="3"/>
      <c r="BK528" s="3"/>
      <c r="BL528" s="3"/>
      <c r="BM528" s="3"/>
      <c r="BN528" s="3" t="s">
        <v>2120</v>
      </c>
    </row>
    <row r="529" spans="1:66" ht="12.95" customHeight="1">
      <c r="B529" s="1383"/>
      <c r="C529" s="1384"/>
      <c r="D529" s="1384"/>
      <c r="E529" s="1384"/>
      <c r="F529" s="1384"/>
      <c r="G529" s="1384"/>
      <c r="H529" s="1385"/>
      <c r="I529" s="42" t="s">
        <v>423</v>
      </c>
      <c r="J529" s="42"/>
      <c r="K529" s="42"/>
      <c r="L529" s="42"/>
      <c r="M529" s="42"/>
      <c r="N529" s="42"/>
      <c r="O529" s="1411" t="s">
        <v>334</v>
      </c>
      <c r="P529" s="1412"/>
      <c r="Q529" s="1412"/>
      <c r="R529" s="1412"/>
      <c r="S529" s="1412"/>
      <c r="T529" s="1412"/>
      <c r="U529" s="1412"/>
      <c r="V529" s="1412"/>
      <c r="W529" s="1412"/>
      <c r="X529" s="1412"/>
      <c r="Y529" s="1412"/>
      <c r="Z529" s="1412"/>
      <c r="AA529" s="1412"/>
      <c r="AC529" s="1408" t="s">
        <v>592</v>
      </c>
      <c r="AD529" s="1368"/>
      <c r="AE529" s="1368"/>
      <c r="AF529" s="1368"/>
      <c r="AG529" s="13" t="s">
        <v>403</v>
      </c>
      <c r="AH529" s="1391"/>
      <c r="AI529" s="1391"/>
      <c r="AJ529" s="1391"/>
      <c r="AK529" s="1392"/>
      <c r="AZ529" s="3"/>
      <c r="BA529" s="3"/>
      <c r="BB529" s="3"/>
      <c r="BC529" s="3"/>
      <c r="BD529" s="3"/>
      <c r="BE529" s="3"/>
      <c r="BF529" s="3"/>
      <c r="BG529" s="3"/>
      <c r="BH529" s="3"/>
      <c r="BI529" s="3"/>
      <c r="BJ529" s="3"/>
      <c r="BK529" s="3"/>
      <c r="BL529" s="3"/>
      <c r="BM529" s="3"/>
      <c r="BN529" s="3" t="s">
        <v>2121</v>
      </c>
    </row>
    <row r="530" spans="1:66" ht="12.95" customHeight="1">
      <c r="B530" s="1383"/>
      <c r="C530" s="1384"/>
      <c r="D530" s="1384"/>
      <c r="E530" s="1384"/>
      <c r="F530" s="1384"/>
      <c r="G530" s="1384"/>
      <c r="H530" s="1385"/>
      <c r="I530" t="s">
        <v>421</v>
      </c>
      <c r="AC530" s="1408" t="s">
        <v>592</v>
      </c>
      <c r="AD530" s="1368"/>
      <c r="AE530" s="1368"/>
      <c r="AF530" s="1368"/>
      <c r="AG530" s="13" t="s">
        <v>403</v>
      </c>
      <c r="AH530" s="1391"/>
      <c r="AI530" s="1391"/>
      <c r="AJ530" s="1391"/>
      <c r="AK530" s="1392"/>
      <c r="AZ530" s="3"/>
      <c r="BA530" s="3"/>
      <c r="BB530" s="3"/>
      <c r="BC530" s="3"/>
      <c r="BD530" s="3"/>
      <c r="BE530" s="3"/>
      <c r="BF530" s="3"/>
      <c r="BG530" s="3"/>
      <c r="BH530" s="3"/>
      <c r="BI530" s="3"/>
      <c r="BJ530" s="3"/>
      <c r="BK530" s="3"/>
      <c r="BL530" s="3"/>
      <c r="BM530" s="3"/>
      <c r="BN530" s="3" t="s">
        <v>2122</v>
      </c>
    </row>
    <row r="531" spans="1:66" ht="12.95" customHeight="1">
      <c r="B531" s="1383"/>
      <c r="C531" s="1384"/>
      <c r="D531" s="1384"/>
      <c r="E531" s="1384"/>
      <c r="F531" s="1384"/>
      <c r="G531" s="1384"/>
      <c r="H531" s="1385"/>
      <c r="I531" s="48" t="s">
        <v>422</v>
      </c>
      <c r="J531" s="48"/>
      <c r="K531" s="48"/>
      <c r="L531" s="48"/>
      <c r="M531" s="48"/>
      <c r="N531" s="48"/>
      <c r="O531" s="48"/>
      <c r="P531" s="48"/>
      <c r="Q531" s="48"/>
      <c r="R531" s="48"/>
      <c r="S531" s="48"/>
      <c r="T531" s="48"/>
      <c r="U531" s="48"/>
      <c r="V531" s="48"/>
      <c r="W531" s="48"/>
      <c r="X531" s="48"/>
      <c r="Y531" s="48"/>
      <c r="Z531" s="48"/>
      <c r="AA531" s="48"/>
      <c r="AB531" s="48"/>
      <c r="AC531" s="1408" t="s">
        <v>592</v>
      </c>
      <c r="AD531" s="1368"/>
      <c r="AE531" s="1368"/>
      <c r="AF531" s="1368"/>
      <c r="AG531" s="38" t="s">
        <v>403</v>
      </c>
      <c r="AH531" s="1391"/>
      <c r="AI531" s="1391"/>
      <c r="AJ531" s="1391"/>
      <c r="AK531" s="1392"/>
      <c r="AZ531" s="3"/>
      <c r="BA531" s="3"/>
      <c r="BB531" s="3"/>
      <c r="BC531" s="3"/>
      <c r="BD531" s="3"/>
      <c r="BE531" s="3"/>
      <c r="BF531" s="3"/>
      <c r="BG531" s="3"/>
      <c r="BH531" s="3"/>
      <c r="BI531" s="3"/>
      <c r="BJ531" s="3"/>
      <c r="BK531" s="3"/>
      <c r="BL531" s="3"/>
      <c r="BM531" s="3"/>
      <c r="BN531" s="3" t="s">
        <v>2123</v>
      </c>
    </row>
    <row r="532" spans="1:66" ht="12.95" customHeight="1">
      <c r="B532" s="1383"/>
      <c r="C532" s="1384"/>
      <c r="D532" s="1384"/>
      <c r="E532" s="1384"/>
      <c r="F532" s="1384"/>
      <c r="G532" s="1384"/>
      <c r="H532" s="1385"/>
      <c r="I532" s="42" t="s">
        <v>423</v>
      </c>
      <c r="J532" s="42"/>
      <c r="K532" s="42"/>
      <c r="L532" s="42"/>
      <c r="M532" s="42"/>
      <c r="N532" s="42"/>
      <c r="O532" s="1411" t="s">
        <v>334</v>
      </c>
      <c r="P532" s="1412"/>
      <c r="Q532" s="1412"/>
      <c r="R532" s="1412"/>
      <c r="S532" s="1412"/>
      <c r="T532" s="1412"/>
      <c r="U532" s="1412"/>
      <c r="V532" s="1412"/>
      <c r="W532" s="1412"/>
      <c r="X532" s="1412"/>
      <c r="Y532" s="1412"/>
      <c r="Z532" s="1412"/>
      <c r="AA532" s="1412"/>
      <c r="AC532" s="1408" t="s">
        <v>592</v>
      </c>
      <c r="AD532" s="1368"/>
      <c r="AE532" s="1368"/>
      <c r="AF532" s="1368"/>
      <c r="AG532" s="13" t="s">
        <v>403</v>
      </c>
      <c r="AH532" s="1391"/>
      <c r="AI532" s="1391"/>
      <c r="AJ532" s="1391"/>
      <c r="AK532" s="1392"/>
      <c r="AZ532" s="3"/>
      <c r="BA532" s="3"/>
      <c r="BB532" s="3"/>
      <c r="BC532" s="3"/>
      <c r="BD532" s="3"/>
      <c r="BE532" s="3"/>
      <c r="BF532" s="3"/>
      <c r="BG532" s="3"/>
      <c r="BH532" s="3"/>
      <c r="BI532" s="3"/>
      <c r="BJ532" s="3"/>
      <c r="BK532" s="3"/>
      <c r="BL532" s="3"/>
      <c r="BM532" s="3"/>
      <c r="BN532" s="3" t="s">
        <v>2124</v>
      </c>
    </row>
    <row r="533" spans="1:66" ht="12.95" customHeight="1">
      <c r="B533" s="1383"/>
      <c r="C533" s="1384"/>
      <c r="D533" s="1384"/>
      <c r="E533" s="1384"/>
      <c r="F533" s="1384"/>
      <c r="G533" s="1384"/>
      <c r="H533" s="1385"/>
      <c r="I533" t="s">
        <v>421</v>
      </c>
      <c r="AC533" s="1408" t="s">
        <v>592</v>
      </c>
      <c r="AD533" s="1368"/>
      <c r="AE533" s="1368"/>
      <c r="AF533" s="1368"/>
      <c r="AG533" s="38" t="s">
        <v>403</v>
      </c>
      <c r="AH533" s="1391"/>
      <c r="AI533" s="1391"/>
      <c r="AJ533" s="1391"/>
      <c r="AK533" s="1392"/>
      <c r="AZ533" s="3"/>
      <c r="BA533" s="3"/>
      <c r="BB533" s="3"/>
      <c r="BC533" s="3"/>
      <c r="BD533" s="3"/>
      <c r="BE533" s="3"/>
      <c r="BF533" s="3"/>
      <c r="BG533" s="3"/>
      <c r="BH533" s="3"/>
      <c r="BI533" s="3"/>
      <c r="BJ533" s="3"/>
      <c r="BK533" s="3"/>
      <c r="BL533" s="3"/>
      <c r="BM533" s="3"/>
      <c r="BN533" s="3" t="s">
        <v>2125</v>
      </c>
    </row>
    <row r="534" spans="1:66" ht="12.95" customHeight="1">
      <c r="B534" s="1383"/>
      <c r="C534" s="1384"/>
      <c r="D534" s="1384"/>
      <c r="E534" s="1384"/>
      <c r="F534" s="1384"/>
      <c r="G534" s="1384"/>
      <c r="H534" s="1385"/>
      <c r="I534" s="48" t="s">
        <v>422</v>
      </c>
      <c r="J534" s="48"/>
      <c r="K534" s="48"/>
      <c r="L534" s="48"/>
      <c r="M534" s="48"/>
      <c r="N534" s="48"/>
      <c r="O534" s="48"/>
      <c r="P534" s="48"/>
      <c r="Q534" s="48"/>
      <c r="R534" s="48"/>
      <c r="S534" s="48"/>
      <c r="T534" s="48"/>
      <c r="U534" s="48"/>
      <c r="V534" s="48"/>
      <c r="W534" s="48"/>
      <c r="X534" s="48"/>
      <c r="Y534" s="48"/>
      <c r="Z534" s="48"/>
      <c r="AA534" s="48"/>
      <c r="AB534" s="48"/>
      <c r="AC534" s="1408" t="s">
        <v>592</v>
      </c>
      <c r="AD534" s="1368"/>
      <c r="AE534" s="1368"/>
      <c r="AF534" s="1368"/>
      <c r="AG534" s="13" t="s">
        <v>403</v>
      </c>
      <c r="AH534" s="1391"/>
      <c r="AI534" s="1391"/>
      <c r="AJ534" s="1391"/>
      <c r="AK534" s="1392"/>
      <c r="AZ534" s="3"/>
      <c r="BA534" s="3"/>
      <c r="BB534" s="3"/>
      <c r="BC534" s="3"/>
      <c r="BD534" s="3"/>
      <c r="BE534" s="3"/>
      <c r="BF534" s="3"/>
      <c r="BG534" s="3"/>
      <c r="BH534" s="3"/>
      <c r="BI534" s="3"/>
      <c r="BJ534" s="3"/>
      <c r="BK534" s="3"/>
      <c r="BL534" s="3"/>
      <c r="BM534" s="3"/>
      <c r="BN534" s="3" t="s">
        <v>2126</v>
      </c>
    </row>
    <row r="535" spans="1:66" ht="12.95" customHeight="1">
      <c r="B535" s="1383"/>
      <c r="C535" s="1384"/>
      <c r="D535" s="1384"/>
      <c r="E535" s="1384"/>
      <c r="F535" s="1384"/>
      <c r="G535" s="1384"/>
      <c r="H535" s="1385"/>
      <c r="I535" s="42" t="s">
        <v>423</v>
      </c>
      <c r="J535" s="42"/>
      <c r="K535" s="42"/>
      <c r="L535" s="42"/>
      <c r="M535" s="42"/>
      <c r="N535" s="42"/>
      <c r="O535" s="1411" t="s">
        <v>334</v>
      </c>
      <c r="P535" s="1412"/>
      <c r="Q535" s="1412"/>
      <c r="R535" s="1412"/>
      <c r="S535" s="1412"/>
      <c r="T535" s="1412"/>
      <c r="U535" s="1412"/>
      <c r="V535" s="1412"/>
      <c r="W535" s="1412"/>
      <c r="X535" s="1412"/>
      <c r="Y535" s="1412"/>
      <c r="Z535" s="1412"/>
      <c r="AA535" s="1412"/>
      <c r="AC535" s="1408" t="s">
        <v>592</v>
      </c>
      <c r="AD535" s="1368"/>
      <c r="AE535" s="1368"/>
      <c r="AF535" s="1368"/>
      <c r="AG535" s="38" t="s">
        <v>403</v>
      </c>
      <c r="AH535" s="1391"/>
      <c r="AI535" s="1391"/>
      <c r="AJ535" s="1391"/>
      <c r="AK535" s="1392"/>
      <c r="AZ535" s="3"/>
      <c r="BA535" s="3"/>
      <c r="BB535" s="3"/>
      <c r="BC535" s="3"/>
      <c r="BD535" s="3"/>
      <c r="BE535" s="3"/>
      <c r="BF535" s="3"/>
      <c r="BG535" s="3"/>
      <c r="BH535" s="3"/>
      <c r="BI535" s="3"/>
      <c r="BJ535" s="3"/>
      <c r="BK535" s="3"/>
      <c r="BL535" s="3"/>
      <c r="BM535" s="3"/>
      <c r="BN535" s="3" t="s">
        <v>2127</v>
      </c>
    </row>
    <row r="536" spans="1:66" ht="12.95" customHeight="1">
      <c r="B536" s="1383"/>
      <c r="C536" s="1384"/>
      <c r="D536" s="1384"/>
      <c r="E536" s="1384"/>
      <c r="F536" s="1384"/>
      <c r="G536" s="1384"/>
      <c r="H536" s="1385"/>
      <c r="I536" t="s">
        <v>421</v>
      </c>
      <c r="AC536" s="1408" t="s">
        <v>592</v>
      </c>
      <c r="AD536" s="1368"/>
      <c r="AE536" s="1368"/>
      <c r="AF536" s="1368"/>
      <c r="AG536" s="13" t="s">
        <v>403</v>
      </c>
      <c r="AH536" s="1391"/>
      <c r="AI536" s="1391"/>
      <c r="AJ536" s="1391"/>
      <c r="AK536" s="1392"/>
      <c r="AZ536" s="3"/>
      <c r="BA536" s="3"/>
      <c r="BB536" s="3"/>
      <c r="BC536" s="3"/>
      <c r="BD536" s="3"/>
      <c r="BE536" s="3"/>
      <c r="BF536" s="3"/>
      <c r="BG536" s="3"/>
      <c r="BH536" s="3"/>
      <c r="BI536" s="3"/>
      <c r="BJ536" s="3"/>
      <c r="BK536" s="3"/>
      <c r="BL536" s="3"/>
      <c r="BM536" s="3"/>
      <c r="BN536" s="3" t="s">
        <v>2128</v>
      </c>
    </row>
    <row r="537" spans="1:66" ht="12.95" customHeight="1">
      <c r="B537" s="1383"/>
      <c r="C537" s="1384"/>
      <c r="D537" s="1384"/>
      <c r="E537" s="1384"/>
      <c r="F537" s="1384"/>
      <c r="G537" s="1384"/>
      <c r="H537" s="1385"/>
      <c r="I537" s="48" t="s">
        <v>422</v>
      </c>
      <c r="J537" s="48"/>
      <c r="K537" s="48"/>
      <c r="L537" s="48"/>
      <c r="M537" s="48"/>
      <c r="N537" s="48"/>
      <c r="O537" s="48"/>
      <c r="P537" s="48"/>
      <c r="Q537" s="48"/>
      <c r="R537" s="48"/>
      <c r="S537" s="48"/>
      <c r="T537" s="48"/>
      <c r="U537" s="48"/>
      <c r="V537" s="48"/>
      <c r="W537" s="48"/>
      <c r="X537" s="48"/>
      <c r="Y537" s="48"/>
      <c r="Z537" s="48"/>
      <c r="AA537" s="48"/>
      <c r="AB537" s="48"/>
      <c r="AC537" s="1408" t="s">
        <v>592</v>
      </c>
      <c r="AD537" s="1368"/>
      <c r="AE537" s="1368"/>
      <c r="AF537" s="1368"/>
      <c r="AG537" s="38" t="s">
        <v>403</v>
      </c>
      <c r="AH537" s="1391"/>
      <c r="AI537" s="1391"/>
      <c r="AJ537" s="1391"/>
      <c r="AK537" s="1392"/>
      <c r="AZ537" s="3"/>
      <c r="BA537" s="3"/>
      <c r="BB537" s="3"/>
      <c r="BC537" s="3"/>
      <c r="BD537" s="3"/>
      <c r="BE537" s="3"/>
      <c r="BF537" s="3"/>
      <c r="BG537" s="3"/>
      <c r="BH537" s="3"/>
      <c r="BI537" s="3"/>
      <c r="BJ537" s="3"/>
      <c r="BK537" s="3"/>
      <c r="BL537" s="3"/>
      <c r="BM537" s="3"/>
      <c r="BN537" s="3" t="s">
        <v>2129</v>
      </c>
    </row>
    <row r="538" spans="1:66" ht="12.95" customHeight="1">
      <c r="B538" s="1383"/>
      <c r="C538" s="1384"/>
      <c r="D538" s="1384"/>
      <c r="E538" s="1384"/>
      <c r="F538" s="1384"/>
      <c r="G538" s="1384"/>
      <c r="H538" s="1385"/>
      <c r="I538" s="42" t="s">
        <v>563</v>
      </c>
      <c r="J538" s="42"/>
      <c r="K538" s="42"/>
      <c r="L538" s="42"/>
      <c r="M538" s="42"/>
      <c r="N538" s="42"/>
      <c r="O538" s="42"/>
      <c r="P538" s="42"/>
      <c r="Q538" s="42"/>
      <c r="R538" s="42"/>
      <c r="S538" s="42"/>
      <c r="T538" s="42"/>
      <c r="U538" s="42"/>
      <c r="V538" s="42"/>
      <c r="W538" s="42"/>
      <c r="AC538" s="1408">
        <v>5</v>
      </c>
      <c r="AD538" s="1368"/>
      <c r="AE538" s="1368"/>
      <c r="AF538" s="1368"/>
      <c r="AG538" s="38" t="s">
        <v>403</v>
      </c>
      <c r="AH538" s="1391">
        <v>2027</v>
      </c>
      <c r="AI538" s="1391"/>
      <c r="AJ538" s="1391"/>
      <c r="AK538" s="1392"/>
      <c r="AZ538" s="3"/>
      <c r="BA538" s="3"/>
      <c r="BB538" s="3"/>
      <c r="BC538" s="3"/>
      <c r="BD538" s="3"/>
      <c r="BE538" s="3"/>
      <c r="BF538" s="3"/>
      <c r="BG538" s="3"/>
      <c r="BH538" s="3"/>
      <c r="BI538" s="3"/>
      <c r="BJ538" s="3"/>
      <c r="BK538" s="3"/>
      <c r="BL538" s="3"/>
      <c r="BM538" s="3"/>
      <c r="BN538" s="3"/>
    </row>
    <row r="539" spans="1:66" ht="12.95" customHeight="1">
      <c r="B539" s="1383"/>
      <c r="C539" s="1384"/>
      <c r="D539" s="1384"/>
      <c r="E539" s="1384"/>
      <c r="F539" s="1384"/>
      <c r="G539" s="1384"/>
      <c r="H539" s="1385"/>
      <c r="I539" t="s">
        <v>564</v>
      </c>
      <c r="AC539" s="1408">
        <v>5</v>
      </c>
      <c r="AD539" s="1368"/>
      <c r="AE539" s="1368"/>
      <c r="AF539" s="1368"/>
      <c r="AG539" s="13" t="s">
        <v>403</v>
      </c>
      <c r="AH539" s="1391">
        <v>2026</v>
      </c>
      <c r="AI539" s="1391"/>
      <c r="AJ539" s="1391"/>
      <c r="AK539" s="1392"/>
      <c r="AZ539" s="3"/>
      <c r="BA539" s="3"/>
      <c r="BB539" s="3"/>
      <c r="BC539" s="3"/>
      <c r="BD539" s="3"/>
      <c r="BE539" s="3"/>
      <c r="BF539" s="3"/>
      <c r="BG539" s="3"/>
      <c r="BH539" s="3"/>
      <c r="BI539" s="3"/>
      <c r="BJ539" s="3"/>
      <c r="BK539" s="3"/>
      <c r="BL539" s="3"/>
      <c r="BM539" s="3"/>
      <c r="BN539" s="3"/>
    </row>
    <row r="540" spans="1:66" ht="12.95" customHeight="1">
      <c r="B540" s="1383"/>
      <c r="C540" s="1384"/>
      <c r="D540" s="1384"/>
      <c r="E540" s="1384"/>
      <c r="F540" s="1384"/>
      <c r="G540" s="1384"/>
      <c r="H540" s="1385"/>
      <c r="I540" t="s">
        <v>565</v>
      </c>
      <c r="AC540" s="1408">
        <v>11</v>
      </c>
      <c r="AD540" s="1368"/>
      <c r="AE540" s="1368"/>
      <c r="AF540" s="1368"/>
      <c r="AG540" s="38" t="s">
        <v>403</v>
      </c>
      <c r="AH540" s="1391">
        <v>2027</v>
      </c>
      <c r="AI540" s="1391"/>
      <c r="AJ540" s="1391"/>
      <c r="AK540" s="1392"/>
      <c r="AZ540" s="3"/>
      <c r="BA540" s="3"/>
      <c r="BB540" s="3"/>
      <c r="BC540" s="3"/>
      <c r="BD540" s="3"/>
      <c r="BE540" s="3"/>
      <c r="BF540" s="3"/>
      <c r="BG540" s="3"/>
      <c r="BH540" s="3"/>
      <c r="BI540" s="3"/>
      <c r="BJ540" s="3"/>
      <c r="BK540" s="3"/>
      <c r="BL540" s="3"/>
      <c r="BM540" s="3"/>
      <c r="BN540" s="3"/>
    </row>
    <row r="541" spans="1:66" ht="12.95" customHeight="1">
      <c r="B541" s="1383"/>
      <c r="C541" s="1384"/>
      <c r="D541" s="1384"/>
      <c r="E541" s="1384"/>
      <c r="F541" s="1384"/>
      <c r="G541" s="1384"/>
      <c r="H541" s="1385"/>
      <c r="I541" t="s">
        <v>566</v>
      </c>
      <c r="AC541" s="1408">
        <v>12</v>
      </c>
      <c r="AD541" s="1368"/>
      <c r="AE541" s="1368"/>
      <c r="AF541" s="1368"/>
      <c r="AG541" s="38" t="s">
        <v>403</v>
      </c>
      <c r="AH541" s="1391">
        <v>2027</v>
      </c>
      <c r="AI541" s="1391"/>
      <c r="AJ541" s="1391"/>
      <c r="AK541" s="1392"/>
      <c r="AZ541" s="3"/>
      <c r="BA541" s="3"/>
      <c r="BB541" s="3"/>
      <c r="BC541" s="3"/>
      <c r="BD541" s="3"/>
      <c r="BE541" s="3"/>
      <c r="BF541" s="3"/>
      <c r="BG541" s="3"/>
      <c r="BH541" s="3"/>
      <c r="BI541" s="3"/>
      <c r="BJ541" s="3"/>
      <c r="BK541" s="3"/>
      <c r="BL541" s="3"/>
      <c r="BM541" s="3"/>
      <c r="BN541" s="3"/>
    </row>
    <row r="542" spans="1:66" ht="12.95" customHeight="1">
      <c r="B542" s="1386"/>
      <c r="C542" s="1387"/>
      <c r="D542" s="1387"/>
      <c r="E542" s="1387"/>
      <c r="F542" s="1387"/>
      <c r="G542" s="1387"/>
      <c r="H542" s="1388"/>
      <c r="I542" s="48" t="s">
        <v>452</v>
      </c>
      <c r="J542" s="48"/>
      <c r="K542" s="48"/>
      <c r="L542" s="48"/>
      <c r="M542" s="48"/>
      <c r="N542" s="48"/>
      <c r="O542" s="48"/>
      <c r="P542" s="48"/>
      <c r="Q542" s="48"/>
      <c r="R542" s="48"/>
      <c r="S542" s="48"/>
      <c r="T542" s="48"/>
      <c r="U542" s="48"/>
      <c r="V542" s="48"/>
      <c r="W542" s="48"/>
      <c r="X542" s="48"/>
      <c r="Y542" s="48"/>
      <c r="Z542" s="48"/>
      <c r="AA542" s="48"/>
      <c r="AB542" s="48"/>
      <c r="AC542" s="1408">
        <v>12</v>
      </c>
      <c r="AD542" s="1368"/>
      <c r="AE542" s="1368"/>
      <c r="AF542" s="1368"/>
      <c r="AG542" s="38" t="s">
        <v>403</v>
      </c>
      <c r="AH542" s="1391">
        <v>2027</v>
      </c>
      <c r="AI542" s="1391"/>
      <c r="AJ542" s="1391"/>
      <c r="AK542" s="1392"/>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544</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80" t="s">
        <v>2103</v>
      </c>
      <c r="C551" s="1381"/>
      <c r="D551" s="1381"/>
      <c r="E551" s="1381"/>
      <c r="F551" s="1381"/>
      <c r="G551" s="1381"/>
      <c r="H551" s="1381"/>
      <c r="I551" s="1381"/>
      <c r="J551" s="1381"/>
      <c r="K551" s="1381"/>
      <c r="L551" s="1382"/>
      <c r="M551" s="1380" t="s">
        <v>2104</v>
      </c>
      <c r="N551" s="1381"/>
      <c r="O551" s="1381"/>
      <c r="P551" s="1382"/>
      <c r="Q551" s="1380" t="s">
        <v>2130</v>
      </c>
      <c r="R551" s="1381"/>
      <c r="S551" s="1382"/>
      <c r="T551" s="1380" t="s">
        <v>2131</v>
      </c>
      <c r="U551" s="1381"/>
      <c r="V551" s="1382"/>
      <c r="W551" s="1380" t="s">
        <v>454</v>
      </c>
      <c r="X551" s="1381"/>
      <c r="Y551" s="1382"/>
      <c r="Z551" s="1380" t="s">
        <v>1852</v>
      </c>
      <c r="AA551" s="1381"/>
      <c r="AB551" s="1381"/>
      <c r="AC551" s="1381"/>
      <c r="AD551" s="1382"/>
      <c r="AE551" s="1380" t="s">
        <v>1677</v>
      </c>
      <c r="AF551" s="1381"/>
      <c r="AG551" s="1381"/>
      <c r="AH551" s="1382"/>
      <c r="AI551" s="1380" t="s">
        <v>1678</v>
      </c>
      <c r="AJ551" s="1381"/>
      <c r="AK551" s="1381"/>
      <c r="AL551" s="1382"/>
      <c r="AM551" s="1380" t="s">
        <v>455</v>
      </c>
      <c r="AN551" s="1381"/>
      <c r="AO551" s="1381"/>
      <c r="AP551" s="1381"/>
      <c r="AQ551" s="1381"/>
      <c r="AR551" s="1381"/>
      <c r="AS551" s="1382"/>
      <c r="BB551" s="3"/>
      <c r="BC551" s="3"/>
      <c r="BD551" s="3"/>
      <c r="BE551" s="3"/>
      <c r="BF551" s="3"/>
      <c r="BG551" s="3"/>
      <c r="BH551" s="3" t="s">
        <v>582</v>
      </c>
      <c r="BI551" s="3">
        <f>AG657</f>
        <v>0</v>
      </c>
    </row>
    <row r="552" spans="1:61" ht="12.95" customHeight="1">
      <c r="B552" s="1383"/>
      <c r="C552" s="1384"/>
      <c r="D552" s="1384"/>
      <c r="E552" s="1384"/>
      <c r="F552" s="1384"/>
      <c r="G552" s="1384"/>
      <c r="H552" s="1384"/>
      <c r="I552" s="1384"/>
      <c r="J552" s="1384"/>
      <c r="K552" s="1384"/>
      <c r="L552" s="1385"/>
      <c r="M552" s="1383"/>
      <c r="N552" s="1384"/>
      <c r="O552" s="1384"/>
      <c r="P552" s="1385"/>
      <c r="Q552" s="1383"/>
      <c r="R552" s="1384"/>
      <c r="S552" s="1385"/>
      <c r="T552" s="1383"/>
      <c r="U552" s="1384"/>
      <c r="V552" s="1385"/>
      <c r="W552" s="1383"/>
      <c r="X552" s="1384"/>
      <c r="Y552" s="1385"/>
      <c r="Z552" s="1383"/>
      <c r="AA552" s="1384"/>
      <c r="AB552" s="1384"/>
      <c r="AC552" s="1384"/>
      <c r="AD552" s="1385"/>
      <c r="AE552" s="1383"/>
      <c r="AF552" s="1384"/>
      <c r="AG552" s="1384"/>
      <c r="AH552" s="1385"/>
      <c r="AI552" s="1383"/>
      <c r="AJ552" s="1384"/>
      <c r="AK552" s="1384"/>
      <c r="AL552" s="1385"/>
      <c r="AM552" s="1383"/>
      <c r="AN552" s="1384"/>
      <c r="AO552" s="1384"/>
      <c r="AP552" s="1384"/>
      <c r="AQ552" s="1384"/>
      <c r="AR552" s="1384"/>
      <c r="AS552" s="1385"/>
      <c r="AU552" s="1147"/>
      <c r="BB552" s="3"/>
      <c r="BC552" s="3"/>
      <c r="BD552" s="3"/>
      <c r="BE552" s="3"/>
      <c r="BF552" s="3"/>
      <c r="BG552" s="3"/>
      <c r="BH552" s="3"/>
      <c r="BI552" s="3"/>
    </row>
    <row r="553" spans="1:61" ht="12.95" customHeight="1">
      <c r="B553" s="1386"/>
      <c r="C553" s="1387"/>
      <c r="D553" s="1387"/>
      <c r="E553" s="1387"/>
      <c r="F553" s="1387"/>
      <c r="G553" s="1387"/>
      <c r="H553" s="1387"/>
      <c r="I553" s="1387"/>
      <c r="J553" s="1387"/>
      <c r="K553" s="1387"/>
      <c r="L553" s="1388"/>
      <c r="M553" s="1386"/>
      <c r="N553" s="1387"/>
      <c r="O553" s="1387"/>
      <c r="P553" s="1388"/>
      <c r="Q553" s="1386"/>
      <c r="R553" s="1387"/>
      <c r="S553" s="1388"/>
      <c r="T553" s="1386"/>
      <c r="U553" s="1387"/>
      <c r="V553" s="1388"/>
      <c r="W553" s="1386"/>
      <c r="X553" s="1387"/>
      <c r="Y553" s="1388"/>
      <c r="Z553" s="1386"/>
      <c r="AA553" s="1387"/>
      <c r="AB553" s="1387"/>
      <c r="AC553" s="1387"/>
      <c r="AD553" s="1388"/>
      <c r="AE553" s="1386"/>
      <c r="AF553" s="1387"/>
      <c r="AG553" s="1387"/>
      <c r="AH553" s="1388"/>
      <c r="AI553" s="1386"/>
      <c r="AJ553" s="1387"/>
      <c r="AK553" s="1387"/>
      <c r="AL553" s="1388"/>
      <c r="AM553" s="1386"/>
      <c r="AN553" s="1387"/>
      <c r="AO553" s="1387"/>
      <c r="AP553" s="1387"/>
      <c r="AQ553" s="1387"/>
      <c r="AR553" s="1387"/>
      <c r="AS553" s="1388"/>
      <c r="AU553" s="1147"/>
      <c r="BB553" s="3"/>
      <c r="BC553" s="3"/>
      <c r="BD553" s="3"/>
      <c r="BE553" s="3"/>
      <c r="BF553" s="3"/>
      <c r="BG553" s="3"/>
      <c r="BH553" s="3"/>
      <c r="BI553" s="3"/>
    </row>
    <row r="554" spans="1:61" ht="12.95" customHeight="1">
      <c r="B554" s="51" t="s">
        <v>112</v>
      </c>
      <c r="C554" s="1407" t="s">
        <v>2691</v>
      </c>
      <c r="D554" s="1407"/>
      <c r="E554" s="1407"/>
      <c r="F554" s="1407"/>
      <c r="G554" s="1407"/>
      <c r="H554" s="1407"/>
      <c r="I554" s="1407"/>
      <c r="J554" s="1407"/>
      <c r="K554" s="1407"/>
      <c r="L554" s="1407"/>
      <c r="M554" s="1407" t="s">
        <v>2120</v>
      </c>
      <c r="N554" s="1407"/>
      <c r="O554" s="1407"/>
      <c r="P554" s="1407"/>
      <c r="Q554" s="1398">
        <v>24</v>
      </c>
      <c r="R554" s="1398"/>
      <c r="S554" s="1399"/>
      <c r="T554" s="1397">
        <v>24</v>
      </c>
      <c r="U554" s="1398"/>
      <c r="V554" s="1399"/>
      <c r="W554" s="1404">
        <v>6.7000000000000004E-2</v>
      </c>
      <c r="X554" s="1405"/>
      <c r="Y554" s="1406"/>
      <c r="Z554" s="1409" t="s">
        <v>2719</v>
      </c>
      <c r="AA554" s="1409"/>
      <c r="AB554" s="1409"/>
      <c r="AC554" s="1409"/>
      <c r="AD554" s="1409"/>
      <c r="AE554" s="1401"/>
      <c r="AF554" s="1402"/>
      <c r="AG554" s="1402"/>
      <c r="AH554" s="1403"/>
      <c r="AI554" s="1394"/>
      <c r="AJ554" s="1395"/>
      <c r="AK554" s="1395"/>
      <c r="AL554" s="1396"/>
      <c r="AM554" s="1461">
        <f>20832992</f>
        <v>20832992</v>
      </c>
      <c r="AN554" s="1462"/>
      <c r="AO554" s="1462"/>
      <c r="AP554" s="1462"/>
      <c r="AQ554" s="1462"/>
      <c r="AR554" s="1462"/>
      <c r="AS554" s="1463"/>
      <c r="AT554" s="1148"/>
      <c r="AU554" s="1147"/>
      <c r="BB554" s="3"/>
      <c r="BC554" s="3"/>
      <c r="BD554" s="3"/>
      <c r="BE554" s="3"/>
      <c r="BF554" s="3"/>
      <c r="BG554" s="3"/>
      <c r="BH554" s="3"/>
      <c r="BI554" s="3"/>
    </row>
    <row r="555" spans="1:61" ht="12.95" customHeight="1">
      <c r="B555" s="52" t="s">
        <v>113</v>
      </c>
      <c r="C555" s="1400" t="s">
        <v>2692</v>
      </c>
      <c r="D555" s="1400"/>
      <c r="E555" s="1400"/>
      <c r="F555" s="1400"/>
      <c r="G555" s="1400"/>
      <c r="H555" s="1400"/>
      <c r="I555" s="1400"/>
      <c r="J555" s="1400"/>
      <c r="K555" s="1400"/>
      <c r="L555" s="1400"/>
      <c r="M555" s="1407" t="s">
        <v>2119</v>
      </c>
      <c r="N555" s="1407"/>
      <c r="O555" s="1407"/>
      <c r="P555" s="1407"/>
      <c r="Q555" s="1397">
        <v>24</v>
      </c>
      <c r="R555" s="1398"/>
      <c r="S555" s="1399"/>
      <c r="T555" s="1397">
        <v>24</v>
      </c>
      <c r="U555" s="1398"/>
      <c r="V555" s="1399"/>
      <c r="W555" s="1404">
        <v>6.7000000000000004E-2</v>
      </c>
      <c r="X555" s="1405"/>
      <c r="Y555" s="1406"/>
      <c r="Z555" s="1409" t="s">
        <v>2719</v>
      </c>
      <c r="AA555" s="1409"/>
      <c r="AB555" s="1409"/>
      <c r="AC555" s="1409"/>
      <c r="AD555" s="1409"/>
      <c r="AE555" s="1401"/>
      <c r="AF555" s="1402"/>
      <c r="AG555" s="1402"/>
      <c r="AH555" s="1403"/>
      <c r="AI555" s="1394"/>
      <c r="AJ555" s="1395"/>
      <c r="AK555" s="1395"/>
      <c r="AL555" s="1396"/>
      <c r="AM555" s="1461">
        <f>34627580-AM557</f>
        <v>30127580</v>
      </c>
      <c r="AN555" s="1462"/>
      <c r="AO555" s="1462"/>
      <c r="AP555" s="1462"/>
      <c r="AQ555" s="1462"/>
      <c r="AR555" s="1462"/>
      <c r="AS555" s="1463"/>
      <c r="AT555" s="1148" t="str">
        <f>IF(AND(NOT(C554=""),C555="",NOT(C556="")),"!","")</f>
        <v/>
      </c>
      <c r="AU555" s="1147"/>
      <c r="BB555" s="3"/>
      <c r="BC555" s="3"/>
      <c r="BD555" s="3"/>
      <c r="BE555" s="3"/>
      <c r="BF555" s="3"/>
      <c r="BG555" s="3"/>
      <c r="BH555" s="3"/>
      <c r="BI555" s="3"/>
    </row>
    <row r="556" spans="1:61" ht="12.95" customHeight="1">
      <c r="B556" s="52" t="s">
        <v>119</v>
      </c>
      <c r="C556" s="1400" t="s">
        <v>2693</v>
      </c>
      <c r="D556" s="1400"/>
      <c r="E556" s="1400"/>
      <c r="F556" s="1400"/>
      <c r="G556" s="1400"/>
      <c r="H556" s="1400"/>
      <c r="I556" s="1400"/>
      <c r="J556" s="1400"/>
      <c r="K556" s="1400"/>
      <c r="L556" s="1400"/>
      <c r="M556" s="1407" t="s">
        <v>2111</v>
      </c>
      <c r="N556" s="1407"/>
      <c r="O556" s="1407"/>
      <c r="P556" s="1407"/>
      <c r="Q556" s="1397"/>
      <c r="R556" s="1398"/>
      <c r="S556" s="1399"/>
      <c r="T556" s="1397"/>
      <c r="U556" s="1398"/>
      <c r="V556" s="1399"/>
      <c r="W556" s="1404"/>
      <c r="X556" s="1405"/>
      <c r="Y556" s="1406"/>
      <c r="Z556" s="1409" t="s">
        <v>1185</v>
      </c>
      <c r="AA556" s="1409"/>
      <c r="AB556" s="1409"/>
      <c r="AC556" s="1409"/>
      <c r="AD556" s="1409"/>
      <c r="AE556" s="1401"/>
      <c r="AF556" s="1402"/>
      <c r="AG556" s="1402"/>
      <c r="AH556" s="1403"/>
      <c r="AI556" s="1394"/>
      <c r="AJ556" s="1395"/>
      <c r="AK556" s="1395"/>
      <c r="AL556" s="1396"/>
      <c r="AM556" s="1461">
        <f>+AO641-AM557-AM555-AM554</f>
        <v>17593576</v>
      </c>
      <c r="AN556" s="1462"/>
      <c r="AO556" s="1462"/>
      <c r="AP556" s="1462"/>
      <c r="AQ556" s="1462"/>
      <c r="AR556" s="1462"/>
      <c r="AS556" s="1463"/>
      <c r="AT556" s="1148" t="str">
        <f>IF(AND(NOT(C555=""),C556="",NOT(C557="")),"!","")</f>
        <v/>
      </c>
      <c r="AU556" s="1147"/>
      <c r="BB556" s="3"/>
      <c r="BC556" s="3"/>
      <c r="BD556" s="3"/>
      <c r="BE556" s="3"/>
      <c r="BF556" s="3"/>
      <c r="BG556" s="3"/>
      <c r="BH556" s="3"/>
      <c r="BI556" s="3"/>
    </row>
    <row r="557" spans="1:61" ht="12.95" customHeight="1">
      <c r="B557" s="52" t="s">
        <v>582</v>
      </c>
      <c r="C557" s="1400" t="s">
        <v>2694</v>
      </c>
      <c r="D557" s="1400"/>
      <c r="E557" s="1400"/>
      <c r="F557" s="1400"/>
      <c r="G557" s="1400"/>
      <c r="H557" s="1400"/>
      <c r="I557" s="1400"/>
      <c r="J557" s="1400"/>
      <c r="K557" s="1400"/>
      <c r="L557" s="1400"/>
      <c r="M557" s="1407" t="s">
        <v>2121</v>
      </c>
      <c r="N557" s="1407"/>
      <c r="O557" s="1407"/>
      <c r="P557" s="1407"/>
      <c r="Q557" s="1397">
        <v>24</v>
      </c>
      <c r="R557" s="1398"/>
      <c r="S557" s="1399"/>
      <c r="T557" s="1397">
        <v>24</v>
      </c>
      <c r="U557" s="1398"/>
      <c r="V557" s="1399"/>
      <c r="W557" s="1404">
        <v>6.7000000000000004E-2</v>
      </c>
      <c r="X557" s="1405"/>
      <c r="Y557" s="1406"/>
      <c r="Z557" s="1409" t="s">
        <v>2719</v>
      </c>
      <c r="AA557" s="1409"/>
      <c r="AB557" s="1409"/>
      <c r="AC557" s="1409"/>
      <c r="AD557" s="1409"/>
      <c r="AE557" s="1401"/>
      <c r="AF557" s="1402"/>
      <c r="AG557" s="1402"/>
      <c r="AH557" s="1403"/>
      <c r="AI557" s="1394"/>
      <c r="AJ557" s="1395"/>
      <c r="AK557" s="1395"/>
      <c r="AL557" s="1396"/>
      <c r="AM557" s="1461">
        <v>4500000</v>
      </c>
      <c r="AN557" s="1462"/>
      <c r="AO557" s="1462"/>
      <c r="AP557" s="1462"/>
      <c r="AQ557" s="1462"/>
      <c r="AR557" s="1462"/>
      <c r="AS557" s="1463"/>
      <c r="AT557" s="1148" t="str">
        <f>IF(AND(NOT(C556=""),C557="",NOT(C558="")),"!","")</f>
        <v/>
      </c>
      <c r="AU557" s="1147"/>
      <c r="BB557" s="3"/>
      <c r="BC557" s="3"/>
      <c r="BD557" s="3"/>
      <c r="BE557" s="3"/>
      <c r="BF557" s="3"/>
      <c r="BG557" s="3"/>
      <c r="BH557" s="3"/>
      <c r="BI557" s="3"/>
    </row>
    <row r="558" spans="1:61" ht="12.95" customHeight="1">
      <c r="B558" s="52" t="s">
        <v>764</v>
      </c>
      <c r="C558" s="1400"/>
      <c r="D558" s="1400"/>
      <c r="E558" s="1400"/>
      <c r="F558" s="1400"/>
      <c r="G558" s="1400"/>
      <c r="H558" s="1400"/>
      <c r="I558" s="1400"/>
      <c r="J558" s="1400"/>
      <c r="K558" s="1400"/>
      <c r="L558" s="1400"/>
      <c r="M558" s="1407" t="s">
        <v>1185</v>
      </c>
      <c r="N558" s="1407"/>
      <c r="O558" s="1407"/>
      <c r="P558" s="1407"/>
      <c r="Q558" s="1397"/>
      <c r="R558" s="1398"/>
      <c r="S558" s="1399"/>
      <c r="T558" s="1397"/>
      <c r="U558" s="1398"/>
      <c r="V558" s="1399"/>
      <c r="W558" s="1404"/>
      <c r="X558" s="1405"/>
      <c r="Y558" s="1406"/>
      <c r="Z558" s="1409" t="s">
        <v>1185</v>
      </c>
      <c r="AA558" s="1409"/>
      <c r="AB558" s="1409"/>
      <c r="AC558" s="1409"/>
      <c r="AD558" s="1409"/>
      <c r="AE558" s="1401"/>
      <c r="AF558" s="1402"/>
      <c r="AG558" s="1402"/>
      <c r="AH558" s="1403"/>
      <c r="AI558" s="1394"/>
      <c r="AJ558" s="1395"/>
      <c r="AK558" s="1395"/>
      <c r="AL558" s="1396"/>
      <c r="AM558" s="1461"/>
      <c r="AN558" s="1462"/>
      <c r="AO558" s="1462"/>
      <c r="AP558" s="1462"/>
      <c r="AQ558" s="1462"/>
      <c r="AR558" s="1462"/>
      <c r="AS558" s="1463"/>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00"/>
      <c r="D559" s="1400"/>
      <c r="E559" s="1400"/>
      <c r="F559" s="1400"/>
      <c r="G559" s="1400"/>
      <c r="H559" s="1400"/>
      <c r="I559" s="1400"/>
      <c r="J559" s="1400"/>
      <c r="K559" s="1400"/>
      <c r="L559" s="1400"/>
      <c r="M559" s="1407" t="s">
        <v>1185</v>
      </c>
      <c r="N559" s="1407"/>
      <c r="O559" s="1407"/>
      <c r="P559" s="1407"/>
      <c r="Q559" s="1397"/>
      <c r="R559" s="1398"/>
      <c r="S559" s="1399"/>
      <c r="T559" s="1397"/>
      <c r="U559" s="1398"/>
      <c r="V559" s="1399"/>
      <c r="W559" s="1404"/>
      <c r="X559" s="1405"/>
      <c r="Y559" s="1406"/>
      <c r="Z559" s="1409" t="s">
        <v>1185</v>
      </c>
      <c r="AA559" s="1409"/>
      <c r="AB559" s="1409"/>
      <c r="AC559" s="1409"/>
      <c r="AD559" s="1409"/>
      <c r="AE559" s="1401"/>
      <c r="AF559" s="1402"/>
      <c r="AG559" s="1402"/>
      <c r="AH559" s="1403"/>
      <c r="AI559" s="1394"/>
      <c r="AJ559" s="1395"/>
      <c r="AK559" s="1395"/>
      <c r="AL559" s="1396"/>
      <c r="AM559" s="1461"/>
      <c r="AN559" s="1462"/>
      <c r="AO559" s="1462"/>
      <c r="AP559" s="1462"/>
      <c r="AQ559" s="1462"/>
      <c r="AR559" s="1462"/>
      <c r="AS559" s="1463"/>
      <c r="AT559" s="1148" t="str">
        <f t="shared" si="0"/>
        <v/>
      </c>
      <c r="AU559" s="1147"/>
      <c r="BB559" s="3"/>
      <c r="BC559" s="3"/>
      <c r="BD559" s="3"/>
      <c r="BE559" s="3"/>
      <c r="BF559" s="3"/>
      <c r="BG559" s="3"/>
      <c r="BH559" s="3" t="s">
        <v>585</v>
      </c>
      <c r="BI559" s="3" t="str">
        <f>AG665</f>
        <v>No</v>
      </c>
    </row>
    <row r="560" spans="1:61" ht="12.95" customHeight="1">
      <c r="B560" s="52" t="s">
        <v>456</v>
      </c>
      <c r="C560" s="1400"/>
      <c r="D560" s="1400"/>
      <c r="E560" s="1400"/>
      <c r="F560" s="1400"/>
      <c r="G560" s="1400"/>
      <c r="H560" s="1400"/>
      <c r="I560" s="1400"/>
      <c r="J560" s="1400"/>
      <c r="K560" s="1400"/>
      <c r="L560" s="1400"/>
      <c r="M560" s="1407" t="s">
        <v>1185</v>
      </c>
      <c r="N560" s="1407"/>
      <c r="O560" s="1407"/>
      <c r="P560" s="1407"/>
      <c r="Q560" s="1397"/>
      <c r="R560" s="1398"/>
      <c r="S560" s="1399"/>
      <c r="T560" s="1397"/>
      <c r="U560" s="1398"/>
      <c r="V560" s="1399"/>
      <c r="W560" s="1404"/>
      <c r="X560" s="1405"/>
      <c r="Y560" s="1406"/>
      <c r="Z560" s="1409" t="s">
        <v>1185</v>
      </c>
      <c r="AA560" s="1409"/>
      <c r="AB560" s="1409"/>
      <c r="AC560" s="1409"/>
      <c r="AD560" s="1409"/>
      <c r="AE560" s="1401"/>
      <c r="AF560" s="1402"/>
      <c r="AG560" s="1402"/>
      <c r="AH560" s="1403"/>
      <c r="AI560" s="1394"/>
      <c r="AJ560" s="1395"/>
      <c r="AK560" s="1395"/>
      <c r="AL560" s="1396"/>
      <c r="AM560" s="1461"/>
      <c r="AN560" s="1462"/>
      <c r="AO560" s="1462"/>
      <c r="AP560" s="1462"/>
      <c r="AQ560" s="1462"/>
      <c r="AR560" s="1462"/>
      <c r="AS560" s="1463"/>
      <c r="AT560" s="1148" t="str">
        <f t="shared" si="0"/>
        <v/>
      </c>
      <c r="AU560" s="1147"/>
      <c r="BB560" s="3"/>
      <c r="BC560" s="3"/>
      <c r="BD560" s="3"/>
      <c r="BE560" s="3"/>
      <c r="BF560" s="3"/>
      <c r="BG560" s="3"/>
      <c r="BH560" s="3"/>
      <c r="BI560" s="3"/>
    </row>
    <row r="561" spans="1:61" ht="12.95" customHeight="1">
      <c r="B561" s="52" t="s">
        <v>457</v>
      </c>
      <c r="C561" s="1400"/>
      <c r="D561" s="1400"/>
      <c r="E561" s="1400"/>
      <c r="F561" s="1400"/>
      <c r="G561" s="1400"/>
      <c r="H561" s="1400"/>
      <c r="I561" s="1400"/>
      <c r="J561" s="1400"/>
      <c r="K561" s="1400"/>
      <c r="L561" s="1400"/>
      <c r="M561" s="1407" t="s">
        <v>1185</v>
      </c>
      <c r="N561" s="1407"/>
      <c r="O561" s="1407"/>
      <c r="P561" s="1407"/>
      <c r="Q561" s="1397"/>
      <c r="R561" s="1398"/>
      <c r="S561" s="1399"/>
      <c r="T561" s="1397"/>
      <c r="U561" s="1398"/>
      <c r="V561" s="1399"/>
      <c r="W561" s="1404"/>
      <c r="X561" s="1405"/>
      <c r="Y561" s="1406"/>
      <c r="Z561" s="1409" t="s">
        <v>1185</v>
      </c>
      <c r="AA561" s="1409"/>
      <c r="AB561" s="1409"/>
      <c r="AC561" s="1409"/>
      <c r="AD561" s="1409"/>
      <c r="AE561" s="1401"/>
      <c r="AF561" s="1402"/>
      <c r="AG561" s="1402"/>
      <c r="AH561" s="1403"/>
      <c r="AI561" s="1394"/>
      <c r="AJ561" s="1395"/>
      <c r="AK561" s="1395"/>
      <c r="AL561" s="1396"/>
      <c r="AM561" s="1461"/>
      <c r="AN561" s="1462"/>
      <c r="AO561" s="1462"/>
      <c r="AP561" s="1462"/>
      <c r="AQ561" s="1462"/>
      <c r="AR561" s="1462"/>
      <c r="AS561" s="1463"/>
      <c r="AT561" s="1148" t="str">
        <f t="shared" si="0"/>
        <v/>
      </c>
      <c r="AU561" s="1147"/>
      <c r="BB561" s="3"/>
      <c r="BC561" s="3"/>
      <c r="BD561" s="3"/>
      <c r="BE561" s="3"/>
      <c r="BF561" s="3"/>
      <c r="BG561" s="3"/>
      <c r="BH561" s="3"/>
      <c r="BI561" s="3"/>
    </row>
    <row r="562" spans="1:61" ht="12.95" customHeight="1">
      <c r="B562" s="52" t="s">
        <v>462</v>
      </c>
      <c r="C562" s="1400"/>
      <c r="D562" s="1400"/>
      <c r="E562" s="1400"/>
      <c r="F562" s="1400"/>
      <c r="G562" s="1400"/>
      <c r="H562" s="1400"/>
      <c r="I562" s="1400"/>
      <c r="J562" s="1400"/>
      <c r="K562" s="1400"/>
      <c r="L562" s="1400"/>
      <c r="M562" s="1407" t="s">
        <v>1185</v>
      </c>
      <c r="N562" s="1407"/>
      <c r="O562" s="1407"/>
      <c r="P562" s="1407"/>
      <c r="Q562" s="1397"/>
      <c r="R562" s="1398"/>
      <c r="S562" s="1399"/>
      <c r="T562" s="1397"/>
      <c r="U562" s="1398"/>
      <c r="V562" s="1399"/>
      <c r="W562" s="1404"/>
      <c r="X562" s="1405"/>
      <c r="Y562" s="1406"/>
      <c r="Z562" s="1409" t="s">
        <v>1185</v>
      </c>
      <c r="AA562" s="1409"/>
      <c r="AB562" s="1409"/>
      <c r="AC562" s="1409"/>
      <c r="AD562" s="1409"/>
      <c r="AE562" s="1401"/>
      <c r="AF562" s="1402"/>
      <c r="AG562" s="1402"/>
      <c r="AH562" s="1403"/>
      <c r="AI562" s="1394"/>
      <c r="AJ562" s="1395"/>
      <c r="AK562" s="1395"/>
      <c r="AL562" s="1396"/>
      <c r="AM562" s="1461"/>
      <c r="AN562" s="1462"/>
      <c r="AO562" s="1462"/>
      <c r="AP562" s="1462"/>
      <c r="AQ562" s="1462"/>
      <c r="AR562" s="1462"/>
      <c r="AS562" s="1463"/>
      <c r="AT562" s="1148" t="str">
        <f t="shared" si="0"/>
        <v/>
      </c>
      <c r="AU562" s="1147"/>
      <c r="BB562" s="3"/>
      <c r="BC562" s="3"/>
      <c r="BD562" s="3"/>
      <c r="BE562" s="3"/>
      <c r="BF562" s="3"/>
      <c r="BG562" s="3"/>
      <c r="BH562" s="3"/>
      <c r="BI562" s="3"/>
    </row>
    <row r="563" spans="1:61" ht="12.95" customHeight="1">
      <c r="B563" s="52" t="s">
        <v>647</v>
      </c>
      <c r="C563" s="1400"/>
      <c r="D563" s="1400"/>
      <c r="E563" s="1400"/>
      <c r="F563" s="1400"/>
      <c r="G563" s="1400"/>
      <c r="H563" s="1400"/>
      <c r="I563" s="1400"/>
      <c r="J563" s="1400"/>
      <c r="K563" s="1400"/>
      <c r="L563" s="1400"/>
      <c r="M563" s="1407" t="s">
        <v>1185</v>
      </c>
      <c r="N563" s="1407"/>
      <c r="O563" s="1407"/>
      <c r="P563" s="1407"/>
      <c r="Q563" s="1397"/>
      <c r="R563" s="1398"/>
      <c r="S563" s="1399"/>
      <c r="T563" s="1397"/>
      <c r="U563" s="1398"/>
      <c r="V563" s="1399"/>
      <c r="W563" s="1404"/>
      <c r="X563" s="1405"/>
      <c r="Y563" s="1406"/>
      <c r="Z563" s="1409" t="s">
        <v>1185</v>
      </c>
      <c r="AA563" s="1409"/>
      <c r="AB563" s="1409"/>
      <c r="AC563" s="1409"/>
      <c r="AD563" s="1409"/>
      <c r="AE563" s="1401"/>
      <c r="AF563" s="1402"/>
      <c r="AG563" s="1402"/>
      <c r="AH563" s="1403"/>
      <c r="AI563" s="1394"/>
      <c r="AJ563" s="1395"/>
      <c r="AK563" s="1395"/>
      <c r="AL563" s="1396"/>
      <c r="AM563" s="1461"/>
      <c r="AN563" s="1462"/>
      <c r="AO563" s="1462"/>
      <c r="AP563" s="1462"/>
      <c r="AQ563" s="1462"/>
      <c r="AR563" s="1462"/>
      <c r="AS563" s="1463"/>
      <c r="AT563" s="1148" t="str">
        <f t="shared" si="0"/>
        <v/>
      </c>
      <c r="BB563" s="3"/>
      <c r="BC563" s="3"/>
      <c r="BD563" s="3"/>
      <c r="BE563" s="3"/>
      <c r="BF563" s="3"/>
      <c r="BG563" s="3"/>
      <c r="BH563" s="3"/>
      <c r="BI563" s="3"/>
    </row>
    <row r="564" spans="1:61" ht="12.95" customHeight="1">
      <c r="B564" s="52" t="s">
        <v>362</v>
      </c>
      <c r="C564" s="1400"/>
      <c r="D564" s="1400"/>
      <c r="E564" s="1400"/>
      <c r="F564" s="1400"/>
      <c r="G564" s="1400"/>
      <c r="H564" s="1400"/>
      <c r="I564" s="1400"/>
      <c r="J564" s="1400"/>
      <c r="K564" s="1400"/>
      <c r="L564" s="1400"/>
      <c r="M564" s="1407" t="s">
        <v>1185</v>
      </c>
      <c r="N564" s="1407"/>
      <c r="O564" s="1407"/>
      <c r="P564" s="1407"/>
      <c r="Q564" s="1397"/>
      <c r="R564" s="1398"/>
      <c r="S564" s="1399"/>
      <c r="T564" s="1397"/>
      <c r="U564" s="1398"/>
      <c r="V564" s="1399"/>
      <c r="W564" s="1404"/>
      <c r="X564" s="1405"/>
      <c r="Y564" s="1406"/>
      <c r="Z564" s="1409" t="s">
        <v>1185</v>
      </c>
      <c r="AA564" s="1409"/>
      <c r="AB564" s="1409"/>
      <c r="AC564" s="1409"/>
      <c r="AD564" s="1409"/>
      <c r="AE564" s="1401"/>
      <c r="AF564" s="1402"/>
      <c r="AG564" s="1402"/>
      <c r="AH564" s="1403"/>
      <c r="AI564" s="1394"/>
      <c r="AJ564" s="1395"/>
      <c r="AK564" s="1395"/>
      <c r="AL564" s="1396"/>
      <c r="AM564" s="1461"/>
      <c r="AN564" s="1462"/>
      <c r="AO564" s="1462"/>
      <c r="AP564" s="1462"/>
      <c r="AQ564" s="1462"/>
      <c r="AR564" s="1462"/>
      <c r="AS564" s="1463"/>
      <c r="AT564" s="1148" t="str">
        <f t="shared" si="0"/>
        <v/>
      </c>
      <c r="BB564" s="3"/>
      <c r="BC564" s="3"/>
      <c r="BD564" s="3"/>
      <c r="BE564" s="3"/>
      <c r="BF564" s="3"/>
      <c r="BG564" s="3"/>
      <c r="BH564" s="3"/>
      <c r="BI564" s="3"/>
    </row>
    <row r="565" spans="1:61" ht="12.95" customHeight="1">
      <c r="B565" s="52" t="s">
        <v>363</v>
      </c>
      <c r="C565" s="1400"/>
      <c r="D565" s="1400"/>
      <c r="E565" s="1400"/>
      <c r="F565" s="1400"/>
      <c r="G565" s="1400"/>
      <c r="H565" s="1400"/>
      <c r="I565" s="1400"/>
      <c r="J565" s="1400"/>
      <c r="K565" s="1400"/>
      <c r="L565" s="1400"/>
      <c r="M565" s="1407" t="s">
        <v>1185</v>
      </c>
      <c r="N565" s="1407"/>
      <c r="O565" s="1407"/>
      <c r="P565" s="1407"/>
      <c r="Q565" s="1397"/>
      <c r="R565" s="1398"/>
      <c r="S565" s="1399"/>
      <c r="T565" s="1397"/>
      <c r="U565" s="1398"/>
      <c r="V565" s="1399"/>
      <c r="W565" s="1404"/>
      <c r="X565" s="1405"/>
      <c r="Y565" s="1406"/>
      <c r="Z565" s="1409" t="s">
        <v>1185</v>
      </c>
      <c r="AA565" s="1409"/>
      <c r="AB565" s="1409"/>
      <c r="AC565" s="1409"/>
      <c r="AD565" s="1409"/>
      <c r="AE565" s="1401"/>
      <c r="AF565" s="1402"/>
      <c r="AG565" s="1402"/>
      <c r="AH565" s="1403"/>
      <c r="AI565" s="1394"/>
      <c r="AJ565" s="1395"/>
      <c r="AK565" s="1395"/>
      <c r="AL565" s="1396"/>
      <c r="AM565" s="1461"/>
      <c r="AN565" s="1462"/>
      <c r="AO565" s="1462"/>
      <c r="AP565" s="1462"/>
      <c r="AQ565" s="1462"/>
      <c r="AR565" s="1462"/>
      <c r="AS565" s="1463"/>
      <c r="AT565" s="1148" t="str">
        <f t="shared" si="0"/>
        <v/>
      </c>
      <c r="BB565" s="3"/>
      <c r="BC565" s="3"/>
      <c r="BD565" s="3"/>
      <c r="BE565" s="3"/>
      <c r="BF565" s="3"/>
      <c r="BG565" s="3"/>
      <c r="BH565" s="3"/>
      <c r="BI565" s="3"/>
    </row>
    <row r="566" spans="1:61" ht="12.95" customHeight="1">
      <c r="B566" s="1436" t="s">
        <v>127</v>
      </c>
      <c r="C566" s="1437"/>
      <c r="D566" s="1437"/>
      <c r="E566" s="1437"/>
      <c r="F566" s="1437"/>
      <c r="G566" s="1437"/>
      <c r="H566" s="1437"/>
      <c r="I566" s="1437"/>
      <c r="J566" s="1437"/>
      <c r="K566" s="1437"/>
      <c r="L566" s="1437"/>
      <c r="M566" s="1437"/>
      <c r="N566" s="1437"/>
      <c r="O566" s="1437"/>
      <c r="P566" s="1437"/>
      <c r="Q566" s="1437"/>
      <c r="R566" s="1437"/>
      <c r="S566" s="1437"/>
      <c r="T566" s="1437"/>
      <c r="U566" s="1438"/>
      <c r="V566" s="1437"/>
      <c r="W566" s="1437"/>
      <c r="X566" s="1437"/>
      <c r="Y566" s="1437"/>
      <c r="Z566" s="1437"/>
      <c r="AA566" s="1437"/>
      <c r="AB566" s="1437"/>
      <c r="AC566" s="1437"/>
      <c r="AD566" s="1437"/>
      <c r="AE566" s="1437"/>
      <c r="AF566" s="1437"/>
      <c r="AG566" s="1437"/>
      <c r="AH566" s="1437"/>
      <c r="AI566" s="1437"/>
      <c r="AJ566" s="1437"/>
      <c r="AK566" s="1437"/>
      <c r="AL566" s="1439"/>
      <c r="AM566" s="1464">
        <f>SUM(AM554:AS565)</f>
        <v>73054148</v>
      </c>
      <c r="AN566" s="1465"/>
      <c r="AO566" s="1465"/>
      <c r="AP566" s="1465"/>
      <c r="AQ566" s="1465"/>
      <c r="AR566" s="1465"/>
      <c r="AS566" s="146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71" t="str">
        <f>C554</f>
        <v>Citi Bank TE Loan</v>
      </c>
      <c r="H568" s="1471"/>
      <c r="I568" s="1471"/>
      <c r="J568" s="1471"/>
      <c r="K568" s="1471"/>
      <c r="L568" s="1471"/>
      <c r="M568" s="1471"/>
      <c r="N568" s="1471"/>
      <c r="O568" s="1471"/>
      <c r="P568" s="1471"/>
      <c r="Q568" s="1471"/>
      <c r="R568" s="1471"/>
      <c r="S568" s="8"/>
      <c r="T568" s="55" t="s">
        <v>113</v>
      </c>
      <c r="U568" t="s">
        <v>464</v>
      </c>
      <c r="Z568" s="1471" t="str">
        <f>C555</f>
        <v>Citi Bank Taxable Loan</v>
      </c>
      <c r="AA568" s="1471"/>
      <c r="AB568" s="1471"/>
      <c r="AC568" s="1471"/>
      <c r="AD568" s="1471"/>
      <c r="AE568" s="1471"/>
      <c r="AF568" s="1471"/>
      <c r="AG568" s="1471"/>
      <c r="AH568" s="1471"/>
      <c r="AI568" s="1471"/>
      <c r="AJ568" s="1471"/>
      <c r="AK568" s="1471"/>
      <c r="BB568" s="3"/>
      <c r="BC568" s="3"/>
      <c r="BD568" s="3"/>
      <c r="BE568" s="3"/>
      <c r="BF568" s="3"/>
      <c r="BG568" s="3"/>
      <c r="BH568" s="3"/>
      <c r="BI568" s="3"/>
    </row>
    <row r="569" spans="1:61" ht="12.95" customHeight="1">
      <c r="A569" s="22"/>
      <c r="B569" t="s">
        <v>85</v>
      </c>
      <c r="G569" s="1393" t="s">
        <v>2695</v>
      </c>
      <c r="H569" s="1393"/>
      <c r="I569" s="1393"/>
      <c r="J569" s="1393"/>
      <c r="K569" s="1393"/>
      <c r="L569" s="1393"/>
      <c r="M569" s="1393"/>
      <c r="N569" s="1393"/>
      <c r="O569" s="1393"/>
      <c r="P569" s="1393"/>
      <c r="Q569" s="1393"/>
      <c r="R569" s="1393"/>
      <c r="S569" s="8"/>
      <c r="T569" s="22"/>
      <c r="U569" t="s">
        <v>85</v>
      </c>
      <c r="Z569" s="1393" t="s">
        <v>2695</v>
      </c>
      <c r="AA569" s="1393"/>
      <c r="AB569" s="1393"/>
      <c r="AC569" s="1393"/>
      <c r="AD569" s="1393"/>
      <c r="AE569" s="1393"/>
      <c r="AF569" s="1393"/>
      <c r="AG569" s="1393"/>
      <c r="AH569" s="1393"/>
      <c r="AI569" s="1393"/>
      <c r="AJ569" s="1393"/>
      <c r="AK569" s="1393"/>
      <c r="BB569" s="3"/>
      <c r="BC569" s="3"/>
      <c r="BD569" s="3"/>
      <c r="BE569" s="3"/>
      <c r="BF569" s="3"/>
      <c r="BG569" s="3"/>
      <c r="BH569" s="3"/>
      <c r="BI569" s="3"/>
    </row>
    <row r="570" spans="1:61" ht="12.95" customHeight="1">
      <c r="A570" s="22"/>
      <c r="B570" t="s">
        <v>581</v>
      </c>
      <c r="G570" s="1393" t="s">
        <v>2696</v>
      </c>
      <c r="H570" s="1393"/>
      <c r="I570" s="1393"/>
      <c r="J570" s="1393"/>
      <c r="K570" s="1393"/>
      <c r="L570" s="1393"/>
      <c r="M570" s="1393"/>
      <c r="N570" s="1393"/>
      <c r="O570" s="1393"/>
      <c r="P570" s="1393"/>
      <c r="Q570" s="1393"/>
      <c r="R570" s="1393"/>
      <c r="T570" s="22"/>
      <c r="U570" t="s">
        <v>581</v>
      </c>
      <c r="Z570" s="1415" t="s">
        <v>2696</v>
      </c>
      <c r="AA570" s="1415"/>
      <c r="AB570" s="1415"/>
      <c r="AC570" s="1415"/>
      <c r="AD570" s="1415"/>
      <c r="AE570" s="1415"/>
      <c r="AF570" s="1415"/>
      <c r="AG570" s="1415"/>
      <c r="AH570" s="1415"/>
      <c r="AI570" s="1415"/>
      <c r="AJ570" s="1415"/>
      <c r="AK570" s="1415"/>
      <c r="BB570" s="3"/>
      <c r="BC570" s="3"/>
      <c r="BD570" s="3"/>
      <c r="BE570" s="3"/>
      <c r="BF570" s="3"/>
      <c r="BG570" s="3"/>
      <c r="BH570" s="3"/>
      <c r="BI570" s="3"/>
    </row>
    <row r="571" spans="1:61" ht="12.95" customHeight="1">
      <c r="A571" s="22"/>
      <c r="B571" t="s">
        <v>17</v>
      </c>
      <c r="G571" s="1393" t="s">
        <v>2697</v>
      </c>
      <c r="H571" s="1393"/>
      <c r="I571" s="1393"/>
      <c r="J571" s="1393"/>
      <c r="K571" s="1393"/>
      <c r="L571" s="1393"/>
      <c r="M571" s="1393"/>
      <c r="N571" s="1393"/>
      <c r="O571" s="1393"/>
      <c r="P571" s="1393"/>
      <c r="Q571" s="1393"/>
      <c r="R571" s="1393"/>
      <c r="S571" s="8"/>
      <c r="T571" s="22"/>
      <c r="U571" t="s">
        <v>17</v>
      </c>
      <c r="Z571" s="1415" t="s">
        <v>2697</v>
      </c>
      <c r="AA571" s="1415"/>
      <c r="AB571" s="1415"/>
      <c r="AC571" s="1415"/>
      <c r="AD571" s="1415"/>
      <c r="AE571" s="1415"/>
      <c r="AF571" s="1415"/>
      <c r="AG571" s="1415"/>
      <c r="AH571" s="1415"/>
      <c r="AI571" s="1415"/>
      <c r="AJ571" s="1415"/>
      <c r="AK571" s="1415"/>
      <c r="BB571" s="3"/>
      <c r="BC571" s="3"/>
      <c r="BD571" s="3"/>
      <c r="BE571" s="3"/>
      <c r="BF571" s="3"/>
      <c r="BG571" s="3"/>
      <c r="BH571" s="3"/>
      <c r="BI571" s="3"/>
    </row>
    <row r="572" spans="1:61" ht="12.95" customHeight="1">
      <c r="A572" s="22"/>
      <c r="B572" t="s">
        <v>316</v>
      </c>
      <c r="G572" s="1472" t="s">
        <v>2698</v>
      </c>
      <c r="H572" s="1472"/>
      <c r="I572" s="1472"/>
      <c r="J572" s="1472"/>
      <c r="K572" s="1472"/>
      <c r="L572" s="1472"/>
      <c r="O572" s="33" t="s">
        <v>206</v>
      </c>
      <c r="P572" s="1440"/>
      <c r="Q572" s="1440"/>
      <c r="R572" s="1440"/>
      <c r="S572" s="10"/>
      <c r="T572" s="22"/>
      <c r="U572" t="s">
        <v>316</v>
      </c>
      <c r="Z572" s="1472" t="s">
        <v>2698</v>
      </c>
      <c r="AA572" s="1472"/>
      <c r="AB572" s="1472"/>
      <c r="AC572" s="1472"/>
      <c r="AD572" s="1472"/>
      <c r="AE572" s="1472"/>
      <c r="AH572" s="33" t="s">
        <v>206</v>
      </c>
      <c r="AI572" s="1440"/>
      <c r="AJ572" s="1440"/>
      <c r="AK572" s="1440"/>
      <c r="BB572" s="3"/>
      <c r="BC572" s="3"/>
      <c r="BD572" s="3"/>
      <c r="BE572" s="3"/>
      <c r="BF572" s="3"/>
      <c r="BG572" s="3"/>
      <c r="BH572" s="3"/>
      <c r="BI572" s="3"/>
    </row>
    <row r="573" spans="1:61" ht="12.95" customHeight="1">
      <c r="A573" s="22"/>
      <c r="B573" t="s">
        <v>18</v>
      </c>
      <c r="H573" s="1393" t="s">
        <v>2699</v>
      </c>
      <c r="I573" s="1393"/>
      <c r="J573" s="1393"/>
      <c r="K573" s="1393"/>
      <c r="L573" s="1393"/>
      <c r="M573" s="1393"/>
      <c r="N573" s="1393"/>
      <c r="O573" s="1393"/>
      <c r="P573" s="1393"/>
      <c r="Q573" s="1393"/>
      <c r="R573" s="1393"/>
      <c r="S573" s="8"/>
      <c r="T573" s="22"/>
      <c r="U573" t="s">
        <v>18</v>
      </c>
      <c r="AA573" s="1393" t="s">
        <v>2699</v>
      </c>
      <c r="AB573" s="1393"/>
      <c r="AC573" s="1393"/>
      <c r="AD573" s="1393"/>
      <c r="AE573" s="1393"/>
      <c r="AF573" s="1393"/>
      <c r="AG573" s="1393"/>
      <c r="AH573" s="1393"/>
      <c r="AI573" s="1393"/>
      <c r="AJ573" s="1393"/>
      <c r="AK573" s="1393"/>
      <c r="BB573" s="3"/>
      <c r="BC573" s="3"/>
      <c r="BD573" s="3"/>
      <c r="BE573" s="3"/>
      <c r="BF573" s="3"/>
      <c r="BG573" s="3"/>
      <c r="BH573" s="3"/>
      <c r="BI573" s="3"/>
    </row>
    <row r="574" spans="1:61" ht="12.95" customHeight="1">
      <c r="A574" s="22"/>
      <c r="B574" s="320" t="s">
        <v>1186</v>
      </c>
      <c r="H574" s="8"/>
      <c r="I574" s="8"/>
      <c r="J574" s="8"/>
      <c r="K574" s="8"/>
      <c r="L574" s="8"/>
      <c r="M574" s="1410"/>
      <c r="N574" s="1410"/>
      <c r="O574" s="1410"/>
      <c r="P574" s="1410"/>
      <c r="Q574" s="1410"/>
      <c r="R574" s="1410"/>
      <c r="S574" s="8"/>
      <c r="T574" s="22"/>
      <c r="U574" s="320" t="s">
        <v>1186</v>
      </c>
      <c r="AA574" s="8"/>
      <c r="AB574" s="8"/>
      <c r="AC574" s="8"/>
      <c r="AD574" s="8"/>
      <c r="AE574" s="8"/>
      <c r="AF574" s="1410"/>
      <c r="AG574" s="1410"/>
      <c r="AH574" s="1410"/>
      <c r="AI574" s="1410"/>
      <c r="AJ574" s="1410"/>
      <c r="AK574" s="1410"/>
      <c r="BB574" s="3"/>
      <c r="BC574" s="3"/>
      <c r="BD574" s="3"/>
      <c r="BE574" s="3"/>
      <c r="BF574" s="3"/>
      <c r="BG574" s="3"/>
      <c r="BH574" s="3"/>
      <c r="BI574" s="3"/>
    </row>
    <row r="575" spans="1:61" ht="12.95" customHeight="1">
      <c r="A575" s="22"/>
      <c r="B575" t="s">
        <v>20</v>
      </c>
      <c r="N575" s="1379" t="s">
        <v>546</v>
      </c>
      <c r="O575" s="1379"/>
      <c r="T575" s="22"/>
      <c r="U575" t="s">
        <v>20</v>
      </c>
      <c r="AG575" s="1379" t="s">
        <v>546</v>
      </c>
      <c r="AH575" s="1379"/>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71" t="str">
        <f>C556</f>
        <v>Boston Financial Tax Credit Equity</v>
      </c>
      <c r="H577" s="1471"/>
      <c r="I577" s="1471"/>
      <c r="J577" s="1471"/>
      <c r="K577" s="1471"/>
      <c r="L577" s="1471"/>
      <c r="M577" s="1471"/>
      <c r="N577" s="1471"/>
      <c r="O577" s="1471"/>
      <c r="P577" s="1471"/>
      <c r="Q577" s="1471"/>
      <c r="R577" s="1471"/>
      <c r="T577" s="55" t="s">
        <v>582</v>
      </c>
      <c r="U577" t="s">
        <v>464</v>
      </c>
      <c r="Z577" s="1471" t="str">
        <f>C557</f>
        <v>Citi Bank Recycled Bonds</v>
      </c>
      <c r="AA577" s="1471"/>
      <c r="AB577" s="1471"/>
      <c r="AC577" s="1471"/>
      <c r="AD577" s="1471"/>
      <c r="AE577" s="1471"/>
      <c r="AF577" s="1471"/>
      <c r="AG577" s="1471"/>
      <c r="AH577" s="1471"/>
      <c r="AI577" s="1471"/>
      <c r="AJ577" s="1471"/>
      <c r="AK577" s="1471"/>
      <c r="BB577" s="3"/>
      <c r="BC577" s="3"/>
    </row>
    <row r="578" spans="1:55" ht="12.95" customHeight="1">
      <c r="A578" s="22"/>
      <c r="B578" t="s">
        <v>85</v>
      </c>
      <c r="G578" s="1393" t="s">
        <v>2667</v>
      </c>
      <c r="H578" s="1393"/>
      <c r="I578" s="1393"/>
      <c r="J578" s="1393"/>
      <c r="K578" s="1393"/>
      <c r="L578" s="1393"/>
      <c r="M578" s="1393"/>
      <c r="N578" s="1393"/>
      <c r="O578" s="1393"/>
      <c r="P578" s="1393"/>
      <c r="Q578" s="1393"/>
      <c r="R578" s="1393"/>
      <c r="T578" s="22"/>
      <c r="U578" t="s">
        <v>85</v>
      </c>
      <c r="Z578" s="1393" t="s">
        <v>2695</v>
      </c>
      <c r="AA578" s="1393"/>
      <c r="AB578" s="1393"/>
      <c r="AC578" s="1393"/>
      <c r="AD578" s="1393"/>
      <c r="AE578" s="1393"/>
      <c r="AF578" s="1393"/>
      <c r="AG578" s="1393"/>
      <c r="AH578" s="1393"/>
      <c r="AI578" s="1393"/>
      <c r="AJ578" s="1393"/>
      <c r="AK578" s="1393"/>
      <c r="BB578" s="3"/>
      <c r="BC578" s="3"/>
    </row>
    <row r="579" spans="1:55" ht="12.95" customHeight="1">
      <c r="A579" s="22"/>
      <c r="B579" t="s">
        <v>581</v>
      </c>
      <c r="G579" s="1415" t="s">
        <v>2668</v>
      </c>
      <c r="H579" s="1415"/>
      <c r="I579" s="1415"/>
      <c r="J579" s="1415"/>
      <c r="K579" s="1415"/>
      <c r="L579" s="1415"/>
      <c r="M579" s="1415"/>
      <c r="N579" s="1415"/>
      <c r="O579" s="1415"/>
      <c r="P579" s="1415"/>
      <c r="Q579" s="1415"/>
      <c r="R579" s="1415"/>
      <c r="T579" s="22"/>
      <c r="U579" t="s">
        <v>581</v>
      </c>
      <c r="Z579" s="1415" t="s">
        <v>2696</v>
      </c>
      <c r="AA579" s="1415"/>
      <c r="AB579" s="1415"/>
      <c r="AC579" s="1415"/>
      <c r="AD579" s="1415"/>
      <c r="AE579" s="1415"/>
      <c r="AF579" s="1415"/>
      <c r="AG579" s="1415"/>
      <c r="AH579" s="1415"/>
      <c r="AI579" s="1415"/>
      <c r="AJ579" s="1415"/>
      <c r="AK579" s="1415"/>
      <c r="BB579" s="3"/>
      <c r="BC579" s="3"/>
    </row>
    <row r="580" spans="1:55" ht="12.95" customHeight="1">
      <c r="A580" s="22"/>
      <c r="B580" t="s">
        <v>17</v>
      </c>
      <c r="G580" s="1415" t="s">
        <v>2700</v>
      </c>
      <c r="H580" s="1415"/>
      <c r="I580" s="1415"/>
      <c r="J580" s="1415"/>
      <c r="K580" s="1415"/>
      <c r="L580" s="1415"/>
      <c r="M580" s="1415"/>
      <c r="N580" s="1415"/>
      <c r="O580" s="1415"/>
      <c r="P580" s="1415"/>
      <c r="Q580" s="1415"/>
      <c r="R580" s="1415"/>
      <c r="T580" s="22"/>
      <c r="U580" t="s">
        <v>17</v>
      </c>
      <c r="Z580" s="1415" t="s">
        <v>2697</v>
      </c>
      <c r="AA580" s="1415"/>
      <c r="AB580" s="1415"/>
      <c r="AC580" s="1415"/>
      <c r="AD580" s="1415"/>
      <c r="AE580" s="1415"/>
      <c r="AF580" s="1415"/>
      <c r="AG580" s="1415"/>
      <c r="AH580" s="1415"/>
      <c r="AI580" s="1415"/>
      <c r="AJ580" s="1415"/>
      <c r="AK580" s="1415"/>
      <c r="BB580" s="3"/>
      <c r="BC580" s="3"/>
    </row>
    <row r="581" spans="1:55" ht="12.95" customHeight="1">
      <c r="A581" s="22"/>
      <c r="B581" t="s">
        <v>316</v>
      </c>
      <c r="G581" s="1472" t="s">
        <v>2701</v>
      </c>
      <c r="H581" s="1472"/>
      <c r="I581" s="1472"/>
      <c r="J581" s="1472"/>
      <c r="K581" s="1472"/>
      <c r="L581" s="1472"/>
      <c r="O581" s="33" t="s">
        <v>206</v>
      </c>
      <c r="P581" s="1440"/>
      <c r="Q581" s="1440"/>
      <c r="R581" s="1440"/>
      <c r="T581" s="22"/>
      <c r="U581" t="s">
        <v>316</v>
      </c>
      <c r="Z581" s="1472" t="s">
        <v>2698</v>
      </c>
      <c r="AA581" s="1472"/>
      <c r="AB581" s="1472"/>
      <c r="AC581" s="1472"/>
      <c r="AD581" s="1472"/>
      <c r="AE581" s="1472"/>
      <c r="AH581" s="33" t="s">
        <v>206</v>
      </c>
      <c r="AI581" s="1440"/>
      <c r="AJ581" s="1440"/>
      <c r="AK581" s="1440"/>
      <c r="BB581" s="3"/>
      <c r="BC581" s="3"/>
    </row>
    <row r="582" spans="1:55" ht="12.95" customHeight="1">
      <c r="A582" s="22"/>
      <c r="B582" t="s">
        <v>18</v>
      </c>
      <c r="H582" s="1393" t="s">
        <v>2702</v>
      </c>
      <c r="I582" s="1393"/>
      <c r="J582" s="1393"/>
      <c r="K582" s="1393"/>
      <c r="L582" s="1393"/>
      <c r="M582" s="1393"/>
      <c r="N582" s="1393"/>
      <c r="O582" s="1393"/>
      <c r="P582" s="1393"/>
      <c r="Q582" s="1393"/>
      <c r="R582" s="1393"/>
      <c r="T582" s="22"/>
      <c r="U582" t="s">
        <v>18</v>
      </c>
      <c r="AA582" s="1393" t="s">
        <v>2699</v>
      </c>
      <c r="AB582" s="1393"/>
      <c r="AC582" s="1393"/>
      <c r="AD582" s="1393"/>
      <c r="AE582" s="1393"/>
      <c r="AF582" s="1393"/>
      <c r="AG582" s="1393"/>
      <c r="AH582" s="1393"/>
      <c r="AI582" s="1393"/>
      <c r="AJ582" s="1393"/>
      <c r="AK582" s="1393"/>
      <c r="BB582" s="3"/>
      <c r="BC582" s="3"/>
    </row>
    <row r="583" spans="1:55" ht="12.95" customHeight="1">
      <c r="A583" s="22"/>
      <c r="B583" t="s">
        <v>20</v>
      </c>
      <c r="N583" s="1379" t="s">
        <v>546</v>
      </c>
      <c r="O583" s="1379"/>
      <c r="T583" s="22"/>
      <c r="U583" t="s">
        <v>20</v>
      </c>
      <c r="AG583" s="1379" t="s">
        <v>546</v>
      </c>
      <c r="AH583" s="1379"/>
      <c r="BB583" s="3"/>
      <c r="BC583" s="3"/>
    </row>
    <row r="584" spans="1:55" ht="12.95" customHeight="1">
      <c r="A584" s="22"/>
      <c r="T584" s="22"/>
      <c r="BB584" s="3"/>
      <c r="BC584" s="3"/>
    </row>
    <row r="585" spans="1:55" ht="12.95" customHeight="1">
      <c r="A585" s="55" t="s">
        <v>764</v>
      </c>
      <c r="B585" t="s">
        <v>464</v>
      </c>
      <c r="G585" s="1471">
        <f>C558</f>
        <v>0</v>
      </c>
      <c r="H585" s="1471"/>
      <c r="I585" s="1471"/>
      <c r="J585" s="1471"/>
      <c r="K585" s="1471"/>
      <c r="L585" s="1471"/>
      <c r="M585" s="1471"/>
      <c r="N585" s="1471"/>
      <c r="O585" s="1471"/>
      <c r="P585" s="1471"/>
      <c r="Q585" s="1471"/>
      <c r="R585" s="1471"/>
      <c r="T585" s="55" t="s">
        <v>585</v>
      </c>
      <c r="U585" t="s">
        <v>464</v>
      </c>
      <c r="Z585" s="1471">
        <f>C559</f>
        <v>0</v>
      </c>
      <c r="AA585" s="1471"/>
      <c r="AB585" s="1471"/>
      <c r="AC585" s="1471"/>
      <c r="AD585" s="1471"/>
      <c r="AE585" s="1471"/>
      <c r="AF585" s="1471"/>
      <c r="AG585" s="1471"/>
      <c r="AH585" s="1471"/>
      <c r="AI585" s="1471"/>
      <c r="AJ585" s="1471"/>
      <c r="AK585" s="1471"/>
      <c r="BB585" s="3"/>
      <c r="BC585" s="3"/>
    </row>
    <row r="586" spans="1:55" ht="12.95" customHeight="1">
      <c r="A586" s="22"/>
      <c r="B586" t="s">
        <v>85</v>
      </c>
      <c r="G586" s="1393"/>
      <c r="H586" s="1393"/>
      <c r="I586" s="1393"/>
      <c r="J586" s="1393"/>
      <c r="K586" s="1393"/>
      <c r="L586" s="1393"/>
      <c r="M586" s="1393"/>
      <c r="N586" s="1393"/>
      <c r="O586" s="1393"/>
      <c r="P586" s="1393"/>
      <c r="Q586" s="1393"/>
      <c r="R586" s="1393"/>
      <c r="T586" s="22"/>
      <c r="U586" t="s">
        <v>85</v>
      </c>
      <c r="Z586" s="1393"/>
      <c r="AA586" s="1393"/>
      <c r="AB586" s="1393"/>
      <c r="AC586" s="1393"/>
      <c r="AD586" s="1393"/>
      <c r="AE586" s="1393"/>
      <c r="AF586" s="1393"/>
      <c r="AG586" s="1393"/>
      <c r="AH586" s="1393"/>
      <c r="AI586" s="1393"/>
      <c r="AJ586" s="1393"/>
      <c r="AK586" s="1393"/>
      <c r="BB586" s="3"/>
      <c r="BC586" s="3"/>
    </row>
    <row r="587" spans="1:55" ht="12.95" customHeight="1">
      <c r="A587" s="22"/>
      <c r="B587" t="s">
        <v>581</v>
      </c>
      <c r="G587" s="1393"/>
      <c r="H587" s="1393"/>
      <c r="I587" s="1393"/>
      <c r="J587" s="1393"/>
      <c r="K587" s="1393"/>
      <c r="L587" s="1393"/>
      <c r="M587" s="1393"/>
      <c r="N587" s="1393"/>
      <c r="O587" s="1393"/>
      <c r="P587" s="1393"/>
      <c r="Q587" s="1393"/>
      <c r="R587" s="1393"/>
      <c r="T587" s="22"/>
      <c r="U587" t="s">
        <v>581</v>
      </c>
      <c r="Z587" s="1415"/>
      <c r="AA587" s="1415"/>
      <c r="AB587" s="1415"/>
      <c r="AC587" s="1415"/>
      <c r="AD587" s="1415"/>
      <c r="AE587" s="1415"/>
      <c r="AF587" s="1415"/>
      <c r="AG587" s="1415"/>
      <c r="AH587" s="1415"/>
      <c r="AI587" s="1415"/>
      <c r="AJ587" s="1415"/>
      <c r="AK587" s="1415"/>
      <c r="BB587" s="3"/>
      <c r="BC587" s="3"/>
    </row>
    <row r="588" spans="1:55" ht="12.95" customHeight="1">
      <c r="A588" s="22"/>
      <c r="B588" t="s">
        <v>17</v>
      </c>
      <c r="G588" s="1393"/>
      <c r="H588" s="1393"/>
      <c r="I588" s="1393"/>
      <c r="J588" s="1393"/>
      <c r="K588" s="1393"/>
      <c r="L588" s="1393"/>
      <c r="M588" s="1393"/>
      <c r="N588" s="1393"/>
      <c r="O588" s="1393"/>
      <c r="P588" s="1393"/>
      <c r="Q588" s="1393"/>
      <c r="R588" s="1393"/>
      <c r="T588" s="22"/>
      <c r="U588" t="s">
        <v>17</v>
      </c>
      <c r="Z588" s="1415"/>
      <c r="AA588" s="1415"/>
      <c r="AB588" s="1415"/>
      <c r="AC588" s="1415"/>
      <c r="AD588" s="1415"/>
      <c r="AE588" s="1415"/>
      <c r="AF588" s="1415"/>
      <c r="AG588" s="1415"/>
      <c r="AH588" s="1415"/>
      <c r="AI588" s="1415"/>
      <c r="AJ588" s="1415"/>
      <c r="AK588" s="1415"/>
    </row>
    <row r="589" spans="1:55" ht="12.95" customHeight="1">
      <c r="A589" s="22"/>
      <c r="B589" t="s">
        <v>316</v>
      </c>
      <c r="G589" s="1472"/>
      <c r="H589" s="1472"/>
      <c r="I589" s="1472"/>
      <c r="J589" s="1472"/>
      <c r="K589" s="1472"/>
      <c r="L589" s="1472"/>
      <c r="O589" s="33" t="s">
        <v>206</v>
      </c>
      <c r="P589" s="1440"/>
      <c r="Q589" s="1440"/>
      <c r="R589" s="1440"/>
      <c r="T589" s="22"/>
      <c r="U589" t="s">
        <v>316</v>
      </c>
      <c r="Z589" s="1472"/>
      <c r="AA589" s="1472"/>
      <c r="AB589" s="1472"/>
      <c r="AC589" s="1472"/>
      <c r="AD589" s="1472"/>
      <c r="AE589" s="1472"/>
      <c r="AH589" s="33" t="s">
        <v>206</v>
      </c>
      <c r="AI589" s="1440"/>
      <c r="AJ589" s="1440"/>
      <c r="AK589" s="1440"/>
      <c r="AZ589" s="3"/>
      <c r="BA589" s="3"/>
      <c r="BB589" s="3"/>
      <c r="BC589" s="3"/>
    </row>
    <row r="590" spans="1:55" ht="12.95" customHeight="1">
      <c r="A590" s="22"/>
      <c r="B590" t="s">
        <v>18</v>
      </c>
      <c r="H590" s="1393"/>
      <c r="I590" s="1393"/>
      <c r="J590" s="1393"/>
      <c r="K590" s="1393"/>
      <c r="L590" s="1393"/>
      <c r="M590" s="1393"/>
      <c r="N590" s="1393"/>
      <c r="O590" s="1393"/>
      <c r="P590" s="1393"/>
      <c r="Q590" s="1393"/>
      <c r="R590" s="1393"/>
      <c r="T590" s="22"/>
      <c r="U590" t="s">
        <v>18</v>
      </c>
      <c r="AA590" s="1393"/>
      <c r="AB590" s="1393"/>
      <c r="AC590" s="1393"/>
      <c r="AD590" s="1393"/>
      <c r="AE590" s="1393"/>
      <c r="AF590" s="1393"/>
      <c r="AG590" s="1393"/>
      <c r="AH590" s="1393"/>
      <c r="AI590" s="1393"/>
      <c r="AJ590" s="1393"/>
      <c r="AK590" s="1393"/>
      <c r="AZ590" s="3"/>
      <c r="BA590" s="3"/>
      <c r="BB590" s="3"/>
      <c r="BC590" s="3"/>
    </row>
    <row r="591" spans="1:55" ht="12.95" customHeight="1">
      <c r="A591" s="22"/>
      <c r="B591" t="s">
        <v>20</v>
      </c>
      <c r="N591" s="1379" t="s">
        <v>670</v>
      </c>
      <c r="O591" s="1379"/>
      <c r="T591" s="22"/>
      <c r="U591" t="s">
        <v>20</v>
      </c>
      <c r="AG591" s="1379" t="s">
        <v>670</v>
      </c>
      <c r="AH591" s="1379"/>
      <c r="AZ591" s="3"/>
      <c r="BA591" s="3"/>
      <c r="BB591" s="3"/>
      <c r="BC591" s="3"/>
    </row>
    <row r="592" spans="1:55" ht="12.95" customHeight="1">
      <c r="A592" s="22"/>
      <c r="T592" s="22"/>
      <c r="AZ592" s="3"/>
      <c r="BA592" s="3"/>
      <c r="BB592" s="3"/>
      <c r="BC592" s="3"/>
    </row>
    <row r="593" spans="1:55" ht="12.95" customHeight="1">
      <c r="A593" s="55" t="s">
        <v>456</v>
      </c>
      <c r="B593" t="s">
        <v>464</v>
      </c>
      <c r="G593" s="1471">
        <f>C560</f>
        <v>0</v>
      </c>
      <c r="H593" s="1471"/>
      <c r="I593" s="1471"/>
      <c r="J593" s="1471"/>
      <c r="K593" s="1471"/>
      <c r="L593" s="1471"/>
      <c r="M593" s="1471"/>
      <c r="N593" s="1471"/>
      <c r="O593" s="1471"/>
      <c r="P593" s="1471"/>
      <c r="Q593" s="1471"/>
      <c r="R593" s="1471"/>
      <c r="T593" s="55" t="s">
        <v>457</v>
      </c>
      <c r="U593" t="s">
        <v>464</v>
      </c>
      <c r="Z593" s="1471">
        <f>C561</f>
        <v>0</v>
      </c>
      <c r="AA593" s="1471"/>
      <c r="AB593" s="1471"/>
      <c r="AC593" s="1471"/>
      <c r="AD593" s="1471"/>
      <c r="AE593" s="1471"/>
      <c r="AF593" s="1471"/>
      <c r="AG593" s="1471"/>
      <c r="AH593" s="1471"/>
      <c r="AI593" s="1471"/>
      <c r="AJ593" s="1471"/>
      <c r="AK593" s="1471"/>
      <c r="AZ593" s="3"/>
      <c r="BA593" s="3"/>
      <c r="BB593" s="3"/>
      <c r="BC593" s="3"/>
    </row>
    <row r="594" spans="1:55" s="4" customFormat="1" ht="12.95" customHeight="1">
      <c r="A594" s="22"/>
      <c r="B594" t="s">
        <v>85</v>
      </c>
      <c r="C594"/>
      <c r="D594"/>
      <c r="E594"/>
      <c r="F594"/>
      <c r="G594" s="1393"/>
      <c r="H594" s="1393"/>
      <c r="I594" s="1393"/>
      <c r="J594" s="1393"/>
      <c r="K594" s="1393"/>
      <c r="L594" s="1393"/>
      <c r="M594" s="1393"/>
      <c r="N594" s="1393"/>
      <c r="O594" s="1393"/>
      <c r="P594" s="1393"/>
      <c r="Q594" s="1393"/>
      <c r="R594" s="1393"/>
      <c r="S594"/>
      <c r="T594" s="22"/>
      <c r="U594" t="s">
        <v>85</v>
      </c>
      <c r="V594"/>
      <c r="W594"/>
      <c r="X594"/>
      <c r="Y594"/>
      <c r="Z594" s="1393"/>
      <c r="AA594" s="1393"/>
      <c r="AB594" s="1393"/>
      <c r="AC594" s="1393"/>
      <c r="AD594" s="1393"/>
      <c r="AE594" s="1393"/>
      <c r="AF594" s="1393"/>
      <c r="AG594" s="1393"/>
      <c r="AH594" s="1393"/>
      <c r="AI594" s="1393"/>
      <c r="AJ594" s="1393"/>
      <c r="AK594" s="139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93"/>
      <c r="H595" s="1393"/>
      <c r="I595" s="1393"/>
      <c r="J595" s="1393"/>
      <c r="K595" s="1393"/>
      <c r="L595" s="1393"/>
      <c r="M595" s="1393"/>
      <c r="N595" s="1393"/>
      <c r="O595" s="1393"/>
      <c r="P595" s="1393"/>
      <c r="Q595" s="1393"/>
      <c r="R595" s="1393"/>
      <c r="S595"/>
      <c r="T595" s="22"/>
      <c r="U595" t="s">
        <v>581</v>
      </c>
      <c r="V595"/>
      <c r="W595"/>
      <c r="X595"/>
      <c r="Y595"/>
      <c r="Z595" s="1415"/>
      <c r="AA595" s="1415"/>
      <c r="AB595" s="1415"/>
      <c r="AC595" s="1415"/>
      <c r="AD595" s="1415"/>
      <c r="AE595" s="1415"/>
      <c r="AF595" s="1415"/>
      <c r="AG595" s="1415"/>
      <c r="AH595" s="1415"/>
      <c r="AI595" s="1415"/>
      <c r="AJ595" s="1415"/>
      <c r="AK595" s="141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93"/>
      <c r="H596" s="1393"/>
      <c r="I596" s="1393"/>
      <c r="J596" s="1393"/>
      <c r="K596" s="1393"/>
      <c r="L596" s="1393"/>
      <c r="M596" s="1393"/>
      <c r="N596" s="1393"/>
      <c r="O596" s="1393"/>
      <c r="P596" s="1393"/>
      <c r="Q596" s="1393"/>
      <c r="R596" s="1393"/>
      <c r="S596"/>
      <c r="T596" s="22"/>
      <c r="U596" t="s">
        <v>17</v>
      </c>
      <c r="V596"/>
      <c r="W596"/>
      <c r="X596"/>
      <c r="Y596"/>
      <c r="Z596" s="1415"/>
      <c r="AA596" s="1415"/>
      <c r="AB596" s="1415"/>
      <c r="AC596" s="1415"/>
      <c r="AD596" s="1415"/>
      <c r="AE596" s="1415"/>
      <c r="AF596" s="1415"/>
      <c r="AG596" s="1415"/>
      <c r="AH596" s="1415"/>
      <c r="AI596" s="1415"/>
      <c r="AJ596" s="1415"/>
      <c r="AK596" s="141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72"/>
      <c r="H597" s="1472"/>
      <c r="I597" s="1472"/>
      <c r="J597" s="1472"/>
      <c r="K597" s="1472"/>
      <c r="L597" s="1472"/>
      <c r="M597"/>
      <c r="N597"/>
      <c r="O597" s="33" t="s">
        <v>206</v>
      </c>
      <c r="P597" s="1440"/>
      <c r="Q597" s="1440"/>
      <c r="R597" s="1440"/>
      <c r="S597"/>
      <c r="T597" s="22"/>
      <c r="U597" t="s">
        <v>316</v>
      </c>
      <c r="V597"/>
      <c r="W597"/>
      <c r="X597"/>
      <c r="Y597"/>
      <c r="Z597" s="1472"/>
      <c r="AA597" s="1472"/>
      <c r="AB597" s="1472"/>
      <c r="AC597" s="1472"/>
      <c r="AD597" s="1472"/>
      <c r="AE597" s="1472"/>
      <c r="AF597"/>
      <c r="AG597"/>
      <c r="AH597" s="33" t="s">
        <v>206</v>
      </c>
      <c r="AI597" s="1440"/>
      <c r="AJ597" s="1440"/>
      <c r="AK597" s="1440"/>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93"/>
      <c r="I598" s="1393"/>
      <c r="J598" s="1393"/>
      <c r="K598" s="1393"/>
      <c r="L598" s="1393"/>
      <c r="M598" s="1393"/>
      <c r="N598" s="1393"/>
      <c r="O598" s="1393"/>
      <c r="P598" s="1393"/>
      <c r="Q598" s="1393"/>
      <c r="R598" s="1393"/>
      <c r="S598"/>
      <c r="T598" s="22"/>
      <c r="U598" t="s">
        <v>18</v>
      </c>
      <c r="V598"/>
      <c r="W598"/>
      <c r="X598"/>
      <c r="Y598"/>
      <c r="Z598"/>
      <c r="AA598" s="1393"/>
      <c r="AB598" s="1393"/>
      <c r="AC598" s="1393"/>
      <c r="AD598" s="1393"/>
      <c r="AE598" s="1393"/>
      <c r="AF598" s="1393"/>
      <c r="AG598" s="1393"/>
      <c r="AH598" s="1393"/>
      <c r="AI598" s="1393"/>
      <c r="AJ598" s="1393"/>
      <c r="AK598" s="1393"/>
      <c r="AL598"/>
      <c r="AM598"/>
      <c r="AN598"/>
      <c r="AO598"/>
      <c r="AP598"/>
      <c r="AQ598"/>
      <c r="AR598"/>
      <c r="AS598"/>
      <c r="AT598"/>
      <c r="AU598"/>
      <c r="AV598"/>
      <c r="AW598"/>
      <c r="AX598"/>
      <c r="AY598"/>
      <c r="BB598" s="3"/>
      <c r="BC598" s="3"/>
    </row>
    <row r="599" spans="1:55" ht="12.95" customHeight="1">
      <c r="A599" s="22"/>
      <c r="B599" t="s">
        <v>20</v>
      </c>
      <c r="N599" s="1379" t="s">
        <v>670</v>
      </c>
      <c r="O599" s="1379"/>
      <c r="T599" s="22"/>
      <c r="U599" t="s">
        <v>20</v>
      </c>
      <c r="AG599" s="1379" t="s">
        <v>670</v>
      </c>
      <c r="AH599" s="1379"/>
      <c r="BB599" s="3"/>
      <c r="BC599" s="3"/>
    </row>
    <row r="600" spans="1:55" ht="12.95" customHeight="1">
      <c r="A600" s="22"/>
      <c r="T600" s="22"/>
      <c r="BB600" s="3"/>
      <c r="BC600" s="3"/>
    </row>
    <row r="601" spans="1:55" ht="12.95" customHeight="1">
      <c r="A601" s="55" t="s">
        <v>462</v>
      </c>
      <c r="B601" t="s">
        <v>464</v>
      </c>
      <c r="G601" s="1471">
        <f>C562</f>
        <v>0</v>
      </c>
      <c r="H601" s="1471"/>
      <c r="I601" s="1471"/>
      <c r="J601" s="1471"/>
      <c r="K601" s="1471"/>
      <c r="L601" s="1471"/>
      <c r="M601" s="1471"/>
      <c r="N601" s="1471"/>
      <c r="O601" s="1471"/>
      <c r="P601" s="1471"/>
      <c r="Q601" s="1471"/>
      <c r="R601" s="1471"/>
      <c r="T601" s="55" t="s">
        <v>647</v>
      </c>
      <c r="U601" t="s">
        <v>464</v>
      </c>
      <c r="Z601" s="1471">
        <f>C563</f>
        <v>0</v>
      </c>
      <c r="AA601" s="1471"/>
      <c r="AB601" s="1471"/>
      <c r="AC601" s="1471"/>
      <c r="AD601" s="1471"/>
      <c r="AE601" s="1471"/>
      <c r="AF601" s="1471"/>
      <c r="AG601" s="1471"/>
      <c r="AH601" s="1471"/>
      <c r="AI601" s="1471"/>
      <c r="AJ601" s="1471"/>
      <c r="AK601" s="1471"/>
      <c r="BB601" s="3"/>
      <c r="BC601" s="3"/>
    </row>
    <row r="602" spans="1:55" ht="12.95" customHeight="1">
      <c r="A602" s="22"/>
      <c r="B602" t="s">
        <v>85</v>
      </c>
      <c r="G602" s="1393"/>
      <c r="H602" s="1393"/>
      <c r="I602" s="1393"/>
      <c r="J602" s="1393"/>
      <c r="K602" s="1393"/>
      <c r="L602" s="1393"/>
      <c r="M602" s="1393"/>
      <c r="N602" s="1393"/>
      <c r="O602" s="1393"/>
      <c r="P602" s="1393"/>
      <c r="Q602" s="1393"/>
      <c r="R602" s="1393"/>
      <c r="T602" s="22"/>
      <c r="U602" t="s">
        <v>85</v>
      </c>
      <c r="Z602" s="1393"/>
      <c r="AA602" s="1393"/>
      <c r="AB602" s="1393"/>
      <c r="AC602" s="1393"/>
      <c r="AD602" s="1393"/>
      <c r="AE602" s="1393"/>
      <c r="AF602" s="1393"/>
      <c r="AG602" s="1393"/>
      <c r="AH602" s="1393"/>
      <c r="AI602" s="1393"/>
      <c r="AJ602" s="1393"/>
      <c r="AK602" s="1393"/>
      <c r="AZ602" s="3"/>
      <c r="BA602" s="3"/>
      <c r="BB602" s="3"/>
      <c r="BC602" s="3"/>
    </row>
    <row r="603" spans="1:55" ht="12.95" customHeight="1">
      <c r="A603" s="22"/>
      <c r="B603" t="s">
        <v>581</v>
      </c>
      <c r="G603" s="1393"/>
      <c r="H603" s="1393"/>
      <c r="I603" s="1393"/>
      <c r="J603" s="1393"/>
      <c r="K603" s="1393"/>
      <c r="L603" s="1393"/>
      <c r="M603" s="1393"/>
      <c r="N603" s="1393"/>
      <c r="O603" s="1393"/>
      <c r="P603" s="1393"/>
      <c r="Q603" s="1393"/>
      <c r="R603" s="1393"/>
      <c r="T603" s="22"/>
      <c r="U603" t="s">
        <v>581</v>
      </c>
      <c r="Z603" s="1415"/>
      <c r="AA603" s="1415"/>
      <c r="AB603" s="1415"/>
      <c r="AC603" s="1415"/>
      <c r="AD603" s="1415"/>
      <c r="AE603" s="1415"/>
      <c r="AF603" s="1415"/>
      <c r="AG603" s="1415"/>
      <c r="AH603" s="1415"/>
      <c r="AI603" s="1415"/>
      <c r="AJ603" s="1415"/>
      <c r="AK603" s="1415"/>
      <c r="AZ603" s="3"/>
      <c r="BA603" s="3"/>
      <c r="BB603" s="3"/>
      <c r="BC603" s="3"/>
    </row>
    <row r="604" spans="1:55" ht="12.95" customHeight="1">
      <c r="A604" s="22"/>
      <c r="B604" t="s">
        <v>17</v>
      </c>
      <c r="G604" s="1393"/>
      <c r="H604" s="1393"/>
      <c r="I604" s="1393"/>
      <c r="J604" s="1393"/>
      <c r="K604" s="1393"/>
      <c r="L604" s="1393"/>
      <c r="M604" s="1393"/>
      <c r="N604" s="1393"/>
      <c r="O604" s="1393"/>
      <c r="P604" s="1393"/>
      <c r="Q604" s="1393"/>
      <c r="R604" s="1393"/>
      <c r="T604" s="22"/>
      <c r="U604" t="s">
        <v>17</v>
      </c>
      <c r="Z604" s="1415"/>
      <c r="AA604" s="1415"/>
      <c r="AB604" s="1415"/>
      <c r="AC604" s="1415"/>
      <c r="AD604" s="1415"/>
      <c r="AE604" s="1415"/>
      <c r="AF604" s="1415"/>
      <c r="AG604" s="1415"/>
      <c r="AH604" s="1415"/>
      <c r="AI604" s="1415"/>
      <c r="AJ604" s="1415"/>
      <c r="AK604" s="1415"/>
      <c r="AZ604" s="3"/>
      <c r="BA604" s="3"/>
      <c r="BB604" s="3"/>
      <c r="BC604" s="3"/>
    </row>
    <row r="605" spans="1:55" s="4" customFormat="1" ht="12.95" customHeight="1">
      <c r="A605" s="22"/>
      <c r="B605" t="s">
        <v>316</v>
      </c>
      <c r="C605"/>
      <c r="D605"/>
      <c r="E605"/>
      <c r="F605"/>
      <c r="G605" s="1472"/>
      <c r="H605" s="1472"/>
      <c r="I605" s="1472"/>
      <c r="J605" s="1472"/>
      <c r="K605" s="1472"/>
      <c r="L605" s="1472"/>
      <c r="M605"/>
      <c r="N605"/>
      <c r="O605" s="33" t="s">
        <v>206</v>
      </c>
      <c r="P605" s="1440"/>
      <c r="Q605" s="1440"/>
      <c r="R605" s="1440"/>
      <c r="S605"/>
      <c r="T605" s="22"/>
      <c r="U605" t="s">
        <v>316</v>
      </c>
      <c r="V605"/>
      <c r="W605"/>
      <c r="X605"/>
      <c r="Y605"/>
      <c r="Z605" s="1472"/>
      <c r="AA605" s="1472"/>
      <c r="AB605" s="1472"/>
      <c r="AC605" s="1472"/>
      <c r="AD605" s="1472"/>
      <c r="AE605" s="1472"/>
      <c r="AF605"/>
      <c r="AG605"/>
      <c r="AH605" s="33" t="s">
        <v>206</v>
      </c>
      <c r="AI605" s="1440"/>
      <c r="AJ605" s="1440"/>
      <c r="AK605" s="1440"/>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93"/>
      <c r="I606" s="1393"/>
      <c r="J606" s="1393"/>
      <c r="K606" s="1393"/>
      <c r="L606" s="1393"/>
      <c r="M606" s="1393"/>
      <c r="N606" s="1393"/>
      <c r="O606" s="1393"/>
      <c r="P606" s="1393"/>
      <c r="Q606" s="1393"/>
      <c r="R606" s="1393"/>
      <c r="S606"/>
      <c r="T606" s="22"/>
      <c r="U606" t="s">
        <v>18</v>
      </c>
      <c r="V606"/>
      <c r="W606"/>
      <c r="X606"/>
      <c r="Y606"/>
      <c r="Z606"/>
      <c r="AA606" s="1393"/>
      <c r="AB606" s="1393"/>
      <c r="AC606" s="1393"/>
      <c r="AD606" s="1393"/>
      <c r="AE606" s="1393"/>
      <c r="AF606" s="1393"/>
      <c r="AG606" s="1393"/>
      <c r="AH606" s="1393"/>
      <c r="AI606" s="1393"/>
      <c r="AJ606" s="1393"/>
      <c r="AK606" s="139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79" t="s">
        <v>670</v>
      </c>
      <c r="O607" s="1379"/>
      <c r="P607"/>
      <c r="Q607"/>
      <c r="R607"/>
      <c r="S607"/>
      <c r="T607" s="22"/>
      <c r="U607" t="s">
        <v>20</v>
      </c>
      <c r="V607"/>
      <c r="W607"/>
      <c r="X607"/>
      <c r="Y607"/>
      <c r="Z607"/>
      <c r="AA607"/>
      <c r="AB607"/>
      <c r="AC607"/>
      <c r="AD607"/>
      <c r="AE607"/>
      <c r="AF607"/>
      <c r="AG607" s="1379" t="s">
        <v>670</v>
      </c>
      <c r="AH607" s="1379"/>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71">
        <f>C564</f>
        <v>0</v>
      </c>
      <c r="H609" s="1471"/>
      <c r="I609" s="1471"/>
      <c r="J609" s="1471"/>
      <c r="K609" s="1471"/>
      <c r="L609" s="1471"/>
      <c r="M609" s="1471"/>
      <c r="N609" s="1471"/>
      <c r="O609" s="1471"/>
      <c r="P609" s="1471"/>
      <c r="Q609" s="1471"/>
      <c r="R609" s="1471"/>
      <c r="T609" s="55" t="s">
        <v>363</v>
      </c>
      <c r="U609" t="s">
        <v>464</v>
      </c>
      <c r="Z609" s="1471">
        <f>C565</f>
        <v>0</v>
      </c>
      <c r="AA609" s="1471"/>
      <c r="AB609" s="1471"/>
      <c r="AC609" s="1471"/>
      <c r="AD609" s="1471"/>
      <c r="AE609" s="1471"/>
      <c r="AF609" s="1471"/>
      <c r="AG609" s="1471"/>
      <c r="AH609" s="1471"/>
      <c r="AI609" s="1471"/>
      <c r="AJ609" s="1471"/>
      <c r="AK609" s="1471"/>
      <c r="AZ609" s="3"/>
      <c r="BA609" s="3"/>
      <c r="BB609" s="3"/>
      <c r="BC609" s="3"/>
    </row>
    <row r="610" spans="1:55" ht="12.95" customHeight="1">
      <c r="B610" t="s">
        <v>85</v>
      </c>
      <c r="G610" s="1393"/>
      <c r="H610" s="1393"/>
      <c r="I610" s="1393"/>
      <c r="J610" s="1393"/>
      <c r="K610" s="1393"/>
      <c r="L610" s="1393"/>
      <c r="M610" s="1393"/>
      <c r="N610" s="1393"/>
      <c r="O610" s="1393"/>
      <c r="P610" s="1393"/>
      <c r="Q610" s="1393"/>
      <c r="R610" s="1393"/>
      <c r="U610" t="s">
        <v>85</v>
      </c>
      <c r="Z610" s="1393"/>
      <c r="AA610" s="1393"/>
      <c r="AB610" s="1393"/>
      <c r="AC610" s="1393"/>
      <c r="AD610" s="1393"/>
      <c r="AE610" s="1393"/>
      <c r="AF610" s="1393"/>
      <c r="AG610" s="1393"/>
      <c r="AH610" s="1393"/>
      <c r="AI610" s="1393"/>
      <c r="AJ610" s="1393"/>
      <c r="AK610" s="1393"/>
      <c r="AZ610" s="3"/>
      <c r="BA610" s="3"/>
      <c r="BB610" s="3"/>
      <c r="BC610" s="3"/>
    </row>
    <row r="611" spans="1:55" ht="12.95" customHeight="1">
      <c r="B611" t="s">
        <v>581</v>
      </c>
      <c r="G611" s="1393"/>
      <c r="H611" s="1393"/>
      <c r="I611" s="1393"/>
      <c r="J611" s="1393"/>
      <c r="K611" s="1393"/>
      <c r="L611" s="1393"/>
      <c r="M611" s="1393"/>
      <c r="N611" s="1393"/>
      <c r="O611" s="1393"/>
      <c r="P611" s="1393"/>
      <c r="Q611" s="1393"/>
      <c r="R611" s="1393"/>
      <c r="U611" t="s">
        <v>581</v>
      </c>
      <c r="Z611" s="1415"/>
      <c r="AA611" s="1415"/>
      <c r="AB611" s="1415"/>
      <c r="AC611" s="1415"/>
      <c r="AD611" s="1415"/>
      <c r="AE611" s="1415"/>
      <c r="AF611" s="1415"/>
      <c r="AG611" s="1415"/>
      <c r="AH611" s="1415"/>
      <c r="AI611" s="1415"/>
      <c r="AJ611" s="1415"/>
      <c r="AK611" s="1415"/>
      <c r="AZ611" s="3"/>
      <c r="BA611" s="3"/>
      <c r="BB611" s="3"/>
      <c r="BC611" s="3"/>
    </row>
    <row r="612" spans="1:55" ht="12.95" customHeight="1">
      <c r="B612" t="s">
        <v>17</v>
      </c>
      <c r="G612" s="1393"/>
      <c r="H612" s="1393"/>
      <c r="I612" s="1393"/>
      <c r="J612" s="1393"/>
      <c r="K612" s="1393"/>
      <c r="L612" s="1393"/>
      <c r="M612" s="1393"/>
      <c r="N612" s="1393"/>
      <c r="O612" s="1393"/>
      <c r="P612" s="1393"/>
      <c r="Q612" s="1393"/>
      <c r="R612" s="1393"/>
      <c r="U612" t="s">
        <v>17</v>
      </c>
      <c r="Z612" s="1415"/>
      <c r="AA612" s="1415"/>
      <c r="AB612" s="1415"/>
      <c r="AC612" s="1415"/>
      <c r="AD612" s="1415"/>
      <c r="AE612" s="1415"/>
      <c r="AF612" s="1415"/>
      <c r="AG612" s="1415"/>
      <c r="AH612" s="1415"/>
      <c r="AI612" s="1415"/>
      <c r="AJ612" s="1415"/>
      <c r="AK612" s="1415"/>
      <c r="AZ612" s="3"/>
      <c r="BA612" s="3"/>
      <c r="BB612" s="3"/>
      <c r="BC612" s="3"/>
    </row>
    <row r="613" spans="1:55" ht="12.95" customHeight="1">
      <c r="B613" t="s">
        <v>316</v>
      </c>
      <c r="G613" s="1472"/>
      <c r="H613" s="1472"/>
      <c r="I613" s="1472"/>
      <c r="J613" s="1472"/>
      <c r="K613" s="1472"/>
      <c r="L613" s="1472"/>
      <c r="O613" s="33" t="s">
        <v>206</v>
      </c>
      <c r="P613" s="1440"/>
      <c r="Q613" s="1440"/>
      <c r="R613" s="1440"/>
      <c r="U613" t="s">
        <v>316</v>
      </c>
      <c r="Z613" s="1472"/>
      <c r="AA613" s="1472"/>
      <c r="AB613" s="1472"/>
      <c r="AC613" s="1472"/>
      <c r="AD613" s="1472"/>
      <c r="AE613" s="1472"/>
      <c r="AH613" s="33" t="s">
        <v>206</v>
      </c>
      <c r="AI613" s="1440"/>
      <c r="AJ613" s="1440"/>
      <c r="AK613" s="1440"/>
      <c r="AZ613" s="3"/>
      <c r="BA613" s="3"/>
      <c r="BB613" s="3"/>
      <c r="BC613" s="3"/>
    </row>
    <row r="614" spans="1:55" ht="12.95" customHeight="1">
      <c r="B614" t="s">
        <v>18</v>
      </c>
      <c r="H614" s="1393"/>
      <c r="I614" s="1393"/>
      <c r="J614" s="1393"/>
      <c r="K614" s="1393"/>
      <c r="L614" s="1393"/>
      <c r="M614" s="1393"/>
      <c r="N614" s="1393"/>
      <c r="O614" s="1393"/>
      <c r="P614" s="1393"/>
      <c r="Q614" s="1393"/>
      <c r="R614" s="1393"/>
      <c r="U614" t="s">
        <v>18</v>
      </c>
      <c r="AA614" s="1393"/>
      <c r="AB614" s="1393"/>
      <c r="AC614" s="1393"/>
      <c r="AD614" s="1393"/>
      <c r="AE614" s="1393"/>
      <c r="AF614" s="1393"/>
      <c r="AG614" s="1393"/>
      <c r="AH614" s="1393"/>
      <c r="AI614" s="1393"/>
      <c r="AJ614" s="1393"/>
      <c r="AK614" s="1393"/>
      <c r="AU614" s="899"/>
      <c r="AV614" s="899"/>
      <c r="AW614" s="899"/>
      <c r="AX614" s="899"/>
      <c r="AY614" s="899"/>
      <c r="AZ614" s="3"/>
      <c r="BA614" s="3"/>
      <c r="BB614" s="3"/>
      <c r="BC614" s="3"/>
    </row>
    <row r="615" spans="1:55" ht="12.95" customHeight="1">
      <c r="B615" t="s">
        <v>20</v>
      </c>
      <c r="N615" s="1379" t="s">
        <v>670</v>
      </c>
      <c r="O615" s="1379"/>
      <c r="U615" t="s">
        <v>20</v>
      </c>
      <c r="AG615" s="1379" t="s">
        <v>670</v>
      </c>
      <c r="AH615" s="1379"/>
      <c r="AU615" s="899"/>
      <c r="AV615" s="899"/>
      <c r="AW615" s="899"/>
      <c r="AX615" s="899"/>
      <c r="AY615" s="899"/>
      <c r="AZ615" s="3"/>
      <c r="BA615" s="3"/>
      <c r="BB615" s="3"/>
      <c r="BC615" s="3"/>
    </row>
    <row r="616" spans="1:55" ht="12.95" customHeight="1">
      <c r="AZ616" s="3"/>
      <c r="BA616" s="3"/>
      <c r="BB616" s="3"/>
      <c r="BC616" s="3"/>
    </row>
    <row r="617" spans="1:55" ht="12.95" customHeight="1">
      <c r="A617" s="1271" t="s">
        <v>545</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58" t="s">
        <v>2103</v>
      </c>
      <c r="C624" s="1658"/>
      <c r="D624" s="1658"/>
      <c r="E624" s="1658"/>
      <c r="F624" s="1658"/>
      <c r="G624" s="1658"/>
      <c r="H624" s="1658"/>
      <c r="I624" s="1658"/>
      <c r="J624" s="1658"/>
      <c r="K624" s="1658"/>
      <c r="L624" s="1658"/>
      <c r="M624" s="1670" t="s">
        <v>2104</v>
      </c>
      <c r="N624" s="1670"/>
      <c r="O624" s="1670"/>
      <c r="P624" s="1670"/>
      <c r="Q624" s="1670" t="s">
        <v>1853</v>
      </c>
      <c r="R624" s="1670"/>
      <c r="S624" s="1670"/>
      <c r="T624" s="1670" t="s">
        <v>1851</v>
      </c>
      <c r="U624" s="1670"/>
      <c r="V624" s="1670"/>
      <c r="W624" s="1656" t="s">
        <v>454</v>
      </c>
      <c r="X624" s="1656"/>
      <c r="Y624" s="1656"/>
      <c r="Z624" s="1381" t="s">
        <v>2133</v>
      </c>
      <c r="AA624" s="1381"/>
      <c r="AB624" s="1382"/>
      <c r="AC624" s="1812" t="s">
        <v>1677</v>
      </c>
      <c r="AD624" s="1813"/>
      <c r="AE624" s="1814"/>
      <c r="AF624" s="1380" t="s">
        <v>1931</v>
      </c>
      <c r="AG624" s="1381"/>
      <c r="AH624" s="1381"/>
      <c r="AI624" s="1381"/>
      <c r="AJ624" s="1382"/>
      <c r="AK624" s="1659" t="s">
        <v>1932</v>
      </c>
      <c r="AL624" s="1660"/>
      <c r="AM624" s="1660"/>
      <c r="AN624" s="1661"/>
      <c r="AO624" s="1670" t="s">
        <v>455</v>
      </c>
      <c r="AP624" s="1670"/>
      <c r="AQ624" s="1670"/>
      <c r="AR624" s="1670"/>
      <c r="AS624" s="1670"/>
      <c r="AU624" s="3"/>
      <c r="AZ624" s="3"/>
      <c r="BA624" s="3"/>
      <c r="BB624" s="3"/>
      <c r="BC624" s="3"/>
    </row>
    <row r="625" spans="2:157" ht="12.95" customHeight="1">
      <c r="B625" s="1658"/>
      <c r="C625" s="1658"/>
      <c r="D625" s="1658"/>
      <c r="E625" s="1658"/>
      <c r="F625" s="1658"/>
      <c r="G625" s="1658"/>
      <c r="H625" s="1658"/>
      <c r="I625" s="1658"/>
      <c r="J625" s="1658"/>
      <c r="K625" s="1658"/>
      <c r="L625" s="1658"/>
      <c r="M625" s="1670"/>
      <c r="N625" s="1670"/>
      <c r="O625" s="1670"/>
      <c r="P625" s="1670"/>
      <c r="Q625" s="1670"/>
      <c r="R625" s="1670"/>
      <c r="S625" s="1670"/>
      <c r="T625" s="1670"/>
      <c r="U625" s="1670"/>
      <c r="V625" s="1670"/>
      <c r="W625" s="1656"/>
      <c r="X625" s="1656"/>
      <c r="Y625" s="1656"/>
      <c r="Z625" s="1384"/>
      <c r="AA625" s="1384"/>
      <c r="AB625" s="1385"/>
      <c r="AC625" s="1815"/>
      <c r="AD625" s="1816"/>
      <c r="AE625" s="1817"/>
      <c r="AF625" s="1383"/>
      <c r="AG625" s="1384"/>
      <c r="AH625" s="1384"/>
      <c r="AI625" s="1384"/>
      <c r="AJ625" s="1385"/>
      <c r="AK625" s="1662"/>
      <c r="AL625" s="1663"/>
      <c r="AM625" s="1663"/>
      <c r="AN625" s="1664"/>
      <c r="AO625" s="1670"/>
      <c r="AP625" s="1670"/>
      <c r="AQ625" s="1670"/>
      <c r="AR625" s="1670"/>
      <c r="AS625" s="1670"/>
      <c r="AU625" s="3"/>
      <c r="AZ625" s="3"/>
      <c r="BA625" s="3"/>
      <c r="BB625" s="3"/>
      <c r="BC625" s="3"/>
      <c r="BD625" s="3"/>
    </row>
    <row r="626" spans="2:157" ht="12.95" customHeight="1">
      <c r="B626" s="1658"/>
      <c r="C626" s="1658"/>
      <c r="D626" s="1658"/>
      <c r="E626" s="1658"/>
      <c r="F626" s="1658"/>
      <c r="G626" s="1658"/>
      <c r="H626" s="1658"/>
      <c r="I626" s="1658"/>
      <c r="J626" s="1658"/>
      <c r="K626" s="1658"/>
      <c r="L626" s="1658"/>
      <c r="M626" s="1670"/>
      <c r="N626" s="1670"/>
      <c r="O626" s="1670"/>
      <c r="P626" s="1670"/>
      <c r="Q626" s="1670"/>
      <c r="R626" s="1670"/>
      <c r="S626" s="1670"/>
      <c r="T626" s="1670"/>
      <c r="U626" s="1670"/>
      <c r="V626" s="1670"/>
      <c r="W626" s="1656"/>
      <c r="X626" s="1656"/>
      <c r="Y626" s="1656"/>
      <c r="Z626" s="1387"/>
      <c r="AA626" s="1387"/>
      <c r="AB626" s="1388"/>
      <c r="AC626" s="1818"/>
      <c r="AD626" s="1819"/>
      <c r="AE626" s="1820"/>
      <c r="AF626" s="1386"/>
      <c r="AG626" s="1387"/>
      <c r="AH626" s="1387"/>
      <c r="AI626" s="1387"/>
      <c r="AJ626" s="1388"/>
      <c r="AK626" s="1665"/>
      <c r="AL626" s="1666"/>
      <c r="AM626" s="1666"/>
      <c r="AN626" s="1667"/>
      <c r="AO626" s="1670"/>
      <c r="AP626" s="1670"/>
      <c r="AQ626" s="1670"/>
      <c r="AR626" s="1670"/>
      <c r="AS626" s="1670"/>
      <c r="AT626" s="3"/>
      <c r="AU626" s="3"/>
      <c r="AZ626" s="3"/>
      <c r="BA626" s="3"/>
      <c r="BB626" s="3"/>
      <c r="BC626" s="3"/>
      <c r="BD626" s="3"/>
    </row>
    <row r="627" spans="2:157" ht="12.95" customHeight="1">
      <c r="B627" s="51" t="s">
        <v>112</v>
      </c>
      <c r="C627" s="1498" t="s">
        <v>2703</v>
      </c>
      <c r="D627" s="1498"/>
      <c r="E627" s="1498"/>
      <c r="F627" s="1498"/>
      <c r="G627" s="1498"/>
      <c r="H627" s="1498"/>
      <c r="I627" s="1498"/>
      <c r="J627" s="1498"/>
      <c r="K627" s="1498"/>
      <c r="L627" s="1498"/>
      <c r="M627" s="1655" t="s">
        <v>2114</v>
      </c>
      <c r="N627" s="1655"/>
      <c r="O627" s="1655"/>
      <c r="P627" s="1655"/>
      <c r="Q627" s="1487">
        <f>40*12</f>
        <v>480</v>
      </c>
      <c r="R627" s="1487"/>
      <c r="S627" s="1488"/>
      <c r="T627" s="1486">
        <v>480</v>
      </c>
      <c r="U627" s="1487"/>
      <c r="V627" s="1488"/>
      <c r="W627" s="1492">
        <v>6.5000000000000002E-2</v>
      </c>
      <c r="X627" s="1493"/>
      <c r="Y627" s="1494"/>
      <c r="Z627" s="1468" t="s">
        <v>458</v>
      </c>
      <c r="AA627" s="1469"/>
      <c r="AB627" s="1470"/>
      <c r="AC627" s="1425">
        <v>1</v>
      </c>
      <c r="AD627" s="1426"/>
      <c r="AE627" s="1427"/>
      <c r="AF627" s="1489">
        <v>1613558</v>
      </c>
      <c r="AG627" s="1490"/>
      <c r="AH627" s="1490"/>
      <c r="AI627" s="1490"/>
      <c r="AJ627" s="1491"/>
      <c r="AK627" s="1652"/>
      <c r="AL627" s="1653"/>
      <c r="AM627" s="1653"/>
      <c r="AN627" s="1654"/>
      <c r="AO627" s="1635">
        <v>22967218</v>
      </c>
      <c r="AP627" s="1635"/>
      <c r="AQ627" s="1635"/>
      <c r="AR627" s="1635"/>
      <c r="AS627" s="1635"/>
      <c r="AT627" s="3"/>
      <c r="AU627" s="3"/>
      <c r="AZ627" s="3"/>
      <c r="BA627" s="3"/>
      <c r="BB627" s="3"/>
      <c r="BC627" s="3"/>
      <c r="BD627" s="3"/>
    </row>
    <row r="628" spans="2:157" ht="12.95" customHeight="1">
      <c r="B628" s="52" t="s">
        <v>113</v>
      </c>
      <c r="C628" s="1498" t="s">
        <v>2321</v>
      </c>
      <c r="D628" s="1498"/>
      <c r="E628" s="1498"/>
      <c r="F628" s="1498"/>
      <c r="G628" s="1498"/>
      <c r="H628" s="1498"/>
      <c r="I628" s="1498"/>
      <c r="J628" s="1498"/>
      <c r="K628" s="1498"/>
      <c r="L628" s="1498"/>
      <c r="M628" s="1655" t="s">
        <v>2107</v>
      </c>
      <c r="N628" s="1655"/>
      <c r="O628" s="1655"/>
      <c r="P628" s="1655"/>
      <c r="Q628" s="1486"/>
      <c r="R628" s="1487"/>
      <c r="S628" s="1488"/>
      <c r="T628" s="1486"/>
      <c r="U628" s="1487"/>
      <c r="V628" s="1488"/>
      <c r="W628" s="1492"/>
      <c r="X628" s="1493"/>
      <c r="Y628" s="1494"/>
      <c r="Z628" s="1468" t="s">
        <v>1185</v>
      </c>
      <c r="AA628" s="1469"/>
      <c r="AB628" s="1470"/>
      <c r="AC628" s="1425"/>
      <c r="AD628" s="1426"/>
      <c r="AE628" s="1427"/>
      <c r="AF628" s="1489"/>
      <c r="AG628" s="1490"/>
      <c r="AH628" s="1490"/>
      <c r="AI628" s="1490"/>
      <c r="AJ628" s="1491"/>
      <c r="AK628" s="1652"/>
      <c r="AL628" s="1653"/>
      <c r="AM628" s="1653"/>
      <c r="AN628" s="1654"/>
      <c r="AO628" s="1467">
        <v>7278376</v>
      </c>
      <c r="AP628" s="1339"/>
      <c r="AQ628" s="1339"/>
      <c r="AR628" s="1339"/>
      <c r="AS628" s="1340"/>
      <c r="AT628" s="1148" t="str">
        <f>IF(AND(NOT(C627=""),C628="",NOT(C629="")),"!","")</f>
        <v/>
      </c>
      <c r="AU628" s="3"/>
      <c r="AZ628" s="3"/>
      <c r="BA628" s="3"/>
      <c r="BB628" s="3"/>
      <c r="BC628" s="3"/>
      <c r="BD628" s="3"/>
    </row>
    <row r="629" spans="2:157" ht="12.95" customHeight="1">
      <c r="B629" s="52" t="s">
        <v>119</v>
      </c>
      <c r="C629" s="1498" t="s">
        <v>2704</v>
      </c>
      <c r="D629" s="1498"/>
      <c r="E629" s="1498"/>
      <c r="F629" s="1498"/>
      <c r="G629" s="1498"/>
      <c r="H629" s="1498"/>
      <c r="I629" s="1498"/>
      <c r="J629" s="1498"/>
      <c r="K629" s="1498"/>
      <c r="L629" s="1498"/>
      <c r="M629" s="1655" t="s">
        <v>2114</v>
      </c>
      <c r="N629" s="1655"/>
      <c r="O629" s="1655"/>
      <c r="P629" s="1655"/>
      <c r="Q629" s="1486">
        <f>55*12</f>
        <v>660</v>
      </c>
      <c r="R629" s="1487"/>
      <c r="S629" s="1488"/>
      <c r="T629" s="1486">
        <v>660</v>
      </c>
      <c r="U629" s="1487"/>
      <c r="V629" s="1488"/>
      <c r="W629" s="1492">
        <v>0.03</v>
      </c>
      <c r="X629" s="1493"/>
      <c r="Y629" s="1494"/>
      <c r="Z629" s="1468" t="s">
        <v>458</v>
      </c>
      <c r="AA629" s="1469"/>
      <c r="AB629" s="1470"/>
      <c r="AC629" s="1425">
        <v>2</v>
      </c>
      <c r="AD629" s="1426"/>
      <c r="AE629" s="1427"/>
      <c r="AF629" s="1489"/>
      <c r="AG629" s="1490"/>
      <c r="AH629" s="1490"/>
      <c r="AI629" s="1490"/>
      <c r="AJ629" s="1491"/>
      <c r="AK629" s="1652"/>
      <c r="AL629" s="1653"/>
      <c r="AM629" s="1653"/>
      <c r="AN629" s="1654"/>
      <c r="AO629" s="1467">
        <v>1850000</v>
      </c>
      <c r="AP629" s="1339"/>
      <c r="AQ629" s="1339"/>
      <c r="AR629" s="1339"/>
      <c r="AS629" s="1340"/>
      <c r="AT629" s="1148" t="str">
        <f t="shared" ref="AT629:AT638" si="1">IF(AND(NOT(C628=""),C629="",NOT(C630="")),"!","")</f>
        <v/>
      </c>
      <c r="AU629" s="3"/>
      <c r="AZ629" s="3"/>
      <c r="BA629" s="3"/>
      <c r="BB629" s="3"/>
      <c r="BC629" s="3"/>
      <c r="BD629" s="3"/>
    </row>
    <row r="630" spans="2:157" ht="12.95" customHeight="1">
      <c r="B630" s="52" t="s">
        <v>582</v>
      </c>
      <c r="C630" s="1657"/>
      <c r="D630" s="1657"/>
      <c r="E630" s="1657"/>
      <c r="F630" s="1657"/>
      <c r="G630" s="1657"/>
      <c r="H630" s="1657"/>
      <c r="I630" s="1657"/>
      <c r="J630" s="1657"/>
      <c r="K630" s="1657"/>
      <c r="L630" s="1657"/>
      <c r="M630" s="1655"/>
      <c r="N630" s="1655"/>
      <c r="O630" s="1655"/>
      <c r="P630" s="1655"/>
      <c r="Q630" s="1486"/>
      <c r="R630" s="1487"/>
      <c r="S630" s="1488"/>
      <c r="T630" s="1486"/>
      <c r="U630" s="1487"/>
      <c r="V630" s="1488"/>
      <c r="W630" s="1492"/>
      <c r="X630" s="1493"/>
      <c r="Y630" s="1494"/>
      <c r="Z630" s="1468" t="s">
        <v>458</v>
      </c>
      <c r="AA630" s="1469"/>
      <c r="AB630" s="1470"/>
      <c r="AC630" s="1425"/>
      <c r="AD630" s="1426"/>
      <c r="AE630" s="1427"/>
      <c r="AF630" s="1489"/>
      <c r="AG630" s="1490"/>
      <c r="AH630" s="1490"/>
      <c r="AI630" s="1490"/>
      <c r="AJ630" s="1491"/>
      <c r="AK630" s="1652"/>
      <c r="AL630" s="1653"/>
      <c r="AM630" s="1653"/>
      <c r="AN630" s="1654"/>
      <c r="AO630" s="1467"/>
      <c r="AP630" s="1339"/>
      <c r="AQ630" s="1339"/>
      <c r="AR630" s="1339"/>
      <c r="AS630" s="1340"/>
      <c r="AT630" s="1148" t="str">
        <f t="shared" si="1"/>
        <v/>
      </c>
      <c r="AU630" s="3"/>
      <c r="AZ630" s="3"/>
      <c r="BA630" s="3"/>
      <c r="BB630" s="3"/>
      <c r="BC630" s="3"/>
      <c r="BD630" s="3"/>
    </row>
    <row r="631" spans="2:157" ht="12.95" customHeight="1">
      <c r="B631" s="52" t="s">
        <v>764</v>
      </c>
      <c r="C631" s="1657"/>
      <c r="D631" s="1657"/>
      <c r="E631" s="1657"/>
      <c r="F631" s="1657"/>
      <c r="G631" s="1657"/>
      <c r="H631" s="1657"/>
      <c r="I631" s="1657"/>
      <c r="J631" s="1657"/>
      <c r="K631" s="1657"/>
      <c r="L631" s="1657"/>
      <c r="M631" s="1655" t="s">
        <v>1185</v>
      </c>
      <c r="N631" s="1655"/>
      <c r="O631" s="1655"/>
      <c r="P631" s="1655"/>
      <c r="Q631" s="1486"/>
      <c r="R631" s="1487"/>
      <c r="S631" s="1488"/>
      <c r="T631" s="1486"/>
      <c r="U631" s="1487"/>
      <c r="V631" s="1488"/>
      <c r="W631" s="1492"/>
      <c r="X631" s="1493"/>
      <c r="Y631" s="1494"/>
      <c r="Z631" s="1468" t="s">
        <v>1185</v>
      </c>
      <c r="AA631" s="1469"/>
      <c r="AB631" s="1470"/>
      <c r="AC631" s="1425"/>
      <c r="AD631" s="1426"/>
      <c r="AE631" s="1427"/>
      <c r="AF631" s="1489"/>
      <c r="AG631" s="1490"/>
      <c r="AH631" s="1490"/>
      <c r="AI631" s="1490"/>
      <c r="AJ631" s="1491"/>
      <c r="AK631" s="1652"/>
      <c r="AL631" s="1653"/>
      <c r="AM631" s="1653"/>
      <c r="AN631" s="1654"/>
      <c r="AO631" s="1467"/>
      <c r="AP631" s="1339"/>
      <c r="AQ631" s="1339"/>
      <c r="AR631" s="1339"/>
      <c r="AS631" s="1340"/>
      <c r="AT631" s="1148" t="str">
        <f t="shared" si="1"/>
        <v/>
      </c>
      <c r="AU631" s="3"/>
      <c r="AZ631" s="3"/>
      <c r="BA631" s="3"/>
      <c r="BB631" s="3"/>
      <c r="BC631" s="3"/>
      <c r="BD631" s="3"/>
    </row>
    <row r="632" spans="2:157" ht="12.95" customHeight="1">
      <c r="B632" s="52" t="s">
        <v>585</v>
      </c>
      <c r="C632" s="1657"/>
      <c r="D632" s="1657"/>
      <c r="E632" s="1657"/>
      <c r="F632" s="1657"/>
      <c r="G632" s="1657"/>
      <c r="H632" s="1657"/>
      <c r="I632" s="1657"/>
      <c r="J632" s="1657"/>
      <c r="K632" s="1657"/>
      <c r="L632" s="1657"/>
      <c r="M632" s="1655" t="s">
        <v>1185</v>
      </c>
      <c r="N632" s="1655"/>
      <c r="O632" s="1655"/>
      <c r="P632" s="1655"/>
      <c r="Q632" s="1486"/>
      <c r="R632" s="1487"/>
      <c r="S632" s="1488"/>
      <c r="T632" s="1486"/>
      <c r="U632" s="1487"/>
      <c r="V632" s="1488"/>
      <c r="W632" s="1492"/>
      <c r="X632" s="1493"/>
      <c r="Y632" s="1494"/>
      <c r="Z632" s="1468" t="s">
        <v>1185</v>
      </c>
      <c r="AA632" s="1469"/>
      <c r="AB632" s="1470"/>
      <c r="AC632" s="1425"/>
      <c r="AD632" s="1426"/>
      <c r="AE632" s="1427"/>
      <c r="AF632" s="1489"/>
      <c r="AG632" s="1490"/>
      <c r="AH632" s="1490"/>
      <c r="AI632" s="1490"/>
      <c r="AJ632" s="1491"/>
      <c r="AK632" s="1652"/>
      <c r="AL632" s="1653"/>
      <c r="AM632" s="1653"/>
      <c r="AN632" s="1654"/>
      <c r="AO632" s="1467"/>
      <c r="AP632" s="1339"/>
      <c r="AQ632" s="1339"/>
      <c r="AR632" s="1339"/>
      <c r="AS632" s="1340"/>
      <c r="AT632" s="1148" t="str">
        <f t="shared" si="1"/>
        <v/>
      </c>
      <c r="AU632" s="3"/>
      <c r="AZ632" s="3"/>
      <c r="BA632" s="3"/>
      <c r="BB632" s="3"/>
      <c r="BC632" s="3"/>
      <c r="BD632" s="3"/>
    </row>
    <row r="633" spans="2:157" ht="12.95" customHeight="1">
      <c r="B633" s="52" t="s">
        <v>456</v>
      </c>
      <c r="C633" s="1657"/>
      <c r="D633" s="1657"/>
      <c r="E633" s="1657"/>
      <c r="F633" s="1657"/>
      <c r="G633" s="1657"/>
      <c r="H633" s="1657"/>
      <c r="I633" s="1657"/>
      <c r="J633" s="1657"/>
      <c r="K633" s="1657"/>
      <c r="L633" s="1657"/>
      <c r="M633" s="1655" t="s">
        <v>1185</v>
      </c>
      <c r="N633" s="1655"/>
      <c r="O633" s="1655"/>
      <c r="P633" s="1655"/>
      <c r="Q633" s="1486"/>
      <c r="R633" s="1487"/>
      <c r="S633" s="1488"/>
      <c r="T633" s="1486"/>
      <c r="U633" s="1487"/>
      <c r="V633" s="1488"/>
      <c r="W633" s="1492"/>
      <c r="X633" s="1493"/>
      <c r="Y633" s="1494"/>
      <c r="Z633" s="1468" t="s">
        <v>1185</v>
      </c>
      <c r="AA633" s="1469"/>
      <c r="AB633" s="1470"/>
      <c r="AC633" s="1425"/>
      <c r="AD633" s="1426"/>
      <c r="AE633" s="1427"/>
      <c r="AF633" s="1489"/>
      <c r="AG633" s="1490"/>
      <c r="AH633" s="1490"/>
      <c r="AI633" s="1490"/>
      <c r="AJ633" s="1491"/>
      <c r="AK633" s="1652"/>
      <c r="AL633" s="1653"/>
      <c r="AM633" s="1653"/>
      <c r="AN633" s="1654"/>
      <c r="AO633" s="1467"/>
      <c r="AP633" s="1339"/>
      <c r="AQ633" s="1339"/>
      <c r="AR633" s="1339"/>
      <c r="AS633" s="1340"/>
      <c r="AT633" s="1148" t="str">
        <f t="shared" si="1"/>
        <v/>
      </c>
      <c r="AU633" s="3"/>
      <c r="AV633" s="3"/>
      <c r="AW633" s="3"/>
      <c r="AX633" s="3"/>
      <c r="AY633" s="3"/>
      <c r="AZ633" s="3"/>
      <c r="BA633" s="3"/>
      <c r="BB633" s="3"/>
      <c r="BC633" s="3"/>
      <c r="BD633" s="3"/>
    </row>
    <row r="634" spans="2:157" ht="12.95" customHeight="1">
      <c r="B634" s="52" t="s">
        <v>457</v>
      </c>
      <c r="C634" s="1657"/>
      <c r="D634" s="1657"/>
      <c r="E634" s="1657"/>
      <c r="F634" s="1657"/>
      <c r="G634" s="1657"/>
      <c r="H634" s="1657"/>
      <c r="I634" s="1657"/>
      <c r="J634" s="1657"/>
      <c r="K634" s="1657"/>
      <c r="L634" s="1657"/>
      <c r="M634" s="1655" t="s">
        <v>1185</v>
      </c>
      <c r="N634" s="1655"/>
      <c r="O634" s="1655"/>
      <c r="P634" s="1655"/>
      <c r="Q634" s="1486"/>
      <c r="R634" s="1487"/>
      <c r="S634" s="1488"/>
      <c r="T634" s="1486"/>
      <c r="U634" s="1487"/>
      <c r="V634" s="1488"/>
      <c r="W634" s="1492"/>
      <c r="X634" s="1493"/>
      <c r="Y634" s="1494"/>
      <c r="Z634" s="1468" t="s">
        <v>1185</v>
      </c>
      <c r="AA634" s="1469"/>
      <c r="AB634" s="1470"/>
      <c r="AC634" s="1425"/>
      <c r="AD634" s="1426"/>
      <c r="AE634" s="1427"/>
      <c r="AF634" s="1489"/>
      <c r="AG634" s="1490"/>
      <c r="AH634" s="1490"/>
      <c r="AI634" s="1490"/>
      <c r="AJ634" s="1491"/>
      <c r="AK634" s="1652"/>
      <c r="AL634" s="1653"/>
      <c r="AM634" s="1653"/>
      <c r="AN634" s="1654"/>
      <c r="AO634" s="1467"/>
      <c r="AP634" s="1339"/>
      <c r="AQ634" s="1339"/>
      <c r="AR634" s="1339"/>
      <c r="AS634" s="1340"/>
      <c r="AT634" s="1148" t="str">
        <f t="shared" si="1"/>
        <v/>
      </c>
      <c r="AU634" s="3"/>
      <c r="AV634" s="3"/>
      <c r="AW634" s="3"/>
      <c r="AX634" s="3"/>
      <c r="AY634" s="3"/>
      <c r="AZ634" s="3"/>
      <c r="BA634" s="3" t="s">
        <v>1185</v>
      </c>
      <c r="BB634" s="3"/>
      <c r="BC634" s="3"/>
      <c r="BD634" s="3"/>
    </row>
    <row r="635" spans="2:157" ht="12.95" customHeight="1">
      <c r="B635" s="52" t="s">
        <v>462</v>
      </c>
      <c r="C635" s="1657"/>
      <c r="D635" s="1657"/>
      <c r="E635" s="1657"/>
      <c r="F635" s="1657"/>
      <c r="G635" s="1657"/>
      <c r="H635" s="1657"/>
      <c r="I635" s="1657"/>
      <c r="J635" s="1657"/>
      <c r="K635" s="1657"/>
      <c r="L635" s="1657"/>
      <c r="M635" s="1655" t="s">
        <v>1185</v>
      </c>
      <c r="N635" s="1655"/>
      <c r="O635" s="1655"/>
      <c r="P635" s="1655"/>
      <c r="Q635" s="1486"/>
      <c r="R635" s="1487"/>
      <c r="S635" s="1488"/>
      <c r="T635" s="1486"/>
      <c r="U635" s="1487"/>
      <c r="V635" s="1488"/>
      <c r="W635" s="1492"/>
      <c r="X635" s="1493"/>
      <c r="Y635" s="1494"/>
      <c r="Z635" s="1468" t="s">
        <v>1185</v>
      </c>
      <c r="AA635" s="1469"/>
      <c r="AB635" s="1470"/>
      <c r="AC635" s="1425"/>
      <c r="AD635" s="1426"/>
      <c r="AE635" s="1427"/>
      <c r="AF635" s="1489"/>
      <c r="AG635" s="1490"/>
      <c r="AH635" s="1490"/>
      <c r="AI635" s="1490"/>
      <c r="AJ635" s="1491"/>
      <c r="AK635" s="1652"/>
      <c r="AL635" s="1653"/>
      <c r="AM635" s="1653"/>
      <c r="AN635" s="1654"/>
      <c r="AO635" s="1467"/>
      <c r="AP635" s="1339"/>
      <c r="AQ635" s="1339"/>
      <c r="AR635" s="1339"/>
      <c r="AS635" s="134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8" t="e">
        <f t="shared" ref="DX635:DX669" si="2">EZ718*(CP718/$CP$753)</f>
        <v>#VALUE!</v>
      </c>
      <c r="DY635" s="1378"/>
      <c r="DZ635" s="1378"/>
      <c r="EA635" s="1378"/>
      <c r="EB635" s="1378"/>
      <c r="EC635" s="1378">
        <f t="shared" ref="EC635:EC669" si="3">FE718*(CU718/$CU$753)</f>
        <v>149.14285714285714</v>
      </c>
      <c r="ED635" s="1378"/>
      <c r="EE635" s="1378"/>
      <c r="EF635" s="1378"/>
      <c r="EG635" s="1378"/>
      <c r="EH635" s="1378" t="e">
        <f t="shared" ref="EH635:EH669" si="4">FJ718*(CZ718/$CZ$753)</f>
        <v>#VALUE!</v>
      </c>
      <c r="EI635" s="1378"/>
      <c r="EJ635" s="1378"/>
      <c r="EK635" s="1378"/>
      <c r="EL635" s="1378"/>
      <c r="EM635" s="1378" t="e">
        <f t="shared" ref="EM635:EM669" si="5">FO718*(DE718/$DE$753)</f>
        <v>#VALUE!</v>
      </c>
      <c r="EN635" s="1378"/>
      <c r="EO635" s="1378"/>
      <c r="EP635" s="1378"/>
      <c r="EQ635" s="1378"/>
      <c r="ER635" s="1378" t="e">
        <f t="shared" ref="ER635:ER669" si="6">FT718*(DJ718/$DJ$753)</f>
        <v>#VALUE!</v>
      </c>
      <c r="ES635" s="1378"/>
      <c r="ET635" s="1378"/>
      <c r="EU635" s="1378"/>
      <c r="EV635" s="1378"/>
      <c r="EW635" s="1378" t="e">
        <f t="shared" ref="EW635:EW669" si="7">FY718*(DO718/$DO$753)</f>
        <v>#VALUE!</v>
      </c>
      <c r="EX635" s="1378"/>
      <c r="EY635" s="1378"/>
      <c r="EZ635" s="1378"/>
      <c r="FA635" s="1378"/>
    </row>
    <row r="636" spans="2:157" ht="12.95" customHeight="1">
      <c r="B636" s="52" t="s">
        <v>647</v>
      </c>
      <c r="C636" s="1657"/>
      <c r="D636" s="1657"/>
      <c r="E636" s="1657"/>
      <c r="F636" s="1657"/>
      <c r="G636" s="1657"/>
      <c r="H636" s="1657"/>
      <c r="I636" s="1657"/>
      <c r="J636" s="1657"/>
      <c r="K636" s="1657"/>
      <c r="L636" s="1657"/>
      <c r="M636" s="1655" t="s">
        <v>1185</v>
      </c>
      <c r="N636" s="1655"/>
      <c r="O636" s="1655"/>
      <c r="P636" s="1655"/>
      <c r="Q636" s="1486"/>
      <c r="R636" s="1487"/>
      <c r="S636" s="1488"/>
      <c r="T636" s="1486"/>
      <c r="U636" s="1487"/>
      <c r="V636" s="1488"/>
      <c r="W636" s="1492"/>
      <c r="X636" s="1493"/>
      <c r="Y636" s="1494"/>
      <c r="Z636" s="1468" t="s">
        <v>1185</v>
      </c>
      <c r="AA636" s="1469"/>
      <c r="AB636" s="1470"/>
      <c r="AC636" s="1425"/>
      <c r="AD636" s="1426"/>
      <c r="AE636" s="1427"/>
      <c r="AF636" s="1489"/>
      <c r="AG636" s="1490"/>
      <c r="AH636" s="1490"/>
      <c r="AI636" s="1490"/>
      <c r="AJ636" s="1491"/>
      <c r="AK636" s="1652"/>
      <c r="AL636" s="1653"/>
      <c r="AM636" s="1653"/>
      <c r="AN636" s="1654"/>
      <c r="AO636" s="1467"/>
      <c r="AP636" s="1339"/>
      <c r="AQ636" s="1339"/>
      <c r="AR636" s="1339"/>
      <c r="AS636" s="134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8" t="e">
        <f t="shared" si="2"/>
        <v>#VALUE!</v>
      </c>
      <c r="DY636" s="1378"/>
      <c r="DZ636" s="1378"/>
      <c r="EA636" s="1378"/>
      <c r="EB636" s="1378"/>
      <c r="EC636" s="1378">
        <f t="shared" si="3"/>
        <v>139.16666666666666</v>
      </c>
      <c r="ED636" s="1378"/>
      <c r="EE636" s="1378"/>
      <c r="EF636" s="1378"/>
      <c r="EG636" s="1378"/>
      <c r="EH636" s="1378" t="e">
        <f t="shared" si="4"/>
        <v>#VALUE!</v>
      </c>
      <c r="EI636" s="1378"/>
      <c r="EJ636" s="1378"/>
      <c r="EK636" s="1378"/>
      <c r="EL636" s="1378"/>
      <c r="EM636" s="1378" t="e">
        <f t="shared" si="5"/>
        <v>#VALUE!</v>
      </c>
      <c r="EN636" s="1378"/>
      <c r="EO636" s="1378"/>
      <c r="EP636" s="1378"/>
      <c r="EQ636" s="1378"/>
      <c r="ER636" s="1378" t="e">
        <f t="shared" si="6"/>
        <v>#VALUE!</v>
      </c>
      <c r="ES636" s="1378"/>
      <c r="ET636" s="1378"/>
      <c r="EU636" s="1378"/>
      <c r="EV636" s="1378"/>
      <c r="EW636" s="1378" t="e">
        <f t="shared" si="7"/>
        <v>#VALUE!</v>
      </c>
      <c r="EX636" s="1378"/>
      <c r="EY636" s="1378"/>
      <c r="EZ636" s="1378"/>
      <c r="FA636" s="1378"/>
    </row>
    <row r="637" spans="2:157" ht="12.95" customHeight="1">
      <c r="B637" s="52" t="s">
        <v>362</v>
      </c>
      <c r="C637" s="1657"/>
      <c r="D637" s="1657"/>
      <c r="E637" s="1657"/>
      <c r="F637" s="1657"/>
      <c r="G637" s="1657"/>
      <c r="H637" s="1657"/>
      <c r="I637" s="1657"/>
      <c r="J637" s="1657"/>
      <c r="K637" s="1657"/>
      <c r="L637" s="1657"/>
      <c r="M637" s="1655" t="s">
        <v>1185</v>
      </c>
      <c r="N637" s="1655"/>
      <c r="O637" s="1655"/>
      <c r="P637" s="1655"/>
      <c r="Q637" s="1486"/>
      <c r="R637" s="1487"/>
      <c r="S637" s="1488"/>
      <c r="T637" s="1486"/>
      <c r="U637" s="1487"/>
      <c r="V637" s="1488"/>
      <c r="W637" s="1492"/>
      <c r="X637" s="1493"/>
      <c r="Y637" s="1494"/>
      <c r="Z637" s="1468" t="s">
        <v>1185</v>
      </c>
      <c r="AA637" s="1469"/>
      <c r="AB637" s="1470"/>
      <c r="AC637" s="1425"/>
      <c r="AD637" s="1426"/>
      <c r="AE637" s="1427"/>
      <c r="AF637" s="1489"/>
      <c r="AG637" s="1490"/>
      <c r="AH637" s="1490"/>
      <c r="AI637" s="1490"/>
      <c r="AJ637" s="1491"/>
      <c r="AK637" s="1652"/>
      <c r="AL637" s="1653"/>
      <c r="AM637" s="1653"/>
      <c r="AN637" s="1654"/>
      <c r="AO637" s="1467"/>
      <c r="AP637" s="1339"/>
      <c r="AQ637" s="1339"/>
      <c r="AR637" s="1339"/>
      <c r="AS637" s="134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8" t="e">
        <f t="shared" si="2"/>
        <v>#VALUE!</v>
      </c>
      <c r="DY637" s="1378"/>
      <c r="DZ637" s="1378"/>
      <c r="EA637" s="1378"/>
      <c r="EB637" s="1378"/>
      <c r="EC637" s="1378">
        <f t="shared" si="3"/>
        <v>265.71428571428572</v>
      </c>
      <c r="ED637" s="1378"/>
      <c r="EE637" s="1378"/>
      <c r="EF637" s="1378"/>
      <c r="EG637" s="1378"/>
      <c r="EH637" s="1378" t="e">
        <f t="shared" si="4"/>
        <v>#VALUE!</v>
      </c>
      <c r="EI637" s="1378"/>
      <c r="EJ637" s="1378"/>
      <c r="EK637" s="1378"/>
      <c r="EL637" s="1378"/>
      <c r="EM637" s="1378" t="e">
        <f t="shared" si="5"/>
        <v>#VALUE!</v>
      </c>
      <c r="EN637" s="1378"/>
      <c r="EO637" s="1378"/>
      <c r="EP637" s="1378"/>
      <c r="EQ637" s="1378"/>
      <c r="ER637" s="1378" t="e">
        <f t="shared" si="6"/>
        <v>#VALUE!</v>
      </c>
      <c r="ES637" s="1378"/>
      <c r="ET637" s="1378"/>
      <c r="EU637" s="1378"/>
      <c r="EV637" s="1378"/>
      <c r="EW637" s="1378" t="e">
        <f t="shared" si="7"/>
        <v>#VALUE!</v>
      </c>
      <c r="EX637" s="1378"/>
      <c r="EY637" s="1378"/>
      <c r="EZ637" s="1378"/>
      <c r="FA637" s="1378"/>
    </row>
    <row r="638" spans="2:157" ht="12.95" customHeight="1">
      <c r="B638" s="52" t="s">
        <v>363</v>
      </c>
      <c r="C638" s="1657"/>
      <c r="D638" s="1657"/>
      <c r="E638" s="1657"/>
      <c r="F638" s="1657"/>
      <c r="G638" s="1657"/>
      <c r="H638" s="1657"/>
      <c r="I638" s="1657"/>
      <c r="J638" s="1657"/>
      <c r="K638" s="1657"/>
      <c r="L638" s="1657"/>
      <c r="M638" s="1655" t="s">
        <v>1185</v>
      </c>
      <c r="N638" s="1655"/>
      <c r="O638" s="1655"/>
      <c r="P638" s="1655"/>
      <c r="Q638" s="1486"/>
      <c r="R638" s="1487"/>
      <c r="S638" s="1488"/>
      <c r="T638" s="1486"/>
      <c r="U638" s="1487"/>
      <c r="V638" s="1488"/>
      <c r="W638" s="1492"/>
      <c r="X638" s="1493"/>
      <c r="Y638" s="1494"/>
      <c r="Z638" s="1468" t="s">
        <v>1185</v>
      </c>
      <c r="AA638" s="1469"/>
      <c r="AB638" s="1470"/>
      <c r="AC638" s="1425"/>
      <c r="AD638" s="1426"/>
      <c r="AE638" s="1427"/>
      <c r="AF638" s="1489"/>
      <c r="AG638" s="1490"/>
      <c r="AH638" s="1490"/>
      <c r="AI638" s="1490"/>
      <c r="AJ638" s="1491"/>
      <c r="AK638" s="1652"/>
      <c r="AL638" s="1653"/>
      <c r="AM638" s="1653"/>
      <c r="AN638" s="1654"/>
      <c r="AO638" s="1467"/>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8" t="e">
        <f t="shared" si="2"/>
        <v>#VALUE!</v>
      </c>
      <c r="DY638" s="1378"/>
      <c r="DZ638" s="1378"/>
      <c r="EA638" s="1378"/>
      <c r="EB638" s="1378"/>
      <c r="EC638" s="1378" t="e">
        <f t="shared" si="3"/>
        <v>#VALUE!</v>
      </c>
      <c r="ED638" s="1378"/>
      <c r="EE638" s="1378"/>
      <c r="EF638" s="1378"/>
      <c r="EG638" s="1378"/>
      <c r="EH638" s="1378">
        <f t="shared" si="4"/>
        <v>119.57142857142857</v>
      </c>
      <c r="EI638" s="1378"/>
      <c r="EJ638" s="1378"/>
      <c r="EK638" s="1378"/>
      <c r="EL638" s="1378"/>
      <c r="EM638" s="1378" t="e">
        <f t="shared" si="5"/>
        <v>#VALUE!</v>
      </c>
      <c r="EN638" s="1378"/>
      <c r="EO638" s="1378"/>
      <c r="EP638" s="1378"/>
      <c r="EQ638" s="1378"/>
      <c r="ER638" s="1378" t="e">
        <f t="shared" si="6"/>
        <v>#VALUE!</v>
      </c>
      <c r="ES638" s="1378"/>
      <c r="ET638" s="1378"/>
      <c r="EU638" s="1378"/>
      <c r="EV638" s="1378"/>
      <c r="EW638" s="1378" t="e">
        <f t="shared" si="7"/>
        <v>#VALUE!</v>
      </c>
      <c r="EX638" s="1378"/>
      <c r="EY638" s="1378"/>
      <c r="EZ638" s="1378"/>
      <c r="FA638" s="1378"/>
    </row>
    <row r="639" spans="2:157" ht="12.95" customHeight="1">
      <c r="B639" s="1436" t="s">
        <v>128</v>
      </c>
      <c r="C639" s="1437"/>
      <c r="D639" s="1437"/>
      <c r="E639" s="1437"/>
      <c r="F639" s="1437"/>
      <c r="G639" s="1437"/>
      <c r="H639" s="1437"/>
      <c r="I639" s="1437"/>
      <c r="J639" s="1437"/>
      <c r="K639" s="1437"/>
      <c r="L639" s="1437"/>
      <c r="M639" s="1437"/>
      <c r="N639" s="1437"/>
      <c r="O639" s="1437"/>
      <c r="P639" s="1437"/>
      <c r="Q639" s="1437"/>
      <c r="R639" s="1437"/>
      <c r="S639" s="1437"/>
      <c r="T639" s="1437"/>
      <c r="U639" s="1437"/>
      <c r="V639" s="1437"/>
      <c r="W639" s="1437"/>
      <c r="X639" s="1437"/>
      <c r="Y639" s="1437"/>
      <c r="Z639" s="1437"/>
      <c r="AA639" s="1437"/>
      <c r="AB639" s="1437"/>
      <c r="AC639" s="1437"/>
      <c r="AD639" s="1437"/>
      <c r="AE639" s="1437"/>
      <c r="AF639" s="1437"/>
      <c r="AG639" s="1437"/>
      <c r="AH639" s="1437"/>
      <c r="AI639" s="1437"/>
      <c r="AJ639" s="1437"/>
      <c r="AK639" s="1437"/>
      <c r="AL639" s="1437"/>
      <c r="AM639" s="1437"/>
      <c r="AN639" s="1439"/>
      <c r="AO639" s="1464">
        <f>SUM(AO627:AR638)</f>
        <v>32095594</v>
      </c>
      <c r="AP639" s="1465"/>
      <c r="AQ639" s="1465"/>
      <c r="AR639" s="1465"/>
      <c r="AS639" s="146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8" t="e">
        <f t="shared" si="2"/>
        <v>#VALUE!</v>
      </c>
      <c r="DY639" s="1378"/>
      <c r="DZ639" s="1378"/>
      <c r="EA639" s="1378"/>
      <c r="EB639" s="1378"/>
      <c r="EC639" s="1378" t="e">
        <f t="shared" si="3"/>
        <v>#VALUE!</v>
      </c>
      <c r="ED639" s="1378"/>
      <c r="EE639" s="1378"/>
      <c r="EF639" s="1378"/>
      <c r="EG639" s="1378"/>
      <c r="EH639" s="1378">
        <f t="shared" si="4"/>
        <v>140.4</v>
      </c>
      <c r="EI639" s="1378"/>
      <c r="EJ639" s="1378"/>
      <c r="EK639" s="1378"/>
      <c r="EL639" s="1378"/>
      <c r="EM639" s="1378" t="e">
        <f t="shared" si="5"/>
        <v>#VALUE!</v>
      </c>
      <c r="EN639" s="1378"/>
      <c r="EO639" s="1378"/>
      <c r="EP639" s="1378"/>
      <c r="EQ639" s="1378"/>
      <c r="ER639" s="1378" t="e">
        <f t="shared" si="6"/>
        <v>#VALUE!</v>
      </c>
      <c r="ES639" s="1378"/>
      <c r="ET639" s="1378"/>
      <c r="EU639" s="1378"/>
      <c r="EV639" s="1378"/>
      <c r="EW639" s="1378" t="e">
        <f t="shared" si="7"/>
        <v>#VALUE!</v>
      </c>
      <c r="EX639" s="1378"/>
      <c r="EY639" s="1378"/>
      <c r="EZ639" s="1378"/>
      <c r="FA639" s="1378"/>
    </row>
    <row r="640" spans="2:157" ht="12.95" customHeight="1">
      <c r="B640" s="1436" t="s">
        <v>267</v>
      </c>
      <c r="C640" s="1437"/>
      <c r="D640" s="1437"/>
      <c r="E640" s="1437"/>
      <c r="F640" s="1437"/>
      <c r="G640" s="1437"/>
      <c r="H640" s="1437"/>
      <c r="I640" s="1437"/>
      <c r="J640" s="1437"/>
      <c r="K640" s="1437"/>
      <c r="L640" s="1437"/>
      <c r="M640" s="1437"/>
      <c r="N640" s="1437"/>
      <c r="O640" s="1437"/>
      <c r="P640" s="1437"/>
      <c r="Q640" s="1437"/>
      <c r="R640" s="1437"/>
      <c r="S640" s="1437"/>
      <c r="T640" s="1437"/>
      <c r="U640" s="1437"/>
      <c r="V640" s="1437"/>
      <c r="W640" s="1437"/>
      <c r="X640" s="1437"/>
      <c r="Y640" s="1437"/>
      <c r="Z640" s="1437"/>
      <c r="AA640" s="1437"/>
      <c r="AB640" s="1437"/>
      <c r="AC640" s="1437"/>
      <c r="AD640" s="1437"/>
      <c r="AE640" s="1437"/>
      <c r="AF640" s="1437"/>
      <c r="AG640" s="1437"/>
      <c r="AH640" s="1437"/>
      <c r="AI640" s="1437"/>
      <c r="AJ640" s="1437"/>
      <c r="AK640" s="1437"/>
      <c r="AL640" s="1437"/>
      <c r="AM640" s="1437"/>
      <c r="AN640" s="1439"/>
      <c r="AO640" s="1467">
        <f>23404888+17553666</f>
        <v>40958554</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8" t="e">
        <f t="shared" si="2"/>
        <v>#VALUE!</v>
      </c>
      <c r="DY640" s="1378"/>
      <c r="DZ640" s="1378"/>
      <c r="EA640" s="1378"/>
      <c r="EB640" s="1378"/>
      <c r="EC640" s="1378" t="e">
        <f t="shared" si="3"/>
        <v>#VALUE!</v>
      </c>
      <c r="ED640" s="1378"/>
      <c r="EE640" s="1378"/>
      <c r="EF640" s="1378"/>
      <c r="EG640" s="1378"/>
      <c r="EH640" s="1378">
        <f t="shared" si="4"/>
        <v>482</v>
      </c>
      <c r="EI640" s="1378"/>
      <c r="EJ640" s="1378"/>
      <c r="EK640" s="1378"/>
      <c r="EL640" s="1378"/>
      <c r="EM640" s="1378" t="e">
        <f t="shared" si="5"/>
        <v>#VALUE!</v>
      </c>
      <c r="EN640" s="1378"/>
      <c r="EO640" s="1378"/>
      <c r="EP640" s="1378"/>
      <c r="EQ640" s="1378"/>
      <c r="ER640" s="1378" t="e">
        <f t="shared" si="6"/>
        <v>#VALUE!</v>
      </c>
      <c r="ES640" s="1378"/>
      <c r="ET640" s="1378"/>
      <c r="EU640" s="1378"/>
      <c r="EV640" s="1378"/>
      <c r="EW640" s="1378" t="e">
        <f t="shared" si="7"/>
        <v>#VALUE!</v>
      </c>
      <c r="EX640" s="1378"/>
      <c r="EY640" s="1378"/>
      <c r="EZ640" s="1378"/>
      <c r="FA640" s="1378"/>
    </row>
    <row r="641" spans="1:157" ht="12.95" customHeight="1">
      <c r="B641" s="1668" t="s">
        <v>268</v>
      </c>
      <c r="C641" s="1438"/>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c r="AA641" s="1438"/>
      <c r="AB641" s="1438"/>
      <c r="AC641" s="1438"/>
      <c r="AD641" s="1438"/>
      <c r="AE641" s="1438"/>
      <c r="AF641" s="1438"/>
      <c r="AG641" s="1438"/>
      <c r="AH641" s="1438"/>
      <c r="AI641" s="1438"/>
      <c r="AJ641" s="1438"/>
      <c r="AK641" s="1438"/>
      <c r="AL641" s="1438"/>
      <c r="AM641" s="1438"/>
      <c r="AN641" s="1669"/>
      <c r="AO641" s="1464">
        <f>AO639+AO640</f>
        <v>73054148</v>
      </c>
      <c r="AP641" s="1465"/>
      <c r="AQ641" s="1465"/>
      <c r="AR641" s="1465"/>
      <c r="AS641" s="146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8" t="e">
        <f t="shared" si="2"/>
        <v>#VALUE!</v>
      </c>
      <c r="DY641" s="1378"/>
      <c r="DZ641" s="1378"/>
      <c r="EA641" s="1378"/>
      <c r="EB641" s="1378"/>
      <c r="EC641" s="1378" t="e">
        <f t="shared" si="3"/>
        <v>#VALUE!</v>
      </c>
      <c r="ED641" s="1378"/>
      <c r="EE641" s="1378"/>
      <c r="EF641" s="1378"/>
      <c r="EG641" s="1378"/>
      <c r="EH641" s="1378" t="e">
        <f t="shared" si="4"/>
        <v>#VALUE!</v>
      </c>
      <c r="EI641" s="1378"/>
      <c r="EJ641" s="1378"/>
      <c r="EK641" s="1378"/>
      <c r="EL641" s="1378"/>
      <c r="EM641" s="1378">
        <f t="shared" si="5"/>
        <v>99.487179487179489</v>
      </c>
      <c r="EN641" s="1378"/>
      <c r="EO641" s="1378"/>
      <c r="EP641" s="1378"/>
      <c r="EQ641" s="1378"/>
      <c r="ER641" s="1378" t="e">
        <f t="shared" si="6"/>
        <v>#VALUE!</v>
      </c>
      <c r="ES641" s="1378"/>
      <c r="ET641" s="1378"/>
      <c r="EU641" s="1378"/>
      <c r="EV641" s="1378"/>
      <c r="EW641" s="1378" t="e">
        <f t="shared" si="7"/>
        <v>#VALUE!</v>
      </c>
      <c r="EX641" s="1378"/>
      <c r="EY641" s="1378"/>
      <c r="EZ641" s="1378"/>
      <c r="FA641" s="1378"/>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8" t="e">
        <f t="shared" si="2"/>
        <v>#VALUE!</v>
      </c>
      <c r="DY642" s="1378"/>
      <c r="DZ642" s="1378"/>
      <c r="EA642" s="1378"/>
      <c r="EB642" s="1378"/>
      <c r="EC642" s="1378" t="e">
        <f t="shared" si="3"/>
        <v>#VALUE!</v>
      </c>
      <c r="ED642" s="1378"/>
      <c r="EE642" s="1378"/>
      <c r="EF642" s="1378"/>
      <c r="EG642" s="1378"/>
      <c r="EH642" s="1378" t="e">
        <f t="shared" si="4"/>
        <v>#VALUE!</v>
      </c>
      <c r="EI642" s="1378"/>
      <c r="EJ642" s="1378"/>
      <c r="EK642" s="1378"/>
      <c r="EL642" s="1378"/>
      <c r="EM642" s="1378">
        <f t="shared" si="5"/>
        <v>166.56410256410257</v>
      </c>
      <c r="EN642" s="1378"/>
      <c r="EO642" s="1378"/>
      <c r="EP642" s="1378"/>
      <c r="EQ642" s="1378"/>
      <c r="ER642" s="1378" t="e">
        <f t="shared" si="6"/>
        <v>#VALUE!</v>
      </c>
      <c r="ES642" s="1378"/>
      <c r="ET642" s="1378"/>
      <c r="EU642" s="1378"/>
      <c r="EV642" s="1378"/>
      <c r="EW642" s="1378" t="e">
        <f t="shared" si="7"/>
        <v>#VALUE!</v>
      </c>
      <c r="EX642" s="1378"/>
      <c r="EY642" s="1378"/>
      <c r="EZ642" s="1378"/>
      <c r="FA642" s="1378"/>
    </row>
    <row r="643" spans="1:157" ht="12.95" customHeight="1">
      <c r="A643" s="55" t="s">
        <v>112</v>
      </c>
      <c r="B643" t="s">
        <v>464</v>
      </c>
      <c r="G643" s="1471" t="str">
        <f>C627</f>
        <v>Citi Bank Perm Loan</v>
      </c>
      <c r="H643" s="1471"/>
      <c r="I643" s="1471"/>
      <c r="J643" s="1471"/>
      <c r="K643" s="1471"/>
      <c r="L643" s="1471"/>
      <c r="M643" s="1471"/>
      <c r="N643" s="1471"/>
      <c r="O643" s="1471"/>
      <c r="P643" s="1471"/>
      <c r="Q643" s="1471"/>
      <c r="R643" s="1471"/>
      <c r="S643" s="8"/>
      <c r="T643" s="55" t="s">
        <v>113</v>
      </c>
      <c r="U643" t="s">
        <v>464</v>
      </c>
      <c r="Z643" s="1471" t="str">
        <f>C628</f>
        <v>Deferred Developer Fee</v>
      </c>
      <c r="AA643" s="1471"/>
      <c r="AB643" s="1471"/>
      <c r="AC643" s="1471"/>
      <c r="AD643" s="1471"/>
      <c r="AE643" s="1471"/>
      <c r="AF643" s="1471"/>
      <c r="AG643" s="1471"/>
      <c r="AH643" s="1471"/>
      <c r="AI643" s="1471"/>
      <c r="AJ643" s="1471"/>
      <c r="AK643" s="147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8" t="e">
        <f t="shared" si="2"/>
        <v>#VALUE!</v>
      </c>
      <c r="DY643" s="1378"/>
      <c r="DZ643" s="1378"/>
      <c r="EA643" s="1378"/>
      <c r="EB643" s="1378"/>
      <c r="EC643" s="1378" t="e">
        <f t="shared" si="3"/>
        <v>#VALUE!</v>
      </c>
      <c r="ED643" s="1378"/>
      <c r="EE643" s="1378"/>
      <c r="EF643" s="1378"/>
      <c r="EG643" s="1378"/>
      <c r="EH643" s="1378" t="e">
        <f t="shared" si="4"/>
        <v>#VALUE!</v>
      </c>
      <c r="EI643" s="1378"/>
      <c r="EJ643" s="1378"/>
      <c r="EK643" s="1378"/>
      <c r="EL643" s="1378"/>
      <c r="EM643" s="1378">
        <f t="shared" si="5"/>
        <v>500.51282051282044</v>
      </c>
      <c r="EN643" s="1378"/>
      <c r="EO643" s="1378"/>
      <c r="EP643" s="1378"/>
      <c r="EQ643" s="1378"/>
      <c r="ER643" s="1378" t="e">
        <f t="shared" si="6"/>
        <v>#VALUE!</v>
      </c>
      <c r="ES643" s="1378"/>
      <c r="ET643" s="1378"/>
      <c r="EU643" s="1378"/>
      <c r="EV643" s="1378"/>
      <c r="EW643" s="1378" t="e">
        <f t="shared" si="7"/>
        <v>#VALUE!</v>
      </c>
      <c r="EX643" s="1378"/>
      <c r="EY643" s="1378"/>
      <c r="EZ643" s="1378"/>
      <c r="FA643" s="1378"/>
    </row>
    <row r="644" spans="1:157" ht="12.95" customHeight="1">
      <c r="A644" s="22"/>
      <c r="B644" t="s">
        <v>85</v>
      </c>
      <c r="G644" s="1393" t="s">
        <v>2695</v>
      </c>
      <c r="H644" s="1393"/>
      <c r="I644" s="1393"/>
      <c r="J644" s="1393"/>
      <c r="K644" s="1393"/>
      <c r="L644" s="1393"/>
      <c r="M644" s="1393"/>
      <c r="N644" s="1393"/>
      <c r="O644" s="1393"/>
      <c r="P644" s="1393"/>
      <c r="Q644" s="1393"/>
      <c r="R644" s="1393"/>
      <c r="S644" s="8"/>
      <c r="T644" s="22"/>
      <c r="U644" t="s">
        <v>85</v>
      </c>
      <c r="Z644" s="1393" t="s">
        <v>2641</v>
      </c>
      <c r="AA644" s="1393"/>
      <c r="AB644" s="1393"/>
      <c r="AC644" s="1393"/>
      <c r="AD644" s="1393"/>
      <c r="AE644" s="1393"/>
      <c r="AF644" s="1393"/>
      <c r="AG644" s="1393"/>
      <c r="AH644" s="1393"/>
      <c r="AI644" s="1393"/>
      <c r="AJ644" s="1393"/>
      <c r="AK644" s="1393"/>
      <c r="AV644" s="3"/>
      <c r="AW644" s="3"/>
      <c r="AX644" s="3"/>
      <c r="AY644" s="3"/>
      <c r="AZ644" s="3"/>
      <c r="BA644" s="3"/>
      <c r="BB644" s="3"/>
      <c r="BC644" s="3"/>
      <c r="BD644" s="3"/>
      <c r="BE644" s="3"/>
      <c r="BF644" s="3"/>
      <c r="BG644" s="3"/>
      <c r="BH644" s="3"/>
      <c r="BI644" s="3"/>
      <c r="BJ644" s="3"/>
      <c r="BK644" s="3"/>
      <c r="BL644" s="3"/>
      <c r="BM644" s="3"/>
      <c r="DX644" s="1378" t="e">
        <f t="shared" si="2"/>
        <v>#VALUE!</v>
      </c>
      <c r="DY644" s="1378"/>
      <c r="DZ644" s="1378"/>
      <c r="EA644" s="1378"/>
      <c r="EB644" s="1378"/>
      <c r="EC644" s="1378">
        <f t="shared" si="3"/>
        <v>664.28571428571422</v>
      </c>
      <c r="ED644" s="1378"/>
      <c r="EE644" s="1378"/>
      <c r="EF644" s="1378"/>
      <c r="EG644" s="1378"/>
      <c r="EH644" s="1378" t="e">
        <f t="shared" si="4"/>
        <v>#VALUE!</v>
      </c>
      <c r="EI644" s="1378"/>
      <c r="EJ644" s="1378"/>
      <c r="EK644" s="1378"/>
      <c r="EL644" s="1378"/>
      <c r="EM644" s="1378" t="e">
        <f t="shared" si="5"/>
        <v>#VALUE!</v>
      </c>
      <c r="EN644" s="1378"/>
      <c r="EO644" s="1378"/>
      <c r="EP644" s="1378"/>
      <c r="EQ644" s="1378"/>
      <c r="ER644" s="1378" t="e">
        <f t="shared" si="6"/>
        <v>#VALUE!</v>
      </c>
      <c r="ES644" s="1378"/>
      <c r="ET644" s="1378"/>
      <c r="EU644" s="1378"/>
      <c r="EV644" s="1378"/>
      <c r="EW644" s="1378" t="e">
        <f t="shared" si="7"/>
        <v>#VALUE!</v>
      </c>
      <c r="EX644" s="1378"/>
      <c r="EY644" s="1378"/>
      <c r="EZ644" s="1378"/>
      <c r="FA644" s="1378"/>
    </row>
    <row r="645" spans="1:157" ht="12.95" customHeight="1">
      <c r="A645" s="22"/>
      <c r="B645" t="s">
        <v>581</v>
      </c>
      <c r="G645" s="1393" t="s">
        <v>2696</v>
      </c>
      <c r="H645" s="1393"/>
      <c r="I645" s="1393"/>
      <c r="J645" s="1393"/>
      <c r="K645" s="1393"/>
      <c r="L645" s="1393"/>
      <c r="M645" s="1393"/>
      <c r="N645" s="1393"/>
      <c r="O645" s="1393"/>
      <c r="P645" s="1393"/>
      <c r="Q645" s="1393"/>
      <c r="R645" s="1393"/>
      <c r="T645" s="22"/>
      <c r="U645" t="s">
        <v>581</v>
      </c>
      <c r="Z645" s="1415" t="s">
        <v>2642</v>
      </c>
      <c r="AA645" s="1415"/>
      <c r="AB645" s="1415"/>
      <c r="AC645" s="1415"/>
      <c r="AD645" s="1415"/>
      <c r="AE645" s="1415"/>
      <c r="AF645" s="1415"/>
      <c r="AG645" s="1415"/>
      <c r="AH645" s="1415"/>
      <c r="AI645" s="1415"/>
      <c r="AJ645" s="1415"/>
      <c r="AK645" s="1415"/>
      <c r="AV645" s="3"/>
      <c r="AW645" s="3"/>
      <c r="AX645" s="3"/>
      <c r="AY645" s="3"/>
      <c r="AZ645" s="3"/>
      <c r="BA645" s="3"/>
      <c r="BB645" s="3"/>
      <c r="BC645" s="3"/>
      <c r="BD645" s="3"/>
      <c r="BE645" s="3"/>
      <c r="BF645" s="3"/>
      <c r="BG645" s="3"/>
      <c r="BH645" s="3"/>
      <c r="BI645" s="3"/>
      <c r="BJ645" s="3"/>
      <c r="BK645" s="3"/>
      <c r="BL645" s="3"/>
      <c r="BM645" s="3"/>
      <c r="DX645" s="1378" t="e">
        <f t="shared" si="2"/>
        <v>#VALUE!</v>
      </c>
      <c r="DY645" s="1378"/>
      <c r="DZ645" s="1378"/>
      <c r="EA645" s="1378"/>
      <c r="EB645" s="1378"/>
      <c r="EC645" s="1378" t="e">
        <f t="shared" si="3"/>
        <v>#VALUE!</v>
      </c>
      <c r="ED645" s="1378"/>
      <c r="EE645" s="1378"/>
      <c r="EF645" s="1378"/>
      <c r="EG645" s="1378"/>
      <c r="EH645" s="1378">
        <f t="shared" si="4"/>
        <v>803.78571428571422</v>
      </c>
      <c r="EI645" s="1378"/>
      <c r="EJ645" s="1378"/>
      <c r="EK645" s="1378"/>
      <c r="EL645" s="1378"/>
      <c r="EM645" s="1378" t="e">
        <f t="shared" si="5"/>
        <v>#VALUE!</v>
      </c>
      <c r="EN645" s="1378"/>
      <c r="EO645" s="1378"/>
      <c r="EP645" s="1378"/>
      <c r="EQ645" s="1378"/>
      <c r="ER645" s="1378" t="e">
        <f t="shared" si="6"/>
        <v>#VALUE!</v>
      </c>
      <c r="ES645" s="1378"/>
      <c r="ET645" s="1378"/>
      <c r="EU645" s="1378"/>
      <c r="EV645" s="1378"/>
      <c r="EW645" s="1378" t="e">
        <f t="shared" si="7"/>
        <v>#VALUE!</v>
      </c>
      <c r="EX645" s="1378"/>
      <c r="EY645" s="1378"/>
      <c r="EZ645" s="1378"/>
      <c r="FA645" s="1378"/>
    </row>
    <row r="646" spans="1:157" ht="12.95" customHeight="1">
      <c r="A646" s="22"/>
      <c r="B646" t="s">
        <v>17</v>
      </c>
      <c r="G646" s="1393" t="s">
        <v>2697</v>
      </c>
      <c r="H646" s="1393"/>
      <c r="I646" s="1393"/>
      <c r="J646" s="1393"/>
      <c r="K646" s="1393"/>
      <c r="L646" s="1393"/>
      <c r="M646" s="1393"/>
      <c r="N646" s="1393"/>
      <c r="O646" s="1393"/>
      <c r="P646" s="1393"/>
      <c r="Q646" s="1393"/>
      <c r="R646" s="1393"/>
      <c r="S646" s="8"/>
      <c r="T646" s="22"/>
      <c r="U646" t="s">
        <v>17</v>
      </c>
      <c r="Z646" s="1415" t="s">
        <v>2633</v>
      </c>
      <c r="AA646" s="1415"/>
      <c r="AB646" s="1415"/>
      <c r="AC646" s="1415"/>
      <c r="AD646" s="1415"/>
      <c r="AE646" s="1415"/>
      <c r="AF646" s="1415"/>
      <c r="AG646" s="1415"/>
      <c r="AH646" s="1415"/>
      <c r="AI646" s="1415"/>
      <c r="AJ646" s="1415"/>
      <c r="AK646" s="1415"/>
      <c r="AZ646" s="3"/>
      <c r="BA646" s="3"/>
      <c r="BB646" s="3"/>
      <c r="BC646" s="3"/>
      <c r="BD646" s="3"/>
      <c r="BE646" s="3"/>
      <c r="BF646" s="3"/>
      <c r="BG646" s="3"/>
      <c r="BH646" s="3"/>
      <c r="BI646" s="3"/>
      <c r="BJ646" s="3"/>
      <c r="BK646" s="3"/>
      <c r="BL646" s="3"/>
      <c r="BM646" s="3"/>
      <c r="DX646" s="1378" t="e">
        <f t="shared" si="2"/>
        <v>#VALUE!</v>
      </c>
      <c r="DY646" s="1378"/>
      <c r="DZ646" s="1378"/>
      <c r="EA646" s="1378"/>
      <c r="EB646" s="1378"/>
      <c r="EC646" s="1378" t="e">
        <f t="shared" si="3"/>
        <v>#VALUE!</v>
      </c>
      <c r="ED646" s="1378"/>
      <c r="EE646" s="1378"/>
      <c r="EF646" s="1378"/>
      <c r="EG646" s="1378"/>
      <c r="EH646" s="1378" t="e">
        <f t="shared" si="4"/>
        <v>#VALUE!</v>
      </c>
      <c r="EI646" s="1378"/>
      <c r="EJ646" s="1378"/>
      <c r="EK646" s="1378"/>
      <c r="EL646" s="1378"/>
      <c r="EM646" s="1378">
        <f t="shared" si="5"/>
        <v>1130.7692307692307</v>
      </c>
      <c r="EN646" s="1378"/>
      <c r="EO646" s="1378"/>
      <c r="EP646" s="1378"/>
      <c r="EQ646" s="1378"/>
      <c r="ER646" s="1378" t="e">
        <f t="shared" si="6"/>
        <v>#VALUE!</v>
      </c>
      <c r="ES646" s="1378"/>
      <c r="ET646" s="1378"/>
      <c r="EU646" s="1378"/>
      <c r="EV646" s="1378"/>
      <c r="EW646" s="1378" t="e">
        <f t="shared" si="7"/>
        <v>#VALUE!</v>
      </c>
      <c r="EX646" s="1378"/>
      <c r="EY646" s="1378"/>
      <c r="EZ646" s="1378"/>
      <c r="FA646" s="1378"/>
    </row>
    <row r="647" spans="1:157" ht="12.95" customHeight="1">
      <c r="A647" s="22"/>
      <c r="B647" t="s">
        <v>316</v>
      </c>
      <c r="G647" s="1472" t="s">
        <v>2698</v>
      </c>
      <c r="H647" s="1472"/>
      <c r="I647" s="1472"/>
      <c r="J647" s="1472"/>
      <c r="K647" s="1472"/>
      <c r="L647" s="1472"/>
      <c r="O647" s="33" t="s">
        <v>206</v>
      </c>
      <c r="P647" s="1440"/>
      <c r="Q647" s="1440"/>
      <c r="R647" s="1440"/>
      <c r="S647" s="10"/>
      <c r="T647" s="22"/>
      <c r="U647" t="s">
        <v>316</v>
      </c>
      <c r="Z647" s="1472">
        <v>7078229000</v>
      </c>
      <c r="AA647" s="1472"/>
      <c r="AB647" s="1472"/>
      <c r="AC647" s="1472"/>
      <c r="AD647" s="1472"/>
      <c r="AE647" s="1472"/>
      <c r="AH647" s="33" t="s">
        <v>206</v>
      </c>
      <c r="AI647" s="1440"/>
      <c r="AJ647" s="1440"/>
      <c r="AK647" s="1440"/>
      <c r="AZ647" s="34"/>
      <c r="BA647" s="34"/>
      <c r="BB647" s="34"/>
      <c r="BC647" s="34"/>
      <c r="BD647" s="34"/>
      <c r="BE647" s="34"/>
      <c r="BF647" s="34"/>
      <c r="BG647" s="34"/>
      <c r="BH647" s="34"/>
      <c r="BI647" s="34"/>
      <c r="BJ647" s="34"/>
      <c r="BK647" s="34"/>
      <c r="BL647" s="34"/>
      <c r="BM647" s="34"/>
      <c r="DX647" s="1378" t="e">
        <f t="shared" si="2"/>
        <v>#VALUE!</v>
      </c>
      <c r="DY647" s="1378"/>
      <c r="DZ647" s="1378"/>
      <c r="EA647" s="1378"/>
      <c r="EB647" s="1378"/>
      <c r="EC647" s="1378" t="e">
        <f t="shared" si="3"/>
        <v>#VALUE!</v>
      </c>
      <c r="ED647" s="1378"/>
      <c r="EE647" s="1378"/>
      <c r="EF647" s="1378"/>
      <c r="EG647" s="1378"/>
      <c r="EH647" s="1378" t="e">
        <f t="shared" si="4"/>
        <v>#VALUE!</v>
      </c>
      <c r="EI647" s="1378"/>
      <c r="EJ647" s="1378"/>
      <c r="EK647" s="1378"/>
      <c r="EL647" s="1378"/>
      <c r="EM647" s="1378" t="e">
        <f t="shared" si="5"/>
        <v>#VALUE!</v>
      </c>
      <c r="EN647" s="1378"/>
      <c r="EO647" s="1378"/>
      <c r="EP647" s="1378"/>
      <c r="EQ647" s="1378"/>
      <c r="ER647" s="1378" t="e">
        <f t="shared" si="6"/>
        <v>#VALUE!</v>
      </c>
      <c r="ES647" s="1378"/>
      <c r="ET647" s="1378"/>
      <c r="EU647" s="1378"/>
      <c r="EV647" s="1378"/>
      <c r="EW647" s="1378" t="e">
        <f t="shared" si="7"/>
        <v>#VALUE!</v>
      </c>
      <c r="EX647" s="1378"/>
      <c r="EY647" s="1378"/>
      <c r="EZ647" s="1378"/>
      <c r="FA647" s="1378"/>
    </row>
    <row r="648" spans="1:157" ht="12.95" customHeight="1">
      <c r="A648" s="22"/>
      <c r="B648" t="s">
        <v>18</v>
      </c>
      <c r="H648" s="1393" t="s">
        <v>2705</v>
      </c>
      <c r="I648" s="1393"/>
      <c r="J648" s="1393"/>
      <c r="K648" s="1393"/>
      <c r="L648" s="1393"/>
      <c r="M648" s="1393"/>
      <c r="N648" s="1393"/>
      <c r="O648" s="1393"/>
      <c r="P648" s="1393"/>
      <c r="Q648" s="1393"/>
      <c r="R648" s="1393"/>
      <c r="S648" s="8"/>
      <c r="T648" s="22"/>
      <c r="U648" t="s">
        <v>18</v>
      </c>
      <c r="AA648" s="1393" t="s">
        <v>2321</v>
      </c>
      <c r="AB648" s="1393"/>
      <c r="AC648" s="1393"/>
      <c r="AD648" s="1393"/>
      <c r="AE648" s="1393"/>
      <c r="AF648" s="1393"/>
      <c r="AG648" s="1393"/>
      <c r="AH648" s="1393"/>
      <c r="AI648" s="1393"/>
      <c r="AJ648" s="1393"/>
      <c r="AK648" s="1393"/>
      <c r="AZ648" s="34"/>
      <c r="BA648" s="34"/>
      <c r="BB648" s="34"/>
      <c r="BC648" s="34"/>
      <c r="BD648" s="34"/>
      <c r="BE648" s="34"/>
      <c r="BF648" s="34"/>
      <c r="BG648" s="34"/>
      <c r="BH648" s="34"/>
      <c r="BI648" s="34"/>
      <c r="BJ648" s="34"/>
      <c r="BK648" s="34"/>
      <c r="BL648" s="34"/>
      <c r="BM648" s="34"/>
      <c r="DX648" s="1378" t="e">
        <f t="shared" si="2"/>
        <v>#VALUE!</v>
      </c>
      <c r="DY648" s="1378"/>
      <c r="DZ648" s="1378"/>
      <c r="EA648" s="1378"/>
      <c r="EB648" s="1378"/>
      <c r="EC648" s="1378" t="e">
        <f t="shared" si="3"/>
        <v>#VALUE!</v>
      </c>
      <c r="ED648" s="1378"/>
      <c r="EE648" s="1378"/>
      <c r="EF648" s="1378"/>
      <c r="EG648" s="1378"/>
      <c r="EH648" s="1378" t="e">
        <f t="shared" si="4"/>
        <v>#VALUE!</v>
      </c>
      <c r="EI648" s="1378"/>
      <c r="EJ648" s="1378"/>
      <c r="EK648" s="1378"/>
      <c r="EL648" s="1378"/>
      <c r="EM648" s="1378" t="e">
        <f t="shared" si="5"/>
        <v>#VALUE!</v>
      </c>
      <c r="EN648" s="1378"/>
      <c r="EO648" s="1378"/>
      <c r="EP648" s="1378"/>
      <c r="EQ648" s="1378"/>
      <c r="ER648" s="1378" t="e">
        <f t="shared" si="6"/>
        <v>#VALUE!</v>
      </c>
      <c r="ES648" s="1378"/>
      <c r="ET648" s="1378"/>
      <c r="EU648" s="1378"/>
      <c r="EV648" s="1378"/>
      <c r="EW648" s="1378" t="e">
        <f t="shared" si="7"/>
        <v>#VALUE!</v>
      </c>
      <c r="EX648" s="1378"/>
      <c r="EY648" s="1378"/>
      <c r="EZ648" s="1378"/>
      <c r="FA648" s="1378"/>
    </row>
    <row r="649" spans="1:157" ht="12.95" customHeight="1">
      <c r="A649" s="22"/>
      <c r="B649" t="s">
        <v>20</v>
      </c>
      <c r="N649" s="1379" t="s">
        <v>546</v>
      </c>
      <c r="O649" s="1379"/>
      <c r="T649" s="22"/>
      <c r="U649" t="s">
        <v>20</v>
      </c>
      <c r="AG649" s="1379" t="s">
        <v>546</v>
      </c>
      <c r="AH649" s="1379"/>
      <c r="AZ649" s="34"/>
      <c r="BA649" s="34"/>
      <c r="BB649" s="34"/>
      <c r="BC649" s="34"/>
      <c r="BD649" s="34"/>
      <c r="BE649" s="34"/>
      <c r="BF649" s="34"/>
      <c r="BG649" s="34"/>
      <c r="BH649" s="34"/>
      <c r="BI649" s="34"/>
      <c r="BJ649" s="34"/>
      <c r="BK649" s="34"/>
      <c r="BL649" s="34"/>
      <c r="BM649" s="34"/>
      <c r="DX649" s="1378" t="e">
        <f t="shared" si="2"/>
        <v>#VALUE!</v>
      </c>
      <c r="DY649" s="1378"/>
      <c r="DZ649" s="1378"/>
      <c r="EA649" s="1378"/>
      <c r="EB649" s="1378"/>
      <c r="EC649" s="1378" t="e">
        <f t="shared" si="3"/>
        <v>#VALUE!</v>
      </c>
      <c r="ED649" s="1378"/>
      <c r="EE649" s="1378"/>
      <c r="EF649" s="1378"/>
      <c r="EG649" s="1378"/>
      <c r="EH649" s="1378" t="e">
        <f t="shared" si="4"/>
        <v>#VALUE!</v>
      </c>
      <c r="EI649" s="1378"/>
      <c r="EJ649" s="1378"/>
      <c r="EK649" s="1378"/>
      <c r="EL649" s="1378"/>
      <c r="EM649" s="1378" t="e">
        <f t="shared" si="5"/>
        <v>#VALUE!</v>
      </c>
      <c r="EN649" s="1378"/>
      <c r="EO649" s="1378"/>
      <c r="EP649" s="1378"/>
      <c r="EQ649" s="1378"/>
      <c r="ER649" s="1378" t="e">
        <f t="shared" si="6"/>
        <v>#VALUE!</v>
      </c>
      <c r="ES649" s="1378"/>
      <c r="ET649" s="1378"/>
      <c r="EU649" s="1378"/>
      <c r="EV649" s="1378"/>
      <c r="EW649" s="1378" t="e">
        <f t="shared" si="7"/>
        <v>#VALUE!</v>
      </c>
      <c r="EX649" s="1378"/>
      <c r="EY649" s="1378"/>
      <c r="EZ649" s="1378"/>
      <c r="FA649" s="1378"/>
    </row>
    <row r="650" spans="1:157" ht="12.95" customHeight="1">
      <c r="A650" s="22"/>
      <c r="T650" s="22"/>
      <c r="AZ650" s="34"/>
      <c r="BA650" s="34"/>
      <c r="BB650" s="34"/>
      <c r="BC650" s="34"/>
      <c r="BD650" s="34"/>
      <c r="BE650" s="34"/>
      <c r="BF650" s="34"/>
      <c r="BG650" s="34"/>
      <c r="BH650" s="34"/>
      <c r="BI650" s="34"/>
      <c r="BJ650" s="34"/>
      <c r="BK650" s="34"/>
      <c r="BL650" s="34"/>
      <c r="BM650" s="34"/>
      <c r="DX650" s="1378" t="e">
        <f t="shared" si="2"/>
        <v>#VALUE!</v>
      </c>
      <c r="DY650" s="1378"/>
      <c r="DZ650" s="1378"/>
      <c r="EA650" s="1378"/>
      <c r="EB650" s="1378"/>
      <c r="EC650" s="1378" t="e">
        <f t="shared" si="3"/>
        <v>#VALUE!</v>
      </c>
      <c r="ED650" s="1378"/>
      <c r="EE650" s="1378"/>
      <c r="EF650" s="1378"/>
      <c r="EG650" s="1378"/>
      <c r="EH650" s="1378" t="e">
        <f t="shared" si="4"/>
        <v>#VALUE!</v>
      </c>
      <c r="EI650" s="1378"/>
      <c r="EJ650" s="1378"/>
      <c r="EK650" s="1378"/>
      <c r="EL650" s="1378"/>
      <c r="EM650" s="1378" t="e">
        <f t="shared" si="5"/>
        <v>#VALUE!</v>
      </c>
      <c r="EN650" s="1378"/>
      <c r="EO650" s="1378"/>
      <c r="EP650" s="1378"/>
      <c r="EQ650" s="1378"/>
      <c r="ER650" s="1378" t="e">
        <f t="shared" si="6"/>
        <v>#VALUE!</v>
      </c>
      <c r="ES650" s="1378"/>
      <c r="ET650" s="1378"/>
      <c r="EU650" s="1378"/>
      <c r="EV650" s="1378"/>
      <c r="EW650" s="1378" t="e">
        <f t="shared" si="7"/>
        <v>#VALUE!</v>
      </c>
      <c r="EX650" s="1378"/>
      <c r="EY650" s="1378"/>
      <c r="EZ650" s="1378"/>
      <c r="FA650" s="1378"/>
    </row>
    <row r="651" spans="1:157" ht="12.95" customHeight="1">
      <c r="A651" s="55" t="s">
        <v>119</v>
      </c>
      <c r="B651" t="s">
        <v>464</v>
      </c>
      <c r="G651" s="1471" t="str">
        <f>C629</f>
        <v>DSS Funding</v>
      </c>
      <c r="H651" s="1471"/>
      <c r="I651" s="1471"/>
      <c r="J651" s="1471"/>
      <c r="K651" s="1471"/>
      <c r="L651" s="1471"/>
      <c r="M651" s="1471"/>
      <c r="N651" s="1471"/>
      <c r="O651" s="1471"/>
      <c r="P651" s="1471"/>
      <c r="Q651" s="1471"/>
      <c r="R651" s="1471"/>
      <c r="T651" s="55" t="s">
        <v>582</v>
      </c>
      <c r="U651" t="s">
        <v>464</v>
      </c>
      <c r="Z651" s="1471">
        <f>C630</f>
        <v>0</v>
      </c>
      <c r="AA651" s="1471"/>
      <c r="AB651" s="1471"/>
      <c r="AC651" s="1471"/>
      <c r="AD651" s="1471"/>
      <c r="AE651" s="1471"/>
      <c r="AF651" s="1471"/>
      <c r="AG651" s="1471"/>
      <c r="AH651" s="1471"/>
      <c r="AI651" s="1471"/>
      <c r="AJ651" s="1471"/>
      <c r="AK651" s="1471"/>
      <c r="AZ651" s="34"/>
      <c r="BA651" s="34"/>
      <c r="BB651" s="34"/>
      <c r="BC651" s="34"/>
      <c r="BD651" s="34"/>
      <c r="BE651" s="34"/>
      <c r="BF651" s="34"/>
      <c r="BG651" s="34"/>
      <c r="BH651" s="34"/>
      <c r="BI651" s="34"/>
      <c r="BJ651" s="34"/>
      <c r="BK651" s="34"/>
      <c r="BL651" s="34"/>
      <c r="BM651" s="34"/>
      <c r="DX651" s="1378" t="e">
        <f t="shared" si="2"/>
        <v>#VALUE!</v>
      </c>
      <c r="DY651" s="1378"/>
      <c r="DZ651" s="1378"/>
      <c r="EA651" s="1378"/>
      <c r="EB651" s="1378"/>
      <c r="EC651" s="1378" t="e">
        <f t="shared" si="3"/>
        <v>#VALUE!</v>
      </c>
      <c r="ED651" s="1378"/>
      <c r="EE651" s="1378"/>
      <c r="EF651" s="1378"/>
      <c r="EG651" s="1378"/>
      <c r="EH651" s="1378" t="e">
        <f t="shared" si="4"/>
        <v>#VALUE!</v>
      </c>
      <c r="EI651" s="1378"/>
      <c r="EJ651" s="1378"/>
      <c r="EK651" s="1378"/>
      <c r="EL651" s="1378"/>
      <c r="EM651" s="1378" t="e">
        <f t="shared" si="5"/>
        <v>#VALUE!</v>
      </c>
      <c r="EN651" s="1378"/>
      <c r="EO651" s="1378"/>
      <c r="EP651" s="1378"/>
      <c r="EQ651" s="1378"/>
      <c r="ER651" s="1378" t="e">
        <f t="shared" si="6"/>
        <v>#VALUE!</v>
      </c>
      <c r="ES651" s="1378"/>
      <c r="ET651" s="1378"/>
      <c r="EU651" s="1378"/>
      <c r="EV651" s="1378"/>
      <c r="EW651" s="1378" t="e">
        <f t="shared" si="7"/>
        <v>#VALUE!</v>
      </c>
      <c r="EX651" s="1378"/>
      <c r="EY651" s="1378"/>
      <c r="EZ651" s="1378"/>
      <c r="FA651" s="1378"/>
    </row>
    <row r="652" spans="1:157" ht="12.95" customHeight="1">
      <c r="A652" s="22"/>
      <c r="B652" t="s">
        <v>85</v>
      </c>
      <c r="G652" s="1393" t="s">
        <v>2706</v>
      </c>
      <c r="H652" s="1393"/>
      <c r="I652" s="1393"/>
      <c r="J652" s="1393"/>
      <c r="K652" s="1393"/>
      <c r="L652" s="1393"/>
      <c r="M652" s="1393"/>
      <c r="N652" s="1393"/>
      <c r="O652" s="1393"/>
      <c r="P652" s="1393"/>
      <c r="Q652" s="1393"/>
      <c r="R652" s="1393"/>
      <c r="T652" s="22"/>
      <c r="U652" t="s">
        <v>85</v>
      </c>
      <c r="Z652" s="1415"/>
      <c r="AA652" s="1415"/>
      <c r="AB652" s="1415"/>
      <c r="AC652" s="1415"/>
      <c r="AD652" s="1415"/>
      <c r="AE652" s="1415"/>
      <c r="AF652" s="1415"/>
      <c r="AG652" s="1415"/>
      <c r="AH652" s="1415"/>
      <c r="AI652" s="1415"/>
      <c r="AJ652" s="1415"/>
      <c r="AK652" s="1415"/>
      <c r="AZ652" s="34"/>
      <c r="BA652" s="34"/>
      <c r="BB652" s="34"/>
      <c r="BC652" s="34"/>
      <c r="BD652" s="34"/>
      <c r="BE652" s="34"/>
      <c r="BF652" s="34"/>
      <c r="BG652" s="34"/>
      <c r="BH652" s="34"/>
      <c r="BI652" s="34"/>
      <c r="BJ652" s="34"/>
      <c r="BK652" s="34"/>
      <c r="BL652" s="34"/>
      <c r="BM652" s="34"/>
      <c r="DX652" s="1378" t="e">
        <f t="shared" si="2"/>
        <v>#VALUE!</v>
      </c>
      <c r="DY652" s="1378"/>
      <c r="DZ652" s="1378"/>
      <c r="EA652" s="1378"/>
      <c r="EB652" s="1378"/>
      <c r="EC652" s="1378" t="e">
        <f t="shared" si="3"/>
        <v>#VALUE!</v>
      </c>
      <c r="ED652" s="1378"/>
      <c r="EE652" s="1378"/>
      <c r="EF652" s="1378"/>
      <c r="EG652" s="1378"/>
      <c r="EH652" s="1378" t="e">
        <f t="shared" si="4"/>
        <v>#VALUE!</v>
      </c>
      <c r="EI652" s="1378"/>
      <c r="EJ652" s="1378"/>
      <c r="EK652" s="1378"/>
      <c r="EL652" s="1378"/>
      <c r="EM652" s="1378" t="e">
        <f t="shared" si="5"/>
        <v>#VALUE!</v>
      </c>
      <c r="EN652" s="1378"/>
      <c r="EO652" s="1378"/>
      <c r="EP652" s="1378"/>
      <c r="EQ652" s="1378"/>
      <c r="ER652" s="1378" t="e">
        <f t="shared" si="6"/>
        <v>#VALUE!</v>
      </c>
      <c r="ES652" s="1378"/>
      <c r="ET652" s="1378"/>
      <c r="EU652" s="1378"/>
      <c r="EV652" s="1378"/>
      <c r="EW652" s="1378" t="e">
        <f t="shared" si="7"/>
        <v>#VALUE!</v>
      </c>
      <c r="EX652" s="1378"/>
      <c r="EY652" s="1378"/>
      <c r="EZ652" s="1378"/>
      <c r="FA652" s="1378"/>
    </row>
    <row r="653" spans="1:157" ht="12.95" customHeight="1">
      <c r="A653" s="22"/>
      <c r="B653" t="s">
        <v>581</v>
      </c>
      <c r="G653" s="1415" t="s">
        <v>2707</v>
      </c>
      <c r="H653" s="1415"/>
      <c r="I653" s="1415"/>
      <c r="J653" s="1415"/>
      <c r="K653" s="1415"/>
      <c r="L653" s="1415"/>
      <c r="M653" s="1415"/>
      <c r="N653" s="1415"/>
      <c r="O653" s="1415"/>
      <c r="P653" s="1415"/>
      <c r="Q653" s="1415"/>
      <c r="R653" s="1415"/>
      <c r="T653" s="22"/>
      <c r="U653" t="s">
        <v>581</v>
      </c>
      <c r="Z653" s="1415"/>
      <c r="AA653" s="1415"/>
      <c r="AB653" s="1415"/>
      <c r="AC653" s="1415"/>
      <c r="AD653" s="1415"/>
      <c r="AE653" s="1415"/>
      <c r="AF653" s="1415"/>
      <c r="AG653" s="1415"/>
      <c r="AH653" s="1415"/>
      <c r="AI653" s="1415"/>
      <c r="AJ653" s="1415"/>
      <c r="AK653" s="1415"/>
      <c r="AZ653" s="34"/>
      <c r="BA653" s="34"/>
      <c r="BB653" s="34"/>
      <c r="BC653" s="34"/>
      <c r="BD653" s="34"/>
      <c r="BE653" s="34"/>
      <c r="BF653" s="34"/>
      <c r="BG653" s="34"/>
      <c r="BH653" s="34"/>
      <c r="BI653" s="34"/>
      <c r="BJ653" s="34"/>
      <c r="BK653" s="34"/>
      <c r="BL653" s="34"/>
      <c r="BM653" s="34"/>
      <c r="DX653" s="1378" t="e">
        <f t="shared" si="2"/>
        <v>#VALUE!</v>
      </c>
      <c r="DY653" s="1378"/>
      <c r="DZ653" s="1378"/>
      <c r="EA653" s="1378"/>
      <c r="EB653" s="1378"/>
      <c r="EC653" s="1378" t="e">
        <f t="shared" si="3"/>
        <v>#VALUE!</v>
      </c>
      <c r="ED653" s="1378"/>
      <c r="EE653" s="1378"/>
      <c r="EF653" s="1378"/>
      <c r="EG653" s="1378"/>
      <c r="EH653" s="1378" t="e">
        <f t="shared" si="4"/>
        <v>#VALUE!</v>
      </c>
      <c r="EI653" s="1378"/>
      <c r="EJ653" s="1378"/>
      <c r="EK653" s="1378"/>
      <c r="EL653" s="1378"/>
      <c r="EM653" s="1378" t="e">
        <f t="shared" si="5"/>
        <v>#VALUE!</v>
      </c>
      <c r="EN653" s="1378"/>
      <c r="EO653" s="1378"/>
      <c r="EP653" s="1378"/>
      <c r="EQ653" s="1378"/>
      <c r="ER653" s="1378" t="e">
        <f t="shared" si="6"/>
        <v>#VALUE!</v>
      </c>
      <c r="ES653" s="1378"/>
      <c r="ET653" s="1378"/>
      <c r="EU653" s="1378"/>
      <c r="EV653" s="1378"/>
      <c r="EW653" s="1378" t="e">
        <f t="shared" si="7"/>
        <v>#VALUE!</v>
      </c>
      <c r="EX653" s="1378"/>
      <c r="EY653" s="1378"/>
      <c r="EZ653" s="1378"/>
      <c r="FA653" s="1378"/>
    </row>
    <row r="654" spans="1:157" ht="12.95" customHeight="1">
      <c r="A654" s="22"/>
      <c r="B654" t="s">
        <v>17</v>
      </c>
      <c r="G654" s="1415" t="s">
        <v>2708</v>
      </c>
      <c r="H654" s="1415"/>
      <c r="I654" s="1415"/>
      <c r="J654" s="1415"/>
      <c r="K654" s="1415"/>
      <c r="L654" s="1415"/>
      <c r="M654" s="1415"/>
      <c r="N654" s="1415"/>
      <c r="O654" s="1415"/>
      <c r="P654" s="1415"/>
      <c r="Q654" s="1415"/>
      <c r="R654" s="1415"/>
      <c r="T654" s="22"/>
      <c r="U654" t="s">
        <v>17</v>
      </c>
      <c r="Z654" s="1415"/>
      <c r="AA654" s="1415"/>
      <c r="AB654" s="1415"/>
      <c r="AC654" s="1415"/>
      <c r="AD654" s="1415"/>
      <c r="AE654" s="1415"/>
      <c r="AF654" s="1415"/>
      <c r="AG654" s="1415"/>
      <c r="AH654" s="1415"/>
      <c r="AI654" s="1415"/>
      <c r="AJ654" s="1415"/>
      <c r="AK654" s="1415"/>
      <c r="AZ654" s="34"/>
      <c r="BA654" s="34"/>
      <c r="BB654" s="34"/>
      <c r="BC654" s="34"/>
      <c r="BD654" s="34"/>
      <c r="BE654" s="34"/>
      <c r="BF654" s="34"/>
      <c r="BG654" s="34"/>
      <c r="BH654" s="34"/>
      <c r="BI654" s="34"/>
      <c r="BJ654" s="34"/>
      <c r="BK654" s="34"/>
      <c r="BL654" s="34"/>
      <c r="BM654" s="34"/>
      <c r="DX654" s="1378" t="e">
        <f t="shared" si="2"/>
        <v>#VALUE!</v>
      </c>
      <c r="DY654" s="1378"/>
      <c r="DZ654" s="1378"/>
      <c r="EA654" s="1378"/>
      <c r="EB654" s="1378"/>
      <c r="EC654" s="1378" t="e">
        <f t="shared" si="3"/>
        <v>#VALUE!</v>
      </c>
      <c r="ED654" s="1378"/>
      <c r="EE654" s="1378"/>
      <c r="EF654" s="1378"/>
      <c r="EG654" s="1378"/>
      <c r="EH654" s="1378" t="e">
        <f t="shared" si="4"/>
        <v>#VALUE!</v>
      </c>
      <c r="EI654" s="1378"/>
      <c r="EJ654" s="1378"/>
      <c r="EK654" s="1378"/>
      <c r="EL654" s="1378"/>
      <c r="EM654" s="1378" t="e">
        <f t="shared" si="5"/>
        <v>#VALUE!</v>
      </c>
      <c r="EN654" s="1378"/>
      <c r="EO654" s="1378"/>
      <c r="EP654" s="1378"/>
      <c r="EQ654" s="1378"/>
      <c r="ER654" s="1378" t="e">
        <f t="shared" si="6"/>
        <v>#VALUE!</v>
      </c>
      <c r="ES654" s="1378"/>
      <c r="ET654" s="1378"/>
      <c r="EU654" s="1378"/>
      <c r="EV654" s="1378"/>
      <c r="EW654" s="1378" t="e">
        <f t="shared" si="7"/>
        <v>#VALUE!</v>
      </c>
      <c r="EX654" s="1378"/>
      <c r="EY654" s="1378"/>
      <c r="EZ654" s="1378"/>
      <c r="FA654" s="1378"/>
    </row>
    <row r="655" spans="1:157" ht="12.95" customHeight="1">
      <c r="A655" s="22"/>
      <c r="B655" t="s">
        <v>316</v>
      </c>
      <c r="G655" s="1472">
        <v>9166542292</v>
      </c>
      <c r="H655" s="1472"/>
      <c r="I655" s="1472"/>
      <c r="J655" s="1472"/>
      <c r="K655" s="1472"/>
      <c r="L655" s="1472"/>
      <c r="O655" s="33" t="s">
        <v>206</v>
      </c>
      <c r="P655" s="1440"/>
      <c r="Q655" s="1440"/>
      <c r="R655" s="1440"/>
      <c r="T655" s="22"/>
      <c r="U655" t="s">
        <v>316</v>
      </c>
      <c r="Z655" s="1472"/>
      <c r="AA655" s="1472"/>
      <c r="AB655" s="1472"/>
      <c r="AC655" s="1472"/>
      <c r="AD655" s="1472"/>
      <c r="AE655" s="1472"/>
      <c r="AH655" s="33" t="s">
        <v>206</v>
      </c>
      <c r="AI655" s="1440"/>
      <c r="AJ655" s="1440"/>
      <c r="AK655" s="1440"/>
      <c r="AZ655" s="34"/>
      <c r="BA655" s="34"/>
      <c r="BB655" s="34"/>
      <c r="BC655" s="34"/>
      <c r="BD655" s="34"/>
      <c r="BE655" s="34"/>
      <c r="BF655" s="34"/>
      <c r="BG655" s="34"/>
      <c r="BH655" s="34"/>
      <c r="BI655" s="34"/>
      <c r="BJ655" s="34"/>
      <c r="BK655" s="34"/>
      <c r="BL655" s="34"/>
      <c r="BM655" s="34"/>
      <c r="DX655" s="1378" t="e">
        <f t="shared" si="2"/>
        <v>#VALUE!</v>
      </c>
      <c r="DY655" s="1378"/>
      <c r="DZ655" s="1378"/>
      <c r="EA655" s="1378"/>
      <c r="EB655" s="1378"/>
      <c r="EC655" s="1378" t="e">
        <f t="shared" si="3"/>
        <v>#VALUE!</v>
      </c>
      <c r="ED655" s="1378"/>
      <c r="EE655" s="1378"/>
      <c r="EF655" s="1378"/>
      <c r="EG655" s="1378"/>
      <c r="EH655" s="1378" t="e">
        <f t="shared" si="4"/>
        <v>#VALUE!</v>
      </c>
      <c r="EI655" s="1378"/>
      <c r="EJ655" s="1378"/>
      <c r="EK655" s="1378"/>
      <c r="EL655" s="1378"/>
      <c r="EM655" s="1378" t="e">
        <f t="shared" si="5"/>
        <v>#VALUE!</v>
      </c>
      <c r="EN655" s="1378"/>
      <c r="EO655" s="1378"/>
      <c r="EP655" s="1378"/>
      <c r="EQ655" s="1378"/>
      <c r="ER655" s="1378" t="e">
        <f t="shared" si="6"/>
        <v>#VALUE!</v>
      </c>
      <c r="ES655" s="1378"/>
      <c r="ET655" s="1378"/>
      <c r="EU655" s="1378"/>
      <c r="EV655" s="1378"/>
      <c r="EW655" s="1378" t="e">
        <f t="shared" si="7"/>
        <v>#VALUE!</v>
      </c>
      <c r="EX655" s="1378"/>
      <c r="EY655" s="1378"/>
      <c r="EZ655" s="1378"/>
      <c r="FA655" s="1378"/>
    </row>
    <row r="656" spans="1:157" ht="12.95" customHeight="1">
      <c r="A656" s="22"/>
      <c r="B656" t="s">
        <v>18</v>
      </c>
      <c r="H656" s="1393" t="s">
        <v>2709</v>
      </c>
      <c r="I656" s="1393"/>
      <c r="J656" s="1393"/>
      <c r="K656" s="1393"/>
      <c r="L656" s="1393"/>
      <c r="M656" s="1393"/>
      <c r="N656" s="1393"/>
      <c r="O656" s="1393"/>
      <c r="P656" s="1393"/>
      <c r="Q656" s="1393"/>
      <c r="R656" s="1393"/>
      <c r="T656" s="22"/>
      <c r="U656" t="s">
        <v>18</v>
      </c>
      <c r="AA656" s="1393"/>
      <c r="AB656" s="1393"/>
      <c r="AC656" s="1393"/>
      <c r="AD656" s="1393"/>
      <c r="AE656" s="1393"/>
      <c r="AF656" s="1393"/>
      <c r="AG656" s="1393"/>
      <c r="AH656" s="1393"/>
      <c r="AI656" s="1393"/>
      <c r="AJ656" s="1393"/>
      <c r="AK656" s="1393"/>
      <c r="AZ656" s="34"/>
      <c r="BA656" s="34"/>
      <c r="BB656" s="34"/>
      <c r="BC656" s="34"/>
      <c r="BD656" s="34"/>
      <c r="BE656" s="34"/>
      <c r="BF656" s="34"/>
      <c r="BG656" s="34"/>
      <c r="BH656" s="34"/>
      <c r="BI656" s="34"/>
      <c r="BJ656" s="34"/>
      <c r="BK656" s="34"/>
      <c r="BL656" s="34"/>
      <c r="BM656" s="34"/>
      <c r="DX656" s="1378" t="e">
        <f t="shared" si="2"/>
        <v>#VALUE!</v>
      </c>
      <c r="DY656" s="1378"/>
      <c r="DZ656" s="1378"/>
      <c r="EA656" s="1378"/>
      <c r="EB656" s="1378"/>
      <c r="EC656" s="1378" t="e">
        <f t="shared" si="3"/>
        <v>#VALUE!</v>
      </c>
      <c r="ED656" s="1378"/>
      <c r="EE656" s="1378"/>
      <c r="EF656" s="1378"/>
      <c r="EG656" s="1378"/>
      <c r="EH656" s="1378" t="e">
        <f t="shared" si="4"/>
        <v>#VALUE!</v>
      </c>
      <c r="EI656" s="1378"/>
      <c r="EJ656" s="1378"/>
      <c r="EK656" s="1378"/>
      <c r="EL656" s="1378"/>
      <c r="EM656" s="1378" t="e">
        <f t="shared" si="5"/>
        <v>#VALUE!</v>
      </c>
      <c r="EN656" s="1378"/>
      <c r="EO656" s="1378"/>
      <c r="EP656" s="1378"/>
      <c r="EQ656" s="1378"/>
      <c r="ER656" s="1378" t="e">
        <f t="shared" si="6"/>
        <v>#VALUE!</v>
      </c>
      <c r="ES656" s="1378"/>
      <c r="ET656" s="1378"/>
      <c r="EU656" s="1378"/>
      <c r="EV656" s="1378"/>
      <c r="EW656" s="1378" t="e">
        <f t="shared" si="7"/>
        <v>#VALUE!</v>
      </c>
      <c r="EX656" s="1378"/>
      <c r="EY656" s="1378"/>
      <c r="EZ656" s="1378"/>
      <c r="FA656" s="1378"/>
    </row>
    <row r="657" spans="1:157" ht="12.95" customHeight="1">
      <c r="A657" s="22"/>
      <c r="B657" t="s">
        <v>20</v>
      </c>
      <c r="N657" s="1379" t="s">
        <v>546</v>
      </c>
      <c r="O657" s="1379"/>
      <c r="T657" s="22"/>
      <c r="U657" t="s">
        <v>20</v>
      </c>
      <c r="AG657" s="1379"/>
      <c r="AH657" s="1379"/>
      <c r="AZ657" s="34"/>
      <c r="BA657" s="34"/>
      <c r="BB657" s="34"/>
      <c r="BC657" s="34"/>
      <c r="BD657" s="34"/>
      <c r="BE657" s="34"/>
      <c r="BF657" s="34"/>
      <c r="BG657" s="34"/>
      <c r="BH657" s="34"/>
      <c r="BI657" s="34"/>
      <c r="BJ657" s="34"/>
      <c r="BK657" s="34"/>
      <c r="BL657" s="34"/>
      <c r="BM657" s="34"/>
      <c r="DX657" s="1378" t="e">
        <f t="shared" si="2"/>
        <v>#VALUE!</v>
      </c>
      <c r="DY657" s="1378"/>
      <c r="DZ657" s="1378"/>
      <c r="EA657" s="1378"/>
      <c r="EB657" s="1378"/>
      <c r="EC657" s="1378" t="e">
        <f t="shared" si="3"/>
        <v>#VALUE!</v>
      </c>
      <c r="ED657" s="1378"/>
      <c r="EE657" s="1378"/>
      <c r="EF657" s="1378"/>
      <c r="EG657" s="1378"/>
      <c r="EH657" s="1378" t="e">
        <f t="shared" si="4"/>
        <v>#VALUE!</v>
      </c>
      <c r="EI657" s="1378"/>
      <c r="EJ657" s="1378"/>
      <c r="EK657" s="1378"/>
      <c r="EL657" s="1378"/>
      <c r="EM657" s="1378" t="e">
        <f t="shared" si="5"/>
        <v>#VALUE!</v>
      </c>
      <c r="EN657" s="1378"/>
      <c r="EO657" s="1378"/>
      <c r="EP657" s="1378"/>
      <c r="EQ657" s="1378"/>
      <c r="ER657" s="1378" t="e">
        <f t="shared" si="6"/>
        <v>#VALUE!</v>
      </c>
      <c r="ES657" s="1378"/>
      <c r="ET657" s="1378"/>
      <c r="EU657" s="1378"/>
      <c r="EV657" s="1378"/>
      <c r="EW657" s="1378" t="e">
        <f t="shared" si="7"/>
        <v>#VALUE!</v>
      </c>
      <c r="EX657" s="1378"/>
      <c r="EY657" s="1378"/>
      <c r="EZ657" s="1378"/>
      <c r="FA657" s="1378"/>
    </row>
    <row r="658" spans="1:157" ht="12.95" customHeight="1">
      <c r="A658" s="22"/>
      <c r="T658" s="22"/>
      <c r="AZ658" s="34"/>
      <c r="BA658" s="34"/>
      <c r="BB658" s="34"/>
      <c r="BC658" s="34"/>
      <c r="BD658" s="34"/>
      <c r="BE658" s="34"/>
      <c r="BF658" s="34"/>
      <c r="BG658" s="34"/>
      <c r="BH658" s="34"/>
      <c r="BI658" s="34"/>
      <c r="BJ658" s="34"/>
      <c r="BK658" s="34"/>
      <c r="BL658" s="34"/>
      <c r="BM658" s="34"/>
      <c r="DX658" s="1378" t="e">
        <f t="shared" si="2"/>
        <v>#VALUE!</v>
      </c>
      <c r="DY658" s="1378"/>
      <c r="DZ658" s="1378"/>
      <c r="EA658" s="1378"/>
      <c r="EB658" s="1378"/>
      <c r="EC658" s="1378" t="e">
        <f t="shared" si="3"/>
        <v>#VALUE!</v>
      </c>
      <c r="ED658" s="1378"/>
      <c r="EE658" s="1378"/>
      <c r="EF658" s="1378"/>
      <c r="EG658" s="1378"/>
      <c r="EH658" s="1378" t="e">
        <f t="shared" si="4"/>
        <v>#VALUE!</v>
      </c>
      <c r="EI658" s="1378"/>
      <c r="EJ658" s="1378"/>
      <c r="EK658" s="1378"/>
      <c r="EL658" s="1378"/>
      <c r="EM658" s="1378" t="e">
        <f t="shared" si="5"/>
        <v>#VALUE!</v>
      </c>
      <c r="EN658" s="1378"/>
      <c r="EO658" s="1378"/>
      <c r="EP658" s="1378"/>
      <c r="EQ658" s="1378"/>
      <c r="ER658" s="1378" t="e">
        <f t="shared" si="6"/>
        <v>#VALUE!</v>
      </c>
      <c r="ES658" s="1378"/>
      <c r="ET658" s="1378"/>
      <c r="EU658" s="1378"/>
      <c r="EV658" s="1378"/>
      <c r="EW658" s="1378" t="e">
        <f t="shared" si="7"/>
        <v>#VALUE!</v>
      </c>
      <c r="EX658" s="1378"/>
      <c r="EY658" s="1378"/>
      <c r="EZ658" s="1378"/>
      <c r="FA658" s="1378"/>
    </row>
    <row r="659" spans="1:157" ht="12.95" customHeight="1">
      <c r="A659" s="55" t="s">
        <v>764</v>
      </c>
      <c r="B659" t="s">
        <v>464</v>
      </c>
      <c r="G659" s="1471">
        <f>C631</f>
        <v>0</v>
      </c>
      <c r="H659" s="1471"/>
      <c r="I659" s="1471"/>
      <c r="J659" s="1471"/>
      <c r="K659" s="1471"/>
      <c r="L659" s="1471"/>
      <c r="M659" s="1471"/>
      <c r="N659" s="1471"/>
      <c r="O659" s="1471"/>
      <c r="P659" s="1471"/>
      <c r="Q659" s="1471"/>
      <c r="R659" s="1471"/>
      <c r="T659" s="55" t="s">
        <v>585</v>
      </c>
      <c r="U659" t="s">
        <v>464</v>
      </c>
      <c r="Z659" s="1471">
        <f>C632</f>
        <v>0</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DX659" s="1378" t="e">
        <f t="shared" si="2"/>
        <v>#VALUE!</v>
      </c>
      <c r="DY659" s="1378"/>
      <c r="DZ659" s="1378"/>
      <c r="EA659" s="1378"/>
      <c r="EB659" s="1378"/>
      <c r="EC659" s="1378" t="e">
        <f t="shared" si="3"/>
        <v>#VALUE!</v>
      </c>
      <c r="ED659" s="1378"/>
      <c r="EE659" s="1378"/>
      <c r="EF659" s="1378"/>
      <c r="EG659" s="1378"/>
      <c r="EH659" s="1378" t="e">
        <f t="shared" si="4"/>
        <v>#VALUE!</v>
      </c>
      <c r="EI659" s="1378"/>
      <c r="EJ659" s="1378"/>
      <c r="EK659" s="1378"/>
      <c r="EL659" s="1378"/>
      <c r="EM659" s="1378" t="e">
        <f t="shared" si="5"/>
        <v>#VALUE!</v>
      </c>
      <c r="EN659" s="1378"/>
      <c r="EO659" s="1378"/>
      <c r="EP659" s="1378"/>
      <c r="EQ659" s="1378"/>
      <c r="ER659" s="1378" t="e">
        <f t="shared" si="6"/>
        <v>#VALUE!</v>
      </c>
      <c r="ES659" s="1378"/>
      <c r="ET659" s="1378"/>
      <c r="EU659" s="1378"/>
      <c r="EV659" s="1378"/>
      <c r="EW659" s="1378" t="e">
        <f t="shared" si="7"/>
        <v>#VALUE!</v>
      </c>
      <c r="EX659" s="1378"/>
      <c r="EY659" s="1378"/>
      <c r="EZ659" s="1378"/>
      <c r="FA659" s="1378"/>
    </row>
    <row r="660" spans="1:157" ht="12.95" customHeight="1">
      <c r="A660" s="22"/>
      <c r="B660" t="s">
        <v>85</v>
      </c>
      <c r="G660" s="1393"/>
      <c r="H660" s="1393"/>
      <c r="I660" s="1393"/>
      <c r="J660" s="1393"/>
      <c r="K660" s="1393"/>
      <c r="L660" s="1393"/>
      <c r="M660" s="1393"/>
      <c r="N660" s="1393"/>
      <c r="O660" s="1393"/>
      <c r="P660" s="1393"/>
      <c r="Q660" s="1393"/>
      <c r="R660" s="1393"/>
      <c r="T660" s="22"/>
      <c r="U660" t="s">
        <v>85</v>
      </c>
      <c r="Z660" s="1393"/>
      <c r="AA660" s="1393"/>
      <c r="AB660" s="1393"/>
      <c r="AC660" s="1393"/>
      <c r="AD660" s="1393"/>
      <c r="AE660" s="1393"/>
      <c r="AF660" s="1393"/>
      <c r="AG660" s="1393"/>
      <c r="AH660" s="1393"/>
      <c r="AI660" s="1393"/>
      <c r="AJ660" s="1393"/>
      <c r="AK660" s="1393"/>
      <c r="AZ660" s="34"/>
      <c r="BA660" s="34"/>
      <c r="BB660" s="34"/>
      <c r="BC660" s="34"/>
      <c r="BD660" s="34"/>
      <c r="BE660" s="34"/>
      <c r="BF660" s="34"/>
      <c r="BG660" s="34"/>
      <c r="BH660" s="34"/>
      <c r="BI660" s="34"/>
      <c r="BJ660" s="34"/>
      <c r="BK660" s="34"/>
      <c r="BL660" s="34"/>
      <c r="BM660" s="34"/>
      <c r="DX660" s="1378" t="e">
        <f t="shared" si="2"/>
        <v>#VALUE!</v>
      </c>
      <c r="DY660" s="1378"/>
      <c r="DZ660" s="1378"/>
      <c r="EA660" s="1378"/>
      <c r="EB660" s="1378"/>
      <c r="EC660" s="1378" t="e">
        <f t="shared" si="3"/>
        <v>#VALUE!</v>
      </c>
      <c r="ED660" s="1378"/>
      <c r="EE660" s="1378"/>
      <c r="EF660" s="1378"/>
      <c r="EG660" s="1378"/>
      <c r="EH660" s="1378" t="e">
        <f t="shared" si="4"/>
        <v>#VALUE!</v>
      </c>
      <c r="EI660" s="1378"/>
      <c r="EJ660" s="1378"/>
      <c r="EK660" s="1378"/>
      <c r="EL660" s="1378"/>
      <c r="EM660" s="1378" t="e">
        <f t="shared" si="5"/>
        <v>#VALUE!</v>
      </c>
      <c r="EN660" s="1378"/>
      <c r="EO660" s="1378"/>
      <c r="EP660" s="1378"/>
      <c r="EQ660" s="1378"/>
      <c r="ER660" s="1378" t="e">
        <f t="shared" si="6"/>
        <v>#VALUE!</v>
      </c>
      <c r="ES660" s="1378"/>
      <c r="ET660" s="1378"/>
      <c r="EU660" s="1378"/>
      <c r="EV660" s="1378"/>
      <c r="EW660" s="1378" t="e">
        <f t="shared" si="7"/>
        <v>#VALUE!</v>
      </c>
      <c r="EX660" s="1378"/>
      <c r="EY660" s="1378"/>
      <c r="EZ660" s="1378"/>
      <c r="FA660" s="1378"/>
    </row>
    <row r="661" spans="1:157" ht="12.95" customHeight="1">
      <c r="A661" s="22"/>
      <c r="B661" t="s">
        <v>581</v>
      </c>
      <c r="G661" s="1393"/>
      <c r="H661" s="1393"/>
      <c r="I661" s="1393"/>
      <c r="J661" s="1393"/>
      <c r="K661" s="1393"/>
      <c r="L661" s="1393"/>
      <c r="M661" s="1393"/>
      <c r="N661" s="1393"/>
      <c r="O661" s="1393"/>
      <c r="P661" s="1393"/>
      <c r="Q661" s="1393"/>
      <c r="R661" s="1393"/>
      <c r="T661" s="22"/>
      <c r="U661" t="s">
        <v>581</v>
      </c>
      <c r="Z661" s="1415"/>
      <c r="AA661" s="1415"/>
      <c r="AB661" s="1415"/>
      <c r="AC661" s="1415"/>
      <c r="AD661" s="1415"/>
      <c r="AE661" s="1415"/>
      <c r="AF661" s="1415"/>
      <c r="AG661" s="1415"/>
      <c r="AH661" s="1415"/>
      <c r="AI661" s="1415"/>
      <c r="AJ661" s="1415"/>
      <c r="AK661" s="1415"/>
      <c r="AZ661" s="34"/>
      <c r="BA661" s="34"/>
      <c r="BB661" s="34"/>
      <c r="BC661" s="34"/>
      <c r="BD661" s="34"/>
      <c r="BE661" s="34"/>
      <c r="BF661" s="34"/>
      <c r="BG661" s="34"/>
      <c r="BH661" s="34"/>
      <c r="BI661" s="34"/>
      <c r="BJ661" s="34"/>
      <c r="BK661" s="34"/>
      <c r="BL661" s="34"/>
      <c r="BM661" s="34"/>
      <c r="DX661" s="1378" t="e">
        <f t="shared" si="2"/>
        <v>#VALUE!</v>
      </c>
      <c r="DY661" s="1378"/>
      <c r="DZ661" s="1378"/>
      <c r="EA661" s="1378"/>
      <c r="EB661" s="1378"/>
      <c r="EC661" s="1378" t="e">
        <f t="shared" si="3"/>
        <v>#VALUE!</v>
      </c>
      <c r="ED661" s="1378"/>
      <c r="EE661" s="1378"/>
      <c r="EF661" s="1378"/>
      <c r="EG661" s="1378"/>
      <c r="EH661" s="1378" t="e">
        <f t="shared" si="4"/>
        <v>#VALUE!</v>
      </c>
      <c r="EI661" s="1378"/>
      <c r="EJ661" s="1378"/>
      <c r="EK661" s="1378"/>
      <c r="EL661" s="1378"/>
      <c r="EM661" s="1378" t="e">
        <f t="shared" si="5"/>
        <v>#VALUE!</v>
      </c>
      <c r="EN661" s="1378"/>
      <c r="EO661" s="1378"/>
      <c r="EP661" s="1378"/>
      <c r="EQ661" s="1378"/>
      <c r="ER661" s="1378" t="e">
        <f t="shared" si="6"/>
        <v>#VALUE!</v>
      </c>
      <c r="ES661" s="1378"/>
      <c r="ET661" s="1378"/>
      <c r="EU661" s="1378"/>
      <c r="EV661" s="1378"/>
      <c r="EW661" s="1378" t="e">
        <f t="shared" si="7"/>
        <v>#VALUE!</v>
      </c>
      <c r="EX661" s="1378"/>
      <c r="EY661" s="1378"/>
      <c r="EZ661" s="1378"/>
      <c r="FA661" s="1378"/>
    </row>
    <row r="662" spans="1:157" ht="12.95" customHeight="1">
      <c r="A662" s="22"/>
      <c r="B662" t="s">
        <v>17</v>
      </c>
      <c r="G662" s="1393"/>
      <c r="H662" s="1393"/>
      <c r="I662" s="1393"/>
      <c r="J662" s="1393"/>
      <c r="K662" s="1393"/>
      <c r="L662" s="1393"/>
      <c r="M662" s="1393"/>
      <c r="N662" s="1393"/>
      <c r="O662" s="1393"/>
      <c r="P662" s="1393"/>
      <c r="Q662" s="1393"/>
      <c r="R662" s="1393"/>
      <c r="T662" s="22"/>
      <c r="U662" t="s">
        <v>17</v>
      </c>
      <c r="Z662" s="1415"/>
      <c r="AA662" s="1415"/>
      <c r="AB662" s="1415"/>
      <c r="AC662" s="1415"/>
      <c r="AD662" s="1415"/>
      <c r="AE662" s="1415"/>
      <c r="AF662" s="1415"/>
      <c r="AG662" s="1415"/>
      <c r="AH662" s="1415"/>
      <c r="AI662" s="1415"/>
      <c r="AJ662" s="1415"/>
      <c r="AK662" s="141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8" t="e">
        <f t="shared" si="2"/>
        <v>#VALUE!</v>
      </c>
      <c r="DY662" s="1378"/>
      <c r="DZ662" s="1378"/>
      <c r="EA662" s="1378"/>
      <c r="EB662" s="1378"/>
      <c r="EC662" s="1378" t="e">
        <f t="shared" si="3"/>
        <v>#VALUE!</v>
      </c>
      <c r="ED662" s="1378"/>
      <c r="EE662" s="1378"/>
      <c r="EF662" s="1378"/>
      <c r="EG662" s="1378"/>
      <c r="EH662" s="1378" t="e">
        <f t="shared" si="4"/>
        <v>#VALUE!</v>
      </c>
      <c r="EI662" s="1378"/>
      <c r="EJ662" s="1378"/>
      <c r="EK662" s="1378"/>
      <c r="EL662" s="1378"/>
      <c r="EM662" s="1378" t="e">
        <f t="shared" si="5"/>
        <v>#VALUE!</v>
      </c>
      <c r="EN662" s="1378"/>
      <c r="EO662" s="1378"/>
      <c r="EP662" s="1378"/>
      <c r="EQ662" s="1378"/>
      <c r="ER662" s="1378" t="e">
        <f t="shared" si="6"/>
        <v>#VALUE!</v>
      </c>
      <c r="ES662" s="1378"/>
      <c r="ET662" s="1378"/>
      <c r="EU662" s="1378"/>
      <c r="EV662" s="1378"/>
      <c r="EW662" s="1378" t="e">
        <f t="shared" si="7"/>
        <v>#VALUE!</v>
      </c>
      <c r="EX662" s="1378"/>
      <c r="EY662" s="1378"/>
      <c r="EZ662" s="1378"/>
      <c r="FA662" s="1378"/>
    </row>
    <row r="663" spans="1:157" ht="12.95" customHeight="1">
      <c r="A663" s="22"/>
      <c r="B663" t="s">
        <v>316</v>
      </c>
      <c r="G663" s="1472"/>
      <c r="H663" s="1472"/>
      <c r="I663" s="1472"/>
      <c r="J663" s="1472"/>
      <c r="K663" s="1472"/>
      <c r="L663" s="1472"/>
      <c r="O663" s="33" t="s">
        <v>206</v>
      </c>
      <c r="P663" s="1440"/>
      <c r="Q663" s="1440"/>
      <c r="R663" s="1440"/>
      <c r="T663" s="22"/>
      <c r="U663" t="s">
        <v>316</v>
      </c>
      <c r="Z663" s="1472"/>
      <c r="AA663" s="1472"/>
      <c r="AB663" s="1472"/>
      <c r="AC663" s="1472"/>
      <c r="AD663" s="1472"/>
      <c r="AE663" s="1472"/>
      <c r="AH663" s="33" t="s">
        <v>206</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8" t="e">
        <f t="shared" si="2"/>
        <v>#VALUE!</v>
      </c>
      <c r="DY663" s="1378"/>
      <c r="DZ663" s="1378"/>
      <c r="EA663" s="1378"/>
      <c r="EB663" s="1378"/>
      <c r="EC663" s="1378" t="e">
        <f t="shared" si="3"/>
        <v>#VALUE!</v>
      </c>
      <c r="ED663" s="1378"/>
      <c r="EE663" s="1378"/>
      <c r="EF663" s="1378"/>
      <c r="EG663" s="1378"/>
      <c r="EH663" s="1378" t="e">
        <f t="shared" si="4"/>
        <v>#VALUE!</v>
      </c>
      <c r="EI663" s="1378"/>
      <c r="EJ663" s="1378"/>
      <c r="EK663" s="1378"/>
      <c r="EL663" s="1378"/>
      <c r="EM663" s="1378" t="e">
        <f t="shared" si="5"/>
        <v>#VALUE!</v>
      </c>
      <c r="EN663" s="1378"/>
      <c r="EO663" s="1378"/>
      <c r="EP663" s="1378"/>
      <c r="EQ663" s="1378"/>
      <c r="ER663" s="1378" t="e">
        <f t="shared" si="6"/>
        <v>#VALUE!</v>
      </c>
      <c r="ES663" s="1378"/>
      <c r="ET663" s="1378"/>
      <c r="EU663" s="1378"/>
      <c r="EV663" s="1378"/>
      <c r="EW663" s="1378" t="e">
        <f t="shared" si="7"/>
        <v>#VALUE!</v>
      </c>
      <c r="EX663" s="1378"/>
      <c r="EY663" s="1378"/>
      <c r="EZ663" s="1378"/>
      <c r="FA663" s="1378"/>
    </row>
    <row r="664" spans="1:157" ht="12.95" customHeight="1">
      <c r="A664" s="22"/>
      <c r="B664" t="s">
        <v>18</v>
      </c>
      <c r="H664" s="1393"/>
      <c r="I664" s="1393"/>
      <c r="J664" s="1393"/>
      <c r="K664" s="1393"/>
      <c r="L664" s="1393"/>
      <c r="M664" s="1393"/>
      <c r="N664" s="1393"/>
      <c r="O664" s="1393"/>
      <c r="P664" s="1393"/>
      <c r="Q664" s="1393"/>
      <c r="R664" s="1393"/>
      <c r="T664" s="22"/>
      <c r="U664" t="s">
        <v>18</v>
      </c>
      <c r="AA664" s="1393"/>
      <c r="AB664" s="1393"/>
      <c r="AC664" s="1393"/>
      <c r="AD664" s="1393"/>
      <c r="AE664" s="1393"/>
      <c r="AF664" s="1393"/>
      <c r="AG664" s="1393"/>
      <c r="AH664" s="1393"/>
      <c r="AI664" s="1393"/>
      <c r="AJ664" s="1393"/>
      <c r="AK664" s="139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8" t="e">
        <f t="shared" si="2"/>
        <v>#VALUE!</v>
      </c>
      <c r="DY664" s="1378"/>
      <c r="DZ664" s="1378"/>
      <c r="EA664" s="1378"/>
      <c r="EB664" s="1378"/>
      <c r="EC664" s="1378" t="e">
        <f t="shared" si="3"/>
        <v>#VALUE!</v>
      </c>
      <c r="ED664" s="1378"/>
      <c r="EE664" s="1378"/>
      <c r="EF664" s="1378"/>
      <c r="EG664" s="1378"/>
      <c r="EH664" s="1378" t="e">
        <f t="shared" si="4"/>
        <v>#VALUE!</v>
      </c>
      <c r="EI664" s="1378"/>
      <c r="EJ664" s="1378"/>
      <c r="EK664" s="1378"/>
      <c r="EL664" s="1378"/>
      <c r="EM664" s="1378" t="e">
        <f t="shared" si="5"/>
        <v>#VALUE!</v>
      </c>
      <c r="EN664" s="1378"/>
      <c r="EO664" s="1378"/>
      <c r="EP664" s="1378"/>
      <c r="EQ664" s="1378"/>
      <c r="ER664" s="1378" t="e">
        <f t="shared" si="6"/>
        <v>#VALUE!</v>
      </c>
      <c r="ES664" s="1378"/>
      <c r="ET664" s="1378"/>
      <c r="EU664" s="1378"/>
      <c r="EV664" s="1378"/>
      <c r="EW664" s="1378" t="e">
        <f t="shared" si="7"/>
        <v>#VALUE!</v>
      </c>
      <c r="EX664" s="1378"/>
      <c r="EY664" s="1378"/>
      <c r="EZ664" s="1378"/>
      <c r="FA664" s="1378"/>
    </row>
    <row r="665" spans="1:157" ht="12.95" customHeight="1">
      <c r="A665" s="22"/>
      <c r="B665" t="s">
        <v>20</v>
      </c>
      <c r="N665" s="1379" t="s">
        <v>670</v>
      </c>
      <c r="O665" s="1379"/>
      <c r="T665" s="22"/>
      <c r="U665" t="s">
        <v>20</v>
      </c>
      <c r="AG665" s="1379" t="s">
        <v>670</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8" t="e">
        <f t="shared" si="2"/>
        <v>#VALUE!</v>
      </c>
      <c r="DY665" s="1378"/>
      <c r="DZ665" s="1378"/>
      <c r="EA665" s="1378"/>
      <c r="EB665" s="1378"/>
      <c r="EC665" s="1378" t="e">
        <f t="shared" si="3"/>
        <v>#VALUE!</v>
      </c>
      <c r="ED665" s="1378"/>
      <c r="EE665" s="1378"/>
      <c r="EF665" s="1378"/>
      <c r="EG665" s="1378"/>
      <c r="EH665" s="1378" t="e">
        <f t="shared" si="4"/>
        <v>#VALUE!</v>
      </c>
      <c r="EI665" s="1378"/>
      <c r="EJ665" s="1378"/>
      <c r="EK665" s="1378"/>
      <c r="EL665" s="1378"/>
      <c r="EM665" s="1378" t="e">
        <f t="shared" si="5"/>
        <v>#VALUE!</v>
      </c>
      <c r="EN665" s="1378"/>
      <c r="EO665" s="1378"/>
      <c r="EP665" s="1378"/>
      <c r="EQ665" s="1378"/>
      <c r="ER665" s="1378" t="e">
        <f t="shared" si="6"/>
        <v>#VALUE!</v>
      </c>
      <c r="ES665" s="1378"/>
      <c r="ET665" s="1378"/>
      <c r="EU665" s="1378"/>
      <c r="EV665" s="1378"/>
      <c r="EW665" s="1378" t="e">
        <f t="shared" si="7"/>
        <v>#VALUE!</v>
      </c>
      <c r="EX665" s="1378"/>
      <c r="EY665" s="1378"/>
      <c r="EZ665" s="1378"/>
      <c r="FA665" s="137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8" t="e">
        <f t="shared" si="2"/>
        <v>#VALUE!</v>
      </c>
      <c r="DY666" s="1378"/>
      <c r="DZ666" s="1378"/>
      <c r="EA666" s="1378"/>
      <c r="EB666" s="1378"/>
      <c r="EC666" s="1378" t="e">
        <f t="shared" si="3"/>
        <v>#VALUE!</v>
      </c>
      <c r="ED666" s="1378"/>
      <c r="EE666" s="1378"/>
      <c r="EF666" s="1378"/>
      <c r="EG666" s="1378"/>
      <c r="EH666" s="1378" t="e">
        <f t="shared" si="4"/>
        <v>#VALUE!</v>
      </c>
      <c r="EI666" s="1378"/>
      <c r="EJ666" s="1378"/>
      <c r="EK666" s="1378"/>
      <c r="EL666" s="1378"/>
      <c r="EM666" s="1378" t="e">
        <f t="shared" si="5"/>
        <v>#VALUE!</v>
      </c>
      <c r="EN666" s="1378"/>
      <c r="EO666" s="1378"/>
      <c r="EP666" s="1378"/>
      <c r="EQ666" s="1378"/>
      <c r="ER666" s="1378" t="e">
        <f t="shared" si="6"/>
        <v>#VALUE!</v>
      </c>
      <c r="ES666" s="1378"/>
      <c r="ET666" s="1378"/>
      <c r="EU666" s="1378"/>
      <c r="EV666" s="1378"/>
      <c r="EW666" s="1378" t="e">
        <f t="shared" si="7"/>
        <v>#VALUE!</v>
      </c>
      <c r="EX666" s="1378"/>
      <c r="EY666" s="1378"/>
      <c r="EZ666" s="1378"/>
      <c r="FA666" s="1378"/>
    </row>
    <row r="667" spans="1:157" ht="12.95" customHeight="1">
      <c r="A667" s="55" t="s">
        <v>456</v>
      </c>
      <c r="B667" t="s">
        <v>464</v>
      </c>
      <c r="G667" s="1471">
        <f>C633</f>
        <v>0</v>
      </c>
      <c r="H667" s="1471"/>
      <c r="I667" s="1471"/>
      <c r="J667" s="1471"/>
      <c r="K667" s="1471"/>
      <c r="L667" s="1471"/>
      <c r="M667" s="1471"/>
      <c r="N667" s="1471"/>
      <c r="O667" s="1471"/>
      <c r="P667" s="1471"/>
      <c r="Q667" s="1471"/>
      <c r="R667" s="1471"/>
      <c r="T667" s="55" t="s">
        <v>457</v>
      </c>
      <c r="U667" t="s">
        <v>464</v>
      </c>
      <c r="Z667" s="1471">
        <f>C634</f>
        <v>0</v>
      </c>
      <c r="AA667" s="1471"/>
      <c r="AB667" s="1471"/>
      <c r="AC667" s="1471"/>
      <c r="AD667" s="1471"/>
      <c r="AE667" s="1471"/>
      <c r="AF667" s="1471"/>
      <c r="AG667" s="1471"/>
      <c r="AH667" s="1471"/>
      <c r="AI667" s="1471"/>
      <c r="AJ667" s="1471"/>
      <c r="AK667" s="147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8" t="e">
        <f t="shared" si="2"/>
        <v>#VALUE!</v>
      </c>
      <c r="DY667" s="1378"/>
      <c r="DZ667" s="1378"/>
      <c r="EA667" s="1378"/>
      <c r="EB667" s="1378"/>
      <c r="EC667" s="1378" t="e">
        <f t="shared" si="3"/>
        <v>#VALUE!</v>
      </c>
      <c r="ED667" s="1378"/>
      <c r="EE667" s="1378"/>
      <c r="EF667" s="1378"/>
      <c r="EG667" s="1378"/>
      <c r="EH667" s="1378" t="e">
        <f t="shared" si="4"/>
        <v>#VALUE!</v>
      </c>
      <c r="EI667" s="1378"/>
      <c r="EJ667" s="1378"/>
      <c r="EK667" s="1378"/>
      <c r="EL667" s="1378"/>
      <c r="EM667" s="1378" t="e">
        <f t="shared" si="5"/>
        <v>#VALUE!</v>
      </c>
      <c r="EN667" s="1378"/>
      <c r="EO667" s="1378"/>
      <c r="EP667" s="1378"/>
      <c r="EQ667" s="1378"/>
      <c r="ER667" s="1378" t="e">
        <f t="shared" si="6"/>
        <v>#VALUE!</v>
      </c>
      <c r="ES667" s="1378"/>
      <c r="ET667" s="1378"/>
      <c r="EU667" s="1378"/>
      <c r="EV667" s="1378"/>
      <c r="EW667" s="1378" t="e">
        <f t="shared" si="7"/>
        <v>#VALUE!</v>
      </c>
      <c r="EX667" s="1378"/>
      <c r="EY667" s="1378"/>
      <c r="EZ667" s="1378"/>
      <c r="FA667" s="1378"/>
    </row>
    <row r="668" spans="1:157" ht="12.95" customHeight="1">
      <c r="A668" s="22"/>
      <c r="B668" t="s">
        <v>85</v>
      </c>
      <c r="G668" s="1393"/>
      <c r="H668" s="1393"/>
      <c r="I668" s="1393"/>
      <c r="J668" s="1393"/>
      <c r="K668" s="1393"/>
      <c r="L668" s="1393"/>
      <c r="M668" s="1393"/>
      <c r="N668" s="1393"/>
      <c r="O668" s="1393"/>
      <c r="P668" s="1393"/>
      <c r="Q668" s="1393"/>
      <c r="R668" s="1393"/>
      <c r="T668" s="22"/>
      <c r="U668" t="s">
        <v>85</v>
      </c>
      <c r="Z668" s="1393"/>
      <c r="AA668" s="1393"/>
      <c r="AB668" s="1393"/>
      <c r="AC668" s="1393"/>
      <c r="AD668" s="1393"/>
      <c r="AE668" s="1393"/>
      <c r="AF668" s="1393"/>
      <c r="AG668" s="1393"/>
      <c r="AH668" s="1393"/>
      <c r="AI668" s="1393"/>
      <c r="AJ668" s="1393"/>
      <c r="AK668" s="139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8" t="e">
        <f t="shared" si="2"/>
        <v>#VALUE!</v>
      </c>
      <c r="DY668" s="1378"/>
      <c r="DZ668" s="1378"/>
      <c r="EA668" s="1378"/>
      <c r="EB668" s="1378"/>
      <c r="EC668" s="1378" t="e">
        <f t="shared" si="3"/>
        <v>#VALUE!</v>
      </c>
      <c r="ED668" s="1378"/>
      <c r="EE668" s="1378"/>
      <c r="EF668" s="1378"/>
      <c r="EG668" s="1378"/>
      <c r="EH668" s="1378" t="e">
        <f t="shared" si="4"/>
        <v>#VALUE!</v>
      </c>
      <c r="EI668" s="1378"/>
      <c r="EJ668" s="1378"/>
      <c r="EK668" s="1378"/>
      <c r="EL668" s="1378"/>
      <c r="EM668" s="1378" t="e">
        <f t="shared" si="5"/>
        <v>#VALUE!</v>
      </c>
      <c r="EN668" s="1378"/>
      <c r="EO668" s="1378"/>
      <c r="EP668" s="1378"/>
      <c r="EQ668" s="1378"/>
      <c r="ER668" s="1378" t="e">
        <f t="shared" si="6"/>
        <v>#VALUE!</v>
      </c>
      <c r="ES668" s="1378"/>
      <c r="ET668" s="1378"/>
      <c r="EU668" s="1378"/>
      <c r="EV668" s="1378"/>
      <c r="EW668" s="1378" t="e">
        <f t="shared" si="7"/>
        <v>#VALUE!</v>
      </c>
      <c r="EX668" s="1378"/>
      <c r="EY668" s="1378"/>
      <c r="EZ668" s="1378"/>
      <c r="FA668" s="1378"/>
    </row>
    <row r="669" spans="1:157" ht="12.95" customHeight="1">
      <c r="A669" s="22"/>
      <c r="B669" t="s">
        <v>581</v>
      </c>
      <c r="G669" s="1393"/>
      <c r="H669" s="1393"/>
      <c r="I669" s="1393"/>
      <c r="J669" s="1393"/>
      <c r="K669" s="1393"/>
      <c r="L669" s="1393"/>
      <c r="M669" s="1393"/>
      <c r="N669" s="1393"/>
      <c r="O669" s="1393"/>
      <c r="P669" s="1393"/>
      <c r="Q669" s="1393"/>
      <c r="R669" s="1393"/>
      <c r="T669" s="22"/>
      <c r="U669" t="s">
        <v>581</v>
      </c>
      <c r="Z669" s="1415"/>
      <c r="AA669" s="1415"/>
      <c r="AB669" s="1415"/>
      <c r="AC669" s="1415"/>
      <c r="AD669" s="1415"/>
      <c r="AE669" s="1415"/>
      <c r="AF669" s="1415"/>
      <c r="AG669" s="1415"/>
      <c r="AH669" s="1415"/>
      <c r="AI669" s="1415"/>
      <c r="AJ669" s="1415"/>
      <c r="AK669" s="141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8" t="e">
        <f t="shared" si="2"/>
        <v>#VALUE!</v>
      </c>
      <c r="DY669" s="1378"/>
      <c r="DZ669" s="1378"/>
      <c r="EA669" s="1378"/>
      <c r="EB669" s="1378"/>
      <c r="EC669" s="1378" t="e">
        <f t="shared" si="3"/>
        <v>#VALUE!</v>
      </c>
      <c r="ED669" s="1378"/>
      <c r="EE669" s="1378"/>
      <c r="EF669" s="1378"/>
      <c r="EG669" s="1378"/>
      <c r="EH669" s="1378" t="e">
        <f t="shared" si="4"/>
        <v>#VALUE!</v>
      </c>
      <c r="EI669" s="1378"/>
      <c r="EJ669" s="1378"/>
      <c r="EK669" s="1378"/>
      <c r="EL669" s="1378"/>
      <c r="EM669" s="1378" t="e">
        <f t="shared" si="5"/>
        <v>#VALUE!</v>
      </c>
      <c r="EN669" s="1378"/>
      <c r="EO669" s="1378"/>
      <c r="EP669" s="1378"/>
      <c r="EQ669" s="1378"/>
      <c r="ER669" s="1378" t="e">
        <f t="shared" si="6"/>
        <v>#VALUE!</v>
      </c>
      <c r="ES669" s="1378"/>
      <c r="ET669" s="1378"/>
      <c r="EU669" s="1378"/>
      <c r="EV669" s="1378"/>
      <c r="EW669" s="1378" t="e">
        <f t="shared" si="7"/>
        <v>#VALUE!</v>
      </c>
      <c r="EX669" s="1378"/>
      <c r="EY669" s="1378"/>
      <c r="EZ669" s="1378"/>
      <c r="FA669" s="1378"/>
    </row>
    <row r="670" spans="1:157" ht="12.95" customHeight="1">
      <c r="A670" s="22"/>
      <c r="B670" t="s">
        <v>17</v>
      </c>
      <c r="G670" s="1393"/>
      <c r="H670" s="1393"/>
      <c r="I670" s="1393"/>
      <c r="J670" s="1393"/>
      <c r="K670" s="1393"/>
      <c r="L670" s="1393"/>
      <c r="M670" s="1393"/>
      <c r="N670" s="1393"/>
      <c r="O670" s="1393"/>
      <c r="P670" s="1393"/>
      <c r="Q670" s="1393"/>
      <c r="R670" s="1393"/>
      <c r="T670" s="22"/>
      <c r="U670" t="s">
        <v>17</v>
      </c>
      <c r="Z670" s="1415"/>
      <c r="AA670" s="1415"/>
      <c r="AB670" s="1415"/>
      <c r="AC670" s="1415"/>
      <c r="AD670" s="1415"/>
      <c r="AE670" s="1415"/>
      <c r="AF670" s="1415"/>
      <c r="AG670" s="1415"/>
      <c r="AH670" s="1415"/>
      <c r="AI670" s="1415"/>
      <c r="AJ670" s="1415"/>
      <c r="AK670" s="141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8">
        <f>SUMIF(DX635:EB669,"&gt;0")</f>
        <v>0</v>
      </c>
      <c r="DY670" s="1378"/>
      <c r="DZ670" s="1378"/>
      <c r="EA670" s="1378"/>
      <c r="EB670" s="1378"/>
      <c r="EC670" s="1378">
        <f>SUMIF(EC635:EG669,"&gt;0")</f>
        <v>1218.3095238095239</v>
      </c>
      <c r="ED670" s="1378"/>
      <c r="EE670" s="1378"/>
      <c r="EF670" s="1378"/>
      <c r="EG670" s="1378"/>
      <c r="EH670" s="1378">
        <f>SUMIF(EH635:EL669,"&gt;0")</f>
        <v>1545.7571428571428</v>
      </c>
      <c r="EI670" s="1378"/>
      <c r="EJ670" s="1378"/>
      <c r="EK670" s="1378"/>
      <c r="EL670" s="1378"/>
      <c r="EM670" s="1378">
        <f>SUMIF(EM635:EQ669,"&gt;0")</f>
        <v>1897.3333333333333</v>
      </c>
      <c r="EN670" s="1378"/>
      <c r="EO670" s="1378"/>
      <c r="EP670" s="1378"/>
      <c r="EQ670" s="1378"/>
      <c r="ER670" s="1378">
        <f>SUMIF(ER635:EV669,"&gt;0")</f>
        <v>0</v>
      </c>
      <c r="ES670" s="1378"/>
      <c r="ET670" s="1378"/>
      <c r="EU670" s="1378"/>
      <c r="EV670" s="1378"/>
      <c r="EW670" s="1378">
        <f>SUMIF(EW635:FA669,"&gt;0")</f>
        <v>0</v>
      </c>
      <c r="EX670" s="1378"/>
      <c r="EY670" s="1378"/>
      <c r="EZ670" s="1378"/>
      <c r="FA670" s="1378"/>
    </row>
    <row r="671" spans="1:157" ht="12.95" customHeight="1">
      <c r="A671" s="22"/>
      <c r="B671" t="s">
        <v>316</v>
      </c>
      <c r="G671" s="1472"/>
      <c r="H671" s="1472"/>
      <c r="I671" s="1472"/>
      <c r="J671" s="1472"/>
      <c r="K671" s="1472"/>
      <c r="L671" s="1472"/>
      <c r="O671" s="33" t="s">
        <v>206</v>
      </c>
      <c r="P671" s="1440"/>
      <c r="Q671" s="1440"/>
      <c r="R671" s="1440"/>
      <c r="T671" s="22"/>
      <c r="U671" t="s">
        <v>316</v>
      </c>
      <c r="Z671" s="1472"/>
      <c r="AA671" s="1472"/>
      <c r="AB671" s="1472"/>
      <c r="AC671" s="1472"/>
      <c r="AD671" s="1472"/>
      <c r="AE671" s="1472"/>
      <c r="AH671" s="33" t="s">
        <v>206</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3"/>
      <c r="I672" s="1393"/>
      <c r="J672" s="1393"/>
      <c r="K672" s="1393"/>
      <c r="L672" s="1393"/>
      <c r="M672" s="1393"/>
      <c r="N672" s="1393"/>
      <c r="O672" s="1393"/>
      <c r="P672" s="1393"/>
      <c r="Q672" s="1393"/>
      <c r="R672" s="1393"/>
      <c r="T672" s="22"/>
      <c r="U672" t="s">
        <v>18</v>
      </c>
      <c r="AA672" s="1393"/>
      <c r="AB672" s="1393"/>
      <c r="AC672" s="1393"/>
      <c r="AD672" s="1393"/>
      <c r="AE672" s="1393"/>
      <c r="AF672" s="1393"/>
      <c r="AG672" s="1393"/>
      <c r="AH672" s="1393"/>
      <c r="AI672" s="1393"/>
      <c r="AJ672" s="1393"/>
      <c r="AK672" s="139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79" t="s">
        <v>670</v>
      </c>
      <c r="O673" s="1379"/>
      <c r="T673" s="22"/>
      <c r="U673" t="s">
        <v>20</v>
      </c>
      <c r="AG673" s="1379" t="s">
        <v>670</v>
      </c>
      <c r="AH673" s="1379"/>
      <c r="AZ673" s="3"/>
    </row>
    <row r="674" spans="1:52" ht="12.95" customHeight="1">
      <c r="A674" s="22"/>
      <c r="T674" s="22"/>
      <c r="AZ674" s="3"/>
    </row>
    <row r="675" spans="1:52" ht="12.95" customHeight="1">
      <c r="A675" s="55" t="s">
        <v>462</v>
      </c>
      <c r="B675" t="s">
        <v>464</v>
      </c>
      <c r="G675" s="1471">
        <f>C635</f>
        <v>0</v>
      </c>
      <c r="H675" s="1471"/>
      <c r="I675" s="1471"/>
      <c r="J675" s="1471"/>
      <c r="K675" s="1471"/>
      <c r="L675" s="1471"/>
      <c r="M675" s="1471"/>
      <c r="N675" s="1471"/>
      <c r="O675" s="1471"/>
      <c r="P675" s="1471"/>
      <c r="Q675" s="1471"/>
      <c r="R675" s="1471"/>
      <c r="T675" s="55" t="s">
        <v>647</v>
      </c>
      <c r="U675" t="s">
        <v>464</v>
      </c>
      <c r="Z675" s="1471">
        <f>C636</f>
        <v>0</v>
      </c>
      <c r="AA675" s="1471"/>
      <c r="AB675" s="1471"/>
      <c r="AC675" s="1471"/>
      <c r="AD675" s="1471"/>
      <c r="AE675" s="1471"/>
      <c r="AF675" s="1471"/>
      <c r="AG675" s="1471"/>
      <c r="AH675" s="1471"/>
      <c r="AI675" s="1471"/>
      <c r="AJ675" s="1471"/>
      <c r="AK675" s="1471"/>
      <c r="AZ675" s="3"/>
    </row>
    <row r="676" spans="1:52" ht="12.95" customHeight="1">
      <c r="A676" s="22"/>
      <c r="B676" t="s">
        <v>85</v>
      </c>
      <c r="G676" s="1393"/>
      <c r="H676" s="1393"/>
      <c r="I676" s="1393"/>
      <c r="J676" s="1393"/>
      <c r="K676" s="1393"/>
      <c r="L676" s="1393"/>
      <c r="M676" s="1393"/>
      <c r="N676" s="1393"/>
      <c r="O676" s="1393"/>
      <c r="P676" s="1393"/>
      <c r="Q676" s="1393"/>
      <c r="R676" s="1393"/>
      <c r="T676" s="22"/>
      <c r="U676" t="s">
        <v>85</v>
      </c>
      <c r="Z676" s="1393"/>
      <c r="AA676" s="1393"/>
      <c r="AB676" s="1393"/>
      <c r="AC676" s="1393"/>
      <c r="AD676" s="1393"/>
      <c r="AE676" s="1393"/>
      <c r="AF676" s="1393"/>
      <c r="AG676" s="1393"/>
      <c r="AH676" s="1393"/>
      <c r="AI676" s="1393"/>
      <c r="AJ676" s="1393"/>
      <c r="AK676" s="1393"/>
      <c r="AZ676" s="3"/>
    </row>
    <row r="677" spans="1:52" ht="12.95" customHeight="1">
      <c r="A677" s="22"/>
      <c r="B677" t="s">
        <v>581</v>
      </c>
      <c r="G677" s="1393"/>
      <c r="H677" s="1393"/>
      <c r="I677" s="1393"/>
      <c r="J677" s="1393"/>
      <c r="K677" s="1393"/>
      <c r="L677" s="1393"/>
      <c r="M677" s="1393"/>
      <c r="N677" s="1393"/>
      <c r="O677" s="1393"/>
      <c r="P677" s="1393"/>
      <c r="Q677" s="1393"/>
      <c r="R677" s="1393"/>
      <c r="T677" s="22"/>
      <c r="U677" t="s">
        <v>581</v>
      </c>
      <c r="Z677" s="1415"/>
      <c r="AA677" s="1415"/>
      <c r="AB677" s="1415"/>
      <c r="AC677" s="1415"/>
      <c r="AD677" s="1415"/>
      <c r="AE677" s="1415"/>
      <c r="AF677" s="1415"/>
      <c r="AG677" s="1415"/>
      <c r="AH677" s="1415"/>
      <c r="AI677" s="1415"/>
      <c r="AJ677" s="1415"/>
      <c r="AK677" s="1415"/>
      <c r="AZ677" s="3"/>
    </row>
    <row r="678" spans="1:52" ht="12.95" customHeight="1">
      <c r="A678" s="22"/>
      <c r="B678" t="s">
        <v>17</v>
      </c>
      <c r="G678" s="1393"/>
      <c r="H678" s="1393"/>
      <c r="I678" s="1393"/>
      <c r="J678" s="1393"/>
      <c r="K678" s="1393"/>
      <c r="L678" s="1393"/>
      <c r="M678" s="1393"/>
      <c r="N678" s="1393"/>
      <c r="O678" s="1393"/>
      <c r="P678" s="1393"/>
      <c r="Q678" s="1393"/>
      <c r="R678" s="1393"/>
      <c r="T678" s="22"/>
      <c r="U678" t="s">
        <v>17</v>
      </c>
      <c r="Z678" s="1415"/>
      <c r="AA678" s="1415"/>
      <c r="AB678" s="1415"/>
      <c r="AC678" s="1415"/>
      <c r="AD678" s="1415"/>
      <c r="AE678" s="1415"/>
      <c r="AF678" s="1415"/>
      <c r="AG678" s="1415"/>
      <c r="AH678" s="1415"/>
      <c r="AI678" s="1415"/>
      <c r="AJ678" s="1415"/>
      <c r="AK678" s="1415"/>
      <c r="AZ678" s="3"/>
    </row>
    <row r="679" spans="1:52" ht="12.95" customHeight="1">
      <c r="A679" s="22"/>
      <c r="B679" t="s">
        <v>316</v>
      </c>
      <c r="G679" s="1472"/>
      <c r="H679" s="1472"/>
      <c r="I679" s="1472"/>
      <c r="J679" s="1472"/>
      <c r="K679" s="1472"/>
      <c r="L679" s="1472"/>
      <c r="O679" s="33" t="s">
        <v>206</v>
      </c>
      <c r="P679" s="1440"/>
      <c r="Q679" s="1440"/>
      <c r="R679" s="1440"/>
      <c r="T679" s="22"/>
      <c r="U679" t="s">
        <v>316</v>
      </c>
      <c r="Z679" s="1472"/>
      <c r="AA679" s="1472"/>
      <c r="AB679" s="1472"/>
      <c r="AC679" s="1472"/>
      <c r="AD679" s="1472"/>
      <c r="AE679" s="1472"/>
      <c r="AH679" s="33" t="s">
        <v>206</v>
      </c>
      <c r="AI679" s="1440"/>
      <c r="AJ679" s="1440"/>
      <c r="AK679" s="1440"/>
      <c r="AZ679" s="3"/>
    </row>
    <row r="680" spans="1:52" ht="12.95" customHeight="1">
      <c r="A680" s="22"/>
      <c r="B680" t="s">
        <v>18</v>
      </c>
      <c r="H680" s="1393"/>
      <c r="I680" s="1393"/>
      <c r="J680" s="1393"/>
      <c r="K680" s="1393"/>
      <c r="L680" s="1393"/>
      <c r="M680" s="1393"/>
      <c r="N680" s="1393"/>
      <c r="O680" s="1393"/>
      <c r="P680" s="1393"/>
      <c r="Q680" s="1393"/>
      <c r="R680" s="1393"/>
      <c r="T680" s="22"/>
      <c r="U680" t="s">
        <v>18</v>
      </c>
      <c r="AA680" s="1393"/>
      <c r="AB680" s="1393"/>
      <c r="AC680" s="1393"/>
      <c r="AD680" s="1393"/>
      <c r="AE680" s="1393"/>
      <c r="AF680" s="1393"/>
      <c r="AG680" s="1393"/>
      <c r="AH680" s="1393"/>
      <c r="AI680" s="1393"/>
      <c r="AJ680" s="1393"/>
      <c r="AK680" s="1393"/>
      <c r="AZ680" s="3"/>
    </row>
    <row r="681" spans="1:52" ht="12.95" customHeight="1">
      <c r="A681" s="22"/>
      <c r="B681" t="s">
        <v>20</v>
      </c>
      <c r="N681" s="1379" t="s">
        <v>670</v>
      </c>
      <c r="O681" s="1379"/>
      <c r="T681" s="22"/>
      <c r="U681" t="s">
        <v>20</v>
      </c>
      <c r="AG681" s="1379" t="s">
        <v>670</v>
      </c>
      <c r="AH681" s="1379"/>
      <c r="AZ681" s="3"/>
    </row>
    <row r="682" spans="1:52" ht="12.95" customHeight="1">
      <c r="A682" s="22"/>
      <c r="T682" s="22"/>
      <c r="AZ682" s="3"/>
    </row>
    <row r="683" spans="1:52" ht="12.95" customHeight="1">
      <c r="A683" s="55" t="s">
        <v>362</v>
      </c>
      <c r="B683" t="s">
        <v>464</v>
      </c>
      <c r="G683" s="1471">
        <f>C637</f>
        <v>0</v>
      </c>
      <c r="H683" s="1471"/>
      <c r="I683" s="1471"/>
      <c r="J683" s="1471"/>
      <c r="K683" s="1471"/>
      <c r="L683" s="1471"/>
      <c r="M683" s="1471"/>
      <c r="N683" s="1471"/>
      <c r="O683" s="1471"/>
      <c r="P683" s="1471"/>
      <c r="Q683" s="1471"/>
      <c r="R683" s="1471"/>
      <c r="T683" s="55" t="s">
        <v>363</v>
      </c>
      <c r="U683" t="s">
        <v>464</v>
      </c>
      <c r="Z683" s="1471">
        <f>C638</f>
        <v>0</v>
      </c>
      <c r="AA683" s="1471"/>
      <c r="AB683" s="1471"/>
      <c r="AC683" s="1471"/>
      <c r="AD683" s="1471"/>
      <c r="AE683" s="1471"/>
      <c r="AF683" s="1471"/>
      <c r="AG683" s="1471"/>
      <c r="AH683" s="1471"/>
      <c r="AI683" s="1471"/>
      <c r="AJ683" s="1471"/>
      <c r="AK683" s="1471"/>
      <c r="AZ683" s="3"/>
    </row>
    <row r="684" spans="1:52" ht="12.95" customHeight="1">
      <c r="B684" t="s">
        <v>85</v>
      </c>
      <c r="G684" s="1393"/>
      <c r="H684" s="1393"/>
      <c r="I684" s="1393"/>
      <c r="J684" s="1393"/>
      <c r="K684" s="1393"/>
      <c r="L684" s="1393"/>
      <c r="M684" s="1393"/>
      <c r="N684" s="1393"/>
      <c r="O684" s="1393"/>
      <c r="P684" s="1393"/>
      <c r="Q684" s="1393"/>
      <c r="R684" s="1393"/>
      <c r="T684" s="22"/>
      <c r="U684" t="s">
        <v>85</v>
      </c>
      <c r="Z684" s="1393"/>
      <c r="AA684" s="1393"/>
      <c r="AB684" s="1393"/>
      <c r="AC684" s="1393"/>
      <c r="AD684" s="1393"/>
      <c r="AE684" s="1393"/>
      <c r="AF684" s="1393"/>
      <c r="AG684" s="1393"/>
      <c r="AH684" s="1393"/>
      <c r="AI684" s="1393"/>
      <c r="AJ684" s="1393"/>
      <c r="AK684" s="1393"/>
      <c r="AZ684" s="3"/>
    </row>
    <row r="685" spans="1:52" ht="12.95" customHeight="1">
      <c r="B685" t="s">
        <v>581</v>
      </c>
      <c r="G685" s="1393"/>
      <c r="H685" s="1393"/>
      <c r="I685" s="1393"/>
      <c r="J685" s="1393"/>
      <c r="K685" s="1393"/>
      <c r="L685" s="1393"/>
      <c r="M685" s="1393"/>
      <c r="N685" s="1393"/>
      <c r="O685" s="1393"/>
      <c r="P685" s="1393"/>
      <c r="Q685" s="1393"/>
      <c r="R685" s="1393"/>
      <c r="U685" t="s">
        <v>581</v>
      </c>
      <c r="Z685" s="1415"/>
      <c r="AA685" s="1415"/>
      <c r="AB685" s="1415"/>
      <c r="AC685" s="1415"/>
      <c r="AD685" s="1415"/>
      <c r="AE685" s="1415"/>
      <c r="AF685" s="1415"/>
      <c r="AG685" s="1415"/>
      <c r="AH685" s="1415"/>
      <c r="AI685" s="1415"/>
      <c r="AJ685" s="1415"/>
      <c r="AK685" s="1415"/>
      <c r="AZ685" s="3"/>
    </row>
    <row r="686" spans="1:52" ht="12.95" customHeight="1">
      <c r="B686" t="s">
        <v>17</v>
      </c>
      <c r="G686" s="1393"/>
      <c r="H686" s="1393"/>
      <c r="I686" s="1393"/>
      <c r="J686" s="1393"/>
      <c r="K686" s="1393"/>
      <c r="L686" s="1393"/>
      <c r="M686" s="1393"/>
      <c r="N686" s="1393"/>
      <c r="O686" s="1393"/>
      <c r="P686" s="1393"/>
      <c r="Q686" s="1393"/>
      <c r="R686" s="1393"/>
      <c r="U686" t="s">
        <v>17</v>
      </c>
      <c r="Z686" s="1415"/>
      <c r="AA686" s="1415"/>
      <c r="AB686" s="1415"/>
      <c r="AC686" s="1415"/>
      <c r="AD686" s="1415"/>
      <c r="AE686" s="1415"/>
      <c r="AF686" s="1415"/>
      <c r="AG686" s="1415"/>
      <c r="AH686" s="1415"/>
      <c r="AI686" s="1415"/>
      <c r="AJ686" s="1415"/>
      <c r="AK686" s="1415"/>
      <c r="AZ686" s="3"/>
    </row>
    <row r="687" spans="1:52" ht="12.95" customHeight="1">
      <c r="B687" t="s">
        <v>316</v>
      </c>
      <c r="G687" s="1472"/>
      <c r="H687" s="1472"/>
      <c r="I687" s="1472"/>
      <c r="J687" s="1472"/>
      <c r="K687" s="1472"/>
      <c r="L687" s="1472"/>
      <c r="O687" s="33" t="s">
        <v>206</v>
      </c>
      <c r="P687" s="1440"/>
      <c r="Q687" s="1440"/>
      <c r="R687" s="1440"/>
      <c r="U687" t="s">
        <v>316</v>
      </c>
      <c r="Z687" s="1472"/>
      <c r="AA687" s="1472"/>
      <c r="AB687" s="1472"/>
      <c r="AC687" s="1472"/>
      <c r="AD687" s="1472"/>
      <c r="AE687" s="1472"/>
      <c r="AH687" s="33" t="s">
        <v>206</v>
      </c>
      <c r="AI687" s="1440"/>
      <c r="AJ687" s="1440"/>
      <c r="AK687" s="1440"/>
      <c r="AZ687" s="3"/>
    </row>
    <row r="688" spans="1:52" ht="12.95" customHeight="1">
      <c r="B688" t="s">
        <v>18</v>
      </c>
      <c r="H688" s="1393"/>
      <c r="I688" s="1393"/>
      <c r="J688" s="1393"/>
      <c r="K688" s="1393"/>
      <c r="L688" s="1393"/>
      <c r="M688" s="1393"/>
      <c r="N688" s="1393"/>
      <c r="O688" s="1393"/>
      <c r="P688" s="1393"/>
      <c r="Q688" s="1393"/>
      <c r="R688" s="1393"/>
      <c r="U688" t="s">
        <v>18</v>
      </c>
      <c r="AA688" s="1393"/>
      <c r="AB688" s="1393"/>
      <c r="AC688" s="1393"/>
      <c r="AD688" s="1393"/>
      <c r="AE688" s="1393"/>
      <c r="AF688" s="1393"/>
      <c r="AG688" s="1393"/>
      <c r="AH688" s="1393"/>
      <c r="AI688" s="1393"/>
      <c r="AJ688" s="1393"/>
      <c r="AK688" s="1393"/>
      <c r="AZ688" s="3"/>
    </row>
    <row r="689" spans="1:67" ht="12.95" customHeight="1">
      <c r="B689" t="s">
        <v>20</v>
      </c>
      <c r="N689" s="1379" t="s">
        <v>670</v>
      </c>
      <c r="O689" s="1379"/>
      <c r="U689" t="s">
        <v>20</v>
      </c>
      <c r="AG689" s="1379" t="s">
        <v>670</v>
      </c>
      <c r="AH689" s="1379"/>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79" t="s">
        <v>670</v>
      </c>
      <c r="AF693" s="1379"/>
      <c r="AZ693" s="3"/>
    </row>
    <row r="694" spans="1:67" ht="12.95" customHeight="1">
      <c r="B694" s="135"/>
      <c r="C694" s="135"/>
      <c r="D694" s="136" t="s">
        <v>438</v>
      </c>
      <c r="E694" s="135"/>
      <c r="F694" s="135"/>
      <c r="G694" s="135"/>
      <c r="H694" s="135"/>
      <c r="AE694" s="1379" t="s">
        <v>670</v>
      </c>
      <c r="AF694" s="1379"/>
      <c r="AZ694" s="3"/>
    </row>
    <row r="695" spans="1:67" ht="12.95" customHeight="1">
      <c r="B695" s="135"/>
      <c r="C695" s="135"/>
      <c r="D695" s="136" t="s">
        <v>921</v>
      </c>
      <c r="E695" s="135"/>
      <c r="F695" s="135"/>
      <c r="G695" s="135"/>
      <c r="H695" s="135"/>
      <c r="AE695" s="1476">
        <v>45909</v>
      </c>
      <c r="AF695" s="1476"/>
      <c r="AG695" s="1476"/>
      <c r="AH695" s="1476"/>
      <c r="AI695" s="1476"/>
    </row>
    <row r="696" spans="1:67" ht="12.95" customHeight="1">
      <c r="B696" s="135"/>
      <c r="C696" s="135"/>
      <c r="D696" s="317" t="s">
        <v>984</v>
      </c>
      <c r="E696" s="135"/>
      <c r="F696" s="135"/>
      <c r="G696" s="135"/>
      <c r="H696" s="135"/>
      <c r="AE696" s="1651">
        <v>45980</v>
      </c>
      <c r="AF696" s="1651"/>
      <c r="AG696" s="1651"/>
      <c r="AH696" s="1651"/>
      <c r="AI696" s="1651"/>
    </row>
    <row r="697" spans="1:67" ht="12.95" customHeight="1">
      <c r="B697" s="135"/>
      <c r="C697" s="135"/>
    </row>
    <row r="698" spans="1:67" ht="12.95" customHeight="1">
      <c r="B698" s="135"/>
      <c r="C698" s="135"/>
      <c r="D698" s="136" t="s">
        <v>817</v>
      </c>
      <c r="E698" s="135"/>
      <c r="F698" s="135"/>
      <c r="G698" s="135"/>
      <c r="H698" s="135"/>
      <c r="AE698" s="1476">
        <v>46143</v>
      </c>
      <c r="AF698" s="1476"/>
      <c r="AG698" s="1476"/>
      <c r="AH698" s="1476"/>
      <c r="AI698" s="1476"/>
    </row>
    <row r="699" spans="1:67" ht="12.95" customHeight="1">
      <c r="B699" s="135"/>
      <c r="C699" s="135"/>
      <c r="D699" s="136" t="s">
        <v>436</v>
      </c>
      <c r="E699" s="135"/>
      <c r="F699" s="135"/>
      <c r="G699" s="135"/>
      <c r="H699" s="135"/>
      <c r="AE699" s="1671">
        <v>0.2898</v>
      </c>
      <c r="AF699" s="1671"/>
      <c r="AG699" s="1671"/>
      <c r="AH699" s="1671"/>
      <c r="AI699" s="1671"/>
    </row>
    <row r="700" spans="1:67" ht="12.95" customHeight="1">
      <c r="B700" s="135"/>
      <c r="C700" s="135"/>
      <c r="D700" s="136" t="s">
        <v>437</v>
      </c>
      <c r="E700" s="135"/>
      <c r="F700" s="135"/>
      <c r="G700" s="135"/>
      <c r="H700" s="135"/>
      <c r="W700" s="1471" t="str">
        <f>H335</f>
        <v>CMFA</v>
      </c>
      <c r="X700" s="1471"/>
      <c r="Y700" s="1471"/>
      <c r="Z700" s="1471"/>
      <c r="AA700" s="1471"/>
      <c r="AB700" s="1471"/>
      <c r="AC700" s="1471"/>
      <c r="AD700" s="1471"/>
      <c r="AE700" s="1471"/>
      <c r="AF700" s="1471"/>
      <c r="AG700" s="1471"/>
      <c r="AH700" s="1471"/>
      <c r="AI700" s="1471"/>
      <c r="AJ700" s="1471"/>
      <c r="AK700" s="147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79" t="s">
        <v>670</v>
      </c>
      <c r="AF702" s="1379"/>
      <c r="AZ702" s="4" t="s">
        <v>324</v>
      </c>
    </row>
    <row r="703" spans="1:67" ht="12.95" customHeight="1">
      <c r="B703" s="135"/>
      <c r="C703" s="135"/>
      <c r="D703" s="136" t="s">
        <v>443</v>
      </c>
      <c r="E703" s="135"/>
      <c r="F703" s="135"/>
      <c r="G703" s="135"/>
      <c r="H703" s="135"/>
      <c r="W703" s="1393"/>
      <c r="X703" s="1393"/>
      <c r="Y703" s="1393"/>
      <c r="Z703" s="1393"/>
      <c r="AA703" s="1393"/>
      <c r="AB703" s="1393"/>
      <c r="AC703" s="1393"/>
      <c r="AD703" s="1393"/>
      <c r="AE703" s="1393"/>
      <c r="AF703" s="1393"/>
      <c r="AG703" s="1393"/>
      <c r="AH703" s="1393"/>
      <c r="AI703" s="1393"/>
      <c r="AJ703" s="1393"/>
      <c r="AK703" s="1393"/>
      <c r="AZ703" s="4" t="s">
        <v>325</v>
      </c>
    </row>
    <row r="704" spans="1:67" ht="12.95" customHeight="1">
      <c r="B704" s="135"/>
      <c r="C704" s="135"/>
      <c r="D704" s="136" t="s">
        <v>87</v>
      </c>
      <c r="E704" s="135"/>
      <c r="F704" s="135"/>
      <c r="G704" s="135"/>
      <c r="H704" s="135"/>
      <c r="J704" s="1393"/>
      <c r="K704" s="1393"/>
      <c r="L704" s="1393"/>
      <c r="M704" s="1393"/>
      <c r="N704" s="1393"/>
      <c r="O704" s="1393"/>
      <c r="P704" s="1393"/>
      <c r="Q704" s="1393"/>
      <c r="R704" s="1393"/>
      <c r="S704" s="1393"/>
      <c r="T704" s="1393"/>
      <c r="U704" s="1393"/>
      <c r="V704" s="1393"/>
      <c r="W704" s="1393"/>
      <c r="X704" s="1393"/>
      <c r="AZ704" s="4" t="s">
        <v>163</v>
      </c>
      <c r="BB704" s="34"/>
      <c r="BC704" s="34"/>
      <c r="BD704" s="34"/>
      <c r="BE704" s="3"/>
      <c r="BF704" s="3"/>
      <c r="BJ704" s="3"/>
      <c r="BK704" s="3"/>
      <c r="BL704" s="3"/>
      <c r="BM704" s="3"/>
      <c r="BN704" s="34"/>
      <c r="BO704" s="34"/>
    </row>
    <row r="705" spans="1:185" ht="12.95" customHeight="1">
      <c r="B705" s="135"/>
      <c r="C705" s="135"/>
      <c r="D705" s="136" t="s">
        <v>88</v>
      </c>
      <c r="J705" s="1472"/>
      <c r="K705" s="1472"/>
      <c r="L705" s="1472"/>
      <c r="M705" s="1472"/>
      <c r="N705" s="1472"/>
      <c r="O705" s="1472"/>
      <c r="P705" s="4" t="s">
        <v>206</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93" t="s">
        <v>307</v>
      </c>
      <c r="X706" s="1393"/>
      <c r="Y706" s="1393"/>
      <c r="Z706" s="1393"/>
      <c r="AA706" s="1393"/>
      <c r="AB706" s="1393"/>
      <c r="AC706" s="1393"/>
      <c r="AD706" s="1393"/>
      <c r="AE706" s="1393"/>
      <c r="AF706" s="1393"/>
      <c r="AG706" s="1393"/>
      <c r="AH706" s="1393"/>
      <c r="AI706" s="1393"/>
      <c r="AJ706" s="1393"/>
      <c r="AK706" s="139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93" t="s">
        <v>334</v>
      </c>
      <c r="F707" s="1393"/>
      <c r="G707" s="1393"/>
      <c r="H707" s="1393"/>
      <c r="I707" s="1393"/>
      <c r="J707" s="1393"/>
      <c r="K707" s="1393"/>
      <c r="L707" s="1393"/>
      <c r="M707" s="1393"/>
      <c r="N707" s="1393"/>
      <c r="O707" s="1393"/>
      <c r="P707" s="1393"/>
      <c r="Q707" s="1393"/>
      <c r="R707" s="1393"/>
      <c r="S707" s="1393"/>
      <c r="T707" s="1393"/>
      <c r="U707" s="1393"/>
      <c r="V707" s="1393"/>
      <c r="W707" s="1393"/>
      <c r="X707" s="1393"/>
      <c r="Y707" s="1393"/>
      <c r="Z707" s="1393"/>
      <c r="AA707" s="1393"/>
      <c r="AB707" s="1393"/>
      <c r="AC707" s="1393"/>
      <c r="AD707" s="1393"/>
      <c r="AE707" s="1393"/>
      <c r="AF707" s="1393"/>
      <c r="AG707" s="1393"/>
      <c r="AH707" s="1393"/>
      <c r="AI707" s="1393"/>
      <c r="AJ707" s="1393"/>
      <c r="AK707" s="139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94" t="s">
        <v>389</v>
      </c>
      <c r="C714" s="1478"/>
      <c r="D714" s="1478"/>
      <c r="E714" s="1478"/>
      <c r="F714" s="1479"/>
      <c r="G714" s="1594" t="s">
        <v>285</v>
      </c>
      <c r="H714" s="1478"/>
      <c r="I714" s="1478"/>
      <c r="J714" s="1479"/>
      <c r="K714" s="1595" t="s">
        <v>1680</v>
      </c>
      <c r="L714" s="1596"/>
      <c r="M714" s="1596"/>
      <c r="N714" s="1597"/>
      <c r="O714" s="1594" t="s">
        <v>448</v>
      </c>
      <c r="P714" s="1478"/>
      <c r="Q714" s="1478"/>
      <c r="R714" s="1478"/>
      <c r="S714" s="1479"/>
      <c r="T714" s="1477" t="s">
        <v>1950</v>
      </c>
      <c r="U714" s="1478"/>
      <c r="V714" s="1478"/>
      <c r="W714" s="1479"/>
      <c r="X714" s="1477" t="s">
        <v>1952</v>
      </c>
      <c r="Y714" s="1478"/>
      <c r="Z714" s="1478"/>
      <c r="AA714" s="1478"/>
      <c r="AB714" s="1479"/>
      <c r="AC714" s="1477" t="s">
        <v>1951</v>
      </c>
      <c r="AD714" s="1478"/>
      <c r="AE714" s="1478"/>
      <c r="AF714" s="1478"/>
      <c r="AG714" s="1479"/>
      <c r="AH714" s="1477" t="s">
        <v>1953</v>
      </c>
      <c r="AI714" s="1478"/>
      <c r="AJ714" s="1479"/>
      <c r="AK714" s="1477" t="s">
        <v>1980</v>
      </c>
      <c r="AL714" s="1478"/>
      <c r="AM714" s="1478"/>
      <c r="AN714" s="1478"/>
      <c r="AO714" s="14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80"/>
      <c r="C715" s="1481"/>
      <c r="D715" s="1481"/>
      <c r="E715" s="1481"/>
      <c r="F715" s="1482"/>
      <c r="G715" s="1480"/>
      <c r="H715" s="1481"/>
      <c r="I715" s="1481"/>
      <c r="J715" s="1482"/>
      <c r="K715" s="1598"/>
      <c r="L715" s="1599"/>
      <c r="M715" s="1599"/>
      <c r="N715" s="1600"/>
      <c r="O715" s="1480"/>
      <c r="P715" s="1481"/>
      <c r="Q715" s="1481"/>
      <c r="R715" s="1481"/>
      <c r="S715" s="1482"/>
      <c r="T715" s="1480"/>
      <c r="U715" s="1481"/>
      <c r="V715" s="1481"/>
      <c r="W715" s="1482"/>
      <c r="X715" s="1480"/>
      <c r="Y715" s="1481"/>
      <c r="Z715" s="1481"/>
      <c r="AA715" s="1481"/>
      <c r="AB715" s="1482"/>
      <c r="AC715" s="1480"/>
      <c r="AD715" s="1481"/>
      <c r="AE715" s="1481"/>
      <c r="AF715" s="1481"/>
      <c r="AG715" s="1482"/>
      <c r="AH715" s="1480"/>
      <c r="AI715" s="1481"/>
      <c r="AJ715" s="1482"/>
      <c r="AK715" s="1480"/>
      <c r="AL715" s="1481"/>
      <c r="AM715" s="1481"/>
      <c r="AN715" s="1481"/>
      <c r="AO715" s="14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80"/>
      <c r="C716" s="1481"/>
      <c r="D716" s="1481"/>
      <c r="E716" s="1481"/>
      <c r="F716" s="1482"/>
      <c r="G716" s="1480"/>
      <c r="H716" s="1481"/>
      <c r="I716" s="1481"/>
      <c r="J716" s="1482"/>
      <c r="K716" s="1598"/>
      <c r="L716" s="1599"/>
      <c r="M716" s="1599"/>
      <c r="N716" s="1600"/>
      <c r="O716" s="1480"/>
      <c r="P716" s="1481"/>
      <c r="Q716" s="1481"/>
      <c r="R716" s="1481"/>
      <c r="S716" s="1482"/>
      <c r="T716" s="1480"/>
      <c r="U716" s="1481"/>
      <c r="V716" s="1481"/>
      <c r="W716" s="1482"/>
      <c r="X716" s="1480"/>
      <c r="Y716" s="1481"/>
      <c r="Z716" s="1481"/>
      <c r="AA716" s="1481"/>
      <c r="AB716" s="1482"/>
      <c r="AC716" s="1480"/>
      <c r="AD716" s="1481"/>
      <c r="AE716" s="1481"/>
      <c r="AF716" s="1481"/>
      <c r="AG716" s="1482"/>
      <c r="AH716" s="1480"/>
      <c r="AI716" s="1481"/>
      <c r="AJ716" s="1482"/>
      <c r="AK716" s="1480"/>
      <c r="AL716" s="1481"/>
      <c r="AM716" s="1481"/>
      <c r="AN716" s="1481"/>
      <c r="AO716" s="1482"/>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83"/>
      <c r="C717" s="1484"/>
      <c r="D717" s="1484"/>
      <c r="E717" s="1484"/>
      <c r="F717" s="1485"/>
      <c r="G717" s="1483"/>
      <c r="H717" s="1484"/>
      <c r="I717" s="1484"/>
      <c r="J717" s="1485"/>
      <c r="K717" s="1598"/>
      <c r="L717" s="1599"/>
      <c r="M717" s="1599"/>
      <c r="N717" s="1600"/>
      <c r="O717" s="1483"/>
      <c r="P717" s="1484"/>
      <c r="Q717" s="1484"/>
      <c r="R717" s="1484"/>
      <c r="S717" s="1485"/>
      <c r="T717" s="1483"/>
      <c r="U717" s="1484"/>
      <c r="V717" s="1484"/>
      <c r="W717" s="1485"/>
      <c r="X717" s="1483"/>
      <c r="Y717" s="1484"/>
      <c r="Z717" s="1484"/>
      <c r="AA717" s="1484"/>
      <c r="AB717" s="1485"/>
      <c r="AC717" s="1483"/>
      <c r="AD717" s="1484"/>
      <c r="AE717" s="1484"/>
      <c r="AF717" s="1484"/>
      <c r="AG717" s="1485"/>
      <c r="AH717" s="1483"/>
      <c r="AI717" s="1484"/>
      <c r="AJ717" s="1485"/>
      <c r="AK717" s="1483"/>
      <c r="AL717" s="1484"/>
      <c r="AM717" s="1484"/>
      <c r="AN717" s="1484"/>
      <c r="AO717" s="1485"/>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6"/>
      <c r="CJ717" s="1338"/>
      <c r="CK717" s="121" t="s">
        <v>476</v>
      </c>
      <c r="CL717" s="122"/>
      <c r="CM717" s="1336"/>
      <c r="CN717" s="1338"/>
      <c r="CO717" s="3"/>
      <c r="CP717" s="1738" t="s">
        <v>634</v>
      </c>
      <c r="CQ717" s="1739"/>
      <c r="CR717" s="1739"/>
      <c r="CS717" s="1739"/>
      <c r="CT717" s="1740"/>
      <c r="CU717" s="1473" t="s">
        <v>325</v>
      </c>
      <c r="CV717" s="1473"/>
      <c r="CW717" s="1473"/>
      <c r="CX717" s="1473"/>
      <c r="CY717" s="1473"/>
      <c r="CZ717" s="1473" t="s">
        <v>163</v>
      </c>
      <c r="DA717" s="1473"/>
      <c r="DB717" s="1473"/>
      <c r="DC717" s="1473"/>
      <c r="DD717" s="1473"/>
      <c r="DE717" s="1473" t="s">
        <v>164</v>
      </c>
      <c r="DF717" s="1473"/>
      <c r="DG717" s="1473"/>
      <c r="DH717" s="1473"/>
      <c r="DI717" s="1473"/>
      <c r="DJ717" s="1473" t="s">
        <v>461</v>
      </c>
      <c r="DK717" s="1473"/>
      <c r="DL717" s="1473"/>
      <c r="DM717" s="1473"/>
      <c r="DN717" s="1473"/>
      <c r="DO717" s="1473" t="s">
        <v>30</v>
      </c>
      <c r="DP717" s="1473"/>
      <c r="DQ717" s="1473"/>
      <c r="DR717" s="1473"/>
      <c r="DS717" s="1473"/>
      <c r="DT717" s="89"/>
      <c r="DU717" s="1473" t="s">
        <v>634</v>
      </c>
      <c r="DV717" s="1473"/>
      <c r="DW717" s="1473"/>
      <c r="DX717" s="1473"/>
      <c r="DY717" s="1473"/>
      <c r="DZ717" s="1473" t="s">
        <v>325</v>
      </c>
      <c r="EA717" s="1473"/>
      <c r="EB717" s="1473"/>
      <c r="EC717" s="1473"/>
      <c r="ED717" s="1473"/>
      <c r="EE717" s="1473" t="s">
        <v>163</v>
      </c>
      <c r="EF717" s="1473"/>
      <c r="EG717" s="1473"/>
      <c r="EH717" s="1473"/>
      <c r="EI717" s="1473"/>
      <c r="EJ717" s="1473" t="s">
        <v>164</v>
      </c>
      <c r="EK717" s="1473"/>
      <c r="EL717" s="1473"/>
      <c r="EM717" s="1473"/>
      <c r="EN717" s="1473"/>
      <c r="EO717" s="1473" t="s">
        <v>461</v>
      </c>
      <c r="EP717" s="1473"/>
      <c r="EQ717" s="1473"/>
      <c r="ER717" s="1473"/>
      <c r="ES717" s="1473"/>
      <c r="ET717" s="1473" t="s">
        <v>30</v>
      </c>
      <c r="EU717" s="1473"/>
      <c r="EV717" s="1473"/>
      <c r="EW717" s="1473"/>
      <c r="EX717" s="1473"/>
      <c r="EY717" s="4"/>
      <c r="EZ717" s="1473" t="s">
        <v>634</v>
      </c>
      <c r="FA717" s="1473"/>
      <c r="FB717" s="1473"/>
      <c r="FC717" s="1473"/>
      <c r="FD717" s="1473"/>
      <c r="FE717" s="1473" t="s">
        <v>325</v>
      </c>
      <c r="FF717" s="1473"/>
      <c r="FG717" s="1473"/>
      <c r="FH717" s="1473"/>
      <c r="FI717" s="1473"/>
      <c r="FJ717" s="1473" t="s">
        <v>163</v>
      </c>
      <c r="FK717" s="1473"/>
      <c r="FL717" s="1473"/>
      <c r="FM717" s="1473"/>
      <c r="FN717" s="1473"/>
      <c r="FO717" s="1473" t="s">
        <v>164</v>
      </c>
      <c r="FP717" s="1473"/>
      <c r="FQ717" s="1473"/>
      <c r="FR717" s="1473"/>
      <c r="FS717" s="1473"/>
      <c r="FT717" s="1473" t="s">
        <v>461</v>
      </c>
      <c r="FU717" s="1473"/>
      <c r="FV717" s="1473"/>
      <c r="FW717" s="1473"/>
      <c r="FX717" s="1473"/>
      <c r="FY717" s="1473" t="s">
        <v>30</v>
      </c>
      <c r="FZ717" s="1473"/>
      <c r="GA717" s="1473"/>
      <c r="GB717" s="1473"/>
      <c r="GC717" s="1473"/>
    </row>
    <row r="718" spans="1:185" ht="12.95" customHeight="1">
      <c r="A718" s="4"/>
      <c r="B718" s="1362" t="s">
        <v>325</v>
      </c>
      <c r="C718" s="1363"/>
      <c r="D718" s="1363"/>
      <c r="E718" s="1363"/>
      <c r="F718" s="1364"/>
      <c r="G718" s="1585">
        <v>9</v>
      </c>
      <c r="H718" s="1586"/>
      <c r="I718" s="1586"/>
      <c r="J718" s="1587"/>
      <c r="K718" s="1359">
        <v>522</v>
      </c>
      <c r="L718" s="1360"/>
      <c r="M718" s="1360"/>
      <c r="N718" s="1361"/>
      <c r="O718" s="1356">
        <f>708-12</f>
        <v>696</v>
      </c>
      <c r="P718" s="1357"/>
      <c r="Q718" s="1357"/>
      <c r="R718" s="1357"/>
      <c r="S718" s="1358"/>
      <c r="T718" s="1356">
        <v>12</v>
      </c>
      <c r="U718" s="1357"/>
      <c r="V718" s="1357"/>
      <c r="W718" s="1358"/>
      <c r="X718" s="1365">
        <f t="shared" ref="X718:X741" si="8">O718+T718</f>
        <v>708</v>
      </c>
      <c r="Y718" s="1366"/>
      <c r="Z718" s="1366"/>
      <c r="AA718" s="1366"/>
      <c r="AB718" s="1367"/>
      <c r="AC718" s="1369">
        <v>0.3</v>
      </c>
      <c r="AD718" s="1370"/>
      <c r="AE718" s="1370"/>
      <c r="AF718" s="1370"/>
      <c r="AG718" s="1371"/>
      <c r="AH718" s="1372">
        <f>IF($AC718&gt;0,($X718/$AZ718), "")</f>
        <v>0.29974597798475866</v>
      </c>
      <c r="AI718" s="1373"/>
      <c r="AJ718" s="1374"/>
      <c r="AK718" s="1362" t="s">
        <v>1044</v>
      </c>
      <c r="AL718" s="1363"/>
      <c r="AM718" s="1363"/>
      <c r="AN718" s="1363"/>
      <c r="AO718" s="1364"/>
      <c r="AP718" s="3"/>
      <c r="AQ718" s="3"/>
      <c r="AR718" s="3"/>
      <c r="AS718" s="3"/>
      <c r="AZ718" s="118">
        <f t="shared" ref="AZ718:AZ752" si="9">IF($G718=0,"N/A",VLOOKUP($T$189,TC_Rent,(MATCH($B718,bedrooms,FALSE)),FALSE))</f>
        <v>2362</v>
      </c>
      <c r="BA718" s="3"/>
      <c r="BB718" s="3"/>
      <c r="BC718" s="3"/>
      <c r="BD718" s="3"/>
      <c r="BE718" s="204"/>
      <c r="BF718" s="293">
        <f t="shared" ref="BF718:BF752" si="10">G718</f>
        <v>9</v>
      </c>
      <c r="BG718" s="297">
        <f t="shared" ref="BG718:BG752" si="11">IF($BF$753=0,0,BF718/$BF$753)</f>
        <v>5.9602649006622516E-2</v>
      </c>
      <c r="BH718" s="298">
        <f t="shared" ref="BH718:BH752" si="12">IF(BG718=0,"",BG718*AC718)</f>
        <v>1.7880794701986755E-2</v>
      </c>
      <c r="BI718" s="3"/>
      <c r="BJ718" s="3"/>
      <c r="BK718" s="3"/>
      <c r="BL718" s="3"/>
      <c r="BM718" s="3"/>
      <c r="BN718" s="3"/>
      <c r="BS718" s="293">
        <f t="shared" ref="BS718:BS752" si="13">G718</f>
        <v>9</v>
      </c>
      <c r="BT718" s="297">
        <f t="shared" ref="BT718:BT752" si="14">IF($BS$753=0,0,BS718/$BS$753)</f>
        <v>5.9602649006622516E-2</v>
      </c>
      <c r="BU718" s="298">
        <f t="shared" ref="BU718:BU752" si="15">IF(BT718=0,"",BT718*AH718)</f>
        <v>1.786565431697237E-2</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9</v>
      </c>
      <c r="CN718" s="1338"/>
      <c r="CO718" s="3"/>
      <c r="CP718" s="1333">
        <f t="shared" ref="CP718:CP752" si="18">IF(B718="SRO/Studio",G718,0)</f>
        <v>0</v>
      </c>
      <c r="CQ718" s="1334"/>
      <c r="CR718" s="1334"/>
      <c r="CS718" s="1334"/>
      <c r="CT718" s="1335"/>
      <c r="CU718" s="1355">
        <f t="shared" ref="CU718:CU752" si="19">IF(B718="1 Bedroom",G718,0)</f>
        <v>9</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77">
        <f t="shared" ref="DU718:DU752" si="24">IF(AND(B718="SRO/Studio",AC718&lt;=0.3),G718,0)</f>
        <v>0</v>
      </c>
      <c r="DV718" s="1377"/>
      <c r="DW718" s="1377"/>
      <c r="DX718" s="1377"/>
      <c r="DY718" s="1377"/>
      <c r="DZ718" s="1377">
        <f t="shared" ref="DZ718:DZ752" si="25">IF(AND(B718="1 Bedroom",AC718&lt;=0.3),G718,0)</f>
        <v>9</v>
      </c>
      <c r="EA718" s="1377"/>
      <c r="EB718" s="1377"/>
      <c r="EC718" s="1377"/>
      <c r="ED718" s="1377"/>
      <c r="EE718" s="1377">
        <f t="shared" ref="EE718:EE752" si="26">IF(AND(B718="2 Bedrooms",AC718&lt;=0.3),G718,0)</f>
        <v>0</v>
      </c>
      <c r="EF718" s="1377"/>
      <c r="EG718" s="1377"/>
      <c r="EH718" s="1377"/>
      <c r="EI718" s="1377"/>
      <c r="EJ718" s="1377">
        <f t="shared" ref="EJ718:EJ752" si="27">IF(AND(B718="3 Bedrooms",AC718&lt;=0.3),G718,0)</f>
        <v>0</v>
      </c>
      <c r="EK718" s="1377"/>
      <c r="EL718" s="1377"/>
      <c r="EM718" s="1377"/>
      <c r="EN718" s="1377"/>
      <c r="EO718" s="1377">
        <f t="shared" ref="EO718:EO752" si="28">IF(AND(B718="4 Bedrooms",AC718&lt;=0.3),G718,0)</f>
        <v>0</v>
      </c>
      <c r="EP718" s="1377"/>
      <c r="EQ718" s="1377"/>
      <c r="ER718" s="1377"/>
      <c r="ES718" s="1377"/>
      <c r="ET718" s="1377">
        <f t="shared" ref="ET718:ET752" si="29">IF(AND(B718="5 Bedrooms",AC718&lt;=0.3),G718,0)</f>
        <v>0</v>
      </c>
      <c r="EU718" s="1377"/>
      <c r="EV718" s="1377"/>
      <c r="EW718" s="1377"/>
      <c r="EX718" s="1377"/>
      <c r="EY718" s="4"/>
      <c r="EZ718" s="1352" t="str">
        <f t="shared" ref="EZ718:EZ752" si="30">IF(CP718&gt;0,O718,"")</f>
        <v/>
      </c>
      <c r="FA718" s="1353"/>
      <c r="FB718" s="1353"/>
      <c r="FC718" s="1353"/>
      <c r="FD718" s="1354"/>
      <c r="FE718" s="1352">
        <f t="shared" ref="FE718:FE752" si="31">IF(CU718&gt;0,O718,"")</f>
        <v>696</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5" customHeight="1">
      <c r="A719" s="4"/>
      <c r="B719" s="1362" t="s">
        <v>325</v>
      </c>
      <c r="C719" s="1363"/>
      <c r="D719" s="1363"/>
      <c r="E719" s="1363"/>
      <c r="F719" s="1364"/>
      <c r="G719" s="1585">
        <v>5</v>
      </c>
      <c r="H719" s="1586"/>
      <c r="I719" s="1586"/>
      <c r="J719" s="1587"/>
      <c r="K719" s="1359">
        <v>522</v>
      </c>
      <c r="L719" s="1360"/>
      <c r="M719" s="1360"/>
      <c r="N719" s="1361"/>
      <c r="O719" s="1356">
        <f>1181-12</f>
        <v>1169</v>
      </c>
      <c r="P719" s="1357"/>
      <c r="Q719" s="1357"/>
      <c r="R719" s="1357"/>
      <c r="S719" s="1358"/>
      <c r="T719" s="1356">
        <v>12</v>
      </c>
      <c r="U719" s="1357"/>
      <c r="V719" s="1357"/>
      <c r="W719" s="1358"/>
      <c r="X719" s="1365">
        <f t="shared" si="8"/>
        <v>1181</v>
      </c>
      <c r="Y719" s="1366"/>
      <c r="Z719" s="1366"/>
      <c r="AA719" s="1366"/>
      <c r="AB719" s="1367"/>
      <c r="AC719" s="1369">
        <v>0.5</v>
      </c>
      <c r="AD719" s="1370"/>
      <c r="AE719" s="1370"/>
      <c r="AF719" s="1370"/>
      <c r="AG719" s="1371"/>
      <c r="AH719" s="1372">
        <f t="shared" ref="AH719:AH752" si="36">IF($AC719&gt;0,($X719/$AZ719), "")</f>
        <v>0.5</v>
      </c>
      <c r="AI719" s="1373"/>
      <c r="AJ719" s="1374"/>
      <c r="AK719" s="1362" t="s">
        <v>592</v>
      </c>
      <c r="AL719" s="1363"/>
      <c r="AM719" s="1363"/>
      <c r="AN719" s="1363"/>
      <c r="AO719" s="1364"/>
      <c r="AP719" s="3"/>
      <c r="AQ719" s="3"/>
      <c r="AR719" s="3"/>
      <c r="AS719" s="3"/>
      <c r="AZ719" s="118">
        <f t="shared" si="9"/>
        <v>2362</v>
      </c>
      <c r="BA719" s="3"/>
      <c r="BB719" s="3"/>
      <c r="BC719" s="3"/>
      <c r="BD719" s="3"/>
      <c r="BE719" s="204"/>
      <c r="BF719" s="294">
        <f t="shared" si="10"/>
        <v>5</v>
      </c>
      <c r="BG719" s="297">
        <f t="shared" si="11"/>
        <v>3.3112582781456956E-2</v>
      </c>
      <c r="BH719" s="298">
        <f t="shared" si="12"/>
        <v>1.6556291390728478E-2</v>
      </c>
      <c r="BI719" s="3"/>
      <c r="BJ719" s="3"/>
      <c r="BK719" s="3"/>
      <c r="BL719" s="3"/>
      <c r="BM719" s="3"/>
      <c r="BN719" s="3"/>
      <c r="BS719" s="294">
        <f t="shared" si="13"/>
        <v>5</v>
      </c>
      <c r="BT719" s="297">
        <f t="shared" si="14"/>
        <v>3.3112582781456956E-2</v>
      </c>
      <c r="BU719" s="298">
        <f t="shared" si="15"/>
        <v>1.6556291390728478E-2</v>
      </c>
      <c r="CC719" s="3"/>
      <c r="CD719" s="3"/>
      <c r="CE719" s="3"/>
      <c r="CF719" s="3"/>
      <c r="CG719" s="1352">
        <f t="shared" ref="CG719:CG752" si="37">IF(AND(AC719&lt;=0.5,AC719&gt;=0.36),1,0)</f>
        <v>1</v>
      </c>
      <c r="CH719" s="1354"/>
      <c r="CI719" s="1336">
        <f t="shared" ref="CI719:CI752" si="38">IF(CG719=1,G719,0)</f>
        <v>5</v>
      </c>
      <c r="CJ719" s="1338"/>
      <c r="CK719" s="1352">
        <f t="shared" si="16"/>
        <v>0</v>
      </c>
      <c r="CL719" s="1354"/>
      <c r="CM719" s="1336">
        <f t="shared" si="17"/>
        <v>0</v>
      </c>
      <c r="CN719" s="1338"/>
      <c r="CO719" s="3"/>
      <c r="CP719" s="1333">
        <f t="shared" si="18"/>
        <v>0</v>
      </c>
      <c r="CQ719" s="1334"/>
      <c r="CR719" s="1334"/>
      <c r="CS719" s="1334"/>
      <c r="CT719" s="1335"/>
      <c r="CU719" s="1355">
        <f t="shared" si="19"/>
        <v>5</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77">
        <f t="shared" si="24"/>
        <v>0</v>
      </c>
      <c r="DV719" s="1377"/>
      <c r="DW719" s="1377"/>
      <c r="DX719" s="1377"/>
      <c r="DY719" s="1377"/>
      <c r="DZ719" s="1377">
        <f t="shared" si="25"/>
        <v>0</v>
      </c>
      <c r="EA719" s="1377"/>
      <c r="EB719" s="1377"/>
      <c r="EC719" s="1377"/>
      <c r="ED719" s="1377"/>
      <c r="EE719" s="1377">
        <f t="shared" si="26"/>
        <v>0</v>
      </c>
      <c r="EF719" s="1377"/>
      <c r="EG719" s="1377"/>
      <c r="EH719" s="1377"/>
      <c r="EI719" s="1377"/>
      <c r="EJ719" s="1377">
        <f t="shared" si="27"/>
        <v>0</v>
      </c>
      <c r="EK719" s="1377"/>
      <c r="EL719" s="1377"/>
      <c r="EM719" s="1377"/>
      <c r="EN719" s="1377"/>
      <c r="EO719" s="1377">
        <f t="shared" si="28"/>
        <v>0</v>
      </c>
      <c r="EP719" s="1377"/>
      <c r="EQ719" s="1377"/>
      <c r="ER719" s="1377"/>
      <c r="ES719" s="1377"/>
      <c r="ET719" s="1377">
        <f t="shared" si="29"/>
        <v>0</v>
      </c>
      <c r="EU719" s="1377"/>
      <c r="EV719" s="1377"/>
      <c r="EW719" s="1377"/>
      <c r="EX719" s="1377"/>
      <c r="EY719" s="4"/>
      <c r="EZ719" s="1352" t="str">
        <f t="shared" si="30"/>
        <v/>
      </c>
      <c r="FA719" s="1353"/>
      <c r="FB719" s="1353"/>
      <c r="FC719" s="1353"/>
      <c r="FD719" s="1354"/>
      <c r="FE719" s="1352">
        <f t="shared" si="31"/>
        <v>1169</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5" customHeight="1">
      <c r="A720" s="4"/>
      <c r="B720" s="1362" t="s">
        <v>325</v>
      </c>
      <c r="C720" s="1363"/>
      <c r="D720" s="1363"/>
      <c r="E720" s="1363"/>
      <c r="F720" s="1364"/>
      <c r="G720" s="1585">
        <v>8</v>
      </c>
      <c r="H720" s="1586"/>
      <c r="I720" s="1586"/>
      <c r="J720" s="1587"/>
      <c r="K720" s="1359">
        <v>522</v>
      </c>
      <c r="L720" s="1360"/>
      <c r="M720" s="1360"/>
      <c r="N720" s="1361"/>
      <c r="O720" s="1356">
        <f>1407-12</f>
        <v>1395</v>
      </c>
      <c r="P720" s="1357"/>
      <c r="Q720" s="1357"/>
      <c r="R720" s="1357"/>
      <c r="S720" s="1358"/>
      <c r="T720" s="1356">
        <v>12</v>
      </c>
      <c r="U720" s="1357"/>
      <c r="V720" s="1357"/>
      <c r="W720" s="1358"/>
      <c r="X720" s="1365">
        <f t="shared" si="8"/>
        <v>1407</v>
      </c>
      <c r="Y720" s="1366"/>
      <c r="Z720" s="1366"/>
      <c r="AA720" s="1366"/>
      <c r="AB720" s="1367"/>
      <c r="AC720" s="1369">
        <v>0.6</v>
      </c>
      <c r="AD720" s="1370"/>
      <c r="AE720" s="1370"/>
      <c r="AF720" s="1370"/>
      <c r="AG720" s="1371"/>
      <c r="AH720" s="1372">
        <f t="shared" si="36"/>
        <v>0.59568162574089756</v>
      </c>
      <c r="AI720" s="1373"/>
      <c r="AJ720" s="1374"/>
      <c r="AK720" s="1362" t="s">
        <v>592</v>
      </c>
      <c r="AL720" s="1363"/>
      <c r="AM720" s="1363"/>
      <c r="AN720" s="1363"/>
      <c r="AO720" s="1364"/>
      <c r="AP720" s="3"/>
      <c r="AQ720" s="3"/>
      <c r="AR720" s="3"/>
      <c r="AS720" s="3"/>
      <c r="AZ720" s="118">
        <f t="shared" si="9"/>
        <v>2362</v>
      </c>
      <c r="BA720" s="3"/>
      <c r="BB720" s="3"/>
      <c r="BC720" s="3"/>
      <c r="BD720" s="3"/>
      <c r="BE720" s="204"/>
      <c r="BF720" s="294">
        <f t="shared" si="10"/>
        <v>8</v>
      </c>
      <c r="BG720" s="297">
        <f t="shared" si="11"/>
        <v>5.2980132450331126E-2</v>
      </c>
      <c r="BH720" s="298">
        <f t="shared" si="12"/>
        <v>3.1788079470198675E-2</v>
      </c>
      <c r="BI720" s="3"/>
      <c r="BJ720" s="3"/>
      <c r="BK720" s="3"/>
      <c r="BL720" s="3"/>
      <c r="BM720" s="3"/>
      <c r="BN720" s="3"/>
      <c r="BS720" s="294">
        <f t="shared" si="13"/>
        <v>8</v>
      </c>
      <c r="BT720" s="297">
        <f t="shared" si="14"/>
        <v>5.2980132450331126E-2</v>
      </c>
      <c r="BU720" s="298">
        <f t="shared" si="15"/>
        <v>3.1559291429981325E-2</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8</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77">
        <f t="shared" si="24"/>
        <v>0</v>
      </c>
      <c r="DV720" s="1377"/>
      <c r="DW720" s="1377"/>
      <c r="DX720" s="1377"/>
      <c r="DY720" s="1377"/>
      <c r="DZ720" s="1377">
        <f t="shared" si="25"/>
        <v>0</v>
      </c>
      <c r="EA720" s="1377"/>
      <c r="EB720" s="1377"/>
      <c r="EC720" s="1377"/>
      <c r="ED720" s="1377"/>
      <c r="EE720" s="1377">
        <f t="shared" si="26"/>
        <v>0</v>
      </c>
      <c r="EF720" s="1377"/>
      <c r="EG720" s="1377"/>
      <c r="EH720" s="1377"/>
      <c r="EI720" s="1377"/>
      <c r="EJ720" s="1377">
        <f t="shared" si="27"/>
        <v>0</v>
      </c>
      <c r="EK720" s="1377"/>
      <c r="EL720" s="1377"/>
      <c r="EM720" s="1377"/>
      <c r="EN720" s="1377"/>
      <c r="EO720" s="1377">
        <f t="shared" si="28"/>
        <v>0</v>
      </c>
      <c r="EP720" s="1377"/>
      <c r="EQ720" s="1377"/>
      <c r="ER720" s="1377"/>
      <c r="ES720" s="1377"/>
      <c r="ET720" s="1377">
        <f t="shared" si="29"/>
        <v>0</v>
      </c>
      <c r="EU720" s="1377"/>
      <c r="EV720" s="1377"/>
      <c r="EW720" s="1377"/>
      <c r="EX720" s="1377"/>
      <c r="EZ720" s="1352" t="str">
        <f t="shared" si="30"/>
        <v/>
      </c>
      <c r="FA720" s="1353"/>
      <c r="FB720" s="1353"/>
      <c r="FC720" s="1353"/>
      <c r="FD720" s="1354"/>
      <c r="FE720" s="1352">
        <f t="shared" si="31"/>
        <v>1395</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5" customHeight="1">
      <c r="B721" s="1362" t="s">
        <v>163</v>
      </c>
      <c r="C721" s="1363"/>
      <c r="D721" s="1363"/>
      <c r="E721" s="1363"/>
      <c r="F721" s="1364"/>
      <c r="G721" s="1585">
        <v>10</v>
      </c>
      <c r="H721" s="1586"/>
      <c r="I721" s="1586"/>
      <c r="J721" s="1587"/>
      <c r="K721" s="1359">
        <v>795</v>
      </c>
      <c r="L721" s="1360"/>
      <c r="M721" s="1360"/>
      <c r="N721" s="1361"/>
      <c r="O721" s="1356">
        <f>849-12</f>
        <v>837</v>
      </c>
      <c r="P721" s="1357"/>
      <c r="Q721" s="1357"/>
      <c r="R721" s="1357"/>
      <c r="S721" s="1358"/>
      <c r="T721" s="1356">
        <v>12</v>
      </c>
      <c r="U721" s="1357"/>
      <c r="V721" s="1357"/>
      <c r="W721" s="1358"/>
      <c r="X721" s="1365">
        <f t="shared" si="8"/>
        <v>849</v>
      </c>
      <c r="Y721" s="1366"/>
      <c r="Z721" s="1366"/>
      <c r="AA721" s="1366"/>
      <c r="AB721" s="1367"/>
      <c r="AC721" s="1369">
        <v>0.3</v>
      </c>
      <c r="AD721" s="1370"/>
      <c r="AE721" s="1370"/>
      <c r="AF721" s="1370"/>
      <c r="AG721" s="1371"/>
      <c r="AH721" s="1372">
        <f t="shared" si="36"/>
        <v>0.29978813559322032</v>
      </c>
      <c r="AI721" s="1373"/>
      <c r="AJ721" s="1374"/>
      <c r="AK721" s="1362" t="s">
        <v>1044</v>
      </c>
      <c r="AL721" s="1363"/>
      <c r="AM721" s="1363"/>
      <c r="AN721" s="1363"/>
      <c r="AO721" s="1364"/>
      <c r="AP721" s="3"/>
      <c r="AQ721" s="3"/>
      <c r="AR721" s="3"/>
      <c r="AS721" s="3"/>
      <c r="AY721" s="116"/>
      <c r="AZ721" s="118">
        <f t="shared" si="9"/>
        <v>2832</v>
      </c>
      <c r="BA721" s="3"/>
      <c r="BB721" s="3"/>
      <c r="BC721" s="3"/>
      <c r="BD721" s="3"/>
      <c r="BE721" s="204"/>
      <c r="BF721" s="294">
        <f t="shared" si="10"/>
        <v>10</v>
      </c>
      <c r="BG721" s="297">
        <f t="shared" si="11"/>
        <v>6.6225165562913912E-2</v>
      </c>
      <c r="BH721" s="298">
        <f t="shared" si="12"/>
        <v>1.9867549668874173E-2</v>
      </c>
      <c r="BI721" s="3"/>
      <c r="BJ721" s="3"/>
      <c r="BK721" s="3"/>
      <c r="BL721" s="3"/>
      <c r="BM721" s="3"/>
      <c r="BN721" s="3"/>
      <c r="BS721" s="294">
        <f t="shared" si="13"/>
        <v>10</v>
      </c>
      <c r="BT721" s="297">
        <f t="shared" si="14"/>
        <v>6.6225165562913912E-2</v>
      </c>
      <c r="BU721" s="298">
        <f t="shared" si="15"/>
        <v>1.9853518913458299E-2</v>
      </c>
      <c r="CC721" s="3"/>
      <c r="CD721" s="3"/>
      <c r="CE721" s="3"/>
      <c r="CF721" s="3"/>
      <c r="CG721" s="1352">
        <f t="shared" si="37"/>
        <v>0</v>
      </c>
      <c r="CH721" s="1354"/>
      <c r="CI721" s="1336">
        <f t="shared" si="38"/>
        <v>0</v>
      </c>
      <c r="CJ721" s="1338"/>
      <c r="CK721" s="1352">
        <f t="shared" si="16"/>
        <v>1</v>
      </c>
      <c r="CL721" s="1354"/>
      <c r="CM721" s="1336">
        <f t="shared" si="17"/>
        <v>10</v>
      </c>
      <c r="CN721" s="1338"/>
      <c r="CO721" s="3"/>
      <c r="CP721" s="1333">
        <f t="shared" si="18"/>
        <v>0</v>
      </c>
      <c r="CQ721" s="1334"/>
      <c r="CR721" s="1334"/>
      <c r="CS721" s="1334"/>
      <c r="CT721" s="1335"/>
      <c r="CU721" s="1355">
        <f t="shared" si="19"/>
        <v>0</v>
      </c>
      <c r="CV721" s="1355"/>
      <c r="CW721" s="1355"/>
      <c r="CX721" s="1355"/>
      <c r="CY721" s="1355"/>
      <c r="CZ721" s="1355">
        <f t="shared" si="20"/>
        <v>10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77">
        <f t="shared" si="24"/>
        <v>0</v>
      </c>
      <c r="DV721" s="1377"/>
      <c r="DW721" s="1377"/>
      <c r="DX721" s="1377"/>
      <c r="DY721" s="1377"/>
      <c r="DZ721" s="1377">
        <f t="shared" si="25"/>
        <v>0</v>
      </c>
      <c r="EA721" s="1377"/>
      <c r="EB721" s="1377"/>
      <c r="EC721" s="1377"/>
      <c r="ED721" s="1377"/>
      <c r="EE721" s="1377">
        <f t="shared" si="26"/>
        <v>10</v>
      </c>
      <c r="EF721" s="1377"/>
      <c r="EG721" s="1377"/>
      <c r="EH721" s="1377"/>
      <c r="EI721" s="1377"/>
      <c r="EJ721" s="1377">
        <f t="shared" si="27"/>
        <v>0</v>
      </c>
      <c r="EK721" s="1377"/>
      <c r="EL721" s="1377"/>
      <c r="EM721" s="1377"/>
      <c r="EN721" s="1377"/>
      <c r="EO721" s="1377">
        <f t="shared" si="28"/>
        <v>0</v>
      </c>
      <c r="EP721" s="1377"/>
      <c r="EQ721" s="1377"/>
      <c r="ER721" s="1377"/>
      <c r="ES721" s="1377"/>
      <c r="ET721" s="1377">
        <f t="shared" si="29"/>
        <v>0</v>
      </c>
      <c r="EU721" s="1377"/>
      <c r="EV721" s="1377"/>
      <c r="EW721" s="1377"/>
      <c r="EX721" s="1377"/>
      <c r="EZ721" s="1352" t="str">
        <f t="shared" si="30"/>
        <v/>
      </c>
      <c r="FA721" s="1353"/>
      <c r="FB721" s="1353"/>
      <c r="FC721" s="1353"/>
      <c r="FD721" s="1354"/>
      <c r="FE721" s="1352" t="str">
        <f t="shared" si="31"/>
        <v/>
      </c>
      <c r="FF721" s="1353"/>
      <c r="FG721" s="1353"/>
      <c r="FH721" s="1353"/>
      <c r="FI721" s="1354"/>
      <c r="FJ721" s="1352">
        <f t="shared" si="32"/>
        <v>837</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5" customHeight="1">
      <c r="B722" s="1362" t="s">
        <v>163</v>
      </c>
      <c r="C722" s="1363"/>
      <c r="D722" s="1363"/>
      <c r="E722" s="1363"/>
      <c r="F722" s="1364"/>
      <c r="G722" s="1585">
        <v>7</v>
      </c>
      <c r="H722" s="1586"/>
      <c r="I722" s="1586"/>
      <c r="J722" s="1587"/>
      <c r="K722" s="1359">
        <v>795</v>
      </c>
      <c r="L722" s="1360"/>
      <c r="M722" s="1360"/>
      <c r="N722" s="1361"/>
      <c r="O722" s="1356">
        <f>1416-12</f>
        <v>1404</v>
      </c>
      <c r="P722" s="1357"/>
      <c r="Q722" s="1357"/>
      <c r="R722" s="1357"/>
      <c r="S722" s="1358"/>
      <c r="T722" s="1356">
        <v>12</v>
      </c>
      <c r="U722" s="1357"/>
      <c r="V722" s="1357"/>
      <c r="W722" s="1358"/>
      <c r="X722" s="1365">
        <f t="shared" si="8"/>
        <v>1416</v>
      </c>
      <c r="Y722" s="1366"/>
      <c r="Z722" s="1366"/>
      <c r="AA722" s="1366"/>
      <c r="AB722" s="1367"/>
      <c r="AC722" s="1369">
        <v>0.5</v>
      </c>
      <c r="AD722" s="1370"/>
      <c r="AE722" s="1370"/>
      <c r="AF722" s="1370"/>
      <c r="AG722" s="1371"/>
      <c r="AH722" s="1372">
        <f t="shared" si="36"/>
        <v>0.5</v>
      </c>
      <c r="AI722" s="1373"/>
      <c r="AJ722" s="1374"/>
      <c r="AK722" s="1362" t="s">
        <v>592</v>
      </c>
      <c r="AL722" s="1363"/>
      <c r="AM722" s="1363"/>
      <c r="AN722" s="1363"/>
      <c r="AO722" s="1364"/>
      <c r="AP722" s="3"/>
      <c r="AQ722" s="3"/>
      <c r="AR722" s="3"/>
      <c r="AS722" s="3"/>
      <c r="AY722" s="116"/>
      <c r="AZ722" s="118">
        <f t="shared" si="9"/>
        <v>2832</v>
      </c>
      <c r="BA722" s="3"/>
      <c r="BB722" s="3"/>
      <c r="BC722" s="3"/>
      <c r="BD722" s="3"/>
      <c r="BE722" s="204"/>
      <c r="BF722" s="294">
        <f t="shared" si="10"/>
        <v>7</v>
      </c>
      <c r="BG722" s="297">
        <f t="shared" si="11"/>
        <v>4.6357615894039736E-2</v>
      </c>
      <c r="BH722" s="298">
        <f t="shared" si="12"/>
        <v>2.3178807947019868E-2</v>
      </c>
      <c r="BI722" s="3"/>
      <c r="BJ722" s="3"/>
      <c r="BK722" s="3"/>
      <c r="BL722" s="3"/>
      <c r="BM722" s="3"/>
      <c r="BN722" s="3"/>
      <c r="BS722" s="294">
        <f t="shared" si="13"/>
        <v>7</v>
      </c>
      <c r="BT722" s="297">
        <f t="shared" si="14"/>
        <v>4.6357615894039736E-2</v>
      </c>
      <c r="BU722" s="298">
        <f t="shared" si="15"/>
        <v>2.3178807947019868E-2</v>
      </c>
      <c r="CC722" s="3"/>
      <c r="CD722" s="3"/>
      <c r="CE722" s="3"/>
      <c r="CF722" s="3"/>
      <c r="CG722" s="1352">
        <f t="shared" si="37"/>
        <v>1</v>
      </c>
      <c r="CH722" s="1354"/>
      <c r="CI722" s="1336">
        <f t="shared" si="38"/>
        <v>7</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7</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77">
        <f t="shared" si="24"/>
        <v>0</v>
      </c>
      <c r="DV722" s="1377"/>
      <c r="DW722" s="1377"/>
      <c r="DX722" s="1377"/>
      <c r="DY722" s="1377"/>
      <c r="DZ722" s="1377">
        <f t="shared" si="25"/>
        <v>0</v>
      </c>
      <c r="EA722" s="1377"/>
      <c r="EB722" s="1377"/>
      <c r="EC722" s="1377"/>
      <c r="ED722" s="1377"/>
      <c r="EE722" s="1377">
        <f t="shared" si="26"/>
        <v>0</v>
      </c>
      <c r="EF722" s="1377"/>
      <c r="EG722" s="1377"/>
      <c r="EH722" s="1377"/>
      <c r="EI722" s="1377"/>
      <c r="EJ722" s="1377">
        <f t="shared" si="27"/>
        <v>0</v>
      </c>
      <c r="EK722" s="1377"/>
      <c r="EL722" s="1377"/>
      <c r="EM722" s="1377"/>
      <c r="EN722" s="1377"/>
      <c r="EO722" s="1377">
        <f t="shared" si="28"/>
        <v>0</v>
      </c>
      <c r="EP722" s="1377"/>
      <c r="EQ722" s="1377"/>
      <c r="ER722" s="1377"/>
      <c r="ES722" s="1377"/>
      <c r="ET722" s="1377">
        <f t="shared" si="29"/>
        <v>0</v>
      </c>
      <c r="EU722" s="1377"/>
      <c r="EV722" s="1377"/>
      <c r="EW722" s="1377"/>
      <c r="EX722" s="1377"/>
      <c r="EZ722" s="1352" t="str">
        <f t="shared" si="30"/>
        <v/>
      </c>
      <c r="FA722" s="1353"/>
      <c r="FB722" s="1353"/>
      <c r="FC722" s="1353"/>
      <c r="FD722" s="1354"/>
      <c r="FE722" s="1352" t="str">
        <f t="shared" si="31"/>
        <v/>
      </c>
      <c r="FF722" s="1353"/>
      <c r="FG722" s="1353"/>
      <c r="FH722" s="1353"/>
      <c r="FI722" s="1354"/>
      <c r="FJ722" s="1352">
        <f t="shared" si="32"/>
        <v>1404</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5" customHeight="1">
      <c r="B723" s="1362" t="s">
        <v>163</v>
      </c>
      <c r="C723" s="1363"/>
      <c r="D723" s="1363"/>
      <c r="E723" s="1363"/>
      <c r="F723" s="1364"/>
      <c r="G723" s="1585">
        <v>20</v>
      </c>
      <c r="H723" s="1586"/>
      <c r="I723" s="1586"/>
      <c r="J723" s="1587"/>
      <c r="K723" s="1359">
        <v>795</v>
      </c>
      <c r="L723" s="1360"/>
      <c r="M723" s="1360"/>
      <c r="N723" s="1361"/>
      <c r="O723" s="1356">
        <f>1699-12</f>
        <v>1687</v>
      </c>
      <c r="P723" s="1357"/>
      <c r="Q723" s="1357"/>
      <c r="R723" s="1357"/>
      <c r="S723" s="1358"/>
      <c r="T723" s="1356">
        <v>12</v>
      </c>
      <c r="U723" s="1357"/>
      <c r="V723" s="1357"/>
      <c r="W723" s="1358"/>
      <c r="X723" s="1365">
        <f t="shared" si="8"/>
        <v>1699</v>
      </c>
      <c r="Y723" s="1366"/>
      <c r="Z723" s="1366"/>
      <c r="AA723" s="1366"/>
      <c r="AB723" s="1367"/>
      <c r="AC723" s="1369">
        <v>0.6</v>
      </c>
      <c r="AD723" s="1370"/>
      <c r="AE723" s="1370"/>
      <c r="AF723" s="1370"/>
      <c r="AG723" s="1371"/>
      <c r="AH723" s="1372">
        <f t="shared" si="36"/>
        <v>0.59992937853107342</v>
      </c>
      <c r="AI723" s="1373"/>
      <c r="AJ723" s="1374"/>
      <c r="AK723" s="1362" t="s">
        <v>592</v>
      </c>
      <c r="AL723" s="1363"/>
      <c r="AM723" s="1363"/>
      <c r="AN723" s="1363"/>
      <c r="AO723" s="1364"/>
      <c r="AP723" s="3"/>
      <c r="AQ723" s="3"/>
      <c r="AR723" s="3"/>
      <c r="AS723" s="3"/>
      <c r="AY723" s="116"/>
      <c r="AZ723" s="118">
        <f t="shared" si="9"/>
        <v>2832</v>
      </c>
      <c r="BA723" s="3"/>
      <c r="BB723" s="3"/>
      <c r="BC723" s="3"/>
      <c r="BD723" s="3"/>
      <c r="BE723" s="204"/>
      <c r="BF723" s="294">
        <f t="shared" si="10"/>
        <v>20</v>
      </c>
      <c r="BG723" s="297">
        <f t="shared" si="11"/>
        <v>0.13245033112582782</v>
      </c>
      <c r="BH723" s="298">
        <f t="shared" si="12"/>
        <v>7.9470198675496692E-2</v>
      </c>
      <c r="BI723" s="3"/>
      <c r="BJ723" s="3"/>
      <c r="BK723" s="3"/>
      <c r="BL723" s="3"/>
      <c r="BM723" s="3"/>
      <c r="BN723" s="3"/>
      <c r="BS723" s="294">
        <f t="shared" si="13"/>
        <v>20</v>
      </c>
      <c r="BT723" s="297">
        <f t="shared" si="14"/>
        <v>0.13245033112582782</v>
      </c>
      <c r="BU723" s="298">
        <f t="shared" si="15"/>
        <v>7.9460844838552772E-2</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20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77">
        <f t="shared" si="24"/>
        <v>0</v>
      </c>
      <c r="DV723" s="1377"/>
      <c r="DW723" s="1377"/>
      <c r="DX723" s="1377"/>
      <c r="DY723" s="1377"/>
      <c r="DZ723" s="1377">
        <f t="shared" si="25"/>
        <v>0</v>
      </c>
      <c r="EA723" s="1377"/>
      <c r="EB723" s="1377"/>
      <c r="EC723" s="1377"/>
      <c r="ED723" s="1377"/>
      <c r="EE723" s="1377">
        <f t="shared" si="26"/>
        <v>0</v>
      </c>
      <c r="EF723" s="1377"/>
      <c r="EG723" s="1377"/>
      <c r="EH723" s="1377"/>
      <c r="EI723" s="1377"/>
      <c r="EJ723" s="1377">
        <f t="shared" si="27"/>
        <v>0</v>
      </c>
      <c r="EK723" s="1377"/>
      <c r="EL723" s="1377"/>
      <c r="EM723" s="1377"/>
      <c r="EN723" s="1377"/>
      <c r="EO723" s="1377">
        <f t="shared" si="28"/>
        <v>0</v>
      </c>
      <c r="EP723" s="1377"/>
      <c r="EQ723" s="1377"/>
      <c r="ER723" s="1377"/>
      <c r="ES723" s="1377"/>
      <c r="ET723" s="1377">
        <f t="shared" si="29"/>
        <v>0</v>
      </c>
      <c r="EU723" s="1377"/>
      <c r="EV723" s="1377"/>
      <c r="EW723" s="1377"/>
      <c r="EX723" s="1377"/>
      <c r="EZ723" s="1352" t="str">
        <f t="shared" si="30"/>
        <v/>
      </c>
      <c r="FA723" s="1353"/>
      <c r="FB723" s="1353"/>
      <c r="FC723" s="1353"/>
      <c r="FD723" s="1354"/>
      <c r="FE723" s="1352" t="str">
        <f t="shared" si="31"/>
        <v/>
      </c>
      <c r="FF723" s="1353"/>
      <c r="FG723" s="1353"/>
      <c r="FH723" s="1353"/>
      <c r="FI723" s="1354"/>
      <c r="FJ723" s="1352">
        <f t="shared" si="32"/>
        <v>1687</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5" customHeight="1">
      <c r="B724" s="1362" t="s">
        <v>164</v>
      </c>
      <c r="C724" s="1363"/>
      <c r="D724" s="1363"/>
      <c r="E724" s="1363"/>
      <c r="F724" s="1364"/>
      <c r="G724" s="1585">
        <v>4</v>
      </c>
      <c r="H724" s="1586"/>
      <c r="I724" s="1586"/>
      <c r="J724" s="1587"/>
      <c r="K724" s="1359">
        <v>1028</v>
      </c>
      <c r="L724" s="1360"/>
      <c r="M724" s="1360"/>
      <c r="N724" s="1361"/>
      <c r="O724" s="1356">
        <f>982-12</f>
        <v>970</v>
      </c>
      <c r="P724" s="1357"/>
      <c r="Q724" s="1357"/>
      <c r="R724" s="1357"/>
      <c r="S724" s="1358"/>
      <c r="T724" s="1356">
        <v>12</v>
      </c>
      <c r="U724" s="1357"/>
      <c r="V724" s="1357"/>
      <c r="W724" s="1358"/>
      <c r="X724" s="1365">
        <f t="shared" si="8"/>
        <v>982</v>
      </c>
      <c r="Y724" s="1366"/>
      <c r="Z724" s="1366"/>
      <c r="AA724" s="1366"/>
      <c r="AB724" s="1367"/>
      <c r="AC724" s="1369">
        <v>0.3</v>
      </c>
      <c r="AD724" s="1370"/>
      <c r="AE724" s="1370"/>
      <c r="AF724" s="1370"/>
      <c r="AG724" s="1371"/>
      <c r="AH724" s="1372">
        <f t="shared" si="36"/>
        <v>0.30012224938875304</v>
      </c>
      <c r="AI724" s="1373"/>
      <c r="AJ724" s="1374"/>
      <c r="AK724" s="1362" t="s">
        <v>592</v>
      </c>
      <c r="AL724" s="1363"/>
      <c r="AM724" s="1363"/>
      <c r="AN724" s="1363"/>
      <c r="AO724" s="1364"/>
      <c r="AP724" s="3"/>
      <c r="AQ724" s="3"/>
      <c r="AR724" s="3"/>
      <c r="AS724" s="3"/>
      <c r="AY724" s="116"/>
      <c r="AZ724" s="118">
        <f t="shared" si="9"/>
        <v>3272</v>
      </c>
      <c r="BA724" s="3"/>
      <c r="BB724" s="3"/>
      <c r="BC724" s="3"/>
      <c r="BD724" s="3"/>
      <c r="BE724" s="204"/>
      <c r="BF724" s="294">
        <f t="shared" si="10"/>
        <v>4</v>
      </c>
      <c r="BG724" s="297">
        <f t="shared" si="11"/>
        <v>2.6490066225165563E-2</v>
      </c>
      <c r="BH724" s="298">
        <f t="shared" si="12"/>
        <v>7.9470198675496689E-3</v>
      </c>
      <c r="BI724" s="3"/>
      <c r="BJ724" s="3"/>
      <c r="BK724" s="3"/>
      <c r="BL724" s="3"/>
      <c r="BM724" s="3"/>
      <c r="BN724" s="3"/>
      <c r="BS724" s="294">
        <f t="shared" si="13"/>
        <v>4</v>
      </c>
      <c r="BT724" s="297">
        <f t="shared" si="14"/>
        <v>2.6490066225165563E-2</v>
      </c>
      <c r="BU724" s="298">
        <f t="shared" si="15"/>
        <v>7.9502582619537226E-3</v>
      </c>
      <c r="CC724" s="3"/>
      <c r="CE724" s="3"/>
      <c r="CF724" s="3"/>
      <c r="CG724" s="1352">
        <f t="shared" si="37"/>
        <v>0</v>
      </c>
      <c r="CH724" s="1354"/>
      <c r="CI724" s="1336">
        <f t="shared" si="38"/>
        <v>0</v>
      </c>
      <c r="CJ724" s="1338"/>
      <c r="CK724" s="1352">
        <f t="shared" si="16"/>
        <v>1</v>
      </c>
      <c r="CL724" s="1354"/>
      <c r="CM724" s="1336">
        <f t="shared" si="17"/>
        <v>4</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4</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77">
        <f t="shared" si="24"/>
        <v>0</v>
      </c>
      <c r="DV724" s="1377"/>
      <c r="DW724" s="1377"/>
      <c r="DX724" s="1377"/>
      <c r="DY724" s="1377"/>
      <c r="DZ724" s="1377">
        <f t="shared" si="25"/>
        <v>0</v>
      </c>
      <c r="EA724" s="1377"/>
      <c r="EB724" s="1377"/>
      <c r="EC724" s="1377"/>
      <c r="ED724" s="1377"/>
      <c r="EE724" s="1377">
        <f t="shared" si="26"/>
        <v>0</v>
      </c>
      <c r="EF724" s="1377"/>
      <c r="EG724" s="1377"/>
      <c r="EH724" s="1377"/>
      <c r="EI724" s="1377"/>
      <c r="EJ724" s="1377">
        <f t="shared" si="27"/>
        <v>4</v>
      </c>
      <c r="EK724" s="1377"/>
      <c r="EL724" s="1377"/>
      <c r="EM724" s="1377"/>
      <c r="EN724" s="1377"/>
      <c r="EO724" s="1377">
        <f t="shared" si="28"/>
        <v>0</v>
      </c>
      <c r="EP724" s="1377"/>
      <c r="EQ724" s="1377"/>
      <c r="ER724" s="1377"/>
      <c r="ES724" s="1377"/>
      <c r="ET724" s="1377">
        <f t="shared" si="29"/>
        <v>0</v>
      </c>
      <c r="EU724" s="1377"/>
      <c r="EV724" s="1377"/>
      <c r="EW724" s="1377"/>
      <c r="EX724" s="1377"/>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f t="shared" si="33"/>
        <v>970</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5" customHeight="1">
      <c r="B725" s="1362" t="s">
        <v>164</v>
      </c>
      <c r="C725" s="1363"/>
      <c r="D725" s="1363"/>
      <c r="E725" s="1363"/>
      <c r="F725" s="1364"/>
      <c r="G725" s="1585">
        <v>4</v>
      </c>
      <c r="H725" s="1586"/>
      <c r="I725" s="1586"/>
      <c r="J725" s="1587"/>
      <c r="K725" s="1359">
        <v>1028</v>
      </c>
      <c r="L725" s="1360"/>
      <c r="M725" s="1360"/>
      <c r="N725" s="1361"/>
      <c r="O725" s="1356">
        <f>1636-12</f>
        <v>1624</v>
      </c>
      <c r="P725" s="1357"/>
      <c r="Q725" s="1357"/>
      <c r="R725" s="1357"/>
      <c r="S725" s="1358"/>
      <c r="T725" s="1356">
        <v>12</v>
      </c>
      <c r="U725" s="1357"/>
      <c r="V725" s="1357"/>
      <c r="W725" s="1358"/>
      <c r="X725" s="1365">
        <f t="shared" si="8"/>
        <v>1636</v>
      </c>
      <c r="Y725" s="1366"/>
      <c r="Z725" s="1366"/>
      <c r="AA725" s="1366"/>
      <c r="AB725" s="1367"/>
      <c r="AC725" s="1369">
        <v>0.5</v>
      </c>
      <c r="AD725" s="1370"/>
      <c r="AE725" s="1370"/>
      <c r="AF725" s="1370"/>
      <c r="AG725" s="1371"/>
      <c r="AH725" s="1372">
        <f t="shared" si="36"/>
        <v>0.5</v>
      </c>
      <c r="AI725" s="1373"/>
      <c r="AJ725" s="1374"/>
      <c r="AK725" s="1362" t="s">
        <v>592</v>
      </c>
      <c r="AL725" s="1363"/>
      <c r="AM725" s="1363"/>
      <c r="AN725" s="1363"/>
      <c r="AO725" s="1364"/>
      <c r="AP725" s="3"/>
      <c r="AQ725" s="3"/>
      <c r="AR725" s="3"/>
      <c r="AS725" s="3"/>
      <c r="AY725" s="1085"/>
      <c r="AZ725" s="118">
        <f t="shared" si="9"/>
        <v>3272</v>
      </c>
      <c r="BA725" s="3"/>
      <c r="BB725" s="3"/>
      <c r="BC725" s="3"/>
      <c r="BD725" s="3"/>
      <c r="BE725" s="204"/>
      <c r="BF725" s="294">
        <f t="shared" si="10"/>
        <v>4</v>
      </c>
      <c r="BG725" s="297">
        <f t="shared" si="11"/>
        <v>2.6490066225165563E-2</v>
      </c>
      <c r="BH725" s="298">
        <f t="shared" si="12"/>
        <v>1.3245033112582781E-2</v>
      </c>
      <c r="BI725" s="3"/>
      <c r="BJ725" s="3"/>
      <c r="BK725" s="3"/>
      <c r="BL725" s="3"/>
      <c r="BM725" s="3"/>
      <c r="BN725" s="3"/>
      <c r="BS725" s="294">
        <f t="shared" si="13"/>
        <v>4</v>
      </c>
      <c r="BT725" s="297">
        <f t="shared" si="14"/>
        <v>2.6490066225165563E-2</v>
      </c>
      <c r="BU725" s="298">
        <f t="shared" si="15"/>
        <v>1.3245033112582781E-2</v>
      </c>
      <c r="BV725" s="292"/>
      <c r="BW725" s="3"/>
      <c r="BX725" s="3"/>
      <c r="BY725" s="3"/>
      <c r="BZ725" s="3"/>
      <c r="CA725" s="3"/>
      <c r="CB725" s="3"/>
      <c r="CC725" s="3"/>
      <c r="CE725" s="3"/>
      <c r="CF725" s="3"/>
      <c r="CG725" s="1352">
        <f t="shared" si="37"/>
        <v>1</v>
      </c>
      <c r="CH725" s="1354"/>
      <c r="CI725" s="1336">
        <f t="shared" si="38"/>
        <v>4</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4</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77">
        <f t="shared" si="24"/>
        <v>0</v>
      </c>
      <c r="DV725" s="1377"/>
      <c r="DW725" s="1377"/>
      <c r="DX725" s="1377"/>
      <c r="DY725" s="1377"/>
      <c r="DZ725" s="1377">
        <f t="shared" si="25"/>
        <v>0</v>
      </c>
      <c r="EA725" s="1377"/>
      <c r="EB725" s="1377"/>
      <c r="EC725" s="1377"/>
      <c r="ED725" s="1377"/>
      <c r="EE725" s="1377">
        <f t="shared" si="26"/>
        <v>0</v>
      </c>
      <c r="EF725" s="1377"/>
      <c r="EG725" s="1377"/>
      <c r="EH725" s="1377"/>
      <c r="EI725" s="1377"/>
      <c r="EJ725" s="1377">
        <f t="shared" si="27"/>
        <v>0</v>
      </c>
      <c r="EK725" s="1377"/>
      <c r="EL725" s="1377"/>
      <c r="EM725" s="1377"/>
      <c r="EN725" s="1377"/>
      <c r="EO725" s="1377">
        <f t="shared" si="28"/>
        <v>0</v>
      </c>
      <c r="EP725" s="1377"/>
      <c r="EQ725" s="1377"/>
      <c r="ER725" s="1377"/>
      <c r="ES725" s="1377"/>
      <c r="ET725" s="1377">
        <f t="shared" si="29"/>
        <v>0</v>
      </c>
      <c r="EU725" s="1377"/>
      <c r="EV725" s="1377"/>
      <c r="EW725" s="1377"/>
      <c r="EX725" s="1377"/>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f t="shared" si="33"/>
        <v>1624</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5" customHeight="1">
      <c r="B726" s="1362" t="s">
        <v>164</v>
      </c>
      <c r="C726" s="1363"/>
      <c r="D726" s="1363"/>
      <c r="E726" s="1363"/>
      <c r="F726" s="1364"/>
      <c r="G726" s="1585">
        <v>10</v>
      </c>
      <c r="H726" s="1586"/>
      <c r="I726" s="1586"/>
      <c r="J726" s="1587"/>
      <c r="K726" s="1359">
        <v>1028</v>
      </c>
      <c r="L726" s="1360"/>
      <c r="M726" s="1360"/>
      <c r="N726" s="1361"/>
      <c r="O726" s="1356">
        <f>1964-12</f>
        <v>1952</v>
      </c>
      <c r="P726" s="1357"/>
      <c r="Q726" s="1357"/>
      <c r="R726" s="1357"/>
      <c r="S726" s="1358"/>
      <c r="T726" s="1356">
        <v>12</v>
      </c>
      <c r="U726" s="1357"/>
      <c r="V726" s="1357"/>
      <c r="W726" s="1358"/>
      <c r="X726" s="1365">
        <f t="shared" si="8"/>
        <v>1964</v>
      </c>
      <c r="Y726" s="1366"/>
      <c r="Z726" s="1366"/>
      <c r="AA726" s="1366"/>
      <c r="AB726" s="1367"/>
      <c r="AC726" s="1369">
        <v>0.6</v>
      </c>
      <c r="AD726" s="1370"/>
      <c r="AE726" s="1370"/>
      <c r="AF726" s="1370"/>
      <c r="AG726" s="1371"/>
      <c r="AH726" s="1372">
        <f t="shared" si="36"/>
        <v>0.60024449877750607</v>
      </c>
      <c r="AI726" s="1373"/>
      <c r="AJ726" s="1374"/>
      <c r="AK726" s="1362" t="s">
        <v>592</v>
      </c>
      <c r="AL726" s="1363"/>
      <c r="AM726" s="1363"/>
      <c r="AN726" s="1363"/>
      <c r="AO726" s="1364"/>
      <c r="AP726" s="3"/>
      <c r="AQ726" s="3"/>
      <c r="AR726" s="3"/>
      <c r="AS726" s="3"/>
      <c r="AY726" s="1085"/>
      <c r="AZ726" s="118">
        <f t="shared" si="9"/>
        <v>3272</v>
      </c>
      <c r="BA726" s="3"/>
      <c r="BB726" s="3"/>
      <c r="BC726" s="3"/>
      <c r="BD726" s="3"/>
      <c r="BE726" s="204"/>
      <c r="BF726" s="294">
        <f t="shared" si="10"/>
        <v>10</v>
      </c>
      <c r="BG726" s="297">
        <f t="shared" si="11"/>
        <v>6.6225165562913912E-2</v>
      </c>
      <c r="BH726" s="298">
        <f t="shared" si="12"/>
        <v>3.9735099337748346E-2</v>
      </c>
      <c r="BI726" s="3"/>
      <c r="BJ726" s="3"/>
      <c r="BK726" s="3"/>
      <c r="BL726" s="3"/>
      <c r="BM726" s="3"/>
      <c r="BN726" s="3"/>
      <c r="BS726" s="294">
        <f t="shared" si="13"/>
        <v>10</v>
      </c>
      <c r="BT726" s="297">
        <f t="shared" si="14"/>
        <v>6.6225165562913912E-2</v>
      </c>
      <c r="BU726" s="298">
        <f t="shared" si="15"/>
        <v>3.9751291309768615E-2</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10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77">
        <f t="shared" si="24"/>
        <v>0</v>
      </c>
      <c r="DV726" s="1377"/>
      <c r="DW726" s="1377"/>
      <c r="DX726" s="1377"/>
      <c r="DY726" s="1377"/>
      <c r="DZ726" s="1377">
        <f t="shared" si="25"/>
        <v>0</v>
      </c>
      <c r="EA726" s="1377"/>
      <c r="EB726" s="1377"/>
      <c r="EC726" s="1377"/>
      <c r="ED726" s="1377"/>
      <c r="EE726" s="1377">
        <f t="shared" si="26"/>
        <v>0</v>
      </c>
      <c r="EF726" s="1377"/>
      <c r="EG726" s="1377"/>
      <c r="EH726" s="1377"/>
      <c r="EI726" s="1377"/>
      <c r="EJ726" s="1377">
        <f t="shared" si="27"/>
        <v>0</v>
      </c>
      <c r="EK726" s="1377"/>
      <c r="EL726" s="1377"/>
      <c r="EM726" s="1377"/>
      <c r="EN726" s="1377"/>
      <c r="EO726" s="1377">
        <f t="shared" si="28"/>
        <v>0</v>
      </c>
      <c r="EP726" s="1377"/>
      <c r="EQ726" s="1377"/>
      <c r="ER726" s="1377"/>
      <c r="ES726" s="1377"/>
      <c r="ET726" s="1377">
        <f t="shared" si="29"/>
        <v>0</v>
      </c>
      <c r="EU726" s="1377"/>
      <c r="EV726" s="1377"/>
      <c r="EW726" s="1377"/>
      <c r="EX726" s="1377"/>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f t="shared" si="33"/>
        <v>1952</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5" customHeight="1">
      <c r="A727" s="4"/>
      <c r="B727" s="1362" t="s">
        <v>325</v>
      </c>
      <c r="C727" s="1363"/>
      <c r="D727" s="1363"/>
      <c r="E727" s="1363"/>
      <c r="F727" s="1364"/>
      <c r="G727" s="1585">
        <v>20</v>
      </c>
      <c r="H727" s="1586"/>
      <c r="I727" s="1586"/>
      <c r="J727" s="1587"/>
      <c r="K727" s="1359">
        <v>522</v>
      </c>
      <c r="L727" s="1360"/>
      <c r="M727" s="1360"/>
      <c r="N727" s="1361"/>
      <c r="O727" s="1356">
        <f>1407-12</f>
        <v>1395</v>
      </c>
      <c r="P727" s="1357"/>
      <c r="Q727" s="1357"/>
      <c r="R727" s="1357"/>
      <c r="S727" s="1358"/>
      <c r="T727" s="1356">
        <v>12</v>
      </c>
      <c r="U727" s="1357"/>
      <c r="V727" s="1357"/>
      <c r="W727" s="1358"/>
      <c r="X727" s="1365">
        <f t="shared" si="8"/>
        <v>1407</v>
      </c>
      <c r="Y727" s="1366"/>
      <c r="Z727" s="1366"/>
      <c r="AA727" s="1366"/>
      <c r="AB727" s="1367"/>
      <c r="AC727" s="1369">
        <v>0.7</v>
      </c>
      <c r="AD727" s="1370"/>
      <c r="AE727" s="1370"/>
      <c r="AF727" s="1370"/>
      <c r="AG727" s="1371"/>
      <c r="AH727" s="1372">
        <f t="shared" si="36"/>
        <v>0.59568162574089756</v>
      </c>
      <c r="AI727" s="1373"/>
      <c r="AJ727" s="1374"/>
      <c r="AK727" s="1362" t="s">
        <v>592</v>
      </c>
      <c r="AL727" s="1363"/>
      <c r="AM727" s="1363"/>
      <c r="AN727" s="1363"/>
      <c r="AO727" s="1364"/>
      <c r="AP727" s="3"/>
      <c r="AQ727" s="3"/>
      <c r="AR727" s="3"/>
      <c r="AS727" s="3"/>
      <c r="AY727" s="1085"/>
      <c r="AZ727" s="118">
        <f t="shared" si="9"/>
        <v>2362</v>
      </c>
      <c r="BA727" s="3"/>
      <c r="BB727" s="3"/>
      <c r="BC727" s="3"/>
      <c r="BD727" s="3"/>
      <c r="BE727" s="204"/>
      <c r="BF727" s="294">
        <f t="shared" si="10"/>
        <v>20</v>
      </c>
      <c r="BG727" s="297">
        <f t="shared" si="11"/>
        <v>0.13245033112582782</v>
      </c>
      <c r="BH727" s="298">
        <f t="shared" si="12"/>
        <v>9.2715231788079472E-2</v>
      </c>
      <c r="BI727" s="3"/>
      <c r="BJ727" s="3"/>
      <c r="BK727" s="3"/>
      <c r="BL727" s="3"/>
      <c r="BM727" s="3"/>
      <c r="BN727" s="3"/>
      <c r="BS727" s="294">
        <f t="shared" si="13"/>
        <v>20</v>
      </c>
      <c r="BT727" s="297">
        <f t="shared" si="14"/>
        <v>0.13245033112582782</v>
      </c>
      <c r="BU727" s="298">
        <f t="shared" si="15"/>
        <v>7.8898228574953322E-2</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20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77">
        <f t="shared" si="24"/>
        <v>0</v>
      </c>
      <c r="DV727" s="1377"/>
      <c r="DW727" s="1377"/>
      <c r="DX727" s="1377"/>
      <c r="DY727" s="1377"/>
      <c r="DZ727" s="1377">
        <f t="shared" si="25"/>
        <v>0</v>
      </c>
      <c r="EA727" s="1377"/>
      <c r="EB727" s="1377"/>
      <c r="EC727" s="1377"/>
      <c r="ED727" s="1377"/>
      <c r="EE727" s="1377">
        <f t="shared" si="26"/>
        <v>0</v>
      </c>
      <c r="EF727" s="1377"/>
      <c r="EG727" s="1377"/>
      <c r="EH727" s="1377"/>
      <c r="EI727" s="1377"/>
      <c r="EJ727" s="1377">
        <f t="shared" si="27"/>
        <v>0</v>
      </c>
      <c r="EK727" s="1377"/>
      <c r="EL727" s="1377"/>
      <c r="EM727" s="1377"/>
      <c r="EN727" s="1377"/>
      <c r="EO727" s="1377">
        <f t="shared" si="28"/>
        <v>0</v>
      </c>
      <c r="EP727" s="1377"/>
      <c r="EQ727" s="1377"/>
      <c r="ER727" s="1377"/>
      <c r="ES727" s="1377"/>
      <c r="ET727" s="1377">
        <f t="shared" si="29"/>
        <v>0</v>
      </c>
      <c r="EU727" s="1377"/>
      <c r="EV727" s="1377"/>
      <c r="EW727" s="1377"/>
      <c r="EX727" s="1377"/>
      <c r="EY727" s="4"/>
      <c r="EZ727" s="1352" t="str">
        <f t="shared" si="30"/>
        <v/>
      </c>
      <c r="FA727" s="1353"/>
      <c r="FB727" s="1353"/>
      <c r="FC727" s="1353"/>
      <c r="FD727" s="1354"/>
      <c r="FE727" s="1352">
        <f t="shared" si="31"/>
        <v>1395</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5" customHeight="1">
      <c r="A728" s="4"/>
      <c r="B728" s="1362" t="s">
        <v>163</v>
      </c>
      <c r="C728" s="1363"/>
      <c r="D728" s="1363"/>
      <c r="E728" s="1363"/>
      <c r="F728" s="1364"/>
      <c r="G728" s="1585">
        <v>33</v>
      </c>
      <c r="H728" s="1586"/>
      <c r="I728" s="1586"/>
      <c r="J728" s="1587"/>
      <c r="K728" s="1359">
        <v>795</v>
      </c>
      <c r="L728" s="1360"/>
      <c r="M728" s="1360"/>
      <c r="N728" s="1361"/>
      <c r="O728" s="1356">
        <f>1717-12</f>
        <v>1705</v>
      </c>
      <c r="P728" s="1357"/>
      <c r="Q728" s="1357"/>
      <c r="R728" s="1357"/>
      <c r="S728" s="1358"/>
      <c r="T728" s="1356">
        <v>12</v>
      </c>
      <c r="U728" s="1357"/>
      <c r="V728" s="1357"/>
      <c r="W728" s="1358"/>
      <c r="X728" s="1365">
        <f t="shared" si="8"/>
        <v>1717</v>
      </c>
      <c r="Y728" s="1366"/>
      <c r="Z728" s="1366"/>
      <c r="AA728" s="1366"/>
      <c r="AB728" s="1367"/>
      <c r="AC728" s="1369">
        <v>0.7</v>
      </c>
      <c r="AD728" s="1370"/>
      <c r="AE728" s="1370"/>
      <c r="AF728" s="1370"/>
      <c r="AG728" s="1371"/>
      <c r="AH728" s="1372">
        <f t="shared" si="36"/>
        <v>0.60628531073446323</v>
      </c>
      <c r="AI728" s="1373"/>
      <c r="AJ728" s="1374"/>
      <c r="AK728" s="1362" t="s">
        <v>592</v>
      </c>
      <c r="AL728" s="1363"/>
      <c r="AM728" s="1363"/>
      <c r="AN728" s="1363"/>
      <c r="AO728" s="1364"/>
      <c r="AP728" s="3"/>
      <c r="AQ728" s="3"/>
      <c r="AR728" s="3"/>
      <c r="AS728" s="3"/>
      <c r="AY728" s="1085"/>
      <c r="AZ728" s="118">
        <f t="shared" si="9"/>
        <v>2832</v>
      </c>
      <c r="BA728" s="3"/>
      <c r="BB728" s="3"/>
      <c r="BC728" s="3"/>
      <c r="BD728" s="3"/>
      <c r="BE728" s="204"/>
      <c r="BF728" s="294">
        <f t="shared" si="10"/>
        <v>33</v>
      </c>
      <c r="BG728" s="297">
        <f t="shared" si="11"/>
        <v>0.2185430463576159</v>
      </c>
      <c r="BH728" s="298">
        <f t="shared" si="12"/>
        <v>0.15298013245033112</v>
      </c>
      <c r="BI728" s="3"/>
      <c r="BJ728" s="3"/>
      <c r="BK728" s="3"/>
      <c r="BL728" s="3"/>
      <c r="BM728" s="3"/>
      <c r="BN728" s="3"/>
      <c r="BS728" s="294">
        <f t="shared" si="13"/>
        <v>33</v>
      </c>
      <c r="BT728" s="297">
        <f t="shared" si="14"/>
        <v>0.2185430463576159</v>
      </c>
      <c r="BU728" s="298">
        <f t="shared" si="15"/>
        <v>0.13249943876978337</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33</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77">
        <f t="shared" si="24"/>
        <v>0</v>
      </c>
      <c r="DV728" s="1377"/>
      <c r="DW728" s="1377"/>
      <c r="DX728" s="1377"/>
      <c r="DY728" s="1377"/>
      <c r="DZ728" s="1377">
        <f t="shared" si="25"/>
        <v>0</v>
      </c>
      <c r="EA728" s="1377"/>
      <c r="EB728" s="1377"/>
      <c r="EC728" s="1377"/>
      <c r="ED728" s="1377"/>
      <c r="EE728" s="1377">
        <f t="shared" si="26"/>
        <v>0</v>
      </c>
      <c r="EF728" s="1377"/>
      <c r="EG728" s="1377"/>
      <c r="EH728" s="1377"/>
      <c r="EI728" s="1377"/>
      <c r="EJ728" s="1377">
        <f t="shared" si="27"/>
        <v>0</v>
      </c>
      <c r="EK728" s="1377"/>
      <c r="EL728" s="1377"/>
      <c r="EM728" s="1377"/>
      <c r="EN728" s="1377"/>
      <c r="EO728" s="1377">
        <f t="shared" si="28"/>
        <v>0</v>
      </c>
      <c r="EP728" s="1377"/>
      <c r="EQ728" s="1377"/>
      <c r="ER728" s="1377"/>
      <c r="ES728" s="1377"/>
      <c r="ET728" s="1377">
        <f t="shared" si="29"/>
        <v>0</v>
      </c>
      <c r="EU728" s="1377"/>
      <c r="EV728" s="1377"/>
      <c r="EW728" s="1377"/>
      <c r="EX728" s="1377"/>
      <c r="EY728" s="4"/>
      <c r="EZ728" s="1352" t="str">
        <f t="shared" si="30"/>
        <v/>
      </c>
      <c r="FA728" s="1353"/>
      <c r="FB728" s="1353"/>
      <c r="FC728" s="1353"/>
      <c r="FD728" s="1354"/>
      <c r="FE728" s="1352" t="str">
        <f t="shared" si="31"/>
        <v/>
      </c>
      <c r="FF728" s="1353"/>
      <c r="FG728" s="1353"/>
      <c r="FH728" s="1353"/>
      <c r="FI728" s="1354"/>
      <c r="FJ728" s="1352">
        <f t="shared" si="32"/>
        <v>1705</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5" customHeight="1">
      <c r="A729" s="4"/>
      <c r="B729" s="1362" t="s">
        <v>164</v>
      </c>
      <c r="C729" s="1363"/>
      <c r="D729" s="1363"/>
      <c r="E729" s="1363"/>
      <c r="F729" s="1364"/>
      <c r="G729" s="1585">
        <v>21</v>
      </c>
      <c r="H729" s="1586"/>
      <c r="I729" s="1586"/>
      <c r="J729" s="1587"/>
      <c r="K729" s="1359">
        <v>1028</v>
      </c>
      <c r="L729" s="1360"/>
      <c r="M729" s="1360"/>
      <c r="N729" s="1361"/>
      <c r="O729" s="1356">
        <f>2112-12</f>
        <v>2100</v>
      </c>
      <c r="P729" s="1357"/>
      <c r="Q729" s="1357"/>
      <c r="R729" s="1357"/>
      <c r="S729" s="1358"/>
      <c r="T729" s="1356">
        <v>12</v>
      </c>
      <c r="U729" s="1357"/>
      <c r="V729" s="1357"/>
      <c r="W729" s="1358"/>
      <c r="X729" s="1365">
        <f t="shared" si="8"/>
        <v>2112</v>
      </c>
      <c r="Y729" s="1366"/>
      <c r="Z729" s="1366"/>
      <c r="AA729" s="1366"/>
      <c r="AB729" s="1367"/>
      <c r="AC729" s="1369">
        <v>0.7</v>
      </c>
      <c r="AD729" s="1370"/>
      <c r="AE729" s="1370"/>
      <c r="AF729" s="1370"/>
      <c r="AG729" s="1371"/>
      <c r="AH729" s="1372">
        <f t="shared" si="36"/>
        <v>0.6454767726161369</v>
      </c>
      <c r="AI729" s="1373"/>
      <c r="AJ729" s="1374"/>
      <c r="AK729" s="1362" t="s">
        <v>592</v>
      </c>
      <c r="AL729" s="1363"/>
      <c r="AM729" s="1363"/>
      <c r="AN729" s="1363"/>
      <c r="AO729" s="1364"/>
      <c r="AP729" s="3"/>
      <c r="AQ729" s="3"/>
      <c r="AR729" s="3"/>
      <c r="AS729" s="3"/>
      <c r="AY729" s="1085"/>
      <c r="AZ729" s="118">
        <f t="shared" si="9"/>
        <v>3272</v>
      </c>
      <c r="BA729" s="3"/>
      <c r="BB729" s="3"/>
      <c r="BC729" s="3"/>
      <c r="BD729" s="3"/>
      <c r="BE729" s="204"/>
      <c r="BF729" s="294">
        <f t="shared" si="10"/>
        <v>21</v>
      </c>
      <c r="BG729" s="297">
        <f t="shared" si="11"/>
        <v>0.13907284768211919</v>
      </c>
      <c r="BH729" s="298">
        <f t="shared" si="12"/>
        <v>9.735099337748343E-2</v>
      </c>
      <c r="BI729" s="3"/>
      <c r="BJ729" s="3"/>
      <c r="BK729" s="3"/>
      <c r="BL729" s="3"/>
      <c r="BM729" s="3"/>
      <c r="BN729" s="3"/>
      <c r="BS729" s="294">
        <f t="shared" si="13"/>
        <v>21</v>
      </c>
      <c r="BT729" s="297">
        <f t="shared" si="14"/>
        <v>0.13907284768211919</v>
      </c>
      <c r="BU729" s="298">
        <f t="shared" si="15"/>
        <v>8.9768292880389886E-2</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21</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77">
        <f t="shared" si="24"/>
        <v>0</v>
      </c>
      <c r="DV729" s="1377"/>
      <c r="DW729" s="1377"/>
      <c r="DX729" s="1377"/>
      <c r="DY729" s="1377"/>
      <c r="DZ729" s="1377">
        <f t="shared" si="25"/>
        <v>0</v>
      </c>
      <c r="EA729" s="1377"/>
      <c r="EB729" s="1377"/>
      <c r="EC729" s="1377"/>
      <c r="ED729" s="1377"/>
      <c r="EE729" s="1377">
        <f t="shared" si="26"/>
        <v>0</v>
      </c>
      <c r="EF729" s="1377"/>
      <c r="EG729" s="1377"/>
      <c r="EH729" s="1377"/>
      <c r="EI729" s="1377"/>
      <c r="EJ729" s="1377">
        <f t="shared" si="27"/>
        <v>0</v>
      </c>
      <c r="EK729" s="1377"/>
      <c r="EL729" s="1377"/>
      <c r="EM729" s="1377"/>
      <c r="EN729" s="1377"/>
      <c r="EO729" s="1377">
        <f t="shared" si="28"/>
        <v>0</v>
      </c>
      <c r="EP729" s="1377"/>
      <c r="EQ729" s="1377"/>
      <c r="ER729" s="1377"/>
      <c r="ES729" s="1377"/>
      <c r="ET729" s="1377">
        <f t="shared" si="29"/>
        <v>0</v>
      </c>
      <c r="EU729" s="1377"/>
      <c r="EV729" s="1377"/>
      <c r="EW729" s="1377"/>
      <c r="EX729" s="1377"/>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f t="shared" si="33"/>
        <v>2100</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5" customHeight="1">
      <c r="B730" s="1362"/>
      <c r="C730" s="1363"/>
      <c r="D730" s="1363"/>
      <c r="E730" s="1363"/>
      <c r="F730" s="1364"/>
      <c r="G730" s="1585"/>
      <c r="H730" s="1586"/>
      <c r="I730" s="1586"/>
      <c r="J730" s="1587"/>
      <c r="K730" s="1359"/>
      <c r="L730" s="1360"/>
      <c r="M730" s="1360"/>
      <c r="N730" s="1361"/>
      <c r="O730" s="1356"/>
      <c r="P730" s="1357"/>
      <c r="Q730" s="1357"/>
      <c r="R730" s="1357"/>
      <c r="S730" s="1358"/>
      <c r="T730" s="1356"/>
      <c r="U730" s="1357"/>
      <c r="V730" s="1357"/>
      <c r="W730" s="1358"/>
      <c r="X730" s="1365">
        <f t="shared" si="8"/>
        <v>0</v>
      </c>
      <c r="Y730" s="1366"/>
      <c r="Z730" s="1366"/>
      <c r="AA730" s="1366"/>
      <c r="AB730" s="1367"/>
      <c r="AC730" s="1369"/>
      <c r="AD730" s="1370"/>
      <c r="AE730" s="1370"/>
      <c r="AF730" s="1370"/>
      <c r="AG730" s="1371"/>
      <c r="AH730" s="1372" t="str">
        <f t="shared" si="36"/>
        <v/>
      </c>
      <c r="AI730" s="1373"/>
      <c r="AJ730" s="1374"/>
      <c r="AK730" s="1362" t="s">
        <v>592</v>
      </c>
      <c r="AL730" s="1363"/>
      <c r="AM730" s="1363"/>
      <c r="AN730" s="1363"/>
      <c r="AO730" s="1364"/>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77">
        <f t="shared" si="24"/>
        <v>0</v>
      </c>
      <c r="DV730" s="1377"/>
      <c r="DW730" s="1377"/>
      <c r="DX730" s="1377"/>
      <c r="DY730" s="1377"/>
      <c r="DZ730" s="1377">
        <f t="shared" si="25"/>
        <v>0</v>
      </c>
      <c r="EA730" s="1377"/>
      <c r="EB730" s="1377"/>
      <c r="EC730" s="1377"/>
      <c r="ED730" s="1377"/>
      <c r="EE730" s="1377">
        <f t="shared" si="26"/>
        <v>0</v>
      </c>
      <c r="EF730" s="1377"/>
      <c r="EG730" s="1377"/>
      <c r="EH730" s="1377"/>
      <c r="EI730" s="1377"/>
      <c r="EJ730" s="1377">
        <f t="shared" si="27"/>
        <v>0</v>
      </c>
      <c r="EK730" s="1377"/>
      <c r="EL730" s="1377"/>
      <c r="EM730" s="1377"/>
      <c r="EN730" s="1377"/>
      <c r="EO730" s="1377">
        <f t="shared" si="28"/>
        <v>0</v>
      </c>
      <c r="EP730" s="1377"/>
      <c r="EQ730" s="1377"/>
      <c r="ER730" s="1377"/>
      <c r="ES730" s="1377"/>
      <c r="ET730" s="1377">
        <f t="shared" si="29"/>
        <v>0</v>
      </c>
      <c r="EU730" s="1377"/>
      <c r="EV730" s="1377"/>
      <c r="EW730" s="1377"/>
      <c r="EX730" s="1377"/>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5" customHeight="1">
      <c r="B731" s="1362"/>
      <c r="C731" s="1363"/>
      <c r="D731" s="1363"/>
      <c r="E731" s="1363"/>
      <c r="F731" s="1364"/>
      <c r="G731" s="1585"/>
      <c r="H731" s="1586"/>
      <c r="I731" s="1586"/>
      <c r="J731" s="1587"/>
      <c r="K731" s="1359"/>
      <c r="L731" s="1360"/>
      <c r="M731" s="1360"/>
      <c r="N731" s="1361"/>
      <c r="O731" s="1356"/>
      <c r="P731" s="1357"/>
      <c r="Q731" s="1357"/>
      <c r="R731" s="1357"/>
      <c r="S731" s="1358"/>
      <c r="T731" s="1356"/>
      <c r="U731" s="1357"/>
      <c r="V731" s="1357"/>
      <c r="W731" s="1358"/>
      <c r="X731" s="1365">
        <f t="shared" si="8"/>
        <v>0</v>
      </c>
      <c r="Y731" s="1366"/>
      <c r="Z731" s="1366"/>
      <c r="AA731" s="1366"/>
      <c r="AB731" s="1367"/>
      <c r="AC731" s="1369"/>
      <c r="AD731" s="1370"/>
      <c r="AE731" s="1370"/>
      <c r="AF731" s="1370"/>
      <c r="AG731" s="1371"/>
      <c r="AH731" s="1372" t="str">
        <f t="shared" si="36"/>
        <v/>
      </c>
      <c r="AI731" s="1373"/>
      <c r="AJ731" s="1374"/>
      <c r="AK731" s="1362" t="s">
        <v>592</v>
      </c>
      <c r="AL731" s="1363"/>
      <c r="AM731" s="1363"/>
      <c r="AN731" s="1363"/>
      <c r="AO731" s="1364"/>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77">
        <f t="shared" si="24"/>
        <v>0</v>
      </c>
      <c r="DV731" s="1377"/>
      <c r="DW731" s="1377"/>
      <c r="DX731" s="1377"/>
      <c r="DY731" s="1377"/>
      <c r="DZ731" s="1377">
        <f t="shared" si="25"/>
        <v>0</v>
      </c>
      <c r="EA731" s="1377"/>
      <c r="EB731" s="1377"/>
      <c r="EC731" s="1377"/>
      <c r="ED731" s="1377"/>
      <c r="EE731" s="1377">
        <f t="shared" si="26"/>
        <v>0</v>
      </c>
      <c r="EF731" s="1377"/>
      <c r="EG731" s="1377"/>
      <c r="EH731" s="1377"/>
      <c r="EI731" s="1377"/>
      <c r="EJ731" s="1377">
        <f t="shared" si="27"/>
        <v>0</v>
      </c>
      <c r="EK731" s="1377"/>
      <c r="EL731" s="1377"/>
      <c r="EM731" s="1377"/>
      <c r="EN731" s="1377"/>
      <c r="EO731" s="1377">
        <f t="shared" si="28"/>
        <v>0</v>
      </c>
      <c r="EP731" s="1377"/>
      <c r="EQ731" s="1377"/>
      <c r="ER731" s="1377"/>
      <c r="ES731" s="1377"/>
      <c r="ET731" s="1377">
        <f t="shared" si="29"/>
        <v>0</v>
      </c>
      <c r="EU731" s="1377"/>
      <c r="EV731" s="1377"/>
      <c r="EW731" s="1377"/>
      <c r="EX731" s="1377"/>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5" customHeight="1">
      <c r="B732" s="1362"/>
      <c r="C732" s="1363"/>
      <c r="D732" s="1363"/>
      <c r="E732" s="1363"/>
      <c r="F732" s="1364"/>
      <c r="G732" s="1585"/>
      <c r="H732" s="1586"/>
      <c r="I732" s="1586"/>
      <c r="J732" s="1587"/>
      <c r="K732" s="1359"/>
      <c r="L732" s="1360"/>
      <c r="M732" s="1360"/>
      <c r="N732" s="1361"/>
      <c r="O732" s="1356"/>
      <c r="P732" s="1357"/>
      <c r="Q732" s="1357"/>
      <c r="R732" s="1357"/>
      <c r="S732" s="1358"/>
      <c r="T732" s="1356"/>
      <c r="U732" s="1357"/>
      <c r="V732" s="1357"/>
      <c r="W732" s="1358"/>
      <c r="X732" s="1365">
        <f t="shared" si="8"/>
        <v>0</v>
      </c>
      <c r="Y732" s="1366"/>
      <c r="Z732" s="1366"/>
      <c r="AA732" s="1366"/>
      <c r="AB732" s="1367"/>
      <c r="AC732" s="1369"/>
      <c r="AD732" s="1370"/>
      <c r="AE732" s="1370"/>
      <c r="AF732" s="1370"/>
      <c r="AG732" s="1371"/>
      <c r="AH732" s="1372" t="str">
        <f t="shared" si="36"/>
        <v/>
      </c>
      <c r="AI732" s="1373"/>
      <c r="AJ732" s="1374"/>
      <c r="AK732" s="1362" t="s">
        <v>592</v>
      </c>
      <c r="AL732" s="1363"/>
      <c r="AM732" s="1363"/>
      <c r="AN732" s="1363"/>
      <c r="AO732" s="1364"/>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77">
        <f t="shared" si="24"/>
        <v>0</v>
      </c>
      <c r="DV732" s="1377"/>
      <c r="DW732" s="1377"/>
      <c r="DX732" s="1377"/>
      <c r="DY732" s="1377"/>
      <c r="DZ732" s="1377">
        <f t="shared" si="25"/>
        <v>0</v>
      </c>
      <c r="EA732" s="1377"/>
      <c r="EB732" s="1377"/>
      <c r="EC732" s="1377"/>
      <c r="ED732" s="1377"/>
      <c r="EE732" s="1377">
        <f t="shared" si="26"/>
        <v>0</v>
      </c>
      <c r="EF732" s="1377"/>
      <c r="EG732" s="1377"/>
      <c r="EH732" s="1377"/>
      <c r="EI732" s="1377"/>
      <c r="EJ732" s="1377">
        <f t="shared" si="27"/>
        <v>0</v>
      </c>
      <c r="EK732" s="1377"/>
      <c r="EL732" s="1377"/>
      <c r="EM732" s="1377"/>
      <c r="EN732" s="1377"/>
      <c r="EO732" s="1377">
        <f t="shared" si="28"/>
        <v>0</v>
      </c>
      <c r="EP732" s="1377"/>
      <c r="EQ732" s="1377"/>
      <c r="ER732" s="1377"/>
      <c r="ES732" s="1377"/>
      <c r="ET732" s="1377">
        <f t="shared" si="29"/>
        <v>0</v>
      </c>
      <c r="EU732" s="1377"/>
      <c r="EV732" s="1377"/>
      <c r="EW732" s="1377"/>
      <c r="EX732" s="1377"/>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5" customHeight="1">
      <c r="B733" s="1362"/>
      <c r="C733" s="1363"/>
      <c r="D733" s="1363"/>
      <c r="E733" s="1363"/>
      <c r="F733" s="1364"/>
      <c r="G733" s="1585"/>
      <c r="H733" s="1586"/>
      <c r="I733" s="1586"/>
      <c r="J733" s="1587"/>
      <c r="K733" s="1359"/>
      <c r="L733" s="1360"/>
      <c r="M733" s="1360"/>
      <c r="N733" s="1361"/>
      <c r="O733" s="1356"/>
      <c r="P733" s="1357"/>
      <c r="Q733" s="1357"/>
      <c r="R733" s="1357"/>
      <c r="S733" s="1358"/>
      <c r="T733" s="1356"/>
      <c r="U733" s="1357"/>
      <c r="V733" s="1357"/>
      <c r="W733" s="1358"/>
      <c r="X733" s="1365">
        <f t="shared" si="8"/>
        <v>0</v>
      </c>
      <c r="Y733" s="1366"/>
      <c r="Z733" s="1366"/>
      <c r="AA733" s="1366"/>
      <c r="AB733" s="1367"/>
      <c r="AC733" s="1369"/>
      <c r="AD733" s="1370"/>
      <c r="AE733" s="1370"/>
      <c r="AF733" s="1370"/>
      <c r="AG733" s="1371"/>
      <c r="AH733" s="1372" t="str">
        <f t="shared" si="36"/>
        <v/>
      </c>
      <c r="AI733" s="1373"/>
      <c r="AJ733" s="1374"/>
      <c r="AK733" s="1362" t="s">
        <v>592</v>
      </c>
      <c r="AL733" s="1363"/>
      <c r="AM733" s="1363"/>
      <c r="AN733" s="1363"/>
      <c r="AO733" s="1364"/>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77">
        <f t="shared" si="24"/>
        <v>0</v>
      </c>
      <c r="DV733" s="1377"/>
      <c r="DW733" s="1377"/>
      <c r="DX733" s="1377"/>
      <c r="DY733" s="1377"/>
      <c r="DZ733" s="1377">
        <f t="shared" si="25"/>
        <v>0</v>
      </c>
      <c r="EA733" s="1377"/>
      <c r="EB733" s="1377"/>
      <c r="EC733" s="1377"/>
      <c r="ED733" s="1377"/>
      <c r="EE733" s="1377">
        <f t="shared" si="26"/>
        <v>0</v>
      </c>
      <c r="EF733" s="1377"/>
      <c r="EG733" s="1377"/>
      <c r="EH733" s="1377"/>
      <c r="EI733" s="1377"/>
      <c r="EJ733" s="1377">
        <f t="shared" si="27"/>
        <v>0</v>
      </c>
      <c r="EK733" s="1377"/>
      <c r="EL733" s="1377"/>
      <c r="EM733" s="1377"/>
      <c r="EN733" s="1377"/>
      <c r="EO733" s="1377">
        <f t="shared" si="28"/>
        <v>0</v>
      </c>
      <c r="EP733" s="1377"/>
      <c r="EQ733" s="1377"/>
      <c r="ER733" s="1377"/>
      <c r="ES733" s="1377"/>
      <c r="ET733" s="1377">
        <f t="shared" si="29"/>
        <v>0</v>
      </c>
      <c r="EU733" s="1377"/>
      <c r="EV733" s="1377"/>
      <c r="EW733" s="1377"/>
      <c r="EX733" s="1377"/>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5" customHeight="1">
      <c r="B734" s="1362"/>
      <c r="C734" s="1363"/>
      <c r="D734" s="1363"/>
      <c r="E734" s="1363"/>
      <c r="F734" s="1364"/>
      <c r="G734" s="1585"/>
      <c r="H734" s="1586"/>
      <c r="I734" s="1586"/>
      <c r="J734" s="1587"/>
      <c r="K734" s="1359"/>
      <c r="L734" s="1360"/>
      <c r="M734" s="1360"/>
      <c r="N734" s="1361"/>
      <c r="O734" s="1356"/>
      <c r="P734" s="1357"/>
      <c r="Q734" s="1357"/>
      <c r="R734" s="1357"/>
      <c r="S734" s="1358"/>
      <c r="T734" s="1356"/>
      <c r="U734" s="1357"/>
      <c r="V734" s="1357"/>
      <c r="W734" s="1358"/>
      <c r="X734" s="1365">
        <f t="shared" si="8"/>
        <v>0</v>
      </c>
      <c r="Y734" s="1366"/>
      <c r="Z734" s="1366"/>
      <c r="AA734" s="1366"/>
      <c r="AB734" s="1367"/>
      <c r="AC734" s="1369"/>
      <c r="AD734" s="1370"/>
      <c r="AE734" s="1370"/>
      <c r="AF734" s="1370"/>
      <c r="AG734" s="1371"/>
      <c r="AH734" s="1372" t="str">
        <f t="shared" si="36"/>
        <v/>
      </c>
      <c r="AI734" s="1373"/>
      <c r="AJ734" s="1374"/>
      <c r="AK734" s="1362" t="s">
        <v>592</v>
      </c>
      <c r="AL734" s="1363"/>
      <c r="AM734" s="1363"/>
      <c r="AN734" s="1363"/>
      <c r="AO734" s="1364"/>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77">
        <f t="shared" si="24"/>
        <v>0</v>
      </c>
      <c r="DV734" s="1377"/>
      <c r="DW734" s="1377"/>
      <c r="DX734" s="1377"/>
      <c r="DY734" s="1377"/>
      <c r="DZ734" s="1377">
        <f t="shared" si="25"/>
        <v>0</v>
      </c>
      <c r="EA734" s="1377"/>
      <c r="EB734" s="1377"/>
      <c r="EC734" s="1377"/>
      <c r="ED734" s="1377"/>
      <c r="EE734" s="1377">
        <f t="shared" si="26"/>
        <v>0</v>
      </c>
      <c r="EF734" s="1377"/>
      <c r="EG734" s="1377"/>
      <c r="EH734" s="1377"/>
      <c r="EI734" s="1377"/>
      <c r="EJ734" s="1377">
        <f t="shared" si="27"/>
        <v>0</v>
      </c>
      <c r="EK734" s="1377"/>
      <c r="EL734" s="1377"/>
      <c r="EM734" s="1377"/>
      <c r="EN734" s="1377"/>
      <c r="EO734" s="1377">
        <f t="shared" si="28"/>
        <v>0</v>
      </c>
      <c r="EP734" s="1377"/>
      <c r="EQ734" s="1377"/>
      <c r="ER734" s="1377"/>
      <c r="ES734" s="1377"/>
      <c r="ET734" s="1377">
        <f t="shared" si="29"/>
        <v>0</v>
      </c>
      <c r="EU734" s="1377"/>
      <c r="EV734" s="1377"/>
      <c r="EW734" s="1377"/>
      <c r="EX734" s="1377"/>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5" customHeight="1">
      <c r="B735" s="1362"/>
      <c r="C735" s="1363"/>
      <c r="D735" s="1363"/>
      <c r="E735" s="1363"/>
      <c r="F735" s="1364"/>
      <c r="G735" s="1585"/>
      <c r="H735" s="1586"/>
      <c r="I735" s="1586"/>
      <c r="J735" s="1587"/>
      <c r="K735" s="1359"/>
      <c r="L735" s="1360"/>
      <c r="M735" s="1360"/>
      <c r="N735" s="1361"/>
      <c r="O735" s="1356"/>
      <c r="P735" s="1357"/>
      <c r="Q735" s="1357"/>
      <c r="R735" s="1357"/>
      <c r="S735" s="1358"/>
      <c r="T735" s="1356"/>
      <c r="U735" s="1357"/>
      <c r="V735" s="1357"/>
      <c r="W735" s="1358"/>
      <c r="X735" s="1365">
        <f t="shared" si="8"/>
        <v>0</v>
      </c>
      <c r="Y735" s="1366"/>
      <c r="Z735" s="1366"/>
      <c r="AA735" s="1366"/>
      <c r="AB735" s="1367"/>
      <c r="AC735" s="1369"/>
      <c r="AD735" s="1370"/>
      <c r="AE735" s="1370"/>
      <c r="AF735" s="1370"/>
      <c r="AG735" s="1371"/>
      <c r="AH735" s="1372" t="str">
        <f t="shared" si="36"/>
        <v/>
      </c>
      <c r="AI735" s="1373"/>
      <c r="AJ735" s="1374"/>
      <c r="AK735" s="1362" t="s">
        <v>592</v>
      </c>
      <c r="AL735" s="1363"/>
      <c r="AM735" s="1363"/>
      <c r="AN735" s="1363"/>
      <c r="AO735" s="1364"/>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77">
        <f t="shared" si="24"/>
        <v>0</v>
      </c>
      <c r="DV735" s="1377"/>
      <c r="DW735" s="1377"/>
      <c r="DX735" s="1377"/>
      <c r="DY735" s="1377"/>
      <c r="DZ735" s="1377">
        <f t="shared" si="25"/>
        <v>0</v>
      </c>
      <c r="EA735" s="1377"/>
      <c r="EB735" s="1377"/>
      <c r="EC735" s="1377"/>
      <c r="ED735" s="1377"/>
      <c r="EE735" s="1377">
        <f t="shared" si="26"/>
        <v>0</v>
      </c>
      <c r="EF735" s="1377"/>
      <c r="EG735" s="1377"/>
      <c r="EH735" s="1377"/>
      <c r="EI735" s="1377"/>
      <c r="EJ735" s="1377">
        <f t="shared" si="27"/>
        <v>0</v>
      </c>
      <c r="EK735" s="1377"/>
      <c r="EL735" s="1377"/>
      <c r="EM735" s="1377"/>
      <c r="EN735" s="1377"/>
      <c r="EO735" s="1377">
        <f t="shared" si="28"/>
        <v>0</v>
      </c>
      <c r="EP735" s="1377"/>
      <c r="EQ735" s="1377"/>
      <c r="ER735" s="1377"/>
      <c r="ES735" s="1377"/>
      <c r="ET735" s="1377">
        <f t="shared" si="29"/>
        <v>0</v>
      </c>
      <c r="EU735" s="1377"/>
      <c r="EV735" s="1377"/>
      <c r="EW735" s="1377"/>
      <c r="EX735" s="1377"/>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5" customHeight="1">
      <c r="B736" s="1362"/>
      <c r="C736" s="1363"/>
      <c r="D736" s="1363"/>
      <c r="E736" s="1363"/>
      <c r="F736" s="1364"/>
      <c r="G736" s="1585"/>
      <c r="H736" s="1586"/>
      <c r="I736" s="1586"/>
      <c r="J736" s="1587"/>
      <c r="K736" s="1359"/>
      <c r="L736" s="1360"/>
      <c r="M736" s="1360"/>
      <c r="N736" s="1361"/>
      <c r="O736" s="1356"/>
      <c r="P736" s="1357"/>
      <c r="Q736" s="1357"/>
      <c r="R736" s="1357"/>
      <c r="S736" s="1358"/>
      <c r="T736" s="1356"/>
      <c r="U736" s="1357"/>
      <c r="V736" s="1357"/>
      <c r="W736" s="1358"/>
      <c r="X736" s="1365">
        <f t="shared" si="8"/>
        <v>0</v>
      </c>
      <c r="Y736" s="1366"/>
      <c r="Z736" s="1366"/>
      <c r="AA736" s="1366"/>
      <c r="AB736" s="1367"/>
      <c r="AC736" s="1369"/>
      <c r="AD736" s="1370"/>
      <c r="AE736" s="1370"/>
      <c r="AF736" s="1370"/>
      <c r="AG736" s="1371"/>
      <c r="AH736" s="1372" t="str">
        <f t="shared" si="36"/>
        <v/>
      </c>
      <c r="AI736" s="1373"/>
      <c r="AJ736" s="1374"/>
      <c r="AK736" s="1362" t="s">
        <v>592</v>
      </c>
      <c r="AL736" s="1363"/>
      <c r="AM736" s="1363"/>
      <c r="AN736" s="1363"/>
      <c r="AO736" s="1364"/>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77">
        <f t="shared" si="24"/>
        <v>0</v>
      </c>
      <c r="DV736" s="1377"/>
      <c r="DW736" s="1377"/>
      <c r="DX736" s="1377"/>
      <c r="DY736" s="1377"/>
      <c r="DZ736" s="1377">
        <f t="shared" si="25"/>
        <v>0</v>
      </c>
      <c r="EA736" s="1377"/>
      <c r="EB736" s="1377"/>
      <c r="EC736" s="1377"/>
      <c r="ED736" s="1377"/>
      <c r="EE736" s="1377">
        <f t="shared" si="26"/>
        <v>0</v>
      </c>
      <c r="EF736" s="1377"/>
      <c r="EG736" s="1377"/>
      <c r="EH736" s="1377"/>
      <c r="EI736" s="1377"/>
      <c r="EJ736" s="1377">
        <f t="shared" si="27"/>
        <v>0</v>
      </c>
      <c r="EK736" s="1377"/>
      <c r="EL736" s="1377"/>
      <c r="EM736" s="1377"/>
      <c r="EN736" s="1377"/>
      <c r="EO736" s="1377">
        <f t="shared" si="28"/>
        <v>0</v>
      </c>
      <c r="EP736" s="1377"/>
      <c r="EQ736" s="1377"/>
      <c r="ER736" s="1377"/>
      <c r="ES736" s="1377"/>
      <c r="ET736" s="1377">
        <f t="shared" si="29"/>
        <v>0</v>
      </c>
      <c r="EU736" s="1377"/>
      <c r="EV736" s="1377"/>
      <c r="EW736" s="1377"/>
      <c r="EX736" s="1377"/>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5" customHeight="1">
      <c r="B737" s="1362"/>
      <c r="C737" s="1363"/>
      <c r="D737" s="1363"/>
      <c r="E737" s="1363"/>
      <c r="F737" s="1364"/>
      <c r="G737" s="1585"/>
      <c r="H737" s="1586"/>
      <c r="I737" s="1586"/>
      <c r="J737" s="1587"/>
      <c r="K737" s="1359"/>
      <c r="L737" s="1360"/>
      <c r="M737" s="1360"/>
      <c r="N737" s="1361"/>
      <c r="O737" s="1356"/>
      <c r="P737" s="1357"/>
      <c r="Q737" s="1357"/>
      <c r="R737" s="1357"/>
      <c r="S737" s="1358"/>
      <c r="T737" s="1356"/>
      <c r="U737" s="1357"/>
      <c r="V737" s="1357"/>
      <c r="W737" s="1358"/>
      <c r="X737" s="1365">
        <f t="shared" si="8"/>
        <v>0</v>
      </c>
      <c r="Y737" s="1366"/>
      <c r="Z737" s="1366"/>
      <c r="AA737" s="1366"/>
      <c r="AB737" s="1367"/>
      <c r="AC737" s="1369"/>
      <c r="AD737" s="1370"/>
      <c r="AE737" s="1370"/>
      <c r="AF737" s="1370"/>
      <c r="AG737" s="1371"/>
      <c r="AH737" s="1372" t="str">
        <f t="shared" si="36"/>
        <v/>
      </c>
      <c r="AI737" s="1373"/>
      <c r="AJ737" s="1374"/>
      <c r="AK737" s="1362" t="s">
        <v>592</v>
      </c>
      <c r="AL737" s="1363"/>
      <c r="AM737" s="1363"/>
      <c r="AN737" s="1363"/>
      <c r="AO737" s="1364"/>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77">
        <f t="shared" si="24"/>
        <v>0</v>
      </c>
      <c r="DV737" s="1377"/>
      <c r="DW737" s="1377"/>
      <c r="DX737" s="1377"/>
      <c r="DY737" s="1377"/>
      <c r="DZ737" s="1377">
        <f t="shared" si="25"/>
        <v>0</v>
      </c>
      <c r="EA737" s="1377"/>
      <c r="EB737" s="1377"/>
      <c r="EC737" s="1377"/>
      <c r="ED737" s="1377"/>
      <c r="EE737" s="1377">
        <f t="shared" si="26"/>
        <v>0</v>
      </c>
      <c r="EF737" s="1377"/>
      <c r="EG737" s="1377"/>
      <c r="EH737" s="1377"/>
      <c r="EI737" s="1377"/>
      <c r="EJ737" s="1377">
        <f t="shared" si="27"/>
        <v>0</v>
      </c>
      <c r="EK737" s="1377"/>
      <c r="EL737" s="1377"/>
      <c r="EM737" s="1377"/>
      <c r="EN737" s="1377"/>
      <c r="EO737" s="1377">
        <f t="shared" si="28"/>
        <v>0</v>
      </c>
      <c r="EP737" s="1377"/>
      <c r="EQ737" s="1377"/>
      <c r="ER737" s="1377"/>
      <c r="ES737" s="1377"/>
      <c r="ET737" s="1377">
        <f t="shared" si="29"/>
        <v>0</v>
      </c>
      <c r="EU737" s="1377"/>
      <c r="EV737" s="1377"/>
      <c r="EW737" s="1377"/>
      <c r="EX737" s="1377"/>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5" customHeight="1">
      <c r="B738" s="1362"/>
      <c r="C738" s="1363"/>
      <c r="D738" s="1363"/>
      <c r="E738" s="1363"/>
      <c r="F738" s="1364"/>
      <c r="G738" s="1585"/>
      <c r="H738" s="1586"/>
      <c r="I738" s="1586"/>
      <c r="J738" s="1587"/>
      <c r="K738" s="1359"/>
      <c r="L738" s="1360"/>
      <c r="M738" s="1360"/>
      <c r="N738" s="1361"/>
      <c r="O738" s="1356"/>
      <c r="P738" s="1357"/>
      <c r="Q738" s="1357"/>
      <c r="R738" s="1357"/>
      <c r="S738" s="1358"/>
      <c r="T738" s="1356"/>
      <c r="U738" s="1357"/>
      <c r="V738" s="1357"/>
      <c r="W738" s="1358"/>
      <c r="X738" s="1365">
        <f t="shared" si="8"/>
        <v>0</v>
      </c>
      <c r="Y738" s="1366"/>
      <c r="Z738" s="1366"/>
      <c r="AA738" s="1366"/>
      <c r="AB738" s="1367"/>
      <c r="AC738" s="1369"/>
      <c r="AD738" s="1370"/>
      <c r="AE738" s="1370"/>
      <c r="AF738" s="1370"/>
      <c r="AG738" s="1371"/>
      <c r="AH738" s="1372" t="str">
        <f t="shared" si="36"/>
        <v/>
      </c>
      <c r="AI738" s="1373"/>
      <c r="AJ738" s="1374"/>
      <c r="AK738" s="1362" t="s">
        <v>592</v>
      </c>
      <c r="AL738" s="1363"/>
      <c r="AM738" s="1363"/>
      <c r="AN738" s="1363"/>
      <c r="AO738" s="1364"/>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77">
        <f t="shared" si="24"/>
        <v>0</v>
      </c>
      <c r="DV738" s="1377"/>
      <c r="DW738" s="1377"/>
      <c r="DX738" s="1377"/>
      <c r="DY738" s="1377"/>
      <c r="DZ738" s="1377">
        <f t="shared" si="25"/>
        <v>0</v>
      </c>
      <c r="EA738" s="1377"/>
      <c r="EB738" s="1377"/>
      <c r="EC738" s="1377"/>
      <c r="ED738" s="1377"/>
      <c r="EE738" s="1377">
        <f t="shared" si="26"/>
        <v>0</v>
      </c>
      <c r="EF738" s="1377"/>
      <c r="EG738" s="1377"/>
      <c r="EH738" s="1377"/>
      <c r="EI738" s="1377"/>
      <c r="EJ738" s="1377">
        <f t="shared" si="27"/>
        <v>0</v>
      </c>
      <c r="EK738" s="1377"/>
      <c r="EL738" s="1377"/>
      <c r="EM738" s="1377"/>
      <c r="EN738" s="1377"/>
      <c r="EO738" s="1377">
        <f t="shared" si="28"/>
        <v>0</v>
      </c>
      <c r="EP738" s="1377"/>
      <c r="EQ738" s="1377"/>
      <c r="ER738" s="1377"/>
      <c r="ES738" s="1377"/>
      <c r="ET738" s="1377">
        <f t="shared" si="29"/>
        <v>0</v>
      </c>
      <c r="EU738" s="1377"/>
      <c r="EV738" s="1377"/>
      <c r="EW738" s="1377"/>
      <c r="EX738" s="1377"/>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5" customHeight="1">
      <c r="B739" s="1362"/>
      <c r="C739" s="1363"/>
      <c r="D739" s="1363"/>
      <c r="E739" s="1363"/>
      <c r="F739" s="1364"/>
      <c r="G739" s="1585"/>
      <c r="H739" s="1586"/>
      <c r="I739" s="1586"/>
      <c r="J739" s="1587"/>
      <c r="K739" s="1359"/>
      <c r="L739" s="1360"/>
      <c r="M739" s="1360"/>
      <c r="N739" s="1361"/>
      <c r="O739" s="1356"/>
      <c r="P739" s="1357"/>
      <c r="Q739" s="1357"/>
      <c r="R739" s="1357"/>
      <c r="S739" s="1358"/>
      <c r="T739" s="1356"/>
      <c r="U739" s="1357"/>
      <c r="V739" s="1357"/>
      <c r="W739" s="1358"/>
      <c r="X739" s="1365">
        <f t="shared" si="8"/>
        <v>0</v>
      </c>
      <c r="Y739" s="1366"/>
      <c r="Z739" s="1366"/>
      <c r="AA739" s="1366"/>
      <c r="AB739" s="1367"/>
      <c r="AC739" s="1369"/>
      <c r="AD739" s="1370"/>
      <c r="AE739" s="1370"/>
      <c r="AF739" s="1370"/>
      <c r="AG739" s="1371"/>
      <c r="AH739" s="1372" t="str">
        <f t="shared" si="36"/>
        <v/>
      </c>
      <c r="AI739" s="1373"/>
      <c r="AJ739" s="1374"/>
      <c r="AK739" s="1362" t="s">
        <v>592</v>
      </c>
      <c r="AL739" s="1363"/>
      <c r="AM739" s="1363"/>
      <c r="AN739" s="1363"/>
      <c r="AO739" s="1364"/>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77">
        <f t="shared" si="24"/>
        <v>0</v>
      </c>
      <c r="DV739" s="1377"/>
      <c r="DW739" s="1377"/>
      <c r="DX739" s="1377"/>
      <c r="DY739" s="1377"/>
      <c r="DZ739" s="1377">
        <f t="shared" si="25"/>
        <v>0</v>
      </c>
      <c r="EA739" s="1377"/>
      <c r="EB739" s="1377"/>
      <c r="EC739" s="1377"/>
      <c r="ED739" s="1377"/>
      <c r="EE739" s="1377">
        <f t="shared" si="26"/>
        <v>0</v>
      </c>
      <c r="EF739" s="1377"/>
      <c r="EG739" s="1377"/>
      <c r="EH739" s="1377"/>
      <c r="EI739" s="1377"/>
      <c r="EJ739" s="1377">
        <f t="shared" si="27"/>
        <v>0</v>
      </c>
      <c r="EK739" s="1377"/>
      <c r="EL739" s="1377"/>
      <c r="EM739" s="1377"/>
      <c r="EN739" s="1377"/>
      <c r="EO739" s="1377">
        <f t="shared" si="28"/>
        <v>0</v>
      </c>
      <c r="EP739" s="1377"/>
      <c r="EQ739" s="1377"/>
      <c r="ER739" s="1377"/>
      <c r="ES739" s="1377"/>
      <c r="ET739" s="1377">
        <f t="shared" si="29"/>
        <v>0</v>
      </c>
      <c r="EU739" s="1377"/>
      <c r="EV739" s="1377"/>
      <c r="EW739" s="1377"/>
      <c r="EX739" s="1377"/>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5" customHeight="1">
      <c r="B740" s="1362"/>
      <c r="C740" s="1363"/>
      <c r="D740" s="1363"/>
      <c r="E740" s="1363"/>
      <c r="F740" s="1364"/>
      <c r="G740" s="1585"/>
      <c r="H740" s="1586"/>
      <c r="I740" s="1586"/>
      <c r="J740" s="1587"/>
      <c r="K740" s="1359"/>
      <c r="L740" s="1360"/>
      <c r="M740" s="1360"/>
      <c r="N740" s="1361"/>
      <c r="O740" s="1356"/>
      <c r="P740" s="1357"/>
      <c r="Q740" s="1357"/>
      <c r="R740" s="1357"/>
      <c r="S740" s="1358"/>
      <c r="T740" s="1356"/>
      <c r="U740" s="1357"/>
      <c r="V740" s="1357"/>
      <c r="W740" s="1358"/>
      <c r="X740" s="1365">
        <f t="shared" si="8"/>
        <v>0</v>
      </c>
      <c r="Y740" s="1366"/>
      <c r="Z740" s="1366"/>
      <c r="AA740" s="1366"/>
      <c r="AB740" s="1367"/>
      <c r="AC740" s="1369"/>
      <c r="AD740" s="1370"/>
      <c r="AE740" s="1370"/>
      <c r="AF740" s="1370"/>
      <c r="AG740" s="1371"/>
      <c r="AH740" s="1372" t="str">
        <f t="shared" si="36"/>
        <v/>
      </c>
      <c r="AI740" s="1373"/>
      <c r="AJ740" s="1374"/>
      <c r="AK740" s="1362" t="s">
        <v>592</v>
      </c>
      <c r="AL740" s="1363"/>
      <c r="AM740" s="1363"/>
      <c r="AN740" s="1363"/>
      <c r="AO740" s="1364"/>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77">
        <f t="shared" si="24"/>
        <v>0</v>
      </c>
      <c r="DV740" s="1377"/>
      <c r="DW740" s="1377"/>
      <c r="DX740" s="1377"/>
      <c r="DY740" s="1377"/>
      <c r="DZ740" s="1377">
        <f t="shared" si="25"/>
        <v>0</v>
      </c>
      <c r="EA740" s="1377"/>
      <c r="EB740" s="1377"/>
      <c r="EC740" s="1377"/>
      <c r="ED740" s="1377"/>
      <c r="EE740" s="1377">
        <f t="shared" si="26"/>
        <v>0</v>
      </c>
      <c r="EF740" s="1377"/>
      <c r="EG740" s="1377"/>
      <c r="EH740" s="1377"/>
      <c r="EI740" s="1377"/>
      <c r="EJ740" s="1377">
        <f t="shared" si="27"/>
        <v>0</v>
      </c>
      <c r="EK740" s="1377"/>
      <c r="EL740" s="1377"/>
      <c r="EM740" s="1377"/>
      <c r="EN740" s="1377"/>
      <c r="EO740" s="1377">
        <f t="shared" si="28"/>
        <v>0</v>
      </c>
      <c r="EP740" s="1377"/>
      <c r="EQ740" s="1377"/>
      <c r="ER740" s="1377"/>
      <c r="ES740" s="1377"/>
      <c r="ET740" s="1377">
        <f t="shared" si="29"/>
        <v>0</v>
      </c>
      <c r="EU740" s="1377"/>
      <c r="EV740" s="1377"/>
      <c r="EW740" s="1377"/>
      <c r="EX740" s="1377"/>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5" customHeight="1">
      <c r="B741" s="1362"/>
      <c r="C741" s="1363"/>
      <c r="D741" s="1363"/>
      <c r="E741" s="1363"/>
      <c r="F741" s="1364"/>
      <c r="G741" s="1585"/>
      <c r="H741" s="1586"/>
      <c r="I741" s="1586"/>
      <c r="J741" s="1587"/>
      <c r="K741" s="1359"/>
      <c r="L741" s="1360"/>
      <c r="M741" s="1360"/>
      <c r="N741" s="1361"/>
      <c r="O741" s="1356"/>
      <c r="P741" s="1357"/>
      <c r="Q741" s="1357"/>
      <c r="R741" s="1357"/>
      <c r="S741" s="1358"/>
      <c r="T741" s="1356"/>
      <c r="U741" s="1357"/>
      <c r="V741" s="1357"/>
      <c r="W741" s="1358"/>
      <c r="X741" s="1365">
        <f t="shared" si="8"/>
        <v>0</v>
      </c>
      <c r="Y741" s="1366"/>
      <c r="Z741" s="1366"/>
      <c r="AA741" s="1366"/>
      <c r="AB741" s="1367"/>
      <c r="AC741" s="1369"/>
      <c r="AD741" s="1370"/>
      <c r="AE741" s="1370"/>
      <c r="AF741" s="1370"/>
      <c r="AG741" s="1371"/>
      <c r="AH741" s="1372" t="str">
        <f t="shared" si="36"/>
        <v/>
      </c>
      <c r="AI741" s="1373"/>
      <c r="AJ741" s="1374"/>
      <c r="AK741" s="1362" t="s">
        <v>592</v>
      </c>
      <c r="AL741" s="1363"/>
      <c r="AM741" s="1363"/>
      <c r="AN741" s="1363"/>
      <c r="AO741" s="1364"/>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77">
        <f t="shared" si="24"/>
        <v>0</v>
      </c>
      <c r="DV741" s="1377"/>
      <c r="DW741" s="1377"/>
      <c r="DX741" s="1377"/>
      <c r="DY741" s="1377"/>
      <c r="DZ741" s="1377">
        <f t="shared" si="25"/>
        <v>0</v>
      </c>
      <c r="EA741" s="1377"/>
      <c r="EB741" s="1377"/>
      <c r="EC741" s="1377"/>
      <c r="ED741" s="1377"/>
      <c r="EE741" s="1377">
        <f t="shared" si="26"/>
        <v>0</v>
      </c>
      <c r="EF741" s="1377"/>
      <c r="EG741" s="1377"/>
      <c r="EH741" s="1377"/>
      <c r="EI741" s="1377"/>
      <c r="EJ741" s="1377">
        <f t="shared" si="27"/>
        <v>0</v>
      </c>
      <c r="EK741" s="1377"/>
      <c r="EL741" s="1377"/>
      <c r="EM741" s="1377"/>
      <c r="EN741" s="1377"/>
      <c r="EO741" s="1377">
        <f t="shared" si="28"/>
        <v>0</v>
      </c>
      <c r="EP741" s="1377"/>
      <c r="EQ741" s="1377"/>
      <c r="ER741" s="1377"/>
      <c r="ES741" s="1377"/>
      <c r="ET741" s="1377">
        <f t="shared" si="29"/>
        <v>0</v>
      </c>
      <c r="EU741" s="1377"/>
      <c r="EV741" s="1377"/>
      <c r="EW741" s="1377"/>
      <c r="EX741" s="1377"/>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5" customHeight="1">
      <c r="B742" s="1362"/>
      <c r="C742" s="1363"/>
      <c r="D742" s="1363"/>
      <c r="E742" s="1363"/>
      <c r="F742" s="1364"/>
      <c r="G742" s="1585"/>
      <c r="H742" s="1586"/>
      <c r="I742" s="1586"/>
      <c r="J742" s="1587"/>
      <c r="K742" s="1359"/>
      <c r="L742" s="1360"/>
      <c r="M742" s="1360"/>
      <c r="N742" s="1361"/>
      <c r="O742" s="1356"/>
      <c r="P742" s="1357"/>
      <c r="Q742" s="1357"/>
      <c r="R742" s="1357"/>
      <c r="S742" s="1358"/>
      <c r="T742" s="1356"/>
      <c r="U742" s="1357"/>
      <c r="V742" s="1357"/>
      <c r="W742" s="1358"/>
      <c r="X742" s="1365">
        <f t="shared" ref="X742:X751" si="39">O742+T742</f>
        <v>0</v>
      </c>
      <c r="Y742" s="1366"/>
      <c r="Z742" s="1366"/>
      <c r="AA742" s="1366"/>
      <c r="AB742" s="1367"/>
      <c r="AC742" s="1369"/>
      <c r="AD742" s="1370"/>
      <c r="AE742" s="1370"/>
      <c r="AF742" s="1370"/>
      <c r="AG742" s="1371"/>
      <c r="AH742" s="1372" t="str">
        <f t="shared" si="36"/>
        <v/>
      </c>
      <c r="AI742" s="1373"/>
      <c r="AJ742" s="1374"/>
      <c r="AK742" s="1362" t="s">
        <v>592</v>
      </c>
      <c r="AL742" s="1363"/>
      <c r="AM742" s="1363"/>
      <c r="AN742" s="1363"/>
      <c r="AO742" s="1364"/>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77">
        <f t="shared" si="24"/>
        <v>0</v>
      </c>
      <c r="DV742" s="1377"/>
      <c r="DW742" s="1377"/>
      <c r="DX742" s="1377"/>
      <c r="DY742" s="1377"/>
      <c r="DZ742" s="1377">
        <f t="shared" si="25"/>
        <v>0</v>
      </c>
      <c r="EA742" s="1377"/>
      <c r="EB742" s="1377"/>
      <c r="EC742" s="1377"/>
      <c r="ED742" s="1377"/>
      <c r="EE742" s="1377">
        <f t="shared" si="26"/>
        <v>0</v>
      </c>
      <c r="EF742" s="1377"/>
      <c r="EG742" s="1377"/>
      <c r="EH742" s="1377"/>
      <c r="EI742" s="1377"/>
      <c r="EJ742" s="1377">
        <f t="shared" si="27"/>
        <v>0</v>
      </c>
      <c r="EK742" s="1377"/>
      <c r="EL742" s="1377"/>
      <c r="EM742" s="1377"/>
      <c r="EN742" s="1377"/>
      <c r="EO742" s="1377">
        <f t="shared" si="28"/>
        <v>0</v>
      </c>
      <c r="EP742" s="1377"/>
      <c r="EQ742" s="1377"/>
      <c r="ER742" s="1377"/>
      <c r="ES742" s="1377"/>
      <c r="ET742" s="1377">
        <f t="shared" si="29"/>
        <v>0</v>
      </c>
      <c r="EU742" s="1377"/>
      <c r="EV742" s="1377"/>
      <c r="EW742" s="1377"/>
      <c r="EX742" s="1377"/>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5" customHeight="1">
      <c r="A743"/>
      <c r="B743" s="1362"/>
      <c r="C743" s="1363"/>
      <c r="D743" s="1363"/>
      <c r="E743" s="1363"/>
      <c r="F743" s="1364"/>
      <c r="G743" s="1585"/>
      <c r="H743" s="1586"/>
      <c r="I743" s="1586"/>
      <c r="J743" s="1587"/>
      <c r="K743" s="1359"/>
      <c r="L743" s="1360"/>
      <c r="M743" s="1360"/>
      <c r="N743" s="1361"/>
      <c r="O743" s="1356"/>
      <c r="P743" s="1357"/>
      <c r="Q743" s="1357"/>
      <c r="R743" s="1357"/>
      <c r="S743" s="1358"/>
      <c r="T743" s="1356"/>
      <c r="U743" s="1357"/>
      <c r="V743" s="1357"/>
      <c r="W743" s="1358"/>
      <c r="X743" s="1365">
        <f t="shared" si="39"/>
        <v>0</v>
      </c>
      <c r="Y743" s="1366"/>
      <c r="Z743" s="1366"/>
      <c r="AA743" s="1366"/>
      <c r="AB743" s="1367"/>
      <c r="AC743" s="1369"/>
      <c r="AD743" s="1370"/>
      <c r="AE743" s="1370"/>
      <c r="AF743" s="1370"/>
      <c r="AG743" s="1371"/>
      <c r="AH743" s="1372" t="str">
        <f t="shared" si="36"/>
        <v/>
      </c>
      <c r="AI743" s="1373"/>
      <c r="AJ743" s="1374"/>
      <c r="AK743" s="1362" t="s">
        <v>592</v>
      </c>
      <c r="AL743" s="1363"/>
      <c r="AM743" s="1363"/>
      <c r="AN743" s="1363"/>
      <c r="AO743" s="1364"/>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77">
        <f t="shared" si="24"/>
        <v>0</v>
      </c>
      <c r="DV743" s="1377"/>
      <c r="DW743" s="1377"/>
      <c r="DX743" s="1377"/>
      <c r="DY743" s="1377"/>
      <c r="DZ743" s="1377">
        <f t="shared" si="25"/>
        <v>0</v>
      </c>
      <c r="EA743" s="1377"/>
      <c r="EB743" s="1377"/>
      <c r="EC743" s="1377"/>
      <c r="ED743" s="1377"/>
      <c r="EE743" s="1377">
        <f t="shared" si="26"/>
        <v>0</v>
      </c>
      <c r="EF743" s="1377"/>
      <c r="EG743" s="1377"/>
      <c r="EH743" s="1377"/>
      <c r="EI743" s="1377"/>
      <c r="EJ743" s="1377">
        <f t="shared" si="27"/>
        <v>0</v>
      </c>
      <c r="EK743" s="1377"/>
      <c r="EL743" s="1377"/>
      <c r="EM743" s="1377"/>
      <c r="EN743" s="1377"/>
      <c r="EO743" s="1377">
        <f t="shared" si="28"/>
        <v>0</v>
      </c>
      <c r="EP743" s="1377"/>
      <c r="EQ743" s="1377"/>
      <c r="ER743" s="1377"/>
      <c r="ES743" s="1377"/>
      <c r="ET743" s="1377">
        <f t="shared" si="29"/>
        <v>0</v>
      </c>
      <c r="EU743" s="1377"/>
      <c r="EV743" s="1377"/>
      <c r="EW743" s="1377"/>
      <c r="EX743" s="1377"/>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5" customHeight="1">
      <c r="B744" s="1362"/>
      <c r="C744" s="1363"/>
      <c r="D744" s="1363"/>
      <c r="E744" s="1363"/>
      <c r="F744" s="1364"/>
      <c r="G744" s="1585"/>
      <c r="H744" s="1586"/>
      <c r="I744" s="1586"/>
      <c r="J744" s="1587"/>
      <c r="K744" s="1359"/>
      <c r="L744" s="1360"/>
      <c r="M744" s="1360"/>
      <c r="N744" s="1361"/>
      <c r="O744" s="1356"/>
      <c r="P744" s="1357"/>
      <c r="Q744" s="1357"/>
      <c r="R744" s="1357"/>
      <c r="S744" s="1358"/>
      <c r="T744" s="1356"/>
      <c r="U744" s="1357"/>
      <c r="V744" s="1357"/>
      <c r="W744" s="1358"/>
      <c r="X744" s="1365">
        <f t="shared" si="39"/>
        <v>0</v>
      </c>
      <c r="Y744" s="1366"/>
      <c r="Z744" s="1366"/>
      <c r="AA744" s="1366"/>
      <c r="AB744" s="1367"/>
      <c r="AC744" s="1369"/>
      <c r="AD744" s="1370"/>
      <c r="AE744" s="1370"/>
      <c r="AF744" s="1370"/>
      <c r="AG744" s="1371"/>
      <c r="AH744" s="1372" t="str">
        <f t="shared" si="36"/>
        <v/>
      </c>
      <c r="AI744" s="1373"/>
      <c r="AJ744" s="1374"/>
      <c r="AK744" s="1362" t="s">
        <v>592</v>
      </c>
      <c r="AL744" s="1363"/>
      <c r="AM744" s="1363"/>
      <c r="AN744" s="1363"/>
      <c r="AO744" s="1364"/>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77">
        <f t="shared" si="24"/>
        <v>0</v>
      </c>
      <c r="DV744" s="1377"/>
      <c r="DW744" s="1377"/>
      <c r="DX744" s="1377"/>
      <c r="DY744" s="1377"/>
      <c r="DZ744" s="1377">
        <f t="shared" si="25"/>
        <v>0</v>
      </c>
      <c r="EA744" s="1377"/>
      <c r="EB744" s="1377"/>
      <c r="EC744" s="1377"/>
      <c r="ED744" s="1377"/>
      <c r="EE744" s="1377">
        <f t="shared" si="26"/>
        <v>0</v>
      </c>
      <c r="EF744" s="1377"/>
      <c r="EG744" s="1377"/>
      <c r="EH744" s="1377"/>
      <c r="EI744" s="1377"/>
      <c r="EJ744" s="1377">
        <f t="shared" si="27"/>
        <v>0</v>
      </c>
      <c r="EK744" s="1377"/>
      <c r="EL744" s="1377"/>
      <c r="EM744" s="1377"/>
      <c r="EN744" s="1377"/>
      <c r="EO744" s="1377">
        <f t="shared" si="28"/>
        <v>0</v>
      </c>
      <c r="EP744" s="1377"/>
      <c r="EQ744" s="1377"/>
      <c r="ER744" s="1377"/>
      <c r="ES744" s="1377"/>
      <c r="ET744" s="1377">
        <f t="shared" si="29"/>
        <v>0</v>
      </c>
      <c r="EU744" s="1377"/>
      <c r="EV744" s="1377"/>
      <c r="EW744" s="1377"/>
      <c r="EX744" s="1377"/>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5" customHeight="1">
      <c r="B745" s="1362"/>
      <c r="C745" s="1363"/>
      <c r="D745" s="1363"/>
      <c r="E745" s="1363"/>
      <c r="F745" s="1364"/>
      <c r="G745" s="1585"/>
      <c r="H745" s="1586"/>
      <c r="I745" s="1586"/>
      <c r="J745" s="1587"/>
      <c r="K745" s="1359"/>
      <c r="L745" s="1360"/>
      <c r="M745" s="1360"/>
      <c r="N745" s="1361"/>
      <c r="O745" s="1356"/>
      <c r="P745" s="1357"/>
      <c r="Q745" s="1357"/>
      <c r="R745" s="1357"/>
      <c r="S745" s="1358"/>
      <c r="T745" s="1356"/>
      <c r="U745" s="1357"/>
      <c r="V745" s="1357"/>
      <c r="W745" s="1358"/>
      <c r="X745" s="1365">
        <f t="shared" si="39"/>
        <v>0</v>
      </c>
      <c r="Y745" s="1366"/>
      <c r="Z745" s="1366"/>
      <c r="AA745" s="1366"/>
      <c r="AB745" s="1367"/>
      <c r="AC745" s="1369"/>
      <c r="AD745" s="1370"/>
      <c r="AE745" s="1370"/>
      <c r="AF745" s="1370"/>
      <c r="AG745" s="1371"/>
      <c r="AH745" s="1372" t="str">
        <f t="shared" si="36"/>
        <v/>
      </c>
      <c r="AI745" s="1373"/>
      <c r="AJ745" s="1374"/>
      <c r="AK745" s="1362" t="s">
        <v>592</v>
      </c>
      <c r="AL745" s="1363"/>
      <c r="AM745" s="1363"/>
      <c r="AN745" s="1363"/>
      <c r="AO745" s="1364"/>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77">
        <f t="shared" si="24"/>
        <v>0</v>
      </c>
      <c r="DV745" s="1377"/>
      <c r="DW745" s="1377"/>
      <c r="DX745" s="1377"/>
      <c r="DY745" s="1377"/>
      <c r="DZ745" s="1377">
        <f t="shared" si="25"/>
        <v>0</v>
      </c>
      <c r="EA745" s="1377"/>
      <c r="EB745" s="1377"/>
      <c r="EC745" s="1377"/>
      <c r="ED745" s="1377"/>
      <c r="EE745" s="1377">
        <f t="shared" si="26"/>
        <v>0</v>
      </c>
      <c r="EF745" s="1377"/>
      <c r="EG745" s="1377"/>
      <c r="EH745" s="1377"/>
      <c r="EI745" s="1377"/>
      <c r="EJ745" s="1377">
        <f t="shared" si="27"/>
        <v>0</v>
      </c>
      <c r="EK745" s="1377"/>
      <c r="EL745" s="1377"/>
      <c r="EM745" s="1377"/>
      <c r="EN745" s="1377"/>
      <c r="EO745" s="1377">
        <f t="shared" si="28"/>
        <v>0</v>
      </c>
      <c r="EP745" s="1377"/>
      <c r="EQ745" s="1377"/>
      <c r="ER745" s="1377"/>
      <c r="ES745" s="1377"/>
      <c r="ET745" s="1377">
        <f t="shared" si="29"/>
        <v>0</v>
      </c>
      <c r="EU745" s="1377"/>
      <c r="EV745" s="1377"/>
      <c r="EW745" s="1377"/>
      <c r="EX745" s="1377"/>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5" customHeight="1">
      <c r="B746" s="1362"/>
      <c r="C746" s="1363"/>
      <c r="D746" s="1363"/>
      <c r="E746" s="1363"/>
      <c r="F746" s="1364"/>
      <c r="G746" s="1585"/>
      <c r="H746" s="1586"/>
      <c r="I746" s="1586"/>
      <c r="J746" s="1587"/>
      <c r="K746" s="1359"/>
      <c r="L746" s="1360"/>
      <c r="M746" s="1360"/>
      <c r="N746" s="1361"/>
      <c r="O746" s="1356"/>
      <c r="P746" s="1357"/>
      <c r="Q746" s="1357"/>
      <c r="R746" s="1357"/>
      <c r="S746" s="1358"/>
      <c r="T746" s="1356"/>
      <c r="U746" s="1357"/>
      <c r="V746" s="1357"/>
      <c r="W746" s="1358"/>
      <c r="X746" s="1365">
        <f t="shared" si="39"/>
        <v>0</v>
      </c>
      <c r="Y746" s="1366"/>
      <c r="Z746" s="1366"/>
      <c r="AA746" s="1366"/>
      <c r="AB746" s="1367"/>
      <c r="AC746" s="1369"/>
      <c r="AD746" s="1370"/>
      <c r="AE746" s="1370"/>
      <c r="AF746" s="1370"/>
      <c r="AG746" s="1371"/>
      <c r="AH746" s="1372" t="str">
        <f t="shared" si="36"/>
        <v/>
      </c>
      <c r="AI746" s="1373"/>
      <c r="AJ746" s="1374"/>
      <c r="AK746" s="1362" t="s">
        <v>592</v>
      </c>
      <c r="AL746" s="1363"/>
      <c r="AM746" s="1363"/>
      <c r="AN746" s="1363"/>
      <c r="AO746" s="1364"/>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77">
        <f t="shared" si="24"/>
        <v>0</v>
      </c>
      <c r="DV746" s="1377"/>
      <c r="DW746" s="1377"/>
      <c r="DX746" s="1377"/>
      <c r="DY746" s="1377"/>
      <c r="DZ746" s="1377">
        <f t="shared" si="25"/>
        <v>0</v>
      </c>
      <c r="EA746" s="1377"/>
      <c r="EB746" s="1377"/>
      <c r="EC746" s="1377"/>
      <c r="ED746" s="1377"/>
      <c r="EE746" s="1377">
        <f t="shared" si="26"/>
        <v>0</v>
      </c>
      <c r="EF746" s="1377"/>
      <c r="EG746" s="1377"/>
      <c r="EH746" s="1377"/>
      <c r="EI746" s="1377"/>
      <c r="EJ746" s="1377">
        <f t="shared" si="27"/>
        <v>0</v>
      </c>
      <c r="EK746" s="1377"/>
      <c r="EL746" s="1377"/>
      <c r="EM746" s="1377"/>
      <c r="EN746" s="1377"/>
      <c r="EO746" s="1377">
        <f t="shared" si="28"/>
        <v>0</v>
      </c>
      <c r="EP746" s="1377"/>
      <c r="EQ746" s="1377"/>
      <c r="ER746" s="1377"/>
      <c r="ES746" s="1377"/>
      <c r="ET746" s="1377">
        <f t="shared" si="29"/>
        <v>0</v>
      </c>
      <c r="EU746" s="1377"/>
      <c r="EV746" s="1377"/>
      <c r="EW746" s="1377"/>
      <c r="EX746" s="1377"/>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5" customHeight="1">
      <c r="B747" s="1362"/>
      <c r="C747" s="1363"/>
      <c r="D747" s="1363"/>
      <c r="E747" s="1363"/>
      <c r="F747" s="1364"/>
      <c r="G747" s="1585"/>
      <c r="H747" s="1586"/>
      <c r="I747" s="1586"/>
      <c r="J747" s="1587"/>
      <c r="K747" s="1359"/>
      <c r="L747" s="1360"/>
      <c r="M747" s="1360"/>
      <c r="N747" s="1361"/>
      <c r="O747" s="1356"/>
      <c r="P747" s="1357"/>
      <c r="Q747" s="1357"/>
      <c r="R747" s="1357"/>
      <c r="S747" s="1358"/>
      <c r="T747" s="1356"/>
      <c r="U747" s="1357"/>
      <c r="V747" s="1357"/>
      <c r="W747" s="1358"/>
      <c r="X747" s="1365">
        <f t="shared" si="39"/>
        <v>0</v>
      </c>
      <c r="Y747" s="1366"/>
      <c r="Z747" s="1366"/>
      <c r="AA747" s="1366"/>
      <c r="AB747" s="1367"/>
      <c r="AC747" s="1369"/>
      <c r="AD747" s="1370"/>
      <c r="AE747" s="1370"/>
      <c r="AF747" s="1370"/>
      <c r="AG747" s="1371"/>
      <c r="AH747" s="1372" t="str">
        <f t="shared" si="36"/>
        <v/>
      </c>
      <c r="AI747" s="1373"/>
      <c r="AJ747" s="1374"/>
      <c r="AK747" s="1362" t="s">
        <v>592</v>
      </c>
      <c r="AL747" s="1363"/>
      <c r="AM747" s="1363"/>
      <c r="AN747" s="1363"/>
      <c r="AO747" s="1364"/>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77">
        <f t="shared" si="24"/>
        <v>0</v>
      </c>
      <c r="DV747" s="1377"/>
      <c r="DW747" s="1377"/>
      <c r="DX747" s="1377"/>
      <c r="DY747" s="1377"/>
      <c r="DZ747" s="1377">
        <f t="shared" si="25"/>
        <v>0</v>
      </c>
      <c r="EA747" s="1377"/>
      <c r="EB747" s="1377"/>
      <c r="EC747" s="1377"/>
      <c r="ED747" s="1377"/>
      <c r="EE747" s="1377">
        <f t="shared" si="26"/>
        <v>0</v>
      </c>
      <c r="EF747" s="1377"/>
      <c r="EG747" s="1377"/>
      <c r="EH747" s="1377"/>
      <c r="EI747" s="1377"/>
      <c r="EJ747" s="1377">
        <f t="shared" si="27"/>
        <v>0</v>
      </c>
      <c r="EK747" s="1377"/>
      <c r="EL747" s="1377"/>
      <c r="EM747" s="1377"/>
      <c r="EN747" s="1377"/>
      <c r="EO747" s="1377">
        <f t="shared" si="28"/>
        <v>0</v>
      </c>
      <c r="EP747" s="1377"/>
      <c r="EQ747" s="1377"/>
      <c r="ER747" s="1377"/>
      <c r="ES747" s="1377"/>
      <c r="ET747" s="1377">
        <f t="shared" si="29"/>
        <v>0</v>
      </c>
      <c r="EU747" s="1377"/>
      <c r="EV747" s="1377"/>
      <c r="EW747" s="1377"/>
      <c r="EX747" s="1377"/>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5" customHeight="1">
      <c r="A748"/>
      <c r="B748" s="1362"/>
      <c r="C748" s="1363"/>
      <c r="D748" s="1363"/>
      <c r="E748" s="1363"/>
      <c r="F748" s="1364"/>
      <c r="G748" s="1585"/>
      <c r="H748" s="1586"/>
      <c r="I748" s="1586"/>
      <c r="J748" s="1587"/>
      <c r="K748" s="1359"/>
      <c r="L748" s="1360"/>
      <c r="M748" s="1360"/>
      <c r="N748" s="1361"/>
      <c r="O748" s="1356"/>
      <c r="P748" s="1357"/>
      <c r="Q748" s="1357"/>
      <c r="R748" s="1357"/>
      <c r="S748" s="1358"/>
      <c r="T748" s="1356"/>
      <c r="U748" s="1357"/>
      <c r="V748" s="1357"/>
      <c r="W748" s="1358"/>
      <c r="X748" s="1365">
        <f t="shared" si="39"/>
        <v>0</v>
      </c>
      <c r="Y748" s="1366"/>
      <c r="Z748" s="1366"/>
      <c r="AA748" s="1366"/>
      <c r="AB748" s="1367"/>
      <c r="AC748" s="1369"/>
      <c r="AD748" s="1370"/>
      <c r="AE748" s="1370"/>
      <c r="AF748" s="1370"/>
      <c r="AG748" s="1371"/>
      <c r="AH748" s="1372" t="str">
        <f t="shared" si="36"/>
        <v/>
      </c>
      <c r="AI748" s="1373"/>
      <c r="AJ748" s="1374"/>
      <c r="AK748" s="1362" t="s">
        <v>592</v>
      </c>
      <c r="AL748" s="1363"/>
      <c r="AM748" s="1363"/>
      <c r="AN748" s="1363"/>
      <c r="AO748" s="1364"/>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77">
        <f t="shared" si="24"/>
        <v>0</v>
      </c>
      <c r="DV748" s="1377"/>
      <c r="DW748" s="1377"/>
      <c r="DX748" s="1377"/>
      <c r="DY748" s="1377"/>
      <c r="DZ748" s="1377">
        <f t="shared" si="25"/>
        <v>0</v>
      </c>
      <c r="EA748" s="1377"/>
      <c r="EB748" s="1377"/>
      <c r="EC748" s="1377"/>
      <c r="ED748" s="1377"/>
      <c r="EE748" s="1377">
        <f t="shared" si="26"/>
        <v>0</v>
      </c>
      <c r="EF748" s="1377"/>
      <c r="EG748" s="1377"/>
      <c r="EH748" s="1377"/>
      <c r="EI748" s="1377"/>
      <c r="EJ748" s="1377">
        <f t="shared" si="27"/>
        <v>0</v>
      </c>
      <c r="EK748" s="1377"/>
      <c r="EL748" s="1377"/>
      <c r="EM748" s="1377"/>
      <c r="EN748" s="1377"/>
      <c r="EO748" s="1377">
        <f t="shared" si="28"/>
        <v>0</v>
      </c>
      <c r="EP748" s="1377"/>
      <c r="EQ748" s="1377"/>
      <c r="ER748" s="1377"/>
      <c r="ES748" s="1377"/>
      <c r="ET748" s="1377">
        <f t="shared" si="29"/>
        <v>0</v>
      </c>
      <c r="EU748" s="1377"/>
      <c r="EV748" s="1377"/>
      <c r="EW748" s="1377"/>
      <c r="EX748" s="1377"/>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5" customHeight="1">
      <c r="A749"/>
      <c r="B749" s="1362"/>
      <c r="C749" s="1363"/>
      <c r="D749" s="1363"/>
      <c r="E749" s="1363"/>
      <c r="F749" s="1364"/>
      <c r="G749" s="1585"/>
      <c r="H749" s="1586"/>
      <c r="I749" s="1586"/>
      <c r="J749" s="1587"/>
      <c r="K749" s="1359"/>
      <c r="L749" s="1360"/>
      <c r="M749" s="1360"/>
      <c r="N749" s="1361"/>
      <c r="O749" s="1356"/>
      <c r="P749" s="1357"/>
      <c r="Q749" s="1357"/>
      <c r="R749" s="1357"/>
      <c r="S749" s="1358"/>
      <c r="T749" s="1356"/>
      <c r="U749" s="1357"/>
      <c r="V749" s="1357"/>
      <c r="W749" s="1358"/>
      <c r="X749" s="1365">
        <f t="shared" si="39"/>
        <v>0</v>
      </c>
      <c r="Y749" s="1366"/>
      <c r="Z749" s="1366"/>
      <c r="AA749" s="1366"/>
      <c r="AB749" s="1367"/>
      <c r="AC749" s="1369"/>
      <c r="AD749" s="1370"/>
      <c r="AE749" s="1370"/>
      <c r="AF749" s="1370"/>
      <c r="AG749" s="1371"/>
      <c r="AH749" s="1372" t="str">
        <f t="shared" si="36"/>
        <v/>
      </c>
      <c r="AI749" s="1373"/>
      <c r="AJ749" s="1374"/>
      <c r="AK749" s="1362" t="s">
        <v>592</v>
      </c>
      <c r="AL749" s="1363"/>
      <c r="AM749" s="1363"/>
      <c r="AN749" s="1363"/>
      <c r="AO749" s="1364"/>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77">
        <f t="shared" si="24"/>
        <v>0</v>
      </c>
      <c r="DV749" s="1377"/>
      <c r="DW749" s="1377"/>
      <c r="DX749" s="1377"/>
      <c r="DY749" s="1377"/>
      <c r="DZ749" s="1377">
        <f t="shared" si="25"/>
        <v>0</v>
      </c>
      <c r="EA749" s="1377"/>
      <c r="EB749" s="1377"/>
      <c r="EC749" s="1377"/>
      <c r="ED749" s="1377"/>
      <c r="EE749" s="1377">
        <f t="shared" si="26"/>
        <v>0</v>
      </c>
      <c r="EF749" s="1377"/>
      <c r="EG749" s="1377"/>
      <c r="EH749" s="1377"/>
      <c r="EI749" s="1377"/>
      <c r="EJ749" s="1377">
        <f t="shared" si="27"/>
        <v>0</v>
      </c>
      <c r="EK749" s="1377"/>
      <c r="EL749" s="1377"/>
      <c r="EM749" s="1377"/>
      <c r="EN749" s="1377"/>
      <c r="EO749" s="1377">
        <f t="shared" si="28"/>
        <v>0</v>
      </c>
      <c r="EP749" s="1377"/>
      <c r="EQ749" s="1377"/>
      <c r="ER749" s="1377"/>
      <c r="ES749" s="1377"/>
      <c r="ET749" s="1377">
        <f t="shared" si="29"/>
        <v>0</v>
      </c>
      <c r="EU749" s="1377"/>
      <c r="EV749" s="1377"/>
      <c r="EW749" s="1377"/>
      <c r="EX749" s="1377"/>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5" customHeight="1">
      <c r="A750"/>
      <c r="B750" s="1362"/>
      <c r="C750" s="1363"/>
      <c r="D750" s="1363"/>
      <c r="E750" s="1363"/>
      <c r="F750" s="1364"/>
      <c r="G750" s="1585"/>
      <c r="H750" s="1586"/>
      <c r="I750" s="1586"/>
      <c r="J750" s="1587"/>
      <c r="K750" s="1359"/>
      <c r="L750" s="1360"/>
      <c r="M750" s="1360"/>
      <c r="N750" s="1361"/>
      <c r="O750" s="1356"/>
      <c r="P750" s="1357"/>
      <c r="Q750" s="1357"/>
      <c r="R750" s="1357"/>
      <c r="S750" s="1358"/>
      <c r="T750" s="1356"/>
      <c r="U750" s="1357"/>
      <c r="V750" s="1357"/>
      <c r="W750" s="1358"/>
      <c r="X750" s="1365">
        <f t="shared" si="39"/>
        <v>0</v>
      </c>
      <c r="Y750" s="1366"/>
      <c r="Z750" s="1366"/>
      <c r="AA750" s="1366"/>
      <c r="AB750" s="1367"/>
      <c r="AC750" s="1369"/>
      <c r="AD750" s="1370"/>
      <c r="AE750" s="1370"/>
      <c r="AF750" s="1370"/>
      <c r="AG750" s="1371"/>
      <c r="AH750" s="1372" t="str">
        <f t="shared" si="36"/>
        <v/>
      </c>
      <c r="AI750" s="1373"/>
      <c r="AJ750" s="1374"/>
      <c r="AK750" s="1362" t="s">
        <v>592</v>
      </c>
      <c r="AL750" s="1363"/>
      <c r="AM750" s="1363"/>
      <c r="AN750" s="1363"/>
      <c r="AO750" s="1364"/>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77">
        <f t="shared" si="24"/>
        <v>0</v>
      </c>
      <c r="DV750" s="1377"/>
      <c r="DW750" s="1377"/>
      <c r="DX750" s="1377"/>
      <c r="DY750" s="1377"/>
      <c r="DZ750" s="1377">
        <f t="shared" si="25"/>
        <v>0</v>
      </c>
      <c r="EA750" s="1377"/>
      <c r="EB750" s="1377"/>
      <c r="EC750" s="1377"/>
      <c r="ED750" s="1377"/>
      <c r="EE750" s="1377">
        <f t="shared" si="26"/>
        <v>0</v>
      </c>
      <c r="EF750" s="1377"/>
      <c r="EG750" s="1377"/>
      <c r="EH750" s="1377"/>
      <c r="EI750" s="1377"/>
      <c r="EJ750" s="1377">
        <f t="shared" si="27"/>
        <v>0</v>
      </c>
      <c r="EK750" s="1377"/>
      <c r="EL750" s="1377"/>
      <c r="EM750" s="1377"/>
      <c r="EN750" s="1377"/>
      <c r="EO750" s="1377">
        <f t="shared" si="28"/>
        <v>0</v>
      </c>
      <c r="EP750" s="1377"/>
      <c r="EQ750" s="1377"/>
      <c r="ER750" s="1377"/>
      <c r="ES750" s="1377"/>
      <c r="ET750" s="1377">
        <f t="shared" si="29"/>
        <v>0</v>
      </c>
      <c r="EU750" s="1377"/>
      <c r="EV750" s="1377"/>
      <c r="EW750" s="1377"/>
      <c r="EX750" s="1377"/>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5" customHeight="1">
      <c r="A751"/>
      <c r="B751" s="1362"/>
      <c r="C751" s="1363"/>
      <c r="D751" s="1363"/>
      <c r="E751" s="1363"/>
      <c r="F751" s="1364"/>
      <c r="G751" s="1585"/>
      <c r="H751" s="1586"/>
      <c r="I751" s="1586"/>
      <c r="J751" s="1587"/>
      <c r="K751" s="1359"/>
      <c r="L751" s="1360"/>
      <c r="M751" s="1360"/>
      <c r="N751" s="1361"/>
      <c r="O751" s="1356"/>
      <c r="P751" s="1357"/>
      <c r="Q751" s="1357"/>
      <c r="R751" s="1357"/>
      <c r="S751" s="1358"/>
      <c r="T751" s="1356"/>
      <c r="U751" s="1357"/>
      <c r="V751" s="1357"/>
      <c r="W751" s="1358"/>
      <c r="X751" s="1365">
        <f t="shared" si="39"/>
        <v>0</v>
      </c>
      <c r="Y751" s="1366"/>
      <c r="Z751" s="1366"/>
      <c r="AA751" s="1366"/>
      <c r="AB751" s="1367"/>
      <c r="AC751" s="1369"/>
      <c r="AD751" s="1370"/>
      <c r="AE751" s="1370"/>
      <c r="AF751" s="1370"/>
      <c r="AG751" s="1371"/>
      <c r="AH751" s="1372" t="str">
        <f t="shared" si="36"/>
        <v/>
      </c>
      <c r="AI751" s="1373"/>
      <c r="AJ751" s="1374"/>
      <c r="AK751" s="1362" t="s">
        <v>592</v>
      </c>
      <c r="AL751" s="1363"/>
      <c r="AM751" s="1363"/>
      <c r="AN751" s="1363"/>
      <c r="AO751" s="1364"/>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77">
        <f t="shared" si="24"/>
        <v>0</v>
      </c>
      <c r="DV751" s="1377"/>
      <c r="DW751" s="1377"/>
      <c r="DX751" s="1377"/>
      <c r="DY751" s="1377"/>
      <c r="DZ751" s="1377">
        <f t="shared" si="25"/>
        <v>0</v>
      </c>
      <c r="EA751" s="1377"/>
      <c r="EB751" s="1377"/>
      <c r="EC751" s="1377"/>
      <c r="ED751" s="1377"/>
      <c r="EE751" s="1377">
        <f t="shared" si="26"/>
        <v>0</v>
      </c>
      <c r="EF751" s="1377"/>
      <c r="EG751" s="1377"/>
      <c r="EH751" s="1377"/>
      <c r="EI751" s="1377"/>
      <c r="EJ751" s="1377">
        <f t="shared" si="27"/>
        <v>0</v>
      </c>
      <c r="EK751" s="1377"/>
      <c r="EL751" s="1377"/>
      <c r="EM751" s="1377"/>
      <c r="EN751" s="1377"/>
      <c r="EO751" s="1377">
        <f t="shared" si="28"/>
        <v>0</v>
      </c>
      <c r="EP751" s="1377"/>
      <c r="EQ751" s="1377"/>
      <c r="ER751" s="1377"/>
      <c r="ES751" s="1377"/>
      <c r="ET751" s="1377">
        <f t="shared" si="29"/>
        <v>0</v>
      </c>
      <c r="EU751" s="1377"/>
      <c r="EV751" s="1377"/>
      <c r="EW751" s="1377"/>
      <c r="EX751" s="1377"/>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5" customHeight="1">
      <c r="A752"/>
      <c r="B752" s="1362"/>
      <c r="C752" s="1363"/>
      <c r="D752" s="1363"/>
      <c r="E752" s="1363"/>
      <c r="F752" s="1364"/>
      <c r="G752" s="1585"/>
      <c r="H752" s="1586"/>
      <c r="I752" s="1586"/>
      <c r="J752" s="1587"/>
      <c r="K752" s="1359"/>
      <c r="L752" s="1360"/>
      <c r="M752" s="1360"/>
      <c r="N752" s="1361"/>
      <c r="O752" s="1356"/>
      <c r="P752" s="1357"/>
      <c r="Q752" s="1357"/>
      <c r="R752" s="1357"/>
      <c r="S752" s="1358"/>
      <c r="T752" s="1356"/>
      <c r="U752" s="1357"/>
      <c r="V752" s="1357"/>
      <c r="W752" s="1358"/>
      <c r="X752" s="1365">
        <f>O752+T752</f>
        <v>0</v>
      </c>
      <c r="Y752" s="1366"/>
      <c r="Z752" s="1366"/>
      <c r="AA752" s="1366"/>
      <c r="AB752" s="1367"/>
      <c r="AC752" s="1369"/>
      <c r="AD752" s="1370"/>
      <c r="AE752" s="1370"/>
      <c r="AF752" s="1370"/>
      <c r="AG752" s="1371"/>
      <c r="AH752" s="1372" t="str">
        <f t="shared" si="36"/>
        <v/>
      </c>
      <c r="AI752" s="1373"/>
      <c r="AJ752" s="1374"/>
      <c r="AK752" s="1362" t="s">
        <v>592</v>
      </c>
      <c r="AL752" s="1363"/>
      <c r="AM752" s="1363"/>
      <c r="AN752" s="1363"/>
      <c r="AO752" s="1364"/>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77">
        <f t="shared" si="24"/>
        <v>0</v>
      </c>
      <c r="DV752" s="1377"/>
      <c r="DW752" s="1377"/>
      <c r="DX752" s="1377"/>
      <c r="DY752" s="1377"/>
      <c r="DZ752" s="1377">
        <f t="shared" si="25"/>
        <v>0</v>
      </c>
      <c r="EA752" s="1377"/>
      <c r="EB752" s="1377"/>
      <c r="EC752" s="1377"/>
      <c r="ED752" s="1377"/>
      <c r="EE752" s="1377">
        <f t="shared" si="26"/>
        <v>0</v>
      </c>
      <c r="EF752" s="1377"/>
      <c r="EG752" s="1377"/>
      <c r="EH752" s="1377"/>
      <c r="EI752" s="1377"/>
      <c r="EJ752" s="1377">
        <f t="shared" si="27"/>
        <v>0</v>
      </c>
      <c r="EK752" s="1377"/>
      <c r="EL752" s="1377"/>
      <c r="EM752" s="1377"/>
      <c r="EN752" s="1377"/>
      <c r="EO752" s="1377">
        <f t="shared" si="28"/>
        <v>0</v>
      </c>
      <c r="EP752" s="1377"/>
      <c r="EQ752" s="1377"/>
      <c r="ER752" s="1377"/>
      <c r="ES752" s="1377"/>
      <c r="ET752" s="1377">
        <f t="shared" si="29"/>
        <v>0</v>
      </c>
      <c r="EU752" s="1377"/>
      <c r="EV752" s="1377"/>
      <c r="EW752" s="1377"/>
      <c r="EX752" s="1377"/>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5" customHeight="1">
      <c r="A753"/>
      <c r="B753" s="1436" t="s">
        <v>125</v>
      </c>
      <c r="C753" s="1437"/>
      <c r="D753" s="1437"/>
      <c r="E753" s="1437"/>
      <c r="F753" s="1439"/>
      <c r="G753" s="1728">
        <f>SUM(G718:G752)</f>
        <v>151</v>
      </c>
      <c r="H753" s="1729"/>
      <c r="I753" s="1729"/>
      <c r="J753" s="1730"/>
      <c r="K753" s="902" t="s">
        <v>124</v>
      </c>
      <c r="L753" s="5"/>
      <c r="M753" s="5"/>
      <c r="N753" s="46"/>
      <c r="O753" s="1365">
        <f>SUMPRODUCT(G718:G752,O718:O752)</f>
        <v>233368</v>
      </c>
      <c r="P753" s="1366"/>
      <c r="Q753" s="1366"/>
      <c r="R753" s="1366"/>
      <c r="S753" s="1367"/>
      <c r="T753"/>
      <c r="U753"/>
      <c r="V753"/>
      <c r="W753"/>
      <c r="X753" s="904" t="s">
        <v>901</v>
      </c>
      <c r="Y753" s="903"/>
      <c r="Z753" s="903"/>
      <c r="AA753" s="903"/>
      <c r="AB753" s="905"/>
      <c r="AC753" s="1605">
        <f>BH753</f>
        <v>0.5927152317880795</v>
      </c>
      <c r="AD753" s="1606"/>
      <c r="AE753" s="1606"/>
      <c r="AF753" s="1606"/>
      <c r="AG753" s="1607"/>
      <c r="AH753" s="1605">
        <f>IFERROR(BU753,"")</f>
        <v>0.5505869517461448</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151</v>
      </c>
      <c r="BG753" s="300">
        <f>SUM(BG718:BG752)</f>
        <v>1</v>
      </c>
      <c r="BH753" s="300">
        <f>SUM(BH718:BH752)</f>
        <v>0.5927152317880795</v>
      </c>
      <c r="BI753"/>
      <c r="BJ753"/>
      <c r="BK753"/>
      <c r="BL753"/>
      <c r="BO753"/>
      <c r="BP753"/>
      <c r="BQ753"/>
      <c r="BR753"/>
      <c r="BS753" s="859">
        <f>SUM(BS718:BS752)</f>
        <v>151</v>
      </c>
      <c r="BT753" s="300">
        <f>SUM(BT718:BT752)</f>
        <v>1</v>
      </c>
      <c r="BU753" s="300">
        <f>SUM(BU718:BU752)</f>
        <v>0.5505869517461448</v>
      </c>
      <c r="CI753" s="1352">
        <f>SUM(CI718:CJ752)</f>
        <v>16</v>
      </c>
      <c r="CJ753" s="1354"/>
      <c r="CM753" s="1352">
        <f>SUM(CM718:CN752)</f>
        <v>23</v>
      </c>
      <c r="CN753" s="1354"/>
      <c r="CP753" s="1352">
        <f>SUM(CP718:CT752)</f>
        <v>0</v>
      </c>
      <c r="CQ753" s="1353"/>
      <c r="CR753" s="1353"/>
      <c r="CS753" s="1353"/>
      <c r="CT753" s="1354"/>
      <c r="CU753" s="1376">
        <f>SUM(CU718:CY752)</f>
        <v>42</v>
      </c>
      <c r="CV753" s="1376"/>
      <c r="CW753" s="1376"/>
      <c r="CX753" s="1376"/>
      <c r="CY753" s="1376"/>
      <c r="CZ753" s="1376">
        <f>SUM(CZ718:DD752)</f>
        <v>70</v>
      </c>
      <c r="DA753" s="1376"/>
      <c r="DB753" s="1376"/>
      <c r="DC753" s="1376"/>
      <c r="DD753" s="1376"/>
      <c r="DE753" s="1376">
        <f>SUM(DE718:DI752)</f>
        <v>39</v>
      </c>
      <c r="DF753" s="1376"/>
      <c r="DG753" s="1376"/>
      <c r="DH753" s="1376"/>
      <c r="DI753" s="1376"/>
      <c r="DJ753" s="1376">
        <f>SUM(DJ718:DN752)</f>
        <v>0</v>
      </c>
      <c r="DK753" s="1376"/>
      <c r="DL753" s="1376"/>
      <c r="DM753" s="1376"/>
      <c r="DN753" s="1376"/>
      <c r="DO753" s="1376">
        <f>SUM(DO718:DS752)</f>
        <v>0</v>
      </c>
      <c r="DP753" s="1376"/>
      <c r="DQ753" s="1376"/>
      <c r="DR753" s="1376"/>
      <c r="DS753" s="1376"/>
      <c r="DT753" s="354"/>
      <c r="DU753" s="1376">
        <f>SUM(DU718:DY752)</f>
        <v>0</v>
      </c>
      <c r="DV753" s="1376"/>
      <c r="DW753" s="1376"/>
      <c r="DX753" s="1376"/>
      <c r="DY753" s="1376"/>
      <c r="DZ753" s="1376">
        <f>SUM(DZ718:ED752)</f>
        <v>9</v>
      </c>
      <c r="EA753" s="1376"/>
      <c r="EB753" s="1376"/>
      <c r="EC753" s="1376"/>
      <c r="ED753" s="1376"/>
      <c r="EE753" s="1376">
        <f>SUM(EE718:EI752)</f>
        <v>10</v>
      </c>
      <c r="EF753" s="1376"/>
      <c r="EG753" s="1376"/>
      <c r="EH753" s="1376"/>
      <c r="EI753" s="1376"/>
      <c r="EJ753" s="1376">
        <f>SUM(EJ718:EN752)</f>
        <v>4</v>
      </c>
      <c r="EK753" s="1376"/>
      <c r="EL753" s="1376"/>
      <c r="EM753" s="1376"/>
      <c r="EN753" s="1376"/>
      <c r="EO753" s="1376">
        <f>SUM(EO718:ES752)</f>
        <v>0</v>
      </c>
      <c r="EP753" s="1376"/>
      <c r="EQ753" s="1376"/>
      <c r="ER753" s="1376"/>
      <c r="ES753" s="1376"/>
      <c r="ET753" s="1376">
        <f>SUM(ET718:EX752)</f>
        <v>0</v>
      </c>
      <c r="EU753" s="1376"/>
      <c r="EV753" s="1376"/>
      <c r="EW753" s="1376"/>
      <c r="EX753" s="1376"/>
      <c r="EY753"/>
      <c r="EZ753" s="1376">
        <f>SUM(EZ718:FD752)</f>
        <v>0</v>
      </c>
      <c r="FA753" s="1376"/>
      <c r="FB753" s="1376"/>
      <c r="FC753" s="1376"/>
      <c r="FD753" s="1376"/>
      <c r="FE753" s="1376">
        <f>SUM(FE718:FI752)</f>
        <v>4655</v>
      </c>
      <c r="FF753" s="1376"/>
      <c r="FG753" s="1376"/>
      <c r="FH753" s="1376"/>
      <c r="FI753" s="1376"/>
      <c r="FJ753" s="1376">
        <f>SUM(FJ718:FN752)</f>
        <v>5633</v>
      </c>
      <c r="FK753" s="1376"/>
      <c r="FL753" s="1376"/>
      <c r="FM753" s="1376"/>
      <c r="FN753" s="1376"/>
      <c r="FO753" s="1376">
        <f>SUM(FO718:FS752)</f>
        <v>6646</v>
      </c>
      <c r="FP753" s="1376"/>
      <c r="FQ753" s="1376"/>
      <c r="FR753" s="1376"/>
      <c r="FS753" s="1376"/>
      <c r="FT753" s="1376">
        <f>SUM(FT718:FX752)</f>
        <v>0</v>
      </c>
      <c r="FU753" s="1376"/>
      <c r="FV753" s="1376"/>
      <c r="FW753" s="1376"/>
      <c r="FX753" s="1376"/>
      <c r="FY753" s="1376">
        <f>SUM(FY718:GC752)</f>
        <v>0</v>
      </c>
      <c r="FZ753" s="1376"/>
      <c r="GA753" s="1376"/>
      <c r="GB753" s="1376"/>
      <c r="GC753" s="1376"/>
    </row>
    <row r="754" spans="1:185" s="3" customFormat="1" ht="12.95" customHeight="1">
      <c r="A754"/>
      <c r="B754" s="1700" t="s">
        <v>1894</v>
      </c>
      <c r="C754" s="1700"/>
      <c r="D754" s="1700"/>
      <c r="E754" s="1700"/>
      <c r="F754" s="1700"/>
      <c r="G754" s="1700"/>
      <c r="H754" s="1700"/>
      <c r="I754" s="1700"/>
      <c r="J754" s="1700"/>
      <c r="K754" s="1700"/>
      <c r="L754" s="1700"/>
      <c r="M754" s="1700"/>
      <c r="N754" s="1700"/>
      <c r="O754" s="1700"/>
      <c r="P754" s="1700"/>
      <c r="Q754" s="1700"/>
      <c r="R754" s="1700"/>
      <c r="S754" s="1700"/>
      <c r="T754" s="1700"/>
      <c r="U754" s="1700"/>
      <c r="V754" s="1700"/>
      <c r="W754" s="1700"/>
      <c r="X754" s="1700"/>
      <c r="Y754" s="1700"/>
      <c r="Z754" s="1700"/>
      <c r="AA754" s="1700"/>
      <c r="AB754" s="1700"/>
      <c r="AC754" s="1700"/>
      <c r="AD754" s="1700"/>
      <c r="AE754" s="1700"/>
      <c r="AF754" s="1700"/>
      <c r="AG754" s="1700"/>
      <c r="AH754" s="1700"/>
      <c r="AI754"/>
      <c r="AJ754"/>
      <c r="AK754"/>
      <c r="AT754"/>
      <c r="AU754"/>
      <c r="AV754"/>
      <c r="AW754"/>
      <c r="AX754"/>
      <c r="AY754"/>
      <c r="CD754"/>
      <c r="DN754" s="56" t="s">
        <v>1861</v>
      </c>
      <c r="DO754" s="1352">
        <f>CP753+CU753+CZ753+DE753+DJ753+DO753</f>
        <v>151</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00"/>
      <c r="C755" s="1700"/>
      <c r="D755" s="1700"/>
      <c r="E755" s="1700"/>
      <c r="F755" s="1700"/>
      <c r="G755" s="1700"/>
      <c r="H755" s="1700"/>
      <c r="I755" s="1700"/>
      <c r="J755" s="1700"/>
      <c r="K755" s="1700"/>
      <c r="L755" s="1700"/>
      <c r="M755" s="1700"/>
      <c r="N755" s="1700"/>
      <c r="O755" s="1700"/>
      <c r="P755" s="1700"/>
      <c r="Q755" s="1700"/>
      <c r="R755" s="1700"/>
      <c r="S755" s="1700"/>
      <c r="T755" s="1700"/>
      <c r="U755" s="1700"/>
      <c r="V755" s="1700"/>
      <c r="W755" s="1700"/>
      <c r="X755" s="1700"/>
      <c r="Y755" s="1700"/>
      <c r="Z755" s="1700"/>
      <c r="AA755" s="1700"/>
      <c r="AB755" s="1700"/>
      <c r="AC755" s="1700"/>
      <c r="AD755" s="1700"/>
      <c r="AE755" s="1700"/>
      <c r="AF755" s="1700"/>
      <c r="AG755" s="1700"/>
      <c r="AH755" s="170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42</v>
      </c>
      <c r="CZ755" s="3"/>
      <c r="DA755" s="3"/>
      <c r="DB755" s="3"/>
      <c r="DC755" s="3"/>
      <c r="DD755" s="861">
        <f>CZ753*2</f>
        <v>140</v>
      </c>
      <c r="DE755" s="3"/>
      <c r="DF755" s="3"/>
      <c r="DG755" s="3"/>
      <c r="DH755" s="3"/>
      <c r="DI755" s="861">
        <f>DE753*3</f>
        <v>117</v>
      </c>
      <c r="DJ755" s="3"/>
      <c r="DK755" s="3"/>
      <c r="DL755" s="3"/>
      <c r="DM755" s="3"/>
      <c r="DN755" s="861">
        <f>DJ753*4</f>
        <v>0</v>
      </c>
      <c r="DO755" s="3"/>
      <c r="DP755" s="3"/>
      <c r="DQ755" s="3"/>
      <c r="DR755" s="3"/>
      <c r="DS755" s="861">
        <f>DO753*5</f>
        <v>0</v>
      </c>
      <c r="DU755" s="861">
        <f>CT755+CY755+DD755+DI755+DN755+DS755</f>
        <v>299</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76">
        <f>DU755</f>
        <v>299</v>
      </c>
      <c r="P756" s="1376"/>
      <c r="Q756" s="1376"/>
      <c r="R756" s="1376"/>
      <c r="S756" s="969"/>
      <c r="T756" s="969"/>
      <c r="U756" s="118" t="s">
        <v>1893</v>
      </c>
      <c r="V756" s="1032"/>
      <c r="W756" s="1032"/>
      <c r="X756" s="1032"/>
      <c r="Y756" s="1033"/>
      <c r="Z756" s="1033"/>
      <c r="AA756" s="1033"/>
      <c r="AB756" s="1033"/>
      <c r="AC756" s="1032"/>
      <c r="AD756" s="1032"/>
      <c r="AE756" s="1032"/>
      <c r="AF756" s="1032"/>
      <c r="AG756" s="1695">
        <v>19</v>
      </c>
      <c r="AH756" s="1695"/>
      <c r="AI756" s="1695"/>
      <c r="AJ756" s="169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49" t="str">
        <f>IF(G753&lt;&gt;AG440,"! Total Low-Income Units in the Unit Mix Table above does not match the number of Total Low-Income Units on row #"&amp;TEXT(ROW(D440),"#"),"")</f>
        <v/>
      </c>
      <c r="D757" s="1849"/>
      <c r="E757" s="1849"/>
      <c r="F757" s="1849"/>
      <c r="G757" s="1849"/>
      <c r="H757" s="1849"/>
      <c r="I757" s="1849"/>
      <c r="J757" s="1849"/>
      <c r="K757" s="1849"/>
      <c r="L757" s="1849"/>
      <c r="M757" s="1849"/>
      <c r="N757" s="1849"/>
      <c r="O757" s="1849"/>
      <c r="P757" s="1849"/>
      <c r="Q757" s="1849"/>
      <c r="R757" s="1849"/>
      <c r="S757" s="1849"/>
      <c r="T757" s="1849"/>
      <c r="U757" s="1849"/>
      <c r="V757" s="1849"/>
      <c r="W757" s="1849"/>
      <c r="X757" s="1849"/>
      <c r="Y757" s="1849"/>
      <c r="Z757" s="1849"/>
      <c r="AA757" s="1849"/>
      <c r="AB757" s="1849"/>
      <c r="AC757" s="1849"/>
      <c r="AD757" s="1849"/>
      <c r="AE757" s="1849"/>
      <c r="AF757" s="1849"/>
      <c r="AG757" s="1849"/>
      <c r="AH757" s="1849"/>
      <c r="AI757" s="1849"/>
      <c r="AJ757" s="1849"/>
      <c r="AK757" s="1849"/>
      <c r="AL757" s="1849"/>
      <c r="AM757" s="184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49"/>
      <c r="D758" s="1849"/>
      <c r="E758" s="1849"/>
      <c r="F758" s="1849"/>
      <c r="G758" s="1849"/>
      <c r="H758" s="1849"/>
      <c r="I758" s="1849"/>
      <c r="J758" s="1849"/>
      <c r="K758" s="1849"/>
      <c r="L758" s="1849"/>
      <c r="M758" s="1849"/>
      <c r="N758" s="1849"/>
      <c r="O758" s="1849"/>
      <c r="P758" s="1849"/>
      <c r="Q758" s="1849"/>
      <c r="R758" s="1849"/>
      <c r="S758" s="1849"/>
      <c r="T758" s="1849"/>
      <c r="U758" s="1849"/>
      <c r="V758" s="1849"/>
      <c r="W758" s="1849"/>
      <c r="X758" s="1849"/>
      <c r="Y758" s="1849"/>
      <c r="Z758" s="1849"/>
      <c r="AA758" s="1849"/>
      <c r="AB758" s="1849"/>
      <c r="AC758" s="1849"/>
      <c r="AD758" s="1849"/>
      <c r="AE758" s="1849"/>
      <c r="AF758" s="1849"/>
      <c r="AG758" s="1849"/>
      <c r="AH758" s="1849"/>
      <c r="AI758" s="1849"/>
      <c r="AJ758" s="1849"/>
      <c r="AK758" s="1849"/>
      <c r="AL758" s="1849"/>
      <c r="AM758" s="184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05" t="s">
        <v>592</v>
      </c>
      <c r="AE759" s="1705"/>
      <c r="AF759" s="170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94" t="s">
        <v>389</v>
      </c>
      <c r="K769" s="1478"/>
      <c r="L769" s="1478"/>
      <c r="M769" s="1478"/>
      <c r="N769" s="1479"/>
      <c r="O769" s="1589" t="s">
        <v>285</v>
      </c>
      <c r="P769" s="1589"/>
      <c r="Q769" s="1589"/>
      <c r="R769" s="1589"/>
      <c r="S769" s="1589"/>
      <c r="T769" s="1595" t="s">
        <v>1680</v>
      </c>
      <c r="U769" s="1596"/>
      <c r="V769" s="1596"/>
      <c r="W769" s="1597"/>
      <c r="X769" s="1594" t="s">
        <v>448</v>
      </c>
      <c r="Y769" s="1478"/>
      <c r="Z769" s="1478"/>
      <c r="AA769" s="1478"/>
      <c r="AB769" s="1479"/>
      <c r="AC769" s="1594" t="s">
        <v>286</v>
      </c>
      <c r="AD769" s="1478"/>
      <c r="AE769" s="1478"/>
      <c r="AF769" s="1478"/>
      <c r="AG769" s="14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80"/>
      <c r="K770" s="1481"/>
      <c r="L770" s="1481"/>
      <c r="M770" s="1481"/>
      <c r="N770" s="1482"/>
      <c r="O770" s="1589"/>
      <c r="P770" s="1589"/>
      <c r="Q770" s="1589"/>
      <c r="R770" s="1589"/>
      <c r="S770" s="1589"/>
      <c r="T770" s="1598"/>
      <c r="U770" s="1599"/>
      <c r="V770" s="1599"/>
      <c r="W770" s="1600"/>
      <c r="X770" s="1480"/>
      <c r="Y770" s="1481"/>
      <c r="Z770" s="1481"/>
      <c r="AA770" s="1481"/>
      <c r="AB770" s="1482"/>
      <c r="AC770" s="1480"/>
      <c r="AD770" s="1481"/>
      <c r="AE770" s="1481"/>
      <c r="AF770" s="1481"/>
      <c r="AG770" s="14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80"/>
      <c r="K771" s="1481"/>
      <c r="L771" s="1481"/>
      <c r="M771" s="1481"/>
      <c r="N771" s="1482"/>
      <c r="O771" s="1589"/>
      <c r="P771" s="1589"/>
      <c r="Q771" s="1589"/>
      <c r="R771" s="1589"/>
      <c r="S771" s="1589"/>
      <c r="T771" s="1598"/>
      <c r="U771" s="1599"/>
      <c r="V771" s="1599"/>
      <c r="W771" s="1600"/>
      <c r="X771" s="1480"/>
      <c r="Y771" s="1481"/>
      <c r="Z771" s="1481"/>
      <c r="AA771" s="1481"/>
      <c r="AB771" s="1482"/>
      <c r="AC771" s="1480"/>
      <c r="AD771" s="1481"/>
      <c r="AE771" s="1481"/>
      <c r="AF771" s="1481"/>
      <c r="AG771" s="14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83"/>
      <c r="K772" s="1484"/>
      <c r="L772" s="1484"/>
      <c r="M772" s="1484"/>
      <c r="N772" s="1485"/>
      <c r="O772" s="1589"/>
      <c r="P772" s="1589"/>
      <c r="Q772" s="1589"/>
      <c r="R772" s="1589"/>
      <c r="S772" s="1589"/>
      <c r="T772" s="1601"/>
      <c r="U772" s="1602"/>
      <c r="V772" s="1602"/>
      <c r="W772" s="1603"/>
      <c r="X772" s="1483"/>
      <c r="Y772" s="1484"/>
      <c r="Z772" s="1484"/>
      <c r="AA772" s="1484"/>
      <c r="AB772" s="1485"/>
      <c r="AC772" s="1483"/>
      <c r="AD772" s="1484"/>
      <c r="AE772" s="1484"/>
      <c r="AF772" s="1484"/>
      <c r="AG772" s="14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2" t="s">
        <v>164</v>
      </c>
      <c r="K773" s="1363"/>
      <c r="L773" s="1363"/>
      <c r="M773" s="1363"/>
      <c r="N773" s="1364"/>
      <c r="O773" s="1375">
        <v>1</v>
      </c>
      <c r="P773" s="1375"/>
      <c r="Q773" s="1375"/>
      <c r="R773" s="1375"/>
      <c r="S773" s="1375"/>
      <c r="T773" s="1359">
        <v>1028</v>
      </c>
      <c r="U773" s="1360"/>
      <c r="V773" s="1360"/>
      <c r="W773" s="1361"/>
      <c r="X773" s="1356"/>
      <c r="Y773" s="1357"/>
      <c r="Z773" s="1357"/>
      <c r="AA773" s="1357"/>
      <c r="AB773" s="1358"/>
      <c r="AC773" s="1365">
        <f>X773*O773</f>
        <v>0</v>
      </c>
      <c r="AD773" s="1366"/>
      <c r="AE773" s="1366"/>
      <c r="AF773" s="1366"/>
      <c r="AG773" s="136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1</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5" customHeight="1">
      <c r="J774" s="1362"/>
      <c r="K774" s="1363"/>
      <c r="L774" s="1363"/>
      <c r="M774" s="1363"/>
      <c r="N774" s="1364"/>
      <c r="O774" s="1375"/>
      <c r="P774" s="1375"/>
      <c r="Q774" s="1375"/>
      <c r="R774" s="1375"/>
      <c r="S774" s="1375"/>
      <c r="T774" s="1359"/>
      <c r="U774" s="1360"/>
      <c r="V774" s="1360"/>
      <c r="W774" s="1361"/>
      <c r="X774" s="1356"/>
      <c r="Y774" s="1357"/>
      <c r="Z774" s="1357"/>
      <c r="AA774" s="1357"/>
      <c r="AB774" s="1358"/>
      <c r="AC774" s="1365">
        <f>X774*O774</f>
        <v>0</v>
      </c>
      <c r="AD774" s="1366"/>
      <c r="AE774" s="1366"/>
      <c r="AF774" s="1366"/>
      <c r="AG774" s="136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5" customHeight="1">
      <c r="J775" s="1362"/>
      <c r="K775" s="1363"/>
      <c r="L775" s="1363"/>
      <c r="M775" s="1363"/>
      <c r="N775" s="1364"/>
      <c r="O775" s="1375"/>
      <c r="P775" s="1375"/>
      <c r="Q775" s="1375"/>
      <c r="R775" s="1375"/>
      <c r="S775" s="1375"/>
      <c r="T775" s="1359"/>
      <c r="U775" s="1360"/>
      <c r="V775" s="1360"/>
      <c r="W775" s="1361"/>
      <c r="X775" s="1356"/>
      <c r="Y775" s="1357"/>
      <c r="Z775" s="1357"/>
      <c r="AA775" s="1357"/>
      <c r="AB775" s="1358"/>
      <c r="AC775" s="1365">
        <f>X775*O775</f>
        <v>0</v>
      </c>
      <c r="AD775" s="1366"/>
      <c r="AE775" s="1366"/>
      <c r="AF775" s="1366"/>
      <c r="AG775" s="136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5" customHeight="1">
      <c r="J776" s="1362"/>
      <c r="K776" s="1363"/>
      <c r="L776" s="1363"/>
      <c r="M776" s="1363"/>
      <c r="N776" s="1364"/>
      <c r="O776" s="1375"/>
      <c r="P776" s="1375"/>
      <c r="Q776" s="1375"/>
      <c r="R776" s="1375"/>
      <c r="S776" s="1375"/>
      <c r="T776" s="1359"/>
      <c r="U776" s="1360"/>
      <c r="V776" s="1360"/>
      <c r="W776" s="1361"/>
      <c r="X776" s="1356"/>
      <c r="Y776" s="1357"/>
      <c r="Z776" s="1357"/>
      <c r="AA776" s="1357"/>
      <c r="AB776" s="1358"/>
      <c r="AC776" s="1365">
        <f>X776*O776</f>
        <v>0</v>
      </c>
      <c r="AD776" s="1366"/>
      <c r="AE776" s="1366"/>
      <c r="AF776" s="1366"/>
      <c r="AG776" s="136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5" customHeight="1">
      <c r="J777" s="1436" t="s">
        <v>125</v>
      </c>
      <c r="K777" s="1437"/>
      <c r="L777" s="1437"/>
      <c r="M777" s="1437"/>
      <c r="N777" s="1439"/>
      <c r="O777" s="1336">
        <f>SUM(O773:S776)</f>
        <v>1</v>
      </c>
      <c r="P777" s="1337"/>
      <c r="Q777" s="1337"/>
      <c r="R777" s="1337"/>
      <c r="S777" s="1338"/>
      <c r="X777" s="1436" t="s">
        <v>124</v>
      </c>
      <c r="Y777" s="1437"/>
      <c r="Z777" s="1437"/>
      <c r="AA777" s="1437"/>
      <c r="AB777" s="1439"/>
      <c r="AC777" s="1365">
        <f>SUM(AC773:AG776)</f>
        <v>0</v>
      </c>
      <c r="AD777" s="1366"/>
      <c r="AE777" s="1366"/>
      <c r="AF777" s="1366"/>
      <c r="AG777" s="136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368" t="s">
        <v>670</v>
      </c>
      <c r="K779" s="1368"/>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94" t="s">
        <v>389</v>
      </c>
      <c r="K783" s="1478"/>
      <c r="L783" s="1478"/>
      <c r="M783" s="1478"/>
      <c r="N783" s="1479"/>
      <c r="O783" s="1589" t="s">
        <v>285</v>
      </c>
      <c r="P783" s="1589"/>
      <c r="Q783" s="1589"/>
      <c r="R783" s="1589"/>
      <c r="S783" s="1589"/>
      <c r="T783" s="1595" t="s">
        <v>1680</v>
      </c>
      <c r="U783" s="1596"/>
      <c r="V783" s="1596"/>
      <c r="W783" s="1597"/>
      <c r="X783" s="1594" t="s">
        <v>448</v>
      </c>
      <c r="Y783" s="1478"/>
      <c r="Z783" s="1478"/>
      <c r="AA783" s="1478"/>
      <c r="AB783" s="1479"/>
      <c r="AC783" s="1594" t="s">
        <v>286</v>
      </c>
      <c r="AD783" s="1478"/>
      <c r="AE783" s="1478"/>
      <c r="AF783" s="1478"/>
      <c r="AG783" s="14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80"/>
      <c r="K784" s="1481"/>
      <c r="L784" s="1481"/>
      <c r="M784" s="1481"/>
      <c r="N784" s="1482"/>
      <c r="O784" s="1589"/>
      <c r="P784" s="1589"/>
      <c r="Q784" s="1589"/>
      <c r="R784" s="1589"/>
      <c r="S784" s="1589"/>
      <c r="T784" s="1598"/>
      <c r="U784" s="1599"/>
      <c r="V784" s="1599"/>
      <c r="W784" s="1600"/>
      <c r="X784" s="1480"/>
      <c r="Y784" s="1481"/>
      <c r="Z784" s="1481"/>
      <c r="AA784" s="1481"/>
      <c r="AB784" s="1482"/>
      <c r="AC784" s="1480"/>
      <c r="AD784" s="1481"/>
      <c r="AE784" s="1481"/>
      <c r="AF784" s="1481"/>
      <c r="AG784" s="14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80"/>
      <c r="K785" s="1481"/>
      <c r="L785" s="1481"/>
      <c r="M785" s="1481"/>
      <c r="N785" s="1482"/>
      <c r="O785" s="1589"/>
      <c r="P785" s="1589"/>
      <c r="Q785" s="1589"/>
      <c r="R785" s="1589"/>
      <c r="S785" s="1589"/>
      <c r="T785" s="1598"/>
      <c r="U785" s="1599"/>
      <c r="V785" s="1599"/>
      <c r="W785" s="1600"/>
      <c r="X785" s="1480"/>
      <c r="Y785" s="1481"/>
      <c r="Z785" s="1481"/>
      <c r="AA785" s="1481"/>
      <c r="AB785" s="1482"/>
      <c r="AC785" s="1480"/>
      <c r="AD785" s="1481"/>
      <c r="AE785" s="1481"/>
      <c r="AF785" s="1481"/>
      <c r="AG785" s="14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83"/>
      <c r="K786" s="1484"/>
      <c r="L786" s="1484"/>
      <c r="M786" s="1484"/>
      <c r="N786" s="1485"/>
      <c r="O786" s="1589"/>
      <c r="P786" s="1589"/>
      <c r="Q786" s="1589"/>
      <c r="R786" s="1589"/>
      <c r="S786" s="1589"/>
      <c r="T786" s="1601"/>
      <c r="U786" s="1602"/>
      <c r="V786" s="1602"/>
      <c r="W786" s="1603"/>
      <c r="X786" s="1483"/>
      <c r="Y786" s="1484"/>
      <c r="Z786" s="1484"/>
      <c r="AA786" s="1484"/>
      <c r="AB786" s="1485"/>
      <c r="AC786" s="1483"/>
      <c r="AD786" s="1484"/>
      <c r="AE786" s="1484"/>
      <c r="AF786" s="1484"/>
      <c r="AG786" s="14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62"/>
      <c r="K787" s="1363"/>
      <c r="L787" s="1363"/>
      <c r="M787" s="1363"/>
      <c r="N787" s="1364"/>
      <c r="O787" s="1375"/>
      <c r="P787" s="1375"/>
      <c r="Q787" s="1375"/>
      <c r="R787" s="1375"/>
      <c r="S787" s="1375"/>
      <c r="T787" s="1359"/>
      <c r="U787" s="1360"/>
      <c r="V787" s="1360"/>
      <c r="W787" s="1361"/>
      <c r="X787" s="1356"/>
      <c r="Y787" s="1357"/>
      <c r="Z787" s="1357"/>
      <c r="AA787" s="1357"/>
      <c r="AB787" s="1358"/>
      <c r="AC787" s="1365">
        <f t="shared" ref="AC787:AC796" si="40">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62"/>
      <c r="K788" s="1363"/>
      <c r="L788" s="1363"/>
      <c r="M788" s="1363"/>
      <c r="N788" s="1364"/>
      <c r="O788" s="1375"/>
      <c r="P788" s="1375"/>
      <c r="Q788" s="1375"/>
      <c r="R788" s="1375"/>
      <c r="S788" s="1375"/>
      <c r="T788" s="1359"/>
      <c r="U788" s="1360"/>
      <c r="V788" s="1360"/>
      <c r="W788" s="1361"/>
      <c r="X788" s="1356"/>
      <c r="Y788" s="1357"/>
      <c r="Z788" s="1357"/>
      <c r="AA788" s="1357"/>
      <c r="AB788" s="1358"/>
      <c r="AC788" s="1365">
        <f t="shared" si="40"/>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62"/>
      <c r="K789" s="1363"/>
      <c r="L789" s="1363"/>
      <c r="M789" s="1363"/>
      <c r="N789" s="1364"/>
      <c r="O789" s="1375"/>
      <c r="P789" s="1375"/>
      <c r="Q789" s="1375"/>
      <c r="R789" s="1375"/>
      <c r="S789" s="1375"/>
      <c r="T789" s="1359"/>
      <c r="U789" s="1360"/>
      <c r="V789" s="1360"/>
      <c r="W789" s="1361"/>
      <c r="X789" s="1356"/>
      <c r="Y789" s="1357"/>
      <c r="Z789" s="1357"/>
      <c r="AA789" s="1357"/>
      <c r="AB789" s="1358"/>
      <c r="AC789" s="1365">
        <f t="shared" si="40"/>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62"/>
      <c r="K790" s="1363"/>
      <c r="L790" s="1363"/>
      <c r="M790" s="1363"/>
      <c r="N790" s="1364"/>
      <c r="O790" s="1375"/>
      <c r="P790" s="1375"/>
      <c r="Q790" s="1375"/>
      <c r="R790" s="1375"/>
      <c r="S790" s="1375"/>
      <c r="T790" s="1359"/>
      <c r="U790" s="1360"/>
      <c r="V790" s="1360"/>
      <c r="W790" s="1361"/>
      <c r="X790" s="1356"/>
      <c r="Y790" s="1357"/>
      <c r="Z790" s="1357"/>
      <c r="AA790" s="1357"/>
      <c r="AB790" s="1358"/>
      <c r="AC790" s="1365">
        <f t="shared" si="40"/>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62"/>
      <c r="K791" s="1363"/>
      <c r="L791" s="1363"/>
      <c r="M791" s="1363"/>
      <c r="N791" s="1364"/>
      <c r="O791" s="1375"/>
      <c r="P791" s="1375"/>
      <c r="Q791" s="1375"/>
      <c r="R791" s="1375"/>
      <c r="S791" s="1375"/>
      <c r="T791" s="1359"/>
      <c r="U791" s="1360"/>
      <c r="V791" s="1360"/>
      <c r="W791" s="1361"/>
      <c r="X791" s="1356"/>
      <c r="Y791" s="1357"/>
      <c r="Z791" s="1357"/>
      <c r="AA791" s="1357"/>
      <c r="AB791" s="1358"/>
      <c r="AC791" s="1365">
        <f t="shared" si="40"/>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62"/>
      <c r="K792" s="1363"/>
      <c r="L792" s="1363"/>
      <c r="M792" s="1363"/>
      <c r="N792" s="1364"/>
      <c r="O792" s="1375"/>
      <c r="P792" s="1375"/>
      <c r="Q792" s="1375"/>
      <c r="R792" s="1375"/>
      <c r="S792" s="1375"/>
      <c r="T792" s="1359"/>
      <c r="U792" s="1360"/>
      <c r="V792" s="1360"/>
      <c r="W792" s="1361"/>
      <c r="X792" s="1356"/>
      <c r="Y792" s="1357"/>
      <c r="Z792" s="1357"/>
      <c r="AA792" s="1357"/>
      <c r="AB792" s="1358"/>
      <c r="AC792" s="1365">
        <f t="shared" si="40"/>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62"/>
      <c r="K793" s="1363"/>
      <c r="L793" s="1363"/>
      <c r="M793" s="1363"/>
      <c r="N793" s="1364"/>
      <c r="O793" s="1375"/>
      <c r="P793" s="1375"/>
      <c r="Q793" s="1375"/>
      <c r="R793" s="1375"/>
      <c r="S793" s="1375"/>
      <c r="T793" s="1359"/>
      <c r="U793" s="1360"/>
      <c r="V793" s="1360"/>
      <c r="W793" s="1361"/>
      <c r="X793" s="1356"/>
      <c r="Y793" s="1357"/>
      <c r="Z793" s="1357"/>
      <c r="AA793" s="1357"/>
      <c r="AB793" s="1358"/>
      <c r="AC793" s="1365">
        <f t="shared" si="40"/>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62"/>
      <c r="K794" s="1363"/>
      <c r="L794" s="1363"/>
      <c r="M794" s="1363"/>
      <c r="N794" s="1364"/>
      <c r="O794" s="1375"/>
      <c r="P794" s="1375"/>
      <c r="Q794" s="1375"/>
      <c r="R794" s="1375"/>
      <c r="S794" s="1375"/>
      <c r="T794" s="1359"/>
      <c r="U794" s="1360"/>
      <c r="V794" s="1360"/>
      <c r="W794" s="1361"/>
      <c r="X794" s="1356"/>
      <c r="Y794" s="1357"/>
      <c r="Z794" s="1357"/>
      <c r="AA794" s="1357"/>
      <c r="AB794" s="1358"/>
      <c r="AC794" s="1365">
        <f t="shared" si="40"/>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62"/>
      <c r="K795" s="1363"/>
      <c r="L795" s="1363"/>
      <c r="M795" s="1363"/>
      <c r="N795" s="1364"/>
      <c r="O795" s="1375"/>
      <c r="P795" s="1375"/>
      <c r="Q795" s="1375"/>
      <c r="R795" s="1375"/>
      <c r="S795" s="1375"/>
      <c r="T795" s="1359"/>
      <c r="U795" s="1360"/>
      <c r="V795" s="1360"/>
      <c r="W795" s="1361"/>
      <c r="X795" s="1356"/>
      <c r="Y795" s="1357"/>
      <c r="Z795" s="1357"/>
      <c r="AA795" s="1357"/>
      <c r="AB795" s="1358"/>
      <c r="AC795" s="1365">
        <f t="shared" si="40"/>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62"/>
      <c r="K796" s="1363"/>
      <c r="L796" s="1363"/>
      <c r="M796" s="1363"/>
      <c r="N796" s="1364"/>
      <c r="O796" s="1375"/>
      <c r="P796" s="1375"/>
      <c r="Q796" s="1375"/>
      <c r="R796" s="1375"/>
      <c r="S796" s="1375"/>
      <c r="T796" s="1359"/>
      <c r="U796" s="1360"/>
      <c r="V796" s="1360"/>
      <c r="W796" s="1361"/>
      <c r="X796" s="1356"/>
      <c r="Y796" s="1357"/>
      <c r="Z796" s="1357"/>
      <c r="AA796" s="1357"/>
      <c r="AB796" s="1358"/>
      <c r="AC796" s="1365">
        <f t="shared" si="40"/>
        <v>0</v>
      </c>
      <c r="AD796" s="1366"/>
      <c r="AE796" s="1366"/>
      <c r="AF796" s="1366"/>
      <c r="AG796" s="1367"/>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436" t="s">
        <v>125</v>
      </c>
      <c r="K797" s="1437"/>
      <c r="L797" s="1437"/>
      <c r="M797" s="1437"/>
      <c r="N797" s="1439"/>
      <c r="O797" s="1612">
        <f>SUM(O787:S796)</f>
        <v>0</v>
      </c>
      <c r="P797" s="1612"/>
      <c r="Q797" s="1612"/>
      <c r="R797" s="1612"/>
      <c r="S797" s="1612"/>
      <c r="T797"/>
      <c r="U797"/>
      <c r="V797"/>
      <c r="W797"/>
      <c r="X797" s="902" t="s">
        <v>124</v>
      </c>
      <c r="Y797" s="11"/>
      <c r="Z797" s="11"/>
      <c r="AA797" s="11"/>
      <c r="AB797" s="909"/>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418" t="str">
        <f>IF(O797&lt;&gt;AG438,"! Total market rate units in the Unit Mix Table above does not match the number of  market rate units on row #"&amp;TEXT(ROW(D438),"#"),"")</f>
        <v/>
      </c>
      <c r="D798" s="1418"/>
      <c r="E798" s="1418"/>
      <c r="F798" s="1418"/>
      <c r="G798" s="1418"/>
      <c r="H798" s="1418"/>
      <c r="I798" s="1418"/>
      <c r="J798" s="1418"/>
      <c r="K798" s="1418"/>
      <c r="L798" s="1418"/>
      <c r="M798" s="1418"/>
      <c r="N798" s="1418"/>
      <c r="O798" s="1418"/>
      <c r="P798" s="1418"/>
      <c r="Q798" s="1418"/>
      <c r="R798" s="1418"/>
      <c r="S798" s="1418"/>
      <c r="T798" s="1418"/>
      <c r="U798" s="1418"/>
      <c r="V798" s="1418"/>
      <c r="W798" s="1418"/>
      <c r="X798" s="1418"/>
      <c r="Y798" s="1418"/>
      <c r="Z798" s="1418"/>
      <c r="AA798" s="1418"/>
      <c r="AB798" s="1418"/>
      <c r="AC798" s="1418"/>
      <c r="AD798" s="1418"/>
      <c r="AE798" s="1418"/>
      <c r="AF798" s="1418"/>
      <c r="AG798" s="1418"/>
      <c r="AH798" s="1418"/>
      <c r="AI798" s="1418"/>
      <c r="AJ798" s="1418"/>
      <c r="AK798" s="1418"/>
      <c r="AL798" s="1418"/>
      <c r="AM798" s="1418"/>
      <c r="AN798" s="141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18"/>
      <c r="D799" s="1418"/>
      <c r="E799" s="1418"/>
      <c r="F799" s="1418"/>
      <c r="G799" s="1418"/>
      <c r="H799" s="1418"/>
      <c r="I799" s="1418"/>
      <c r="J799" s="1418"/>
      <c r="K799" s="1418"/>
      <c r="L799" s="1418"/>
      <c r="M799" s="1418"/>
      <c r="N799" s="1418"/>
      <c r="O799" s="1418"/>
      <c r="P799" s="1418"/>
      <c r="Q799" s="1418"/>
      <c r="R799" s="1418"/>
      <c r="S799" s="1418"/>
      <c r="T799" s="1418"/>
      <c r="U799" s="1418"/>
      <c r="V799" s="1418"/>
      <c r="W799" s="1418"/>
      <c r="X799" s="1418"/>
      <c r="Y799" s="1418"/>
      <c r="Z799" s="1418"/>
      <c r="AA799" s="1418"/>
      <c r="AB799" s="1418"/>
      <c r="AC799" s="1418"/>
      <c r="AD799" s="1418"/>
      <c r="AE799" s="1418"/>
      <c r="AF799" s="1418"/>
      <c r="AG799" s="1418"/>
      <c r="AH799" s="1418"/>
      <c r="AI799" s="1418"/>
      <c r="AJ799" s="1418"/>
      <c r="AK799" s="1418"/>
      <c r="AL799" s="1418"/>
      <c r="AM799" s="1418"/>
      <c r="AN799" s="141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233368</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2800416</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42</v>
      </c>
      <c r="CV802" s="1350"/>
      <c r="CW802" s="1350"/>
      <c r="CX802" s="1350"/>
      <c r="CY802" s="1351"/>
      <c r="CZ802" s="1349">
        <f>CZ753+CZ777+CZ797</f>
        <v>70</v>
      </c>
      <c r="DA802" s="1350"/>
      <c r="DB802" s="1350"/>
      <c r="DC802" s="1350"/>
      <c r="DD802" s="1351"/>
      <c r="DE802" s="1349">
        <f>DE753+DE777+DE797</f>
        <v>40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299</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4"/>
      <c r="AA806" s="1592"/>
      <c r="AB806" s="1592"/>
      <c r="AC806" s="1592"/>
      <c r="AD806" s="1592"/>
      <c r="AE806" s="159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1"/>
      <c r="AA807" s="1592"/>
      <c r="AB807" s="1592"/>
      <c r="AC807" s="1592"/>
      <c r="AD807" s="1592"/>
      <c r="AE807" s="159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0">
        <v>0</v>
      </c>
      <c r="AA808" s="1501"/>
      <c r="AB808" s="1501"/>
      <c r="AC808" s="1501"/>
      <c r="AD808" s="1501"/>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64">
        <f>'Subsidy Contract Calculation'!J40</f>
        <v>0</v>
      </c>
      <c r="AA809" s="1465"/>
      <c r="AB809" s="1465"/>
      <c r="AC809" s="1465"/>
      <c r="AD809" s="1465"/>
      <c r="AE809" s="14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23104</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16" t="s">
        <v>334</v>
      </c>
      <c r="Q816" s="1617"/>
      <c r="R816" s="1617"/>
      <c r="S816" s="1617"/>
      <c r="T816" s="1617"/>
      <c r="U816" s="1617"/>
      <c r="V816" s="1617"/>
      <c r="W816" s="1617"/>
      <c r="X816" s="1617"/>
      <c r="Y816" s="1618"/>
      <c r="Z816" s="1467"/>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64">
        <f>SUM(Z813:AE816)</f>
        <v>23104</v>
      </c>
      <c r="AA817" s="1465"/>
      <c r="AB817" s="1465"/>
      <c r="AC817" s="1465"/>
      <c r="AD817" s="1465"/>
      <c r="AE817" s="146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64">
        <f>Z817+Y801+Z809</f>
        <v>2823520</v>
      </c>
      <c r="AA818" s="1465"/>
      <c r="AB818" s="1465"/>
      <c r="AC818" s="1465"/>
      <c r="AD818" s="1465"/>
      <c r="AE818" s="146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6" t="s">
        <v>126</v>
      </c>
      <c r="N823" s="1696"/>
      <c r="O823" s="1696"/>
      <c r="P823" s="1697"/>
      <c r="Q823" s="1609" t="s">
        <v>290</v>
      </c>
      <c r="R823" s="1609"/>
      <c r="S823" s="1609"/>
      <c r="T823" s="1609"/>
      <c r="U823" s="1609" t="s">
        <v>291</v>
      </c>
      <c r="V823" s="1609"/>
      <c r="W823" s="1609"/>
      <c r="X823" s="1609"/>
      <c r="Y823" s="1609" t="s">
        <v>292</v>
      </c>
      <c r="Z823" s="1609"/>
      <c r="AA823" s="1609"/>
      <c r="AB823" s="1609"/>
      <c r="AC823" s="1609" t="s">
        <v>361</v>
      </c>
      <c r="AD823" s="1609"/>
      <c r="AE823" s="1609"/>
      <c r="AF823" s="1609"/>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8"/>
      <c r="N824" s="1698"/>
      <c r="O824" s="1698"/>
      <c r="P824" s="1699"/>
      <c r="Q824" s="1609"/>
      <c r="R824" s="1609"/>
      <c r="S824" s="1609"/>
      <c r="T824" s="1609"/>
      <c r="U824" s="1609"/>
      <c r="V824" s="1609"/>
      <c r="W824" s="1609"/>
      <c r="X824" s="1609"/>
      <c r="Y824" s="1609"/>
      <c r="Z824" s="1609"/>
      <c r="AA824" s="1609"/>
      <c r="AB824" s="1609"/>
      <c r="AC824" s="1609"/>
      <c r="AD824" s="1609"/>
      <c r="AE824" s="1609"/>
      <c r="AF824" s="1609"/>
      <c r="AG824" s="1604"/>
      <c r="AH824" s="1604"/>
      <c r="AI824" s="1604"/>
      <c r="AJ824" s="160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0" t="s">
        <v>40</v>
      </c>
      <c r="D825" s="1471"/>
      <c r="E825" s="1471"/>
      <c r="F825" s="1471"/>
      <c r="G825" s="1471"/>
      <c r="H825" s="1471"/>
      <c r="I825" s="48"/>
      <c r="J825" s="48"/>
      <c r="K825" s="48"/>
      <c r="L825" s="49"/>
      <c r="M825" s="1584"/>
      <c r="N825" s="1584"/>
      <c r="O825" s="1584"/>
      <c r="P825" s="1584"/>
      <c r="Q825" s="1584"/>
      <c r="R825" s="1584"/>
      <c r="S825" s="1584"/>
      <c r="T825" s="1584"/>
      <c r="U825" s="1584"/>
      <c r="V825" s="1584"/>
      <c r="W825" s="1584"/>
      <c r="X825" s="1584"/>
      <c r="Y825" s="1584"/>
      <c r="Z825" s="1584"/>
      <c r="AA825" s="1584"/>
      <c r="AB825" s="1584"/>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73" t="s">
        <v>41</v>
      </c>
      <c r="D826" s="1445"/>
      <c r="E826" s="1445"/>
      <c r="F826" s="1445"/>
      <c r="G826" s="1445"/>
      <c r="H826" s="1445"/>
      <c r="I826" s="5"/>
      <c r="J826" s="5"/>
      <c r="K826" s="5"/>
      <c r="L826" s="46"/>
      <c r="M826" s="1584"/>
      <c r="N826" s="1584"/>
      <c r="O826" s="1584"/>
      <c r="P826" s="1584"/>
      <c r="Q826" s="1584"/>
      <c r="R826" s="1584"/>
      <c r="S826" s="1584"/>
      <c r="T826" s="1584"/>
      <c r="U826" s="1584"/>
      <c r="V826" s="1584"/>
      <c r="W826" s="1584"/>
      <c r="X826" s="1584"/>
      <c r="Y826" s="1584"/>
      <c r="Z826" s="1584"/>
      <c r="AA826" s="1584"/>
      <c r="AB826" s="1584"/>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73" t="s">
        <v>42</v>
      </c>
      <c r="D827" s="1445"/>
      <c r="E827" s="1445"/>
      <c r="F827" s="1445"/>
      <c r="G827" s="1445"/>
      <c r="H827" s="1445"/>
      <c r="I827" s="60"/>
      <c r="J827" s="60"/>
      <c r="K827" s="60"/>
      <c r="L827" s="61"/>
      <c r="M827" s="1584"/>
      <c r="N827" s="1584"/>
      <c r="O827" s="1584"/>
      <c r="P827" s="1584"/>
      <c r="Q827" s="1584"/>
      <c r="R827" s="1584"/>
      <c r="S827" s="1584"/>
      <c r="T827" s="1584"/>
      <c r="U827" s="1584"/>
      <c r="V827" s="1584"/>
      <c r="W827" s="1584"/>
      <c r="X827" s="1584"/>
      <c r="Y827" s="1584"/>
      <c r="Z827" s="1584"/>
      <c r="AA827" s="1584"/>
      <c r="AB827" s="1584"/>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73" t="s">
        <v>763</v>
      </c>
      <c r="D828" s="1445"/>
      <c r="E828" s="1445"/>
      <c r="F828" s="1445"/>
      <c r="G828" s="1445"/>
      <c r="H828" s="1445"/>
      <c r="I828" s="60"/>
      <c r="J828" s="60"/>
      <c r="K828" s="60"/>
      <c r="L828" s="61"/>
      <c r="M828" s="1584"/>
      <c r="N828" s="1584"/>
      <c r="O828" s="1584"/>
      <c r="P828" s="1584"/>
      <c r="Q828" s="1584"/>
      <c r="R828" s="1584"/>
      <c r="S828" s="1584"/>
      <c r="T828" s="1584"/>
      <c r="U828" s="1584"/>
      <c r="V828" s="1584"/>
      <c r="W828" s="1584"/>
      <c r="X828" s="1584"/>
      <c r="Y828" s="1584"/>
      <c r="Z828" s="1584"/>
      <c r="AA828" s="1584"/>
      <c r="AB828" s="1584"/>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73" t="s">
        <v>460</v>
      </c>
      <c r="D829" s="1445"/>
      <c r="E829" s="1445"/>
      <c r="F829" s="1445"/>
      <c r="G829" s="1445"/>
      <c r="H829" s="1445"/>
      <c r="I829" s="60"/>
      <c r="J829" s="60"/>
      <c r="K829" s="60"/>
      <c r="L829" s="61"/>
      <c r="M829" s="1584"/>
      <c r="N829" s="1584"/>
      <c r="O829" s="1584"/>
      <c r="P829" s="1584"/>
      <c r="Q829" s="1584"/>
      <c r="R829" s="1584"/>
      <c r="S829" s="1584"/>
      <c r="T829" s="1584"/>
      <c r="U829" s="1584"/>
      <c r="V829" s="1584"/>
      <c r="W829" s="1584"/>
      <c r="X829" s="1584"/>
      <c r="Y829" s="1584"/>
      <c r="Z829" s="1584"/>
      <c r="AA829" s="1584"/>
      <c r="AB829" s="1584"/>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82" t="s">
        <v>784</v>
      </c>
      <c r="D830" s="1445"/>
      <c r="E830" s="1445"/>
      <c r="F830" s="1445"/>
      <c r="G830" s="1445"/>
      <c r="H830" s="1445"/>
      <c r="I830" s="60"/>
      <c r="J830" s="60"/>
      <c r="K830" s="60"/>
      <c r="L830" s="61"/>
      <c r="M830" s="1584"/>
      <c r="N830" s="1584"/>
      <c r="O830" s="1584"/>
      <c r="P830" s="1584"/>
      <c r="Q830" s="1584"/>
      <c r="R830" s="1584"/>
      <c r="S830" s="1584"/>
      <c r="T830" s="1584"/>
      <c r="U830" s="1584"/>
      <c r="V830" s="1584"/>
      <c r="W830" s="1584"/>
      <c r="X830" s="1584"/>
      <c r="Y830" s="1584"/>
      <c r="Z830" s="1584"/>
      <c r="AA830" s="1584"/>
      <c r="AB830" s="1584"/>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16" t="s">
        <v>2720</v>
      </c>
      <c r="G831" s="1617"/>
      <c r="H831" s="1617"/>
      <c r="I831" s="1617"/>
      <c r="J831" s="1617"/>
      <c r="K831" s="1617"/>
      <c r="L831" s="1617"/>
      <c r="M831" s="1584"/>
      <c r="N831" s="1584"/>
      <c r="O831" s="1584"/>
      <c r="P831" s="1584"/>
      <c r="Q831" s="1584">
        <v>12</v>
      </c>
      <c r="R831" s="1584"/>
      <c r="S831" s="1584"/>
      <c r="T831" s="1584"/>
      <c r="U831" s="1584">
        <v>12</v>
      </c>
      <c r="V831" s="1584"/>
      <c r="W831" s="1584"/>
      <c r="X831" s="1584"/>
      <c r="Y831" s="1584">
        <v>12</v>
      </c>
      <c r="Z831" s="1584"/>
      <c r="AA831" s="1584"/>
      <c r="AB831" s="1584"/>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36" t="s">
        <v>124</v>
      </c>
      <c r="D832" s="1437"/>
      <c r="E832" s="1437"/>
      <c r="F832" s="1437"/>
      <c r="G832" s="1437"/>
      <c r="H832" s="1437"/>
      <c r="I832" s="1437"/>
      <c r="J832" s="1437"/>
      <c r="K832" s="1437"/>
      <c r="L832" s="1439"/>
      <c r="M832" s="1650">
        <f>SUM(M825:P831)</f>
        <v>0</v>
      </c>
      <c r="N832" s="1650"/>
      <c r="O832" s="1650"/>
      <c r="P832" s="1650"/>
      <c r="Q832" s="1650">
        <f>SUM(Q825:T831)</f>
        <v>12</v>
      </c>
      <c r="R832" s="1650"/>
      <c r="S832" s="1650"/>
      <c r="T832" s="1650"/>
      <c r="U832" s="1650">
        <f>SUM(U825:X831)</f>
        <v>12</v>
      </c>
      <c r="V832" s="1650"/>
      <c r="W832" s="1650"/>
      <c r="X832" s="1650"/>
      <c r="Y832" s="1650">
        <f>SUM(Y825:AB831)</f>
        <v>12</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21" t="s">
        <v>2721</v>
      </c>
      <c r="D837" s="1622"/>
      <c r="E837" s="1622"/>
      <c r="F837" s="1622"/>
      <c r="G837" s="1622"/>
      <c r="H837" s="1622"/>
      <c r="I837" s="1622"/>
      <c r="J837" s="1622"/>
      <c r="K837" s="1622"/>
      <c r="L837" s="1622"/>
      <c r="M837" s="1622"/>
      <c r="N837" s="1622"/>
      <c r="O837" s="1622"/>
      <c r="P837" s="1622"/>
      <c r="Q837" s="1622"/>
      <c r="R837" s="1622"/>
      <c r="S837" s="1622"/>
      <c r="T837" s="1622"/>
      <c r="U837" s="1622"/>
      <c r="V837" s="1622"/>
      <c r="W837" s="1622"/>
      <c r="X837" s="1622"/>
      <c r="Y837" s="1622"/>
      <c r="Z837" s="1622"/>
      <c r="AA837" s="1622"/>
      <c r="AB837" s="1622"/>
      <c r="AC837" s="1622"/>
      <c r="AD837" s="1622"/>
      <c r="AE837" s="1622"/>
      <c r="AF837" s="1622"/>
      <c r="AG837" s="1622"/>
      <c r="AH837" s="1622"/>
      <c r="AI837" s="1622"/>
      <c r="AJ837" s="162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c r="BJ841" s="1645"/>
      <c r="BK841" s="1645"/>
      <c r="BL841" s="164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5">
        <v>5000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5">
        <v>5000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5">
        <v>15000</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5">
        <v>25000</v>
      </c>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2.95" customHeight="1">
      <c r="J846" s="45" t="s">
        <v>170</v>
      </c>
      <c r="K846" s="5"/>
      <c r="L846" s="5"/>
      <c r="M846" s="1616" t="s">
        <v>334</v>
      </c>
      <c r="N846" s="1617"/>
      <c r="O846" s="1617"/>
      <c r="P846" s="1617"/>
      <c r="Q846" s="1617"/>
      <c r="R846" s="1617"/>
      <c r="S846" s="1617"/>
      <c r="T846" s="1617"/>
      <c r="U846" s="1617"/>
      <c r="V846" s="1618"/>
      <c r="W846" s="1635"/>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64">
        <f>SUM(W842:W846)</f>
        <v>50000</v>
      </c>
      <c r="X847" s="1465"/>
      <c r="Y847" s="1465"/>
      <c r="Z847" s="1465"/>
      <c r="AA847" s="1465"/>
      <c r="AB847" s="1465"/>
      <c r="AC847" s="146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4"/>
      <c r="BH848" s="1644"/>
      <c r="BI848" s="1644"/>
      <c r="BJ848" s="1644"/>
      <c r="BK848" s="1644"/>
      <c r="BL848" s="1644"/>
    </row>
    <row r="849" spans="3:55" ht="12.95" customHeight="1">
      <c r="C849" s="2" t="s">
        <v>344</v>
      </c>
      <c r="J849" s="1436" t="s">
        <v>345</v>
      </c>
      <c r="K849" s="1437"/>
      <c r="L849" s="1437"/>
      <c r="M849" s="1437"/>
      <c r="N849" s="1437"/>
      <c r="O849" s="1437"/>
      <c r="P849" s="1437"/>
      <c r="Q849" s="1437"/>
      <c r="R849" s="1437"/>
      <c r="S849" s="1437"/>
      <c r="T849" s="1437"/>
      <c r="U849" s="1437"/>
      <c r="V849" s="1439"/>
      <c r="W849" s="1467">
        <v>160941</v>
      </c>
      <c r="X849" s="1339"/>
      <c r="Y849" s="1339"/>
      <c r="Z849" s="1339"/>
      <c r="AA849" s="1339"/>
      <c r="AB849" s="1339"/>
      <c r="AC849" s="134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19"/>
      <c r="X851" s="1619"/>
      <c r="Y851" s="1619"/>
      <c r="Z851" s="1619"/>
      <c r="AA851" s="1619"/>
      <c r="AB851" s="1619"/>
      <c r="AC851" s="1619"/>
      <c r="AZ851" s="1608"/>
      <c r="BA851" s="1608"/>
      <c r="BB851" s="14"/>
      <c r="BC851" s="14"/>
    </row>
    <row r="852" spans="3:55" ht="12.95" customHeight="1">
      <c r="J852" s="45" t="s">
        <v>351</v>
      </c>
      <c r="K852" s="5"/>
      <c r="L852" s="5"/>
      <c r="M852" s="5"/>
      <c r="N852" s="5"/>
      <c r="O852" s="5"/>
      <c r="P852" s="5"/>
      <c r="Q852" s="5"/>
      <c r="R852" s="5"/>
      <c r="S852" s="5"/>
      <c r="T852" s="5"/>
      <c r="U852" s="5"/>
      <c r="V852" s="46"/>
      <c r="W852" s="1619"/>
      <c r="X852" s="1619"/>
      <c r="Y852" s="1619"/>
      <c r="Z852" s="1619"/>
      <c r="AA852" s="1619"/>
      <c r="AB852" s="1619"/>
      <c r="AC852" s="1619"/>
      <c r="AZ852" s="30"/>
      <c r="BA852" s="30"/>
      <c r="BB852" s="14"/>
      <c r="BC852" s="14"/>
    </row>
    <row r="853" spans="3:55" ht="12.95" customHeight="1">
      <c r="J853" s="45" t="s">
        <v>460</v>
      </c>
      <c r="K853" s="5"/>
      <c r="L853" s="5"/>
      <c r="M853" s="5"/>
      <c r="N853" s="5"/>
      <c r="O853" s="5"/>
      <c r="P853" s="5"/>
      <c r="Q853" s="5"/>
      <c r="R853" s="5"/>
      <c r="S853" s="5"/>
      <c r="T853" s="5"/>
      <c r="U853" s="5"/>
      <c r="V853" s="46"/>
      <c r="W853" s="1619">
        <v>80000</v>
      </c>
      <c r="X853" s="1619"/>
      <c r="Y853" s="1619"/>
      <c r="Z853" s="1619"/>
      <c r="AA853" s="1619"/>
      <c r="AB853" s="1619"/>
      <c r="AC853" s="1619"/>
      <c r="AZ853" s="30"/>
      <c r="BA853" s="30"/>
      <c r="BB853" s="14"/>
      <c r="BC853" s="14"/>
    </row>
    <row r="854" spans="3:55" ht="12.95" customHeight="1">
      <c r="J854" s="62" t="s">
        <v>621</v>
      </c>
      <c r="K854" s="5"/>
      <c r="L854" s="5"/>
      <c r="M854" s="5"/>
      <c r="N854" s="5"/>
      <c r="O854" s="5"/>
      <c r="P854" s="5"/>
      <c r="Q854" s="5"/>
      <c r="R854" s="5"/>
      <c r="S854" s="5"/>
      <c r="T854" s="5"/>
      <c r="U854" s="5"/>
      <c r="V854" s="46"/>
      <c r="W854" s="1619">
        <v>106244</v>
      </c>
      <c r="X854" s="1619"/>
      <c r="Y854" s="1619"/>
      <c r="Z854" s="1619"/>
      <c r="AA854" s="1619"/>
      <c r="AB854" s="1619"/>
      <c r="AC854" s="1619"/>
      <c r="AZ854" s="34"/>
      <c r="BA854" s="34"/>
      <c r="BB854" s="34"/>
      <c r="BC854" s="34"/>
    </row>
    <row r="855" spans="3:55" ht="12.95" customHeight="1">
      <c r="J855" s="63"/>
      <c r="K855" s="48"/>
      <c r="L855" s="48"/>
      <c r="M855" s="48"/>
      <c r="N855" s="48"/>
      <c r="O855" s="48"/>
      <c r="P855" s="48"/>
      <c r="Q855" s="48"/>
      <c r="R855" s="48"/>
      <c r="S855" s="48"/>
      <c r="T855" s="48"/>
      <c r="U855" s="48"/>
      <c r="V855" s="54" t="s">
        <v>272</v>
      </c>
      <c r="W855" s="1620">
        <f>SUM(W851:W854)</f>
        <v>186244</v>
      </c>
      <c r="X855" s="1620"/>
      <c r="Y855" s="1620"/>
      <c r="Z855" s="1620"/>
      <c r="AA855" s="1620"/>
      <c r="AB855" s="1620"/>
      <c r="AC855" s="162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13">
        <v>107768</v>
      </c>
      <c r="X857" s="1614"/>
      <c r="Y857" s="1614"/>
      <c r="Z857" s="1614"/>
      <c r="AA857" s="1614"/>
      <c r="AB857" s="1614"/>
      <c r="AC857" s="1615"/>
      <c r="AD857" s="528"/>
      <c r="AZ857" s="34"/>
      <c r="BA857" s="34"/>
      <c r="BB857" s="34"/>
      <c r="BC857" s="34"/>
    </row>
    <row r="858" spans="3:55" ht="12.95" customHeight="1">
      <c r="C858" s="2" t="s">
        <v>347</v>
      </c>
      <c r="J858" s="121" t="s">
        <v>1656</v>
      </c>
      <c r="K858" s="5"/>
      <c r="L858" s="5"/>
      <c r="M858" s="5"/>
      <c r="N858" s="5"/>
      <c r="O858" s="5"/>
      <c r="P858" s="5"/>
      <c r="Q858" s="5"/>
      <c r="R858" s="5"/>
      <c r="S858" s="5"/>
      <c r="T858" s="1633"/>
      <c r="U858" s="1410"/>
      <c r="V858" s="163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13"/>
      <c r="X859" s="1614"/>
      <c r="Y859" s="1614"/>
      <c r="Z859" s="1614"/>
      <c r="AA859" s="1614"/>
      <c r="AB859" s="1614"/>
      <c r="AC859" s="1615"/>
      <c r="AD859" s="533"/>
      <c r="AZ859" s="34"/>
      <c r="BA859" s="34"/>
      <c r="BB859" s="34"/>
      <c r="BC859" s="34"/>
    </row>
    <row r="860" spans="3:55" ht="12.95" customHeight="1">
      <c r="C860" s="2"/>
      <c r="J860" s="121" t="s">
        <v>1657</v>
      </c>
      <c r="K860" s="5"/>
      <c r="L860" s="5"/>
      <c r="M860" s="5"/>
      <c r="N860" s="5"/>
      <c r="O860" s="5"/>
      <c r="P860" s="5"/>
      <c r="Q860" s="5"/>
      <c r="R860" s="5"/>
      <c r="S860" s="5"/>
      <c r="T860" s="1633"/>
      <c r="U860" s="1410"/>
      <c r="V860" s="1634"/>
      <c r="W860" s="874"/>
      <c r="X860" s="875"/>
      <c r="Y860" s="875"/>
      <c r="Z860" s="875"/>
      <c r="AA860" s="875"/>
      <c r="AB860" s="875"/>
      <c r="AC860" s="876"/>
      <c r="AD860" s="533"/>
      <c r="AZ860" s="34"/>
      <c r="BA860" s="34"/>
      <c r="BB860" s="34"/>
      <c r="BC860" s="34"/>
    </row>
    <row r="861" spans="3:55" ht="12.95" customHeight="1">
      <c r="J861" s="45" t="s">
        <v>170</v>
      </c>
      <c r="K861" s="5"/>
      <c r="L861" s="5"/>
      <c r="M861" s="1616" t="s">
        <v>334</v>
      </c>
      <c r="N861" s="1617"/>
      <c r="O861" s="1617"/>
      <c r="P861" s="1617"/>
      <c r="Q861" s="1617"/>
      <c r="R861" s="1617"/>
      <c r="S861" s="1617"/>
      <c r="T861" s="1617"/>
      <c r="U861" s="1617"/>
      <c r="V861" s="1618"/>
      <c r="W861" s="1613"/>
      <c r="X861" s="1614"/>
      <c r="Y861" s="1614"/>
      <c r="Z861" s="1614"/>
      <c r="AA861" s="1614"/>
      <c r="AB861" s="1614"/>
      <c r="AC861" s="161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6">
        <f>SUM(W857:W861)</f>
        <v>107768</v>
      </c>
      <c r="X862" s="1637"/>
      <c r="Y862" s="1637"/>
      <c r="Z862" s="1637"/>
      <c r="AA862" s="1637"/>
      <c r="AB862" s="1637"/>
      <c r="AC862" s="163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13">
        <v>150000</v>
      </c>
      <c r="X863" s="1614"/>
      <c r="Y863" s="1614"/>
      <c r="Z863" s="1614"/>
      <c r="AA863" s="1614"/>
      <c r="AB863" s="1614"/>
      <c r="AC863" s="161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5">
        <v>10000</v>
      </c>
      <c r="X865" s="1635"/>
      <c r="Y865" s="1635"/>
      <c r="Z865" s="1635"/>
      <c r="AA865" s="1635"/>
      <c r="AB865" s="1635"/>
      <c r="AC865" s="1635"/>
      <c r="AU865" s="14"/>
      <c r="AZ865" s="34"/>
      <c r="BA865" s="34"/>
      <c r="BB865" s="34"/>
      <c r="BC865" s="34"/>
    </row>
    <row r="866" spans="3:55" ht="12.95" customHeight="1">
      <c r="J866" s="45" t="s">
        <v>523</v>
      </c>
      <c r="K866" s="5"/>
      <c r="L866" s="5"/>
      <c r="M866" s="5"/>
      <c r="N866" s="5"/>
      <c r="O866" s="5"/>
      <c r="P866" s="5"/>
      <c r="Q866" s="5"/>
      <c r="R866" s="5"/>
      <c r="S866" s="5"/>
      <c r="T866" s="5"/>
      <c r="U866" s="5"/>
      <c r="V866" s="46"/>
      <c r="W866" s="1635">
        <v>50000</v>
      </c>
      <c r="X866" s="1635"/>
      <c r="Y866" s="1635"/>
      <c r="Z866" s="1635"/>
      <c r="AA866" s="1635"/>
      <c r="AB866" s="1635"/>
      <c r="AC866" s="1635"/>
      <c r="AU866" s="4"/>
      <c r="AZ866" s="34"/>
      <c r="BA866" s="34"/>
      <c r="BB866" s="34"/>
      <c r="BC866" s="34"/>
    </row>
    <row r="867" spans="3:55" ht="12.95" customHeight="1">
      <c r="J867" s="45" t="s">
        <v>522</v>
      </c>
      <c r="K867" s="5"/>
      <c r="L867" s="5"/>
      <c r="M867" s="5"/>
      <c r="N867" s="5"/>
      <c r="O867" s="5"/>
      <c r="P867" s="5"/>
      <c r="Q867" s="5"/>
      <c r="R867" s="5"/>
      <c r="S867" s="5"/>
      <c r="T867" s="5"/>
      <c r="U867" s="5"/>
      <c r="V867" s="46"/>
      <c r="W867" s="1635">
        <v>30000</v>
      </c>
      <c r="X867" s="1635"/>
      <c r="Y867" s="1635"/>
      <c r="Z867" s="1635"/>
      <c r="AA867" s="1635"/>
      <c r="AB867" s="1635"/>
      <c r="AC867" s="1635"/>
      <c r="AU867" s="4"/>
      <c r="AZ867" s="34"/>
      <c r="BA867" s="34"/>
      <c r="BB867" s="34"/>
      <c r="BC867" s="34"/>
    </row>
    <row r="868" spans="3:55" ht="12.95" customHeight="1">
      <c r="J868" s="45" t="s">
        <v>521</v>
      </c>
      <c r="K868" s="5"/>
      <c r="L868" s="5"/>
      <c r="M868" s="5"/>
      <c r="N868" s="5"/>
      <c r="O868" s="5"/>
      <c r="P868" s="5"/>
      <c r="Q868" s="5"/>
      <c r="R868" s="5"/>
      <c r="S868" s="5"/>
      <c r="T868" s="5"/>
      <c r="U868" s="5"/>
      <c r="V868" s="46"/>
      <c r="W868" s="1635">
        <v>15000</v>
      </c>
      <c r="X868" s="1635"/>
      <c r="Y868" s="1635"/>
      <c r="Z868" s="1635"/>
      <c r="AA868" s="1635"/>
      <c r="AB868" s="1635"/>
      <c r="AC868" s="1635"/>
      <c r="AU868" s="4"/>
      <c r="AZ868" s="34"/>
      <c r="BA868" s="34"/>
      <c r="BB868" s="34"/>
      <c r="BC868" s="34"/>
    </row>
    <row r="869" spans="3:55" ht="12.95" customHeight="1">
      <c r="J869" s="45" t="s">
        <v>520</v>
      </c>
      <c r="K869" s="5"/>
      <c r="L869" s="5"/>
      <c r="M869" s="5"/>
      <c r="N869" s="5"/>
      <c r="O869" s="5"/>
      <c r="P869" s="5"/>
      <c r="Q869" s="5"/>
      <c r="R869" s="5"/>
      <c r="S869" s="5"/>
      <c r="T869" s="5"/>
      <c r="U869" s="5"/>
      <c r="V869" s="46"/>
      <c r="W869" s="1635"/>
      <c r="X869" s="1635"/>
      <c r="Y869" s="1635"/>
      <c r="Z869" s="1635"/>
      <c r="AA869" s="1635"/>
      <c r="AB869" s="1635"/>
      <c r="AC869" s="1635"/>
      <c r="AU869" s="4"/>
      <c r="AZ869" s="34"/>
      <c r="BA869" s="34"/>
      <c r="BB869" s="34"/>
      <c r="BC869" s="34"/>
    </row>
    <row r="870" spans="3:55" ht="12.95" customHeight="1">
      <c r="J870" s="45" t="s">
        <v>519</v>
      </c>
      <c r="K870" s="5"/>
      <c r="L870" s="5"/>
      <c r="M870" s="5"/>
      <c r="N870" s="5"/>
      <c r="O870" s="5"/>
      <c r="P870" s="5"/>
      <c r="Q870" s="5"/>
      <c r="R870" s="5"/>
      <c r="S870" s="5"/>
      <c r="T870" s="5"/>
      <c r="U870" s="5"/>
      <c r="V870" s="46"/>
      <c r="W870" s="1635"/>
      <c r="X870" s="1635"/>
      <c r="Y870" s="1635"/>
      <c r="Z870" s="1635"/>
      <c r="AA870" s="1635"/>
      <c r="AB870" s="1635"/>
      <c r="AC870" s="1635"/>
      <c r="AU870" s="4"/>
      <c r="AZ870" s="34"/>
      <c r="BA870" s="34"/>
      <c r="BB870" s="34"/>
      <c r="BC870" s="34"/>
    </row>
    <row r="871" spans="3:55" ht="12.95" customHeight="1">
      <c r="J871" s="45" t="s">
        <v>170</v>
      </c>
      <c r="K871" s="5"/>
      <c r="L871" s="5"/>
      <c r="M871" s="1616" t="s">
        <v>334</v>
      </c>
      <c r="N871" s="1617"/>
      <c r="O871" s="1617"/>
      <c r="P871" s="1617"/>
      <c r="Q871" s="1617"/>
      <c r="R871" s="1617"/>
      <c r="S871" s="1617"/>
      <c r="T871" s="1617"/>
      <c r="U871" s="1617"/>
      <c r="V871" s="1618"/>
      <c r="W871" s="1635"/>
      <c r="X871" s="1635"/>
      <c r="Y871" s="1635"/>
      <c r="Z871" s="1635"/>
      <c r="AA871" s="1635"/>
      <c r="AB871" s="1635"/>
      <c r="AC871" s="163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88">
        <f>SUM(W865:W871)</f>
        <v>105000</v>
      </c>
      <c r="X872" s="1588"/>
      <c r="Y872" s="1588"/>
      <c r="Z872" s="1588"/>
      <c r="AA872" s="1588"/>
      <c r="AB872" s="1588"/>
      <c r="AC872" s="158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16" t="s">
        <v>334</v>
      </c>
      <c r="N874" s="1617"/>
      <c r="O874" s="1617"/>
      <c r="P874" s="1617"/>
      <c r="Q874" s="1617"/>
      <c r="R874" s="1617"/>
      <c r="S874" s="1617"/>
      <c r="T874" s="1617"/>
      <c r="U874" s="1617"/>
      <c r="V874" s="1618"/>
      <c r="W874" s="1467"/>
      <c r="X874" s="1339"/>
      <c r="Y874" s="1339"/>
      <c r="Z874" s="1339"/>
      <c r="AA874" s="1339"/>
      <c r="AB874" s="1339"/>
      <c r="AC874" s="1340"/>
      <c r="AD874" s="533"/>
      <c r="AV874" s="14"/>
      <c r="AW874" s="14"/>
      <c r="AX874" s="14"/>
      <c r="AY874" s="14"/>
      <c r="AZ874" s="34"/>
      <c r="BA874" s="34"/>
      <c r="BB874" s="34"/>
      <c r="BC874" s="34"/>
    </row>
    <row r="875" spans="3:55" ht="12.95" customHeight="1">
      <c r="C875" s="2" t="s">
        <v>1245</v>
      </c>
      <c r="J875" s="45" t="s">
        <v>170</v>
      </c>
      <c r="K875" s="5"/>
      <c r="L875" s="5"/>
      <c r="M875" s="1616" t="s">
        <v>334</v>
      </c>
      <c r="N875" s="1617"/>
      <c r="O875" s="1617"/>
      <c r="P875" s="1617"/>
      <c r="Q875" s="1617"/>
      <c r="R875" s="1617"/>
      <c r="S875" s="1617"/>
      <c r="T875" s="1617"/>
      <c r="U875" s="1617"/>
      <c r="V875" s="1618"/>
      <c r="W875" s="1467"/>
      <c r="X875" s="1339"/>
      <c r="Y875" s="1339"/>
      <c r="Z875" s="1339"/>
      <c r="AA875" s="1339"/>
      <c r="AB875" s="1339"/>
      <c r="AC875" s="1340"/>
      <c r="AD875" s="533"/>
      <c r="AV875" s="14"/>
      <c r="AW875" s="14"/>
      <c r="AX875" s="14"/>
      <c r="AY875" s="14"/>
      <c r="AZ875" s="34"/>
      <c r="BA875" s="34"/>
      <c r="BB875" s="34"/>
      <c r="BC875" s="34"/>
    </row>
    <row r="876" spans="3:55" ht="12.95" customHeight="1">
      <c r="J876" s="45" t="s">
        <v>170</v>
      </c>
      <c r="K876" s="5"/>
      <c r="L876" s="5"/>
      <c r="M876" s="1616" t="s">
        <v>334</v>
      </c>
      <c r="N876" s="1617"/>
      <c r="O876" s="1617"/>
      <c r="P876" s="1617"/>
      <c r="Q876" s="1617"/>
      <c r="R876" s="1617"/>
      <c r="S876" s="1617"/>
      <c r="T876" s="1617"/>
      <c r="U876" s="1617"/>
      <c r="V876" s="1618"/>
      <c r="W876" s="1467"/>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16" t="s">
        <v>334</v>
      </c>
      <c r="N877" s="1617"/>
      <c r="O877" s="1617"/>
      <c r="P877" s="1617"/>
      <c r="Q877" s="1617"/>
      <c r="R877" s="1617"/>
      <c r="S877" s="1617"/>
      <c r="T877" s="1617"/>
      <c r="U877" s="1617"/>
      <c r="V877" s="1618"/>
      <c r="W877" s="1467"/>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16" t="s">
        <v>334</v>
      </c>
      <c r="N878" s="1617"/>
      <c r="O878" s="1617"/>
      <c r="P878" s="1617"/>
      <c r="Q878" s="1617"/>
      <c r="R878" s="1617"/>
      <c r="S878" s="1617"/>
      <c r="T878" s="1617"/>
      <c r="U878" s="1617"/>
      <c r="V878" s="1618"/>
      <c r="W878" s="1467"/>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64">
        <f>SUM(W874:W878)</f>
        <v>0</v>
      </c>
      <c r="X879" s="1465"/>
      <c r="Y879" s="1465"/>
      <c r="Z879" s="1465"/>
      <c r="AA879" s="1465"/>
      <c r="AB879" s="1465"/>
      <c r="AC879" s="146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65">
        <f>W847+W855+W862+W863+W872+W879+W849</f>
        <v>759953</v>
      </c>
      <c r="AD883" s="1465"/>
      <c r="AE883" s="1465"/>
      <c r="AF883" s="1465"/>
      <c r="AG883" s="1465"/>
      <c r="AH883" s="146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39">
        <f>O797+O777+G753</f>
        <v>152</v>
      </c>
      <c r="AD884" s="1639"/>
      <c r="AE884" s="1639"/>
      <c r="AF884" s="1639"/>
      <c r="AG884" s="1639"/>
      <c r="AH884" s="1640"/>
      <c r="AL884" s="4"/>
      <c r="AM884" s="4"/>
      <c r="AN884" s="4"/>
      <c r="AO884" s="4"/>
      <c r="AP884" s="4"/>
      <c r="AQ884" s="4"/>
      <c r="AR884" s="4"/>
      <c r="AS884" s="4"/>
      <c r="AT884" s="4"/>
      <c r="AZ884" s="34"/>
      <c r="BA884" s="34"/>
      <c r="BB884" s="34"/>
      <c r="BC884" s="34"/>
    </row>
    <row r="885" spans="3:55" ht="12.95" customHeight="1">
      <c r="C885" s="41"/>
      <c r="D885" s="42"/>
      <c r="E885" s="1688" t="s">
        <v>32</v>
      </c>
      <c r="F885" s="1688"/>
      <c r="G885" s="1688"/>
      <c r="H885" s="1688"/>
      <c r="I885" s="1688"/>
      <c r="J885" s="1688"/>
      <c r="K885" s="1688"/>
      <c r="L885" s="1688"/>
      <c r="M885" s="1688"/>
      <c r="N885" s="1688"/>
      <c r="O885" s="1688"/>
      <c r="P885" s="1688"/>
      <c r="Q885" s="1688"/>
      <c r="R885" s="1688"/>
      <c r="S885" s="1688"/>
      <c r="T885" s="1688"/>
      <c r="U885" s="1688"/>
      <c r="V885" s="1688"/>
      <c r="W885" s="1688"/>
      <c r="X885" s="1688"/>
      <c r="Y885" s="1688"/>
      <c r="Z885" s="1688"/>
      <c r="AA885" s="1688"/>
      <c r="AB885" s="1689"/>
      <c r="AC885" s="1588">
        <f>IF(ISERROR((ROUNDDOWN(AC883/AC884,0))),0,(ROUNDDOWN(AC883/AC884,0)))</f>
        <v>4999</v>
      </c>
      <c r="AD885" s="1588"/>
      <c r="AE885" s="1588"/>
      <c r="AF885" s="1588"/>
      <c r="AG885" s="1588"/>
      <c r="AH885" s="158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1">
        <f>+'Sources and Uses Budget'!C75</f>
        <v>610078</v>
      </c>
      <c r="AD886" s="1642"/>
      <c r="AE886" s="1642"/>
      <c r="AF886" s="1642"/>
      <c r="AG886" s="1642"/>
      <c r="AH886" s="164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0"/>
      <c r="AD887" s="1635"/>
      <c r="AE887" s="1635"/>
      <c r="AF887" s="1635"/>
      <c r="AG887" s="1635"/>
      <c r="AH887" s="163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9">
        <v>28800</v>
      </c>
      <c r="AD888" s="1339"/>
      <c r="AE888" s="1339"/>
      <c r="AF888" s="1339"/>
      <c r="AG888" s="1339"/>
      <c r="AH888" s="134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38000</v>
      </c>
      <c r="AD889" s="1339"/>
      <c r="AE889" s="1339"/>
      <c r="AF889" s="1339"/>
      <c r="AG889" s="1339"/>
      <c r="AH889" s="134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89"/>
      <c r="AD890" s="1490"/>
      <c r="AE890" s="1490"/>
      <c r="AF890" s="1490"/>
      <c r="AG890" s="1490"/>
      <c r="AH890" s="149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2.95" hidden="1" customHeight="1">
      <c r="C892" s="1436" t="s">
        <v>2233</v>
      </c>
      <c r="D892" s="1437"/>
      <c r="E892" s="1437"/>
      <c r="F892" s="1437"/>
      <c r="G892" s="1437"/>
      <c r="H892" s="1437"/>
      <c r="I892" s="1437"/>
      <c r="J892" s="1437"/>
      <c r="K892" s="1437"/>
      <c r="L892" s="1437"/>
      <c r="M892" s="1437"/>
      <c r="N892" s="1437"/>
      <c r="O892" s="1437"/>
      <c r="P892" s="1437"/>
      <c r="Q892" s="1437"/>
      <c r="R892" s="1437"/>
      <c r="S892" s="1437"/>
      <c r="T892" s="1437"/>
      <c r="U892" s="1437"/>
      <c r="V892" s="1437"/>
      <c r="W892" s="1437"/>
      <c r="X892" s="1437"/>
      <c r="Y892" s="1437"/>
      <c r="Z892" s="1437"/>
      <c r="AA892" s="1437"/>
      <c r="AB892" s="1439"/>
      <c r="AC892" s="1339"/>
      <c r="AD892" s="1339"/>
      <c r="AE892" s="1339"/>
      <c r="AF892" s="1339"/>
      <c r="AG892" s="1339"/>
      <c r="AH892" s="134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9"/>
      <c r="AD893" s="1339"/>
      <c r="AE893" s="1339"/>
      <c r="AF893" s="1339"/>
      <c r="AG893" s="1339"/>
      <c r="AH893" s="1340"/>
      <c r="AZ893" s="34"/>
      <c r="BA893" s="34"/>
      <c r="BB893" s="34"/>
      <c r="BC893" s="34"/>
    </row>
    <row r="894" spans="3:55" ht="12.95" customHeight="1">
      <c r="C894" s="1647" t="s">
        <v>957</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635"/>
      <c r="AD894" s="1635"/>
      <c r="AE894" s="1635"/>
      <c r="AF894" s="1635"/>
      <c r="AG894" s="1635"/>
      <c r="AH894" s="1635"/>
      <c r="AZ894" s="34"/>
      <c r="BA894" s="34"/>
      <c r="BB894" s="34"/>
      <c r="BC894" s="34"/>
    </row>
    <row r="895" spans="3:55" ht="12.95" customHeight="1">
      <c r="C895" s="1647" t="s">
        <v>957</v>
      </c>
      <c r="D895" s="1648"/>
      <c r="E895" s="1648"/>
      <c r="F895" s="1648"/>
      <c r="G895" s="1648"/>
      <c r="H895" s="1648"/>
      <c r="I895" s="1648"/>
      <c r="J895" s="1648"/>
      <c r="K895" s="1648"/>
      <c r="L895" s="1648"/>
      <c r="M895" s="1648"/>
      <c r="N895" s="1648"/>
      <c r="O895" s="1648"/>
      <c r="P895" s="1648"/>
      <c r="Q895" s="1648"/>
      <c r="R895" s="1648"/>
      <c r="S895" s="1648"/>
      <c r="T895" s="1648"/>
      <c r="U895" s="1648"/>
      <c r="V895" s="1648"/>
      <c r="W895" s="1648"/>
      <c r="X895" s="1648"/>
      <c r="Y895" s="1648"/>
      <c r="Z895" s="1648"/>
      <c r="AA895" s="1648"/>
      <c r="AB895" s="1649"/>
      <c r="AC895" s="1635"/>
      <c r="AD895" s="1635"/>
      <c r="AE895" s="1635"/>
      <c r="AF895" s="1635"/>
      <c r="AG895" s="1635"/>
      <c r="AH895" s="163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339"/>
      <c r="AB899" s="1339"/>
      <c r="AC899" s="1339"/>
      <c r="AD899" s="1339"/>
      <c r="AE899" s="1340"/>
      <c r="AF899" s="533"/>
      <c r="AZ899" s="34"/>
      <c r="BB899" s="30"/>
      <c r="BC899" s="816"/>
      <c r="BD899" s="1643"/>
      <c r="BE899" s="1643"/>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339"/>
      <c r="AB900" s="1339"/>
      <c r="AC900" s="1339"/>
      <c r="AD900" s="1339"/>
      <c r="AE900" s="1340"/>
      <c r="AZ900" s="34"/>
      <c r="BB900" s="30"/>
      <c r="BC900" s="816"/>
      <c r="BD900" s="1643"/>
      <c r="BE900" s="1643"/>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339"/>
      <c r="AB901" s="1339"/>
      <c r="AC901" s="1339"/>
      <c r="AD901" s="1339"/>
      <c r="AE901" s="1340"/>
      <c r="AZ901" s="34"/>
      <c r="BB901" s="30"/>
      <c r="BC901" s="816"/>
      <c r="BD901" s="1644"/>
      <c r="BE901" s="164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64">
        <f>Z899-(Z900+Z901)</f>
        <v>0</v>
      </c>
      <c r="AA902" s="1465"/>
      <c r="AB902" s="1465"/>
      <c r="AC902" s="1465"/>
      <c r="AD902" s="1465"/>
      <c r="AE902" s="1466"/>
      <c r="AZ902" s="34"/>
      <c r="BB902" s="30"/>
      <c r="BC902" s="816"/>
      <c r="BD902" s="1644"/>
      <c r="BE902" s="164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4"/>
      <c r="BE903" s="164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3"/>
      <c r="BE904" s="164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46"/>
      <c r="BE905" s="1646"/>
      <c r="BF905" s="164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45"/>
      <c r="BE906" s="1645"/>
      <c r="BF906" s="1645"/>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4"/>
      <c r="BE907" s="164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3"/>
      <c r="BE908" s="1644"/>
      <c r="BF908" s="14"/>
    </row>
    <row r="909" spans="1:58" ht="12.95" customHeight="1">
      <c r="AZ909" s="34"/>
      <c r="BB909" s="30"/>
      <c r="BC909" s="816"/>
    </row>
    <row r="910" spans="1:58" ht="12.9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43"/>
      <c r="BE910" s="1644"/>
      <c r="BF910" s="911"/>
    </row>
    <row r="911" spans="1:58" ht="12.9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90" t="s">
        <v>793</v>
      </c>
      <c r="G915" s="1691"/>
      <c r="H915" s="1691"/>
      <c r="I915" s="1691"/>
      <c r="J915" s="1691"/>
      <c r="K915" s="1691"/>
      <c r="L915" s="1691"/>
      <c r="M915" s="1691"/>
      <c r="N915" s="1691"/>
      <c r="O915" s="1691"/>
      <c r="P915" s="1691"/>
      <c r="Q915" s="1691"/>
      <c r="R915" s="1691"/>
      <c r="S915" s="1691"/>
      <c r="T915" s="1692"/>
      <c r="U915" s="1715" t="s">
        <v>31</v>
      </c>
      <c r="V915" s="1696"/>
      <c r="W915" s="1696"/>
      <c r="X915" s="1696"/>
      <c r="Y915" s="1696"/>
      <c r="Z915" s="1696"/>
      <c r="AA915" s="43"/>
      <c r="AB915" s="105"/>
      <c r="AC915" s="105"/>
      <c r="AD915" s="105"/>
      <c r="AE915" s="105"/>
      <c r="AF915" s="106"/>
      <c r="AZ915" s="34"/>
      <c r="BA915" s="34"/>
      <c r="BB915" s="34"/>
      <c r="BC915" s="34"/>
    </row>
    <row r="916" spans="1:58" ht="12.95" customHeight="1">
      <c r="B916" s="2"/>
      <c r="F916" s="1716" t="s">
        <v>819</v>
      </c>
      <c r="G916" s="1717"/>
      <c r="H916" s="1717"/>
      <c r="I916" s="1717"/>
      <c r="J916" s="1717"/>
      <c r="K916" s="1717"/>
      <c r="L916" s="1717"/>
      <c r="M916" s="1717"/>
      <c r="N916" s="1717"/>
      <c r="O916" s="1717"/>
      <c r="P916" s="1717"/>
      <c r="Q916" s="1717"/>
      <c r="R916" s="1717"/>
      <c r="S916" s="1717"/>
      <c r="T916" s="1734"/>
      <c r="U916" s="1716"/>
      <c r="V916" s="1717"/>
      <c r="W916" s="1717"/>
      <c r="X916" s="1717"/>
      <c r="Y916" s="1717"/>
      <c r="Z916" s="1717"/>
      <c r="AA916" s="44"/>
      <c r="AB916" s="4"/>
      <c r="AC916" s="4"/>
      <c r="AD916" s="4"/>
      <c r="AE916" s="4"/>
      <c r="AF916" s="107"/>
      <c r="AZ916" s="34"/>
      <c r="BA916" s="34"/>
      <c r="BB916" s="34"/>
      <c r="BC916" s="34"/>
    </row>
    <row r="917" spans="1:58" ht="12.95" customHeight="1">
      <c r="B917" s="2"/>
      <c r="F917" s="1718"/>
      <c r="G917" s="1698"/>
      <c r="H917" s="1698"/>
      <c r="I917" s="1698"/>
      <c r="J917" s="1698"/>
      <c r="K917" s="1698"/>
      <c r="L917" s="1698"/>
      <c r="M917" s="1698"/>
      <c r="N917" s="1698"/>
      <c r="O917" s="1698"/>
      <c r="P917" s="1698"/>
      <c r="Q917" s="1698"/>
      <c r="R917" s="1698"/>
      <c r="S917" s="1698"/>
      <c r="T917" s="1699"/>
      <c r="U917" s="1718"/>
      <c r="V917" s="1698"/>
      <c r="W917" s="1698"/>
      <c r="X917" s="1698"/>
      <c r="Y917" s="1698"/>
      <c r="Z917" s="1698"/>
      <c r="AA917" s="108"/>
      <c r="AB917" s="1389" t="s">
        <v>391</v>
      </c>
      <c r="AC917" s="1389"/>
      <c r="AD917" s="1389"/>
      <c r="AE917" s="1389"/>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7" t="s">
        <v>546</v>
      </c>
      <c r="V918" s="1391"/>
      <c r="W918" s="1391"/>
      <c r="X918" s="1391"/>
      <c r="Y918" s="1391"/>
      <c r="Z918" s="1392"/>
      <c r="AA918" s="1631">
        <f>+AM554+AM557</f>
        <v>25332992</v>
      </c>
      <c r="AB918" s="1441"/>
      <c r="AC918" s="1441"/>
      <c r="AD918" s="1441"/>
      <c r="AE918" s="1441"/>
      <c r="AF918" s="163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7" t="s">
        <v>546</v>
      </c>
      <c r="V919" s="1391"/>
      <c r="W919" s="1391"/>
      <c r="X919" s="1391"/>
      <c r="Y919" s="1391"/>
      <c r="Z919" s="1392"/>
      <c r="AA919" s="1631">
        <f>+AM555</f>
        <v>30127580</v>
      </c>
      <c r="AB919" s="1441"/>
      <c r="AC919" s="1441"/>
      <c r="AD919" s="1441"/>
      <c r="AE919" s="1441"/>
      <c r="AF919" s="163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7" t="s">
        <v>592</v>
      </c>
      <c r="V920" s="1391"/>
      <c r="W920" s="1391"/>
      <c r="X920" s="1391"/>
      <c r="Y920" s="1391"/>
      <c r="Z920" s="1392"/>
      <c r="AA920" s="1631"/>
      <c r="AB920" s="1441"/>
      <c r="AC920" s="1441"/>
      <c r="AD920" s="1441"/>
      <c r="AE920" s="1441"/>
      <c r="AF920" s="163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7" t="s">
        <v>592</v>
      </c>
      <c r="V921" s="1391"/>
      <c r="W921" s="1391"/>
      <c r="X921" s="1391"/>
      <c r="Y921" s="1391"/>
      <c r="Z921" s="1392"/>
      <c r="AA921" s="1631"/>
      <c r="AB921" s="1441"/>
      <c r="AC921" s="1441"/>
      <c r="AD921" s="1441"/>
      <c r="AE921" s="1441"/>
      <c r="AF921" s="163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7" t="s">
        <v>592</v>
      </c>
      <c r="V922" s="1391"/>
      <c r="W922" s="1391"/>
      <c r="X922" s="1391"/>
      <c r="Y922" s="1391"/>
      <c r="Z922" s="1392"/>
      <c r="AA922" s="1631"/>
      <c r="AB922" s="1441"/>
      <c r="AC922" s="1441"/>
      <c r="AD922" s="1441"/>
      <c r="AE922" s="1441"/>
      <c r="AF922" s="163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7" t="s">
        <v>592</v>
      </c>
      <c r="V923" s="1391"/>
      <c r="W923" s="1391"/>
      <c r="X923" s="1391"/>
      <c r="Y923" s="1391"/>
      <c r="Z923" s="1392"/>
      <c r="AA923" s="1631"/>
      <c r="AB923" s="1441"/>
      <c r="AC923" s="1441"/>
      <c r="AD923" s="1441"/>
      <c r="AE923" s="1441"/>
      <c r="AF923" s="163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7" t="s">
        <v>592</v>
      </c>
      <c r="V924" s="1391"/>
      <c r="W924" s="1391"/>
      <c r="X924" s="1391"/>
      <c r="Y924" s="1391"/>
      <c r="Z924" s="1392"/>
      <c r="AA924" s="1631"/>
      <c r="AB924" s="1441"/>
      <c r="AC924" s="1441"/>
      <c r="AD924" s="1441"/>
      <c r="AE924" s="1441"/>
      <c r="AF924" s="163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7" t="s">
        <v>592</v>
      </c>
      <c r="V925" s="1391"/>
      <c r="W925" s="1391"/>
      <c r="X925" s="1391"/>
      <c r="Y925" s="1391"/>
      <c r="Z925" s="1392"/>
      <c r="AA925" s="1631"/>
      <c r="AB925" s="1441"/>
      <c r="AC925" s="1441"/>
      <c r="AD925" s="1441"/>
      <c r="AE925" s="1441"/>
      <c r="AF925" s="1632"/>
      <c r="AZ925" s="34"/>
      <c r="BA925" s="34"/>
      <c r="BB925" s="34"/>
      <c r="BC925" s="34"/>
    </row>
    <row r="926" spans="1:58" ht="12.95" customHeight="1">
      <c r="F926" s="1628" t="s">
        <v>2193</v>
      </c>
      <c r="G926" s="1629"/>
      <c r="H926" s="1629"/>
      <c r="I926" s="1629"/>
      <c r="J926" s="1629"/>
      <c r="K926" s="1629"/>
      <c r="L926" s="1629"/>
      <c r="M926" s="1629"/>
      <c r="N926" s="1629"/>
      <c r="O926" s="1629"/>
      <c r="P926" s="1629"/>
      <c r="Q926" s="1629"/>
      <c r="R926" s="1629"/>
      <c r="S926" s="1629"/>
      <c r="T926" s="1630"/>
      <c r="U926" s="1627" t="s">
        <v>592</v>
      </c>
      <c r="V926" s="1391"/>
      <c r="W926" s="1391"/>
      <c r="X926" s="1391"/>
      <c r="Y926" s="1391"/>
      <c r="Z926" s="1392"/>
      <c r="AA926" s="1631"/>
      <c r="AB926" s="1441"/>
      <c r="AC926" s="1441"/>
      <c r="AD926" s="1441"/>
      <c r="AE926" s="1441"/>
      <c r="AF926" s="1632"/>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27" t="s">
        <v>592</v>
      </c>
      <c r="V927" s="1391"/>
      <c r="W927" s="1391"/>
      <c r="X927" s="1391"/>
      <c r="Y927" s="1391"/>
      <c r="Z927" s="1392"/>
      <c r="AA927" s="1631"/>
      <c r="AB927" s="1441"/>
      <c r="AC927" s="1441"/>
      <c r="AD927" s="1441"/>
      <c r="AE927" s="1441"/>
      <c r="AF927" s="1632"/>
      <c r="AU927" s="2"/>
      <c r="AZ927" s="34"/>
      <c r="BA927" s="34"/>
      <c r="BB927" s="34"/>
      <c r="BC927" s="34"/>
    </row>
    <row r="928" spans="1:58" ht="12.95" customHeight="1">
      <c r="F928" s="1628" t="s">
        <v>2194</v>
      </c>
      <c r="G928" s="1629"/>
      <c r="H928" s="1629"/>
      <c r="I928" s="1629"/>
      <c r="J928" s="1629"/>
      <c r="K928" s="1629"/>
      <c r="L928" s="1629"/>
      <c r="M928" s="1629"/>
      <c r="N928" s="1629"/>
      <c r="O928" s="1629"/>
      <c r="P928" s="1629"/>
      <c r="Q928" s="1629"/>
      <c r="R928" s="1629"/>
      <c r="S928" s="1629"/>
      <c r="T928" s="1630"/>
      <c r="U928" s="1627" t="s">
        <v>592</v>
      </c>
      <c r="V928" s="1391"/>
      <c r="W928" s="1391"/>
      <c r="X928" s="1391"/>
      <c r="Y928" s="1391"/>
      <c r="Z928" s="1392"/>
      <c r="AA928" s="1631"/>
      <c r="AB928" s="1441"/>
      <c r="AC928" s="1441"/>
      <c r="AD928" s="1441"/>
      <c r="AE928" s="1441"/>
      <c r="AF928" s="1632"/>
      <c r="AU928" s="2"/>
      <c r="AZ928" s="34"/>
      <c r="BA928" s="34"/>
      <c r="BB928" s="34"/>
      <c r="BC928" s="34"/>
    </row>
    <row r="929" spans="6:55" ht="12.95" customHeight="1">
      <c r="F929" s="1628" t="s">
        <v>2195</v>
      </c>
      <c r="G929" s="1629"/>
      <c r="H929" s="1629"/>
      <c r="I929" s="1629"/>
      <c r="J929" s="1629"/>
      <c r="K929" s="1629"/>
      <c r="L929" s="1629"/>
      <c r="M929" s="1629"/>
      <c r="N929" s="1629"/>
      <c r="O929" s="1629"/>
      <c r="P929" s="1629"/>
      <c r="Q929" s="1629"/>
      <c r="R929" s="1629"/>
      <c r="S929" s="1629"/>
      <c r="T929" s="1630"/>
      <c r="U929" s="1627" t="s">
        <v>592</v>
      </c>
      <c r="V929" s="1391"/>
      <c r="W929" s="1391"/>
      <c r="X929" s="1391"/>
      <c r="Y929" s="1391"/>
      <c r="Z929" s="1392"/>
      <c r="AA929" s="1631"/>
      <c r="AB929" s="1441"/>
      <c r="AC929" s="1441"/>
      <c r="AD929" s="1441"/>
      <c r="AE929" s="1441"/>
      <c r="AF929" s="1632"/>
      <c r="AU929" s="2"/>
      <c r="AZ929" s="34"/>
      <c r="BA929" s="34"/>
      <c r="BB929" s="34"/>
      <c r="BC929" s="34"/>
    </row>
    <row r="930" spans="6:55" ht="12.95" customHeight="1">
      <c r="F930" s="1628" t="s">
        <v>2196</v>
      </c>
      <c r="G930" s="1629"/>
      <c r="H930" s="1629"/>
      <c r="I930" s="1629"/>
      <c r="J930" s="1629"/>
      <c r="K930" s="1629"/>
      <c r="L930" s="1629"/>
      <c r="M930" s="1629"/>
      <c r="N930" s="1629"/>
      <c r="O930" s="1629"/>
      <c r="P930" s="1629"/>
      <c r="Q930" s="1629"/>
      <c r="R930" s="1629"/>
      <c r="S930" s="1629"/>
      <c r="T930" s="1630"/>
      <c r="U930" s="1627" t="s">
        <v>592</v>
      </c>
      <c r="V930" s="1391"/>
      <c r="W930" s="1391"/>
      <c r="X930" s="1391"/>
      <c r="Y930" s="1391"/>
      <c r="Z930" s="1392"/>
      <c r="AA930" s="1631"/>
      <c r="AB930" s="1441"/>
      <c r="AC930" s="1441"/>
      <c r="AD930" s="1441"/>
      <c r="AE930" s="1441"/>
      <c r="AF930" s="1632"/>
      <c r="AU930" s="2"/>
      <c r="AZ930" s="34"/>
      <c r="BA930" s="34"/>
      <c r="BB930" s="34"/>
      <c r="BC930" s="34"/>
    </row>
    <row r="931" spans="6:55" ht="12.95" customHeight="1">
      <c r="F931" s="1628" t="s">
        <v>2197</v>
      </c>
      <c r="G931" s="1629"/>
      <c r="H931" s="1629"/>
      <c r="I931" s="1629"/>
      <c r="J931" s="1629"/>
      <c r="K931" s="1629"/>
      <c r="L931" s="1629"/>
      <c r="M931" s="1629"/>
      <c r="N931" s="1629"/>
      <c r="O931" s="1629"/>
      <c r="P931" s="1629"/>
      <c r="Q931" s="1629"/>
      <c r="R931" s="1629"/>
      <c r="S931" s="1629"/>
      <c r="T931" s="1630"/>
      <c r="U931" s="1627" t="s">
        <v>592</v>
      </c>
      <c r="V931" s="1391"/>
      <c r="W931" s="1391"/>
      <c r="X931" s="1391"/>
      <c r="Y931" s="1391"/>
      <c r="Z931" s="1392"/>
      <c r="AA931" s="1631"/>
      <c r="AB931" s="1441"/>
      <c r="AC931" s="1441"/>
      <c r="AD931" s="1441"/>
      <c r="AE931" s="1441"/>
      <c r="AF931" s="1632"/>
      <c r="AU931" s="2"/>
      <c r="AZ931" s="34"/>
      <c r="BA931" s="34"/>
      <c r="BB931" s="34"/>
      <c r="BC931" s="34"/>
    </row>
    <row r="932" spans="6:55" ht="12.95" customHeight="1">
      <c r="F932" s="1628" t="s">
        <v>2198</v>
      </c>
      <c r="G932" s="1629"/>
      <c r="H932" s="1629"/>
      <c r="I932" s="1629"/>
      <c r="J932" s="1629"/>
      <c r="K932" s="1629"/>
      <c r="L932" s="1629"/>
      <c r="M932" s="1629"/>
      <c r="N932" s="1629"/>
      <c r="O932" s="1629"/>
      <c r="P932" s="1629"/>
      <c r="Q932" s="1629"/>
      <c r="R932" s="1629"/>
      <c r="S932" s="1629"/>
      <c r="T932" s="1630"/>
      <c r="U932" s="1627" t="s">
        <v>592</v>
      </c>
      <c r="V932" s="1391"/>
      <c r="W932" s="1391"/>
      <c r="X932" s="1391"/>
      <c r="Y932" s="1391"/>
      <c r="Z932" s="1392"/>
      <c r="AA932" s="1631"/>
      <c r="AB932" s="1441"/>
      <c r="AC932" s="1441"/>
      <c r="AD932" s="1441"/>
      <c r="AE932" s="1441"/>
      <c r="AF932" s="1632"/>
      <c r="AZ932" s="30"/>
      <c r="BA932" s="30"/>
    </row>
    <row r="933" spans="6:55" ht="12.95" customHeight="1">
      <c r="F933" s="178" t="s">
        <v>677</v>
      </c>
      <c r="G933" s="5"/>
      <c r="H933" s="5"/>
      <c r="I933" s="5"/>
      <c r="J933" s="5"/>
      <c r="K933" s="5"/>
      <c r="L933" s="5"/>
      <c r="M933" s="5"/>
      <c r="N933" s="5"/>
      <c r="O933" s="5"/>
      <c r="P933" s="5"/>
      <c r="Q933" s="5"/>
      <c r="R933" s="5"/>
      <c r="S933" s="5"/>
      <c r="T933" s="46"/>
      <c r="U933" s="1627" t="s">
        <v>592</v>
      </c>
      <c r="V933" s="1391"/>
      <c r="W933" s="1391"/>
      <c r="X933" s="1391"/>
      <c r="Y933" s="1391"/>
      <c r="Z933" s="1392"/>
      <c r="AA933" s="1631"/>
      <c r="AB933" s="1441"/>
      <c r="AC933" s="1441"/>
      <c r="AD933" s="1441"/>
      <c r="AE933" s="1441"/>
      <c r="AF933" s="1632"/>
    </row>
    <row r="934" spans="6:55" ht="12.95" customHeight="1">
      <c r="F934" s="121" t="s">
        <v>1278</v>
      </c>
      <c r="G934" s="5"/>
      <c r="H934" s="5"/>
      <c r="I934" s="5"/>
      <c r="J934" s="5"/>
      <c r="K934" s="5"/>
      <c r="L934" s="5"/>
      <c r="M934" s="5"/>
      <c r="N934" s="5"/>
      <c r="O934" s="5"/>
      <c r="P934" s="5"/>
      <c r="Q934" s="5"/>
      <c r="R934" s="5"/>
      <c r="S934" s="5"/>
      <c r="T934" s="46"/>
      <c r="U934" s="1627" t="s">
        <v>592</v>
      </c>
      <c r="V934" s="1391"/>
      <c r="W934" s="1391"/>
      <c r="X934" s="1391"/>
      <c r="Y934" s="1391"/>
      <c r="Z934" s="1392"/>
      <c r="AA934" s="1631"/>
      <c r="AB934" s="1441"/>
      <c r="AC934" s="1441"/>
      <c r="AD934" s="1441"/>
      <c r="AE934" s="1441"/>
      <c r="AF934" s="1632"/>
      <c r="AZ934" s="30"/>
      <c r="BA934" s="14"/>
    </row>
    <row r="935" spans="6:55" ht="12.95" customHeight="1">
      <c r="F935" s="66" t="s">
        <v>803</v>
      </c>
      <c r="G935" s="5"/>
      <c r="H935" s="5"/>
      <c r="I935" s="5"/>
      <c r="J935" s="5"/>
      <c r="K935" s="5"/>
      <c r="L935" s="5"/>
      <c r="M935" s="5"/>
      <c r="N935" s="5"/>
      <c r="O935" s="5"/>
      <c r="P935" s="5"/>
      <c r="Q935" s="5"/>
      <c r="R935" s="5"/>
      <c r="S935" s="5"/>
      <c r="T935" s="46"/>
      <c r="U935" s="1627" t="s">
        <v>592</v>
      </c>
      <c r="V935" s="1391"/>
      <c r="W935" s="1391"/>
      <c r="X935" s="1391"/>
      <c r="Y935" s="1391"/>
      <c r="Z935" s="1392"/>
      <c r="AA935" s="1631"/>
      <c r="AB935" s="1441"/>
      <c r="AC935" s="1441"/>
      <c r="AD935" s="1441"/>
      <c r="AE935" s="1441"/>
      <c r="AF935" s="1632"/>
      <c r="AZ935" s="30"/>
      <c r="BA935" s="14"/>
    </row>
    <row r="936" spans="6:55" ht="12.95" customHeight="1">
      <c r="F936" s="1624" t="s">
        <v>2202</v>
      </c>
      <c r="G936" s="1625"/>
      <c r="H936" s="1625"/>
      <c r="I936" s="1625"/>
      <c r="J936" s="1625"/>
      <c r="K936" s="1625"/>
      <c r="L936" s="1625"/>
      <c r="M936" s="1625"/>
      <c r="N936" s="1625"/>
      <c r="O936" s="1625"/>
      <c r="P936" s="1625"/>
      <c r="Q936" s="1625"/>
      <c r="R936" s="1625"/>
      <c r="S936" s="1625"/>
      <c r="T936" s="1626"/>
      <c r="U936" s="1627" t="s">
        <v>592</v>
      </c>
      <c r="V936" s="1391"/>
      <c r="W936" s="1391"/>
      <c r="X936" s="1391"/>
      <c r="Y936" s="1391"/>
      <c r="Z936" s="1392"/>
      <c r="AA936" s="1631"/>
      <c r="AB936" s="1441"/>
      <c r="AC936" s="1441"/>
      <c r="AD936" s="1441"/>
      <c r="AE936" s="1441"/>
      <c r="AF936" s="1632"/>
      <c r="AZ936" s="30"/>
      <c r="BA936" s="14"/>
    </row>
    <row r="937" spans="6:55" ht="12.95" customHeight="1">
      <c r="F937" s="1624" t="s">
        <v>2203</v>
      </c>
      <c r="G937" s="1625"/>
      <c r="H937" s="1625"/>
      <c r="I937" s="1625"/>
      <c r="J937" s="1625"/>
      <c r="K937" s="1625"/>
      <c r="L937" s="1625"/>
      <c r="M937" s="1625"/>
      <c r="N937" s="1625"/>
      <c r="O937" s="1625"/>
      <c r="P937" s="1625"/>
      <c r="Q937" s="1625"/>
      <c r="R937" s="1625"/>
      <c r="S937" s="1625"/>
      <c r="T937" s="1626"/>
      <c r="U937" s="1627" t="s">
        <v>592</v>
      </c>
      <c r="V937" s="1391"/>
      <c r="W937" s="1391"/>
      <c r="X937" s="1391"/>
      <c r="Y937" s="1391"/>
      <c r="Z937" s="1392"/>
      <c r="AA937" s="1631"/>
      <c r="AB937" s="1441"/>
      <c r="AC937" s="1441"/>
      <c r="AD937" s="1441"/>
      <c r="AE937" s="1441"/>
      <c r="AF937" s="1632"/>
      <c r="AZ937" s="30"/>
      <c r="BA937" s="30"/>
    </row>
    <row r="938" spans="6:55" ht="12.95" customHeight="1">
      <c r="F938" s="1628" t="s">
        <v>2199</v>
      </c>
      <c r="G938" s="1629"/>
      <c r="H938" s="1629"/>
      <c r="I938" s="1629"/>
      <c r="J938" s="1629"/>
      <c r="K938" s="1629"/>
      <c r="L938" s="1629"/>
      <c r="M938" s="1629"/>
      <c r="N938" s="1629"/>
      <c r="O938" s="1629"/>
      <c r="P938" s="1629"/>
      <c r="Q938" s="1629"/>
      <c r="R938" s="1629"/>
      <c r="S938" s="1629"/>
      <c r="T938" s="1630"/>
      <c r="U938" s="1627" t="s">
        <v>592</v>
      </c>
      <c r="V938" s="1391"/>
      <c r="W938" s="1391"/>
      <c r="X938" s="1391"/>
      <c r="Y938" s="1391"/>
      <c r="Z938" s="1392"/>
      <c r="AA938" s="1631"/>
      <c r="AB938" s="1441"/>
      <c r="AC938" s="1441"/>
      <c r="AD938" s="1441"/>
      <c r="AE938" s="1441"/>
      <c r="AF938" s="1632"/>
      <c r="AZ938" s="30"/>
      <c r="BA938" s="30"/>
    </row>
    <row r="939" spans="6:55" ht="12.95" customHeight="1">
      <c r="F939" s="1628" t="s">
        <v>2200</v>
      </c>
      <c r="G939" s="1629"/>
      <c r="H939" s="1629"/>
      <c r="I939" s="1629"/>
      <c r="J939" s="1629"/>
      <c r="K939" s="1629"/>
      <c r="L939" s="1629"/>
      <c r="M939" s="1629"/>
      <c r="N939" s="1629"/>
      <c r="O939" s="1629"/>
      <c r="P939" s="1629"/>
      <c r="Q939" s="1629"/>
      <c r="R939" s="1629"/>
      <c r="S939" s="1629"/>
      <c r="T939" s="1630"/>
      <c r="U939" s="1627" t="s">
        <v>592</v>
      </c>
      <c r="V939" s="1391"/>
      <c r="W939" s="1391"/>
      <c r="X939" s="1391"/>
      <c r="Y939" s="1391"/>
      <c r="Z939" s="1392"/>
      <c r="AA939" s="1631"/>
      <c r="AB939" s="1441"/>
      <c r="AC939" s="1441"/>
      <c r="AD939" s="1441"/>
      <c r="AE939" s="1441"/>
      <c r="AF939" s="1632"/>
      <c r="AZ939" s="30"/>
      <c r="BA939" s="30"/>
    </row>
    <row r="940" spans="6:55" ht="12.95" customHeight="1">
      <c r="F940" s="1628" t="s">
        <v>2201</v>
      </c>
      <c r="G940" s="1629"/>
      <c r="H940" s="1629"/>
      <c r="I940" s="1629"/>
      <c r="J940" s="1629"/>
      <c r="K940" s="1629"/>
      <c r="L940" s="1629"/>
      <c r="M940" s="1629"/>
      <c r="N940" s="1629"/>
      <c r="O940" s="1629"/>
      <c r="P940" s="1629"/>
      <c r="Q940" s="1629"/>
      <c r="R940" s="1629"/>
      <c r="S940" s="1629"/>
      <c r="T940" s="1630"/>
      <c r="U940" s="1627" t="s">
        <v>592</v>
      </c>
      <c r="V940" s="1391"/>
      <c r="W940" s="1391"/>
      <c r="X940" s="1391"/>
      <c r="Y940" s="1391"/>
      <c r="Z940" s="1392"/>
      <c r="AA940" s="1631"/>
      <c r="AB940" s="1441"/>
      <c r="AC940" s="1441"/>
      <c r="AD940" s="1441"/>
      <c r="AE940" s="1441"/>
      <c r="AF940" s="1632"/>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7" t="s">
        <v>592</v>
      </c>
      <c r="V941" s="1391"/>
      <c r="W941" s="1391"/>
      <c r="X941" s="1391"/>
      <c r="Y941" s="1391"/>
      <c r="Z941" s="1392"/>
      <c r="AA941" s="1631"/>
      <c r="AB941" s="1441"/>
      <c r="AC941" s="1441"/>
      <c r="AD941" s="1441"/>
      <c r="AE941" s="1441"/>
      <c r="AF941" s="1632"/>
      <c r="AZ941" s="34"/>
      <c r="BA941" s="34"/>
      <c r="BB941" s="14"/>
      <c r="BC941" s="14"/>
    </row>
    <row r="942" spans="6:55" ht="12.95" customHeight="1">
      <c r="F942" s="1624" t="s">
        <v>2204</v>
      </c>
      <c r="G942" s="1625"/>
      <c r="H942" s="1625"/>
      <c r="I942" s="1625"/>
      <c r="J942" s="1625"/>
      <c r="K942" s="1625"/>
      <c r="L942" s="1625"/>
      <c r="M942" s="1625"/>
      <c r="N942" s="1625"/>
      <c r="O942" s="1625"/>
      <c r="P942" s="1625"/>
      <c r="Q942" s="1625"/>
      <c r="R942" s="1625"/>
      <c r="S942" s="1625"/>
      <c r="T942" s="1626"/>
      <c r="U942" s="1627" t="s">
        <v>592</v>
      </c>
      <c r="V942" s="1391"/>
      <c r="W942" s="1391"/>
      <c r="X942" s="1391"/>
      <c r="Y942" s="1391"/>
      <c r="Z942" s="1392"/>
      <c r="AA942" s="1631"/>
      <c r="AB942" s="1441"/>
      <c r="AC942" s="1441"/>
      <c r="AD942" s="1441"/>
      <c r="AE942" s="1441"/>
      <c r="AF942" s="1632"/>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7" t="s">
        <v>592</v>
      </c>
      <c r="V943" s="1391"/>
      <c r="W943" s="1391"/>
      <c r="X943" s="1391"/>
      <c r="Y943" s="1391"/>
      <c r="Z943" s="1392"/>
      <c r="AA943" s="1631"/>
      <c r="AB943" s="1441"/>
      <c r="AC943" s="1441"/>
      <c r="AD943" s="1441"/>
      <c r="AE943" s="1441"/>
      <c r="AF943" s="1632"/>
      <c r="AZ943" s="34"/>
      <c r="BA943" s="34"/>
      <c r="BB943" s="34"/>
      <c r="BC943" s="34"/>
    </row>
    <row r="944" spans="6:55" ht="12.95" customHeight="1">
      <c r="F944" s="1624" t="s">
        <v>2205</v>
      </c>
      <c r="G944" s="1625"/>
      <c r="H944" s="1625"/>
      <c r="I944" s="1625"/>
      <c r="J944" s="1625"/>
      <c r="K944" s="1625"/>
      <c r="L944" s="1625"/>
      <c r="M944" s="1625"/>
      <c r="N944" s="1625"/>
      <c r="O944" s="1625"/>
      <c r="P944" s="1625"/>
      <c r="Q944" s="1625"/>
      <c r="R944" s="1625"/>
      <c r="S944" s="1625"/>
      <c r="T944" s="1626"/>
      <c r="U944" s="1627" t="s">
        <v>592</v>
      </c>
      <c r="V944" s="1391"/>
      <c r="W944" s="1391"/>
      <c r="X944" s="1391"/>
      <c r="Y944" s="1391"/>
      <c r="Z944" s="1392"/>
      <c r="AA944" s="1631"/>
      <c r="AB944" s="1441"/>
      <c r="AC944" s="1441"/>
      <c r="AD944" s="1441"/>
      <c r="AE944" s="1441"/>
      <c r="AF944" s="1632"/>
      <c r="AZ944" s="34"/>
      <c r="BA944" s="34"/>
      <c r="BB944" s="34"/>
      <c r="BC944" s="34"/>
    </row>
    <row r="945" spans="1:55" ht="12.95" customHeight="1">
      <c r="F945" s="45" t="s">
        <v>807</v>
      </c>
      <c r="G945" s="5"/>
      <c r="H945" s="5"/>
      <c r="I945" s="5"/>
      <c r="J945" s="5"/>
      <c r="K945" s="5"/>
      <c r="L945" s="5"/>
      <c r="M945" s="5"/>
      <c r="N945" s="5"/>
      <c r="O945" s="5"/>
      <c r="P945" s="1627" t="s">
        <v>670</v>
      </c>
      <c r="Q945" s="1391"/>
      <c r="R945" s="1391"/>
      <c r="S945" s="1391"/>
      <c r="T945" s="1392"/>
      <c r="U945" s="1627" t="s">
        <v>592</v>
      </c>
      <c r="V945" s="1391"/>
      <c r="W945" s="1391"/>
      <c r="X945" s="1391"/>
      <c r="Y945" s="1391"/>
      <c r="Z945" s="1392"/>
      <c r="AA945" s="1631"/>
      <c r="AB945" s="1441"/>
      <c r="AC945" s="1441"/>
      <c r="AD945" s="1441"/>
      <c r="AE945" s="1441"/>
      <c r="AF945" s="1632"/>
      <c r="AZ945" s="34"/>
      <c r="BA945" s="34"/>
      <c r="BB945" s="34"/>
      <c r="BC945" s="34"/>
    </row>
    <row r="946" spans="1:55" ht="12.95" customHeight="1">
      <c r="F946" s="1628" t="s">
        <v>2192</v>
      </c>
      <c r="G946" s="1629"/>
      <c r="H946" s="1630"/>
      <c r="I946" s="1616" t="s">
        <v>334</v>
      </c>
      <c r="J946" s="1617"/>
      <c r="K946" s="1617"/>
      <c r="L946" s="1617"/>
      <c r="M946" s="1617"/>
      <c r="N946" s="1617"/>
      <c r="O946" s="1617"/>
      <c r="P946" s="1617"/>
      <c r="Q946" s="1617"/>
      <c r="R946" s="1617"/>
      <c r="S946" s="1617"/>
      <c r="T946" s="1618"/>
      <c r="U946" s="1627" t="s">
        <v>592</v>
      </c>
      <c r="V946" s="1391"/>
      <c r="W946" s="1391"/>
      <c r="X946" s="1391"/>
      <c r="Y946" s="1391"/>
      <c r="Z946" s="1392"/>
      <c r="AA946" s="1631"/>
      <c r="AB946" s="1441"/>
      <c r="AC946" s="1441"/>
      <c r="AD946" s="1441"/>
      <c r="AE946" s="1441"/>
      <c r="AF946" s="1632"/>
      <c r="AZ946" s="34"/>
      <c r="BA946" s="34"/>
      <c r="BB946" s="34"/>
      <c r="BC946" s="34"/>
    </row>
    <row r="947" spans="1:55" ht="12.95" customHeight="1">
      <c r="F947" s="45" t="s">
        <v>86</v>
      </c>
      <c r="G947" s="48"/>
      <c r="H947" s="48"/>
      <c r="I947" s="1616" t="s">
        <v>334</v>
      </c>
      <c r="J947" s="1617"/>
      <c r="K947" s="1617"/>
      <c r="L947" s="1617"/>
      <c r="M947" s="1617"/>
      <c r="N947" s="1617"/>
      <c r="O947" s="1617"/>
      <c r="P947" s="1617"/>
      <c r="Q947" s="1617"/>
      <c r="R947" s="1617"/>
      <c r="S947" s="1617"/>
      <c r="T947" s="1618"/>
      <c r="U947" s="1627" t="s">
        <v>592</v>
      </c>
      <c r="V947" s="1391"/>
      <c r="W947" s="1391"/>
      <c r="X947" s="1391"/>
      <c r="Y947" s="1391"/>
      <c r="Z947" s="1392"/>
      <c r="AA947" s="1631"/>
      <c r="AB947" s="1441"/>
      <c r="AC947" s="1441"/>
      <c r="AD947" s="1441"/>
      <c r="AE947" s="1441"/>
      <c r="AF947" s="1632"/>
      <c r="AZ947" s="34"/>
      <c r="BA947" s="34"/>
      <c r="BB947" s="34"/>
      <c r="BC947" s="34"/>
    </row>
    <row r="948" spans="1:55" ht="12.95" customHeight="1">
      <c r="F948" s="45" t="s">
        <v>10</v>
      </c>
      <c r="G948" s="48"/>
      <c r="H948" s="48"/>
      <c r="I948" s="1616" t="s">
        <v>2718</v>
      </c>
      <c r="J948" s="1680"/>
      <c r="K948" s="1680"/>
      <c r="L948" s="1680"/>
      <c r="M948" s="1680"/>
      <c r="N948" s="1680"/>
      <c r="O948" s="1680"/>
      <c r="P948" s="1680"/>
      <c r="Q948" s="1680"/>
      <c r="R948" s="1680"/>
      <c r="S948" s="1680"/>
      <c r="T948" s="1681"/>
      <c r="U948" s="1627" t="s">
        <v>546</v>
      </c>
      <c r="V948" s="1391"/>
      <c r="W948" s="1391"/>
      <c r="X948" s="1391"/>
      <c r="Y948" s="1391"/>
      <c r="Z948" s="1392"/>
      <c r="AA948" s="1631">
        <f>+AO629</f>
        <v>1850000</v>
      </c>
      <c r="AB948" s="1441"/>
      <c r="AC948" s="1441"/>
      <c r="AD948" s="1441"/>
      <c r="AE948" s="1441"/>
      <c r="AF948" s="1632"/>
      <c r="AV948" s="2"/>
      <c r="AW948" s="2"/>
      <c r="AX948" s="2"/>
      <c r="AY948" s="2"/>
      <c r="AZ948" s="34"/>
      <c r="BA948" s="34"/>
      <c r="BB948" s="34"/>
      <c r="BC948" s="34"/>
    </row>
    <row r="949" spans="1:55" ht="12.95" customHeight="1">
      <c r="F949" s="47" t="s">
        <v>170</v>
      </c>
      <c r="G949" s="48"/>
      <c r="H949" s="48"/>
      <c r="I949" s="1683" t="s">
        <v>334</v>
      </c>
      <c r="J949" s="1680"/>
      <c r="K949" s="1680"/>
      <c r="L949" s="1680"/>
      <c r="M949" s="1680"/>
      <c r="N949" s="1680"/>
      <c r="O949" s="1680"/>
      <c r="P949" s="1680"/>
      <c r="Q949" s="1680"/>
      <c r="R949" s="1680"/>
      <c r="S949" s="1680"/>
      <c r="T949" s="1681"/>
      <c r="U949" s="1627" t="s">
        <v>592</v>
      </c>
      <c r="V949" s="1391"/>
      <c r="W949" s="1391"/>
      <c r="X949" s="1391"/>
      <c r="Y949" s="1391"/>
      <c r="Z949" s="1392"/>
      <c r="AA949" s="1631"/>
      <c r="AB949" s="1441"/>
      <c r="AC949" s="1441"/>
      <c r="AD949" s="1441"/>
      <c r="AE949" s="1441"/>
      <c r="AF949" s="1632"/>
      <c r="AU949" s="2"/>
      <c r="AZ949" s="34"/>
      <c r="BA949" s="34"/>
      <c r="BB949" s="34"/>
      <c r="BC949" s="34"/>
    </row>
    <row r="950" spans="1:55" ht="12.95" customHeight="1">
      <c r="F950" s="47" t="s">
        <v>170</v>
      </c>
      <c r="G950" s="48"/>
      <c r="H950" s="48"/>
      <c r="I950" s="1683" t="s">
        <v>334</v>
      </c>
      <c r="J950" s="1680"/>
      <c r="K950" s="1680"/>
      <c r="L950" s="1680"/>
      <c r="M950" s="1680"/>
      <c r="N950" s="1680"/>
      <c r="O950" s="1680"/>
      <c r="P950" s="1680"/>
      <c r="Q950" s="1680"/>
      <c r="R950" s="1680"/>
      <c r="S950" s="1680"/>
      <c r="T950" s="1681"/>
      <c r="U950" s="1627" t="s">
        <v>592</v>
      </c>
      <c r="V950" s="1391"/>
      <c r="W950" s="1391"/>
      <c r="X950" s="1391"/>
      <c r="Y950" s="1391"/>
      <c r="Z950" s="1392"/>
      <c r="AA950" s="1631"/>
      <c r="AB950" s="1441"/>
      <c r="AC950" s="1441"/>
      <c r="AD950" s="1441"/>
      <c r="AE950" s="1441"/>
      <c r="AF950" s="163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684"/>
      <c r="N955" s="1501"/>
      <c r="O955" s="1501"/>
      <c r="P955" s="1501"/>
      <c r="Q955" s="1501"/>
      <c r="R955" s="1501"/>
      <c r="S955" s="1611"/>
      <c r="U955" s="66" t="s">
        <v>11</v>
      </c>
      <c r="V955" s="5"/>
      <c r="W955" s="5"/>
      <c r="X955" s="5"/>
      <c r="Y955" s="5"/>
      <c r="Z955" s="5"/>
      <c r="AA955" s="5"/>
      <c r="AB955" s="5"/>
      <c r="AC955" s="5"/>
      <c r="AD955" s="46"/>
      <c r="AE955" s="1684"/>
      <c r="AF955" s="1501"/>
      <c r="AG955" s="1501"/>
      <c r="AH955" s="1501"/>
      <c r="AI955" s="1501"/>
      <c r="AJ955" s="1501"/>
      <c r="AK955" s="1611"/>
      <c r="AZ955" s="34"/>
      <c r="BA955" s="34"/>
      <c r="BB955" s="34"/>
      <c r="BC955" s="34"/>
    </row>
    <row r="956" spans="1:55" ht="12.95" customHeight="1">
      <c r="C956" s="66" t="s">
        <v>12</v>
      </c>
      <c r="D956" s="5"/>
      <c r="E956" s="5"/>
      <c r="F956" s="5"/>
      <c r="G956" s="5"/>
      <c r="H956" s="5"/>
      <c r="I956" s="5"/>
      <c r="J956" s="5"/>
      <c r="K956" s="5"/>
      <c r="L956" s="46"/>
      <c r="M956" s="1693"/>
      <c r="N956" s="1544"/>
      <c r="O956" s="1544"/>
      <c r="P956" s="1544"/>
      <c r="Q956" s="1544"/>
      <c r="R956" s="1544"/>
      <c r="S956" s="1694"/>
      <c r="U956" s="66" t="s">
        <v>12</v>
      </c>
      <c r="V956" s="5"/>
      <c r="W956" s="5"/>
      <c r="X956" s="5"/>
      <c r="Y956" s="5"/>
      <c r="Z956" s="5"/>
      <c r="AA956" s="5"/>
      <c r="AB956" s="5"/>
      <c r="AC956" s="5"/>
      <c r="AD956" s="46"/>
      <c r="AE956" s="1693"/>
      <c r="AF956" s="1544"/>
      <c r="AG956" s="1544"/>
      <c r="AH956" s="1544"/>
      <c r="AI956" s="1544"/>
      <c r="AJ956" s="1544"/>
      <c r="AK956" s="1694"/>
      <c r="AZ956" s="34"/>
      <c r="BA956" s="34"/>
      <c r="BB956" s="34"/>
      <c r="BC956" s="34"/>
    </row>
    <row r="957" spans="1:55" ht="12.95" customHeight="1">
      <c r="C957" s="66" t="s">
        <v>881</v>
      </c>
      <c r="D957" s="5"/>
      <c r="E957" s="5"/>
      <c r="J957" s="1746" t="s">
        <v>307</v>
      </c>
      <c r="K957" s="1747"/>
      <c r="L957" s="1747"/>
      <c r="M957" s="1747"/>
      <c r="N957" s="1747"/>
      <c r="O957" s="1747"/>
      <c r="P957" s="1747"/>
      <c r="Q957" s="1747"/>
      <c r="R957" s="1747"/>
      <c r="S957" s="1748"/>
      <c r="U957" s="66" t="s">
        <v>881</v>
      </c>
      <c r="V957" s="5"/>
      <c r="W957" s="5"/>
      <c r="AB957" s="1746" t="s">
        <v>307</v>
      </c>
      <c r="AC957" s="1747"/>
      <c r="AD957" s="1747"/>
      <c r="AE957" s="1747"/>
      <c r="AF957" s="1747"/>
      <c r="AG957" s="1747"/>
      <c r="AH957" s="1747"/>
      <c r="AI957" s="1747"/>
      <c r="AJ957" s="1747"/>
      <c r="AK957" s="1748"/>
      <c r="AZ957" s="34"/>
      <c r="BA957" s="34"/>
      <c r="BB957" s="34"/>
      <c r="BC957" s="34"/>
    </row>
    <row r="958" spans="1:55" ht="12.95" customHeight="1">
      <c r="C958" s="66" t="s">
        <v>13</v>
      </c>
      <c r="D958" s="5"/>
      <c r="E958" s="5"/>
      <c r="F958" s="5"/>
      <c r="G958" s="5"/>
      <c r="H958" s="5"/>
      <c r="I958" s="5"/>
      <c r="J958" s="5"/>
      <c r="K958" s="5"/>
      <c r="L958" s="46"/>
      <c r="M958" s="1744"/>
      <c r="N958" s="1732"/>
      <c r="O958" s="1732"/>
      <c r="P958" s="1732"/>
      <c r="Q958" s="1732"/>
      <c r="R958" s="1732"/>
      <c r="S958" s="1733"/>
      <c r="U958" s="66" t="s">
        <v>13</v>
      </c>
      <c r="V958" s="5"/>
      <c r="W958" s="5"/>
      <c r="X958" s="5"/>
      <c r="Y958" s="5"/>
      <c r="Z958" s="5"/>
      <c r="AA958" s="5"/>
      <c r="AB958" s="5"/>
      <c r="AC958" s="5"/>
      <c r="AD958" s="46"/>
      <c r="AE958" s="1731"/>
      <c r="AF958" s="1732"/>
      <c r="AG958" s="1732"/>
      <c r="AH958" s="1732"/>
      <c r="AI958" s="1732"/>
      <c r="AJ958" s="1732"/>
      <c r="AK958" s="1733"/>
      <c r="AZ958" s="34"/>
      <c r="BA958" s="34"/>
      <c r="BB958" s="34"/>
      <c r="BC958" s="34"/>
    </row>
    <row r="959" spans="1:55" ht="12.95" customHeight="1">
      <c r="C959" s="66" t="s">
        <v>14</v>
      </c>
      <c r="D959" s="5"/>
      <c r="E959" s="5"/>
      <c r="F959" s="5"/>
      <c r="G959" s="5"/>
      <c r="H959" s="5"/>
      <c r="I959" s="5"/>
      <c r="J959" s="5"/>
      <c r="K959" s="5"/>
      <c r="L959" s="46"/>
      <c r="M959" s="1704"/>
      <c r="N959" s="1592"/>
      <c r="O959" s="1592"/>
      <c r="P959" s="1592"/>
      <c r="Q959" s="1592"/>
      <c r="R959" s="1592"/>
      <c r="S959" s="1593"/>
      <c r="U959" s="66" t="s">
        <v>14</v>
      </c>
      <c r="V959" s="5"/>
      <c r="W959" s="5"/>
      <c r="X959" s="5"/>
      <c r="Y959" s="5"/>
      <c r="Z959" s="5"/>
      <c r="AA959" s="5"/>
      <c r="AB959" s="5"/>
      <c r="AC959" s="5"/>
      <c r="AD959" s="46"/>
      <c r="AE959" s="1704"/>
      <c r="AF959" s="1592"/>
      <c r="AG959" s="1592"/>
      <c r="AH959" s="1592"/>
      <c r="AI959" s="1592"/>
      <c r="AJ959" s="1592"/>
      <c r="AK959" s="1593"/>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c r="N960" s="1441"/>
      <c r="O960" s="1441"/>
      <c r="P960" s="1441"/>
      <c r="Q960" s="1441"/>
      <c r="R960" s="1441"/>
      <c r="S960" s="1632"/>
      <c r="U960" s="66" t="s">
        <v>15</v>
      </c>
      <c r="V960" s="5"/>
      <c r="W960" s="5"/>
      <c r="X960" s="5"/>
      <c r="Y960" s="5"/>
      <c r="Z960" s="5"/>
      <c r="AA960" s="5"/>
      <c r="AB960" s="5"/>
      <c r="AC960" s="5"/>
      <c r="AD960" s="46"/>
      <c r="AE960" s="1631"/>
      <c r="AF960" s="1441"/>
      <c r="AG960" s="1441"/>
      <c r="AH960" s="1441"/>
      <c r="AI960" s="1441"/>
      <c r="AJ960" s="1441"/>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c r="N961" s="1441"/>
      <c r="O961" s="1441"/>
      <c r="P961" s="1441"/>
      <c r="Q961" s="1441"/>
      <c r="R961" s="1441"/>
      <c r="S961" s="1632"/>
      <c r="U961" s="66" t="s">
        <v>16</v>
      </c>
      <c r="V961" s="5"/>
      <c r="W961" s="5"/>
      <c r="X961" s="5"/>
      <c r="Y961" s="5"/>
      <c r="Z961" s="5"/>
      <c r="AA961" s="5"/>
      <c r="AB961" s="5"/>
      <c r="AC961" s="5"/>
      <c r="AD961" s="46"/>
      <c r="AE961" s="1631"/>
      <c r="AF961" s="1441"/>
      <c r="AG961" s="1441"/>
      <c r="AH961" s="1441"/>
      <c r="AI961" s="1441"/>
      <c r="AJ961" s="1441"/>
      <c r="AK961" s="1632"/>
      <c r="AV961" s="2"/>
      <c r="AW961" s="2"/>
      <c r="AX961" s="2"/>
      <c r="AY961" s="2"/>
      <c r="AZ961" s="34"/>
      <c r="BB961" s="34"/>
      <c r="BC961" s="34"/>
    </row>
    <row r="962" spans="1:64" ht="12.95" customHeight="1">
      <c r="C962" s="121" t="s">
        <v>1662</v>
      </c>
      <c r="D962" s="5"/>
      <c r="E962" s="5"/>
      <c r="F962" s="5"/>
      <c r="G962" s="5"/>
      <c r="H962" s="5"/>
      <c r="I962" s="5"/>
      <c r="J962" s="5"/>
      <c r="K962" s="5"/>
      <c r="L962" s="46"/>
      <c r="M962" s="1725"/>
      <c r="N962" s="1726"/>
      <c r="O962" s="1726"/>
      <c r="P962" s="1726"/>
      <c r="Q962" s="1726"/>
      <c r="R962" s="1726"/>
      <c r="S962" s="1727"/>
      <c r="U962" s="121" t="s">
        <v>1662</v>
      </c>
      <c r="V962" s="5"/>
      <c r="W962" s="5"/>
      <c r="X962" s="5"/>
      <c r="Y962" s="5"/>
      <c r="Z962" s="5"/>
      <c r="AA962" s="5"/>
      <c r="AB962" s="5"/>
      <c r="AC962" s="5"/>
      <c r="AD962" s="46"/>
      <c r="AE962" s="1725"/>
      <c r="AF962" s="1726"/>
      <c r="AG962" s="1726"/>
      <c r="AH962" s="1726"/>
      <c r="AI962" s="1726"/>
      <c r="AJ962" s="1726"/>
      <c r="AK962" s="172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77"/>
      <c r="N967" s="1678"/>
      <c r="O967" s="1678"/>
      <c r="P967" s="1678"/>
      <c r="Q967" s="1678"/>
      <c r="R967" s="1678"/>
      <c r="S967" s="1679"/>
      <c r="T967" s="66" t="s">
        <v>791</v>
      </c>
      <c r="U967" s="5"/>
      <c r="V967" s="5"/>
      <c r="W967" s="5"/>
      <c r="X967" s="5"/>
      <c r="Y967" s="5"/>
      <c r="Z967" s="46"/>
      <c r="AA967" s="1677"/>
      <c r="AB967" s="1678"/>
      <c r="AC967" s="1678"/>
      <c r="AD967" s="1678"/>
      <c r="AE967" s="1678"/>
      <c r="AF967" s="1678"/>
      <c r="AG967" s="167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77"/>
      <c r="N968" s="1678"/>
      <c r="O968" s="1678"/>
      <c r="P968" s="1678"/>
      <c r="Q968" s="1678"/>
      <c r="R968" s="1678"/>
      <c r="S968" s="1679"/>
      <c r="T968" s="66" t="s">
        <v>790</v>
      </c>
      <c r="U968" s="5"/>
      <c r="V968" s="5"/>
      <c r="W968" s="5"/>
      <c r="X968" s="5"/>
      <c r="Y968" s="5"/>
      <c r="Z968" s="46"/>
      <c r="AA968" s="1677"/>
      <c r="AB968" s="1678"/>
      <c r="AC968" s="1678"/>
      <c r="AD968" s="1678"/>
      <c r="AE968" s="1678"/>
      <c r="AF968" s="1678"/>
      <c r="AG968" s="167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85" t="s">
        <v>592</v>
      </c>
      <c r="N969" s="1686"/>
      <c r="O969" s="1686"/>
      <c r="P969" s="1686"/>
      <c r="Q969" s="1686"/>
      <c r="R969" s="1686"/>
      <c r="S969" s="1687"/>
      <c r="T969" s="45" t="s">
        <v>337</v>
      </c>
      <c r="U969" s="5"/>
      <c r="V969" s="5"/>
      <c r="W969" s="5"/>
      <c r="X969" s="5"/>
      <c r="Y969" s="5"/>
      <c r="Z969" s="46"/>
      <c r="AA969" s="1677"/>
      <c r="AB969" s="1678"/>
      <c r="AC969" s="1678"/>
      <c r="AD969" s="1678"/>
      <c r="AE969" s="1678"/>
      <c r="AF969" s="1678"/>
      <c r="AG969" s="167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77"/>
      <c r="N970" s="1678"/>
      <c r="O970" s="1678"/>
      <c r="P970" s="1678"/>
      <c r="Q970" s="1678"/>
      <c r="R970" s="1678"/>
      <c r="S970" s="1679"/>
      <c r="T970" s="45" t="s">
        <v>338</v>
      </c>
      <c r="U970" s="5"/>
      <c r="V970" s="5"/>
      <c r="W970" s="5"/>
      <c r="X970" s="5"/>
      <c r="Y970" s="5"/>
      <c r="Z970" s="46"/>
      <c r="AA970" s="1677"/>
      <c r="AB970" s="1678"/>
      <c r="AC970" s="1678"/>
      <c r="AD970" s="1678"/>
      <c r="AE970" s="1678"/>
      <c r="AF970" s="1678"/>
      <c r="AG970" s="167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77"/>
      <c r="N971" s="1678"/>
      <c r="O971" s="1678"/>
      <c r="P971" s="1678"/>
      <c r="Q971" s="1678"/>
      <c r="R971" s="1678"/>
      <c r="S971" s="1679"/>
      <c r="T971" s="45" t="s">
        <v>376</v>
      </c>
      <c r="U971" s="5"/>
      <c r="V971" s="5"/>
      <c r="W971" s="5"/>
      <c r="X971" s="5"/>
      <c r="Y971" s="5"/>
      <c r="Z971" s="46"/>
      <c r="AA971" s="1677"/>
      <c r="AB971" s="1678"/>
      <c r="AC971" s="1678"/>
      <c r="AD971" s="1678"/>
      <c r="AE971" s="1678"/>
      <c r="AF971" s="1678"/>
      <c r="AG971" s="167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746" t="s">
        <v>307</v>
      </c>
      <c r="N972" s="1747"/>
      <c r="O972" s="1747"/>
      <c r="P972" s="1747"/>
      <c r="Q972" s="1747"/>
      <c r="R972" s="1747"/>
      <c r="S972" s="1748"/>
      <c r="T972" s="1722"/>
      <c r="U972" s="1723"/>
      <c r="V972" s="1723"/>
      <c r="W972" s="1723"/>
      <c r="X972" s="1723"/>
      <c r="Y972" s="1723"/>
      <c r="Z972" s="1724"/>
      <c r="AA972" s="1677"/>
      <c r="AB972" s="1678"/>
      <c r="AC972" s="1678"/>
      <c r="AD972" s="1678"/>
      <c r="AE972" s="1678"/>
      <c r="AF972" s="1678"/>
      <c r="AG972" s="167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77"/>
      <c r="N973" s="1678"/>
      <c r="O973" s="1678"/>
      <c r="P973" s="1678"/>
      <c r="Q973" s="1678"/>
      <c r="R973" s="1678"/>
      <c r="S973" s="1679"/>
      <c r="T973" s="1722"/>
      <c r="U973" s="1723"/>
      <c r="V973" s="1723"/>
      <c r="W973" s="1723"/>
      <c r="X973" s="1723"/>
      <c r="Y973" s="1723"/>
      <c r="Z973" s="1724"/>
      <c r="AA973" s="1677"/>
      <c r="AB973" s="1678"/>
      <c r="AC973" s="1678"/>
      <c r="AD973" s="1678"/>
      <c r="AE973" s="1678"/>
      <c r="AF973" s="1678"/>
      <c r="AG973" s="167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414" t="s">
        <v>670</v>
      </c>
      <c r="P974" s="1416"/>
      <c r="Q974" s="92"/>
      <c r="R974" s="92"/>
      <c r="S974" s="93"/>
      <c r="T974" s="41" t="s">
        <v>170</v>
      </c>
      <c r="U974" s="42"/>
      <c r="V974" s="42"/>
      <c r="W974" s="1851" t="s">
        <v>334</v>
      </c>
      <c r="X974" s="1852"/>
      <c r="Y974" s="1852"/>
      <c r="Z974" s="1852"/>
      <c r="AA974" s="1852"/>
      <c r="AB974" s="1852"/>
      <c r="AC974" s="1852"/>
      <c r="AD974" s="1852"/>
      <c r="AE974" s="1852"/>
      <c r="AF974" s="1852"/>
      <c r="AG974" s="1853"/>
      <c r="AU974" s="68"/>
      <c r="AV974" s="95"/>
      <c r="AW974" s="95"/>
      <c r="AX974" s="95"/>
      <c r="AY974" s="95"/>
      <c r="AZ974" s="34"/>
      <c r="BB974" s="34"/>
      <c r="BC974" s="34"/>
      <c r="BD974" s="34"/>
      <c r="BE974" s="34"/>
      <c r="BF974" s="34"/>
      <c r="BG974" s="34"/>
      <c r="BH974" s="34"/>
      <c r="BI974" s="34"/>
      <c r="BJ974" s="34"/>
      <c r="BK974" s="34"/>
      <c r="BL974" s="34"/>
    </row>
    <row r="975" spans="1:64" ht="12.95" customHeight="1">
      <c r="F975" s="1590" t="s">
        <v>33</v>
      </c>
      <c r="G975" s="1471"/>
      <c r="H975" s="1471"/>
      <c r="I975" s="1471"/>
      <c r="J975" s="1471"/>
      <c r="K975" s="1471"/>
      <c r="L975" s="1471"/>
      <c r="M975" s="1677"/>
      <c r="N975" s="1678"/>
      <c r="O975" s="1678"/>
      <c r="P975" s="1678"/>
      <c r="Q975" s="1678"/>
      <c r="R975" s="1678"/>
      <c r="S975" s="1679"/>
      <c r="T975" s="47"/>
      <c r="U975" s="48"/>
      <c r="V975" s="48"/>
      <c r="W975" s="48"/>
      <c r="X975" s="48"/>
      <c r="Y975" s="48"/>
      <c r="Z975" s="124" t="s">
        <v>134</v>
      </c>
      <c r="AA975" s="1719"/>
      <c r="AB975" s="1720"/>
      <c r="AC975" s="1720"/>
      <c r="AD975" s="1720"/>
      <c r="AE975" s="1720"/>
      <c r="AF975" s="1720"/>
      <c r="AG975" s="172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4"/>
      <c r="BH976" s="1644"/>
      <c r="BI976" s="1644"/>
      <c r="BJ976" s="1644"/>
      <c r="BK976" s="1644"/>
      <c r="BL976" s="164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6" t="s">
        <v>549</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35" t="s">
        <v>639</v>
      </c>
      <c r="E985" s="1736"/>
      <c r="F985" s="1736"/>
      <c r="G985" s="1736"/>
      <c r="H985" s="1736"/>
      <c r="I985" s="1736"/>
      <c r="J985" s="1736"/>
      <c r="K985" s="1736"/>
      <c r="L985" s="1736"/>
      <c r="M985" s="1736"/>
      <c r="N985" s="1736"/>
      <c r="O985" s="1736"/>
      <c r="P985" s="1736"/>
      <c r="Q985" s="1737"/>
      <c r="R985" s="1735" t="s">
        <v>640</v>
      </c>
      <c r="S985" s="1736"/>
      <c r="T985" s="1736"/>
      <c r="U985" s="1736"/>
      <c r="V985" s="1736"/>
      <c r="W985" s="1736"/>
      <c r="X985" s="1736"/>
      <c r="Y985" s="1736"/>
      <c r="Z985" s="1736"/>
      <c r="AA985" s="1737"/>
      <c r="AB985" s="1735" t="s">
        <v>641</v>
      </c>
      <c r="AC985" s="1736"/>
      <c r="AD985" s="1736"/>
      <c r="AE985" s="1736"/>
      <c r="AF985" s="1736"/>
      <c r="AG985" s="1736"/>
      <c r="AH985" s="1736"/>
      <c r="AI985" s="1737"/>
      <c r="AJ985" s="1735" t="s">
        <v>642</v>
      </c>
      <c r="AK985" s="1736"/>
      <c r="AL985" s="1736"/>
      <c r="AM985" s="1736"/>
      <c r="AN985" s="1736"/>
      <c r="AO985" s="1736"/>
      <c r="AP985" s="1736"/>
      <c r="AQ985" s="1737"/>
      <c r="AR985" s="68"/>
      <c r="AS985" s="68"/>
      <c r="AT985" s="68"/>
      <c r="AU985" s="68"/>
      <c r="AV985" s="68"/>
      <c r="AW985" s="68"/>
      <c r="AX985" s="68"/>
      <c r="AY985" s="68"/>
      <c r="AZ985" s="30"/>
      <c r="BB985" s="14"/>
      <c r="BC985" s="14"/>
    </row>
    <row r="986" spans="1:64" ht="12.95" customHeight="1">
      <c r="A986" s="14"/>
      <c r="B986" s="73"/>
      <c r="C986" s="929"/>
      <c r="D986" s="1738" t="s">
        <v>634</v>
      </c>
      <c r="E986" s="1739"/>
      <c r="F986" s="1739"/>
      <c r="G986" s="1739"/>
      <c r="H986" s="1739"/>
      <c r="I986" s="1739"/>
      <c r="J986" s="1739"/>
      <c r="K986" s="1739"/>
      <c r="L986" s="1739"/>
      <c r="M986" s="1739"/>
      <c r="N986" s="1739"/>
      <c r="O986" s="1739"/>
      <c r="P986" s="1739"/>
      <c r="Q986" s="1740"/>
      <c r="R986" s="1745">
        <f>IF(ISNA(IF($CU$122="4%",(INDEX($CS$160:$CW$217,MATCH($DG$122,$CR$160:$CR$217,0),MATCH(D986,$CS$159:$CW$159,0))),(INDEX($CZ$160:$DD$217,MATCH($DG$122,$CY$160:$CY$217,0),MATCH(D986,$CZ$159:$DD$159,0))))),0,IF($CU$122="4%",(INDEX($CS$160:$CW$217,MATCH($DG$122,$CR$160:$CR$217,0),MATCH(D986,$CS$159:$CW$159,0))),(INDEX($CZ$160:$DD$217,MATCH($DG$122,$CY$160:$CY$217,0),MATCH(D986,$CZ$159:$DD$159,0)))))</f>
        <v>331890</v>
      </c>
      <c r="S986" s="1745"/>
      <c r="T986" s="1745"/>
      <c r="U986" s="1745"/>
      <c r="V986" s="1745"/>
      <c r="W986" s="1745"/>
      <c r="X986" s="1745"/>
      <c r="Y986" s="1745"/>
      <c r="Z986" s="1745"/>
      <c r="AA986" s="1745"/>
      <c r="AB986" s="1741">
        <f>CP802</f>
        <v>0</v>
      </c>
      <c r="AC986" s="1742"/>
      <c r="AD986" s="1742"/>
      <c r="AE986" s="1742"/>
      <c r="AF986" s="1742"/>
      <c r="AG986" s="1742"/>
      <c r="AH986" s="1742"/>
      <c r="AI986" s="1743"/>
      <c r="AJ986" s="1701">
        <f>IF(ISERROR((R986*AB986)),0,(R986*AB986))</f>
        <v>0</v>
      </c>
      <c r="AK986" s="1702"/>
      <c r="AL986" s="1702"/>
      <c r="AM986" s="1702"/>
      <c r="AN986" s="1702"/>
      <c r="AO986" s="1702"/>
      <c r="AP986" s="1702"/>
      <c r="AQ986" s="1703"/>
      <c r="AR986" s="68"/>
      <c r="AS986" s="68"/>
      <c r="AT986" s="68"/>
      <c r="AU986" s="68"/>
      <c r="AV986" s="68"/>
      <c r="AW986" s="68"/>
      <c r="AX986" s="68"/>
      <c r="AY986" s="68"/>
      <c r="AZ986" s="30"/>
      <c r="BB986" s="14"/>
      <c r="BC986" s="14"/>
    </row>
    <row r="987" spans="1:64" ht="12.95" customHeight="1">
      <c r="A987" s="14"/>
      <c r="B987" s="73"/>
      <c r="C987" s="83"/>
      <c r="D987" s="1738" t="s">
        <v>325</v>
      </c>
      <c r="E987" s="1739"/>
      <c r="F987" s="1739"/>
      <c r="G987" s="1739"/>
      <c r="H987" s="1739"/>
      <c r="I987" s="1739"/>
      <c r="J987" s="1739"/>
      <c r="K987" s="1739"/>
      <c r="L987" s="1739"/>
      <c r="M987" s="1739"/>
      <c r="N987" s="1739"/>
      <c r="O987" s="1739"/>
      <c r="P987" s="1739"/>
      <c r="Q987" s="1740"/>
      <c r="R987" s="1745">
        <f>IF(ISNA(IF($CU$122="4%",(INDEX($CS$160:$CW$217,MATCH($DG$122,$CR$160:$CR$217,0),MATCH(D987,$CS$159:$CW$159,0))),(INDEX($CZ$160:$DD$217,MATCH($DG$122,$CY$160:$CY$217,0),MATCH(D987,$CZ$159:$DD$159,0))))),0,IF($CU$122="4%",(INDEX($CS$160:$CW$217,MATCH($DG$122,$CR$160:$CR$217,0),MATCH(D987,$CS$159:$CW$159,0))),(INDEX($CZ$160:$DD$217,MATCH($DG$122,$CY$160:$CY$217,0),MATCH(D987,$CZ$159:$DD$159,0)))))</f>
        <v>382666</v>
      </c>
      <c r="S987" s="1745"/>
      <c r="T987" s="1745"/>
      <c r="U987" s="1745"/>
      <c r="V987" s="1745"/>
      <c r="W987" s="1745"/>
      <c r="X987" s="1745"/>
      <c r="Y987" s="1745"/>
      <c r="Z987" s="1745"/>
      <c r="AA987" s="1745"/>
      <c r="AB987" s="1741">
        <f>CU802</f>
        <v>42</v>
      </c>
      <c r="AC987" s="1742"/>
      <c r="AD987" s="1742"/>
      <c r="AE987" s="1742"/>
      <c r="AF987" s="1742"/>
      <c r="AG987" s="1742"/>
      <c r="AH987" s="1742"/>
      <c r="AI987" s="1743"/>
      <c r="AJ987" s="1701">
        <f>IF(ISERROR((R987*AB987)),0,(R987*AB987))</f>
        <v>16071972</v>
      </c>
      <c r="AK987" s="1702"/>
      <c r="AL987" s="1702"/>
      <c r="AM987" s="1702"/>
      <c r="AN987" s="1702"/>
      <c r="AO987" s="1702"/>
      <c r="AP987" s="1702"/>
      <c r="AQ987" s="1703"/>
      <c r="AR987" s="68"/>
      <c r="AS987" s="68"/>
      <c r="AT987" s="68"/>
      <c r="AU987" s="68"/>
      <c r="AV987" s="68"/>
      <c r="AW987" s="68"/>
      <c r="AX987" s="68"/>
      <c r="AY987" s="68"/>
      <c r="AZ987" s="30"/>
      <c r="BB987" s="14"/>
      <c r="BC987" s="14"/>
    </row>
    <row r="988" spans="1:64" ht="12.95" customHeight="1">
      <c r="A988" s="14"/>
      <c r="B988" s="73"/>
      <c r="C988" s="83"/>
      <c r="D988" s="1738" t="s">
        <v>163</v>
      </c>
      <c r="E988" s="1739"/>
      <c r="F988" s="1739"/>
      <c r="G988" s="1739"/>
      <c r="H988" s="1739"/>
      <c r="I988" s="1739"/>
      <c r="J988" s="1739"/>
      <c r="K988" s="1739"/>
      <c r="L988" s="1739"/>
      <c r="M988" s="1739"/>
      <c r="N988" s="1739"/>
      <c r="O988" s="1739"/>
      <c r="P988" s="1739"/>
      <c r="Q988" s="1740"/>
      <c r="R988" s="1745">
        <f>IF(ISNA(IF($CU$122="4%",(INDEX($CS$160:$CW$217,MATCH($DG$122,$CR$160:$CR$217,0),MATCH(D988,$CS$159:$CW$159,0))),(INDEX($CZ$160:$DD$217,MATCH($DG$122,$CY$160:$CY$217,0),MATCH(D988,$CZ$159:$DD$159,0))))),0,IF($CU$122="4%",(INDEX($CS$160:$CW$217,MATCH($DG$122,$CR$160:$CR$217,0),MATCH(D988,$CS$159:$CW$159,0))),(INDEX($CZ$160:$DD$217,MATCH($DG$122,$CY$160:$CY$217,0),MATCH(D988,$CZ$159:$DD$159,0)))))</f>
        <v>461600</v>
      </c>
      <c r="S988" s="1745"/>
      <c r="T988" s="1745"/>
      <c r="U988" s="1745"/>
      <c r="V988" s="1745"/>
      <c r="W988" s="1745"/>
      <c r="X988" s="1745"/>
      <c r="Y988" s="1745"/>
      <c r="Z988" s="1745"/>
      <c r="AA988" s="1745"/>
      <c r="AB988" s="1741">
        <f>CZ802</f>
        <v>70</v>
      </c>
      <c r="AC988" s="1742"/>
      <c r="AD988" s="1742"/>
      <c r="AE988" s="1742"/>
      <c r="AF988" s="1742"/>
      <c r="AG988" s="1742"/>
      <c r="AH988" s="1742"/>
      <c r="AI988" s="1743"/>
      <c r="AJ988" s="1701">
        <f>IF(ISERROR((R988*AB988)),0,(R988*AB988))</f>
        <v>32312000</v>
      </c>
      <c r="AK988" s="1702"/>
      <c r="AL988" s="1702"/>
      <c r="AM988" s="1702"/>
      <c r="AN988" s="1702"/>
      <c r="AO988" s="1702"/>
      <c r="AP988" s="1702"/>
      <c r="AQ988" s="1703"/>
      <c r="AR988" s="68"/>
      <c r="AS988" s="68"/>
      <c r="AT988" s="68"/>
      <c r="AU988" s="68"/>
      <c r="AV988" s="68"/>
      <c r="AW988" s="68"/>
      <c r="AX988" s="68"/>
      <c r="AY988" s="68"/>
      <c r="AZ988" s="30"/>
      <c r="BB988" s="14"/>
      <c r="BC988" s="14"/>
    </row>
    <row r="989" spans="1:64" ht="12.95" customHeight="1">
      <c r="A989" s="14"/>
      <c r="B989" s="73"/>
      <c r="C989" s="83"/>
      <c r="D989" s="1738" t="s">
        <v>164</v>
      </c>
      <c r="E989" s="1739"/>
      <c r="F989" s="1739"/>
      <c r="G989" s="1739"/>
      <c r="H989" s="1739"/>
      <c r="I989" s="1739"/>
      <c r="J989" s="1739"/>
      <c r="K989" s="1739"/>
      <c r="L989" s="1739"/>
      <c r="M989" s="1739"/>
      <c r="N989" s="1739"/>
      <c r="O989" s="1739"/>
      <c r="P989" s="1739"/>
      <c r="Q989" s="1740"/>
      <c r="R989" s="1745">
        <f>IF(ISNA(IF($CU$122="4%",(INDEX($CS$160:$CW$217,MATCH($DG$122,$CR$160:$CR$217,0),MATCH(D989,$CS$159:$CW$159,0))),(INDEX($CZ$160:$DD$217,MATCH($DG$122,$CY$160:$CY$217,0),MATCH(D989,$CZ$159:$DD$159,0))))),0,IF($CU$122="4%",(INDEX($CS$160:$CW$217,MATCH($DG$122,$CR$160:$CR$217,0),MATCH(D989,$CS$159:$CW$159,0))),(INDEX($CZ$160:$DD$217,MATCH($DG$122,$CY$160:$CY$217,0),MATCH(D989,$CZ$159:$DD$159,0)))))</f>
        <v>590848</v>
      </c>
      <c r="S989" s="1745"/>
      <c r="T989" s="1745"/>
      <c r="U989" s="1745"/>
      <c r="V989" s="1745"/>
      <c r="W989" s="1745"/>
      <c r="X989" s="1745"/>
      <c r="Y989" s="1745"/>
      <c r="Z989" s="1745"/>
      <c r="AA989" s="1745"/>
      <c r="AB989" s="1741">
        <f>DE802</f>
        <v>40</v>
      </c>
      <c r="AC989" s="1742"/>
      <c r="AD989" s="1742"/>
      <c r="AE989" s="1742"/>
      <c r="AF989" s="1742"/>
      <c r="AG989" s="1742"/>
      <c r="AH989" s="1742"/>
      <c r="AI989" s="1743"/>
      <c r="AJ989" s="1701">
        <f>IF(ISERROR((R989*AB989)),0,(R989*AB989))</f>
        <v>23633920</v>
      </c>
      <c r="AK989" s="1702"/>
      <c r="AL989" s="1702"/>
      <c r="AM989" s="1702"/>
      <c r="AN989" s="1702"/>
      <c r="AO989" s="1702"/>
      <c r="AP989" s="1702"/>
      <c r="AQ989" s="1703"/>
      <c r="AR989" s="68"/>
      <c r="AS989" s="68"/>
      <c r="AT989" s="68"/>
      <c r="AU989" s="68"/>
      <c r="AV989" s="68"/>
      <c r="AW989" s="68"/>
      <c r="AX989" s="68"/>
      <c r="AY989" s="68"/>
      <c r="AZ989" s="30"/>
      <c r="BA989" s="34"/>
      <c r="BB989" s="14"/>
      <c r="BC989" s="14"/>
    </row>
    <row r="990" spans="1:64" ht="12.95" customHeight="1">
      <c r="A990" s="14"/>
      <c r="B990" s="47"/>
      <c r="C990" s="78"/>
      <c r="D990" s="1738" t="s">
        <v>461</v>
      </c>
      <c r="E990" s="1739"/>
      <c r="F990" s="1739"/>
      <c r="G990" s="1739"/>
      <c r="H990" s="1739"/>
      <c r="I990" s="1739"/>
      <c r="J990" s="1739"/>
      <c r="K990" s="1739"/>
      <c r="L990" s="1739"/>
      <c r="M990" s="1739"/>
      <c r="N990" s="1739"/>
      <c r="O990" s="1739"/>
      <c r="P990" s="1739"/>
      <c r="Q990" s="1740"/>
      <c r="R990" s="1745">
        <f>IF(ISNA(IF($CU$122="4%",(INDEX($CS$160:$CW$217,MATCH($DG$122,$CR$160:$CR$217,0),MATCH(D990,$CS$159:$CW$159,0))),(INDEX($CZ$160:$DD$217,MATCH($DG$122,$CY$160:$CY$217,0),MATCH(D990,$CZ$159:$DD$159,0))))),0,IF($CU$122="4%",(INDEX($CS$160:$CW$217,MATCH($DG$122,$CR$160:$CR$217,0),MATCH(D990,$CS$159:$CW$159,0))),(INDEX($CZ$160:$DD$217,MATCH($DG$122,$CY$160:$CY$217,0),MATCH(D990,$CZ$159:$DD$159,0)))))</f>
        <v>658242</v>
      </c>
      <c r="S990" s="1745"/>
      <c r="T990" s="1745"/>
      <c r="U990" s="1745"/>
      <c r="V990" s="1745"/>
      <c r="W990" s="1745"/>
      <c r="X990" s="1745"/>
      <c r="Y990" s="1745"/>
      <c r="Z990" s="1745"/>
      <c r="AA990" s="1745"/>
      <c r="AB990" s="1741">
        <f>DO802+DJ802</f>
        <v>0</v>
      </c>
      <c r="AC990" s="1742"/>
      <c r="AD990" s="1742"/>
      <c r="AE990" s="1742"/>
      <c r="AF990" s="1742"/>
      <c r="AG990" s="1742"/>
      <c r="AH990" s="1742"/>
      <c r="AI990" s="1743"/>
      <c r="AJ990" s="1701">
        <f>IF(ISERROR((R990*AB990)),0,(R990*AB990))</f>
        <v>0</v>
      </c>
      <c r="AK990" s="1702"/>
      <c r="AL990" s="1702"/>
      <c r="AM990" s="1702"/>
      <c r="AN990" s="1702"/>
      <c r="AO990" s="1702"/>
      <c r="AP990" s="1702"/>
      <c r="AQ990" s="1703"/>
      <c r="AR990" s="68"/>
      <c r="AS990" s="68"/>
      <c r="AT990" s="68"/>
      <c r="AU990" s="68"/>
      <c r="AV990" s="68"/>
      <c r="AW990" s="68"/>
      <c r="AX990" s="68"/>
      <c r="AY990" s="68"/>
      <c r="AZ990" s="30"/>
      <c r="BB990" s="14"/>
      <c r="BC990" s="14"/>
    </row>
    <row r="991" spans="1:64" ht="12.95" customHeight="1">
      <c r="A991" s="14"/>
      <c r="B991" s="1809" t="s">
        <v>792</v>
      </c>
      <c r="C991" s="1810"/>
      <c r="D991" s="1810"/>
      <c r="E991" s="1810"/>
      <c r="F991" s="1810"/>
      <c r="G991" s="1810"/>
      <c r="H991" s="1810"/>
      <c r="I991" s="1810"/>
      <c r="J991" s="1810"/>
      <c r="K991" s="1810"/>
      <c r="L991" s="1810"/>
      <c r="M991" s="1810"/>
      <c r="N991" s="1810"/>
      <c r="O991" s="1810"/>
      <c r="P991" s="1810"/>
      <c r="Q991" s="1810"/>
      <c r="R991" s="1810"/>
      <c r="S991" s="1810"/>
      <c r="T991" s="1810"/>
      <c r="U991" s="1810"/>
      <c r="V991" s="1810"/>
      <c r="W991" s="1810"/>
      <c r="X991" s="1810"/>
      <c r="Y991" s="1810"/>
      <c r="Z991" s="1810"/>
      <c r="AA991" s="1811"/>
      <c r="AB991" s="1741">
        <f>SUM(AB986:AI990)</f>
        <v>152</v>
      </c>
      <c r="AC991" s="1742"/>
      <c r="AD991" s="1742"/>
      <c r="AE991" s="1742"/>
      <c r="AF991" s="1742"/>
      <c r="AG991" s="1742"/>
      <c r="AH991" s="1742"/>
      <c r="AI991" s="1743"/>
      <c r="AJ991" s="1701"/>
      <c r="AK991" s="1702"/>
      <c r="AL991" s="1702"/>
      <c r="AM991" s="1702"/>
      <c r="AN991" s="1702"/>
      <c r="AO991" s="1702"/>
      <c r="AP991" s="1702"/>
      <c r="AQ991" s="1703"/>
      <c r="AR991" s="68"/>
      <c r="AS991" s="68"/>
      <c r="AT991" s="68"/>
      <c r="AU991" s="68"/>
      <c r="AV991" s="68"/>
      <c r="AW991" s="68"/>
      <c r="AX991" s="68"/>
      <c r="AY991" s="68"/>
      <c r="AZ991" s="34"/>
      <c r="BA991" s="34"/>
      <c r="BB991" s="14"/>
      <c r="BC991" s="14"/>
    </row>
    <row r="992" spans="1:64" ht="12.95" customHeight="1">
      <c r="A992" s="14"/>
      <c r="B992" s="1806" t="s">
        <v>513</v>
      </c>
      <c r="C992" s="1807"/>
      <c r="D992" s="1807"/>
      <c r="E992" s="1807"/>
      <c r="F992" s="1807"/>
      <c r="G992" s="1807"/>
      <c r="H992" s="1807"/>
      <c r="I992" s="1807"/>
      <c r="J992" s="1807"/>
      <c r="K992" s="1807"/>
      <c r="L992" s="1807"/>
      <c r="M992" s="1807"/>
      <c r="N992" s="1807"/>
      <c r="O992" s="1807"/>
      <c r="P992" s="1807"/>
      <c r="Q992" s="1807"/>
      <c r="R992" s="1807"/>
      <c r="S992" s="1807"/>
      <c r="T992" s="1807"/>
      <c r="U992" s="1807"/>
      <c r="V992" s="1807"/>
      <c r="W992" s="1807"/>
      <c r="X992" s="1807"/>
      <c r="Y992" s="1807"/>
      <c r="Z992" s="1807"/>
      <c r="AA992" s="1807"/>
      <c r="AB992" s="1807"/>
      <c r="AC992" s="1807"/>
      <c r="AD992" s="1807"/>
      <c r="AE992" s="1807"/>
      <c r="AF992" s="1807"/>
      <c r="AG992" s="1807"/>
      <c r="AH992" s="1807"/>
      <c r="AI992" s="1808"/>
      <c r="AJ992" s="1701">
        <f>SUM(AJ986:AQ990)</f>
        <v>72017892</v>
      </c>
      <c r="AK992" s="1702"/>
      <c r="AL992" s="1702"/>
      <c r="AM992" s="1702"/>
      <c r="AN992" s="1702"/>
      <c r="AO992" s="1702"/>
      <c r="AP992" s="1702"/>
      <c r="AQ992" s="1703"/>
      <c r="AR992" s="68"/>
      <c r="AS992" s="68"/>
      <c r="AT992" s="68"/>
      <c r="AU992" s="68"/>
      <c r="AV992" s="68"/>
      <c r="AW992" s="68"/>
      <c r="AX992" s="68"/>
      <c r="AY992" s="68"/>
      <c r="AZ992" s="34"/>
      <c r="BB992" s="34"/>
      <c r="BC992" s="34"/>
    </row>
    <row r="993" spans="1:55" ht="12.95" customHeight="1">
      <c r="A993" s="14"/>
      <c r="B993" s="1768"/>
      <c r="C993" s="1769"/>
      <c r="D993" s="1769"/>
      <c r="E993" s="1769"/>
      <c r="F993" s="1769"/>
      <c r="G993" s="1769"/>
      <c r="H993" s="1769"/>
      <c r="I993" s="1769"/>
      <c r="J993" s="1769"/>
      <c r="K993" s="1769"/>
      <c r="L993" s="1769"/>
      <c r="M993" s="1769"/>
      <c r="N993" s="1769"/>
      <c r="O993" s="1769"/>
      <c r="P993" s="1769"/>
      <c r="Q993" s="1769"/>
      <c r="R993" s="1769"/>
      <c r="S993" s="1769"/>
      <c r="T993" s="1769"/>
      <c r="U993" s="1769"/>
      <c r="V993" s="1769"/>
      <c r="W993" s="1769"/>
      <c r="X993" s="1769"/>
      <c r="Y993" s="1769"/>
      <c r="Z993" s="1769"/>
      <c r="AA993" s="1769"/>
      <c r="AB993" s="1769"/>
      <c r="AC993" s="1769"/>
      <c r="AD993" s="1769"/>
      <c r="AE993" s="1770"/>
      <c r="AF993" s="1827" t="s">
        <v>667</v>
      </c>
      <c r="AG993" s="1828"/>
      <c r="AH993" s="1828"/>
      <c r="AI993" s="1829"/>
      <c r="AJ993" s="1768"/>
      <c r="AK993" s="1769"/>
      <c r="AL993" s="1769"/>
      <c r="AM993" s="1769"/>
      <c r="AN993" s="1769"/>
      <c r="AO993" s="1769"/>
      <c r="AP993" s="1769"/>
      <c r="AQ993" s="1770"/>
      <c r="AR993" s="68"/>
      <c r="AS993" s="68"/>
      <c r="AT993" s="68"/>
      <c r="AU993" s="68"/>
      <c r="AV993" s="68"/>
      <c r="AW993" s="68"/>
      <c r="AX993" s="68"/>
      <c r="AY993" s="68"/>
      <c r="AZ993" s="34"/>
      <c r="BA993" s="34"/>
      <c r="BB993" s="34"/>
      <c r="BC993" s="34"/>
    </row>
    <row r="994" spans="1:55" ht="12.95" customHeight="1">
      <c r="A994" s="14"/>
      <c r="B994" s="73"/>
      <c r="C994" s="927" t="s">
        <v>669</v>
      </c>
      <c r="D994" s="1771" t="s">
        <v>1221</v>
      </c>
      <c r="E994" s="1772"/>
      <c r="F994" s="1772"/>
      <c r="G994" s="1772"/>
      <c r="H994" s="1772"/>
      <c r="I994" s="1772"/>
      <c r="J994" s="1772"/>
      <c r="K994" s="1772"/>
      <c r="L994" s="1772"/>
      <c r="M994" s="1772"/>
      <c r="N994" s="1772"/>
      <c r="O994" s="1772"/>
      <c r="P994" s="1772"/>
      <c r="Q994" s="1772"/>
      <c r="R994" s="1772"/>
      <c r="S994" s="1772"/>
      <c r="T994" s="1772"/>
      <c r="U994" s="1772"/>
      <c r="V994" s="1772"/>
      <c r="W994" s="1772"/>
      <c r="X994" s="1772"/>
      <c r="Y994" s="1772"/>
      <c r="Z994" s="1772"/>
      <c r="AA994" s="1772"/>
      <c r="AB994" s="1772"/>
      <c r="AC994" s="1772"/>
      <c r="AD994" s="1772"/>
      <c r="AE994" s="1773"/>
      <c r="AF994" s="79"/>
      <c r="AG994" s="1830" t="s">
        <v>670</v>
      </c>
      <c r="AH994" s="1831"/>
      <c r="AI994" s="87"/>
      <c r="AJ994" s="1706">
        <f>ROUND(IF(AND(AG994="yes",D1000&gt;0),AJ992*0.2,0),0)</f>
        <v>0</v>
      </c>
      <c r="AK994" s="1707"/>
      <c r="AL994" s="1707"/>
      <c r="AM994" s="1707"/>
      <c r="AN994" s="1707"/>
      <c r="AO994" s="1707"/>
      <c r="AP994" s="1707"/>
      <c r="AQ994" s="1708"/>
      <c r="AR994" s="68"/>
      <c r="AS994" s="68"/>
      <c r="AT994" s="68"/>
      <c r="AU994" s="68"/>
      <c r="AV994" s="68"/>
      <c r="AW994" s="68"/>
      <c r="AX994" s="68"/>
      <c r="AY994" s="68"/>
      <c r="AZ994" s="34"/>
      <c r="BA994" s="34"/>
      <c r="BB994" s="34"/>
      <c r="BC994" s="34"/>
    </row>
    <row r="995" spans="1:55" ht="12.95" customHeight="1">
      <c r="A995" s="14"/>
      <c r="B995" s="257"/>
      <c r="C995" s="256"/>
      <c r="D995" s="1785" t="s">
        <v>2235</v>
      </c>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3"/>
      <c r="AG995" s="14"/>
      <c r="AH995" s="14"/>
      <c r="AI995" s="83"/>
      <c r="AJ995" s="1709"/>
      <c r="AK995" s="1710"/>
      <c r="AL995" s="1710"/>
      <c r="AM995" s="1710"/>
      <c r="AN995" s="1710"/>
      <c r="AO995" s="1710"/>
      <c r="AP995" s="1710"/>
      <c r="AQ995" s="1711"/>
      <c r="AR995" s="68"/>
      <c r="AS995" s="68"/>
      <c r="AT995" s="68"/>
      <c r="AU995" s="68"/>
      <c r="AV995" s="68"/>
      <c r="AW995" s="68"/>
      <c r="AX995" s="68"/>
      <c r="AY995" s="68"/>
      <c r="AZ995" s="34"/>
      <c r="BA995" s="34"/>
      <c r="BB995" s="34"/>
      <c r="BC995" s="34"/>
    </row>
    <row r="996" spans="1:55" ht="12.95" customHeight="1">
      <c r="A996" s="14"/>
      <c r="B996" s="257"/>
      <c r="C996" s="256"/>
      <c r="D996" s="1785"/>
      <c r="E996" s="1786"/>
      <c r="F996" s="1786"/>
      <c r="G996" s="1786"/>
      <c r="H996" s="1786"/>
      <c r="I996" s="1786"/>
      <c r="J996" s="1786"/>
      <c r="K996" s="1786"/>
      <c r="L996" s="1786"/>
      <c r="M996" s="1786"/>
      <c r="N996" s="1786"/>
      <c r="O996" s="1786"/>
      <c r="P996" s="1786"/>
      <c r="Q996" s="1786"/>
      <c r="R996" s="1786"/>
      <c r="S996" s="1786"/>
      <c r="T996" s="1786"/>
      <c r="U996" s="1786"/>
      <c r="V996" s="1786"/>
      <c r="W996" s="1786"/>
      <c r="X996" s="1786"/>
      <c r="Y996" s="1786"/>
      <c r="Z996" s="1786"/>
      <c r="AA996" s="1786"/>
      <c r="AB996" s="1786"/>
      <c r="AC996" s="1786"/>
      <c r="AD996" s="1786"/>
      <c r="AE996" s="1787"/>
      <c r="AF996" s="73"/>
      <c r="AG996" s="14"/>
      <c r="AH996" s="14"/>
      <c r="AI996" s="83"/>
      <c r="AJ996" s="1709"/>
      <c r="AK996" s="1710"/>
      <c r="AL996" s="1710"/>
      <c r="AM996" s="1710"/>
      <c r="AN996" s="1710"/>
      <c r="AO996" s="1710"/>
      <c r="AP996" s="1710"/>
      <c r="AQ996" s="1711"/>
      <c r="AR996" s="68"/>
      <c r="AS996" s="68"/>
      <c r="AT996" s="68"/>
      <c r="AU996" s="68"/>
      <c r="AV996" s="68"/>
      <c r="AW996" s="68"/>
      <c r="AX996" s="68"/>
      <c r="AY996" s="68"/>
      <c r="AZ996" s="34"/>
      <c r="BA996" s="34"/>
      <c r="BB996" s="34"/>
      <c r="BC996" s="34"/>
    </row>
    <row r="997" spans="1:55" ht="12.95" customHeight="1">
      <c r="A997" s="14"/>
      <c r="B997" s="257"/>
      <c r="C997" s="256"/>
      <c r="D997" s="1785"/>
      <c r="E997" s="1786"/>
      <c r="F997" s="1786"/>
      <c r="G997" s="1786"/>
      <c r="H997" s="1786"/>
      <c r="I997" s="1786"/>
      <c r="J997" s="1786"/>
      <c r="K997" s="1786"/>
      <c r="L997" s="1786"/>
      <c r="M997" s="1786"/>
      <c r="N997" s="1786"/>
      <c r="O997" s="1786"/>
      <c r="P997" s="1786"/>
      <c r="Q997" s="1786"/>
      <c r="R997" s="1786"/>
      <c r="S997" s="1786"/>
      <c r="T997" s="1786"/>
      <c r="U997" s="1786"/>
      <c r="V997" s="1786"/>
      <c r="W997" s="1786"/>
      <c r="X997" s="1786"/>
      <c r="Y997" s="1786"/>
      <c r="Z997" s="1786"/>
      <c r="AA997" s="1786"/>
      <c r="AB997" s="1786"/>
      <c r="AC997" s="1786"/>
      <c r="AD997" s="1786"/>
      <c r="AE997" s="1787"/>
      <c r="AF997" s="73"/>
      <c r="AG997" s="14"/>
      <c r="AH997" s="14"/>
      <c r="AI997" s="83"/>
      <c r="AJ997" s="1709"/>
      <c r="AK997" s="1710"/>
      <c r="AL997" s="1710"/>
      <c r="AM997" s="1710"/>
      <c r="AN997" s="1710"/>
      <c r="AO997" s="1710"/>
      <c r="AP997" s="1710"/>
      <c r="AQ997" s="1711"/>
      <c r="AR997" s="68"/>
      <c r="AS997" s="68"/>
      <c r="AT997" s="68"/>
      <c r="AU997" s="68"/>
      <c r="AV997" s="68"/>
      <c r="AW997" s="68"/>
      <c r="AX997" s="68"/>
      <c r="AY997" s="68"/>
      <c r="AZ997" s="34"/>
      <c r="BA997" s="34"/>
      <c r="BB997" s="34"/>
      <c r="BC997" s="34"/>
    </row>
    <row r="998" spans="1:55" ht="12.95" customHeight="1">
      <c r="A998" s="14"/>
      <c r="B998" s="257"/>
      <c r="C998" s="256"/>
      <c r="D998" s="1785"/>
      <c r="E998" s="1786"/>
      <c r="F998" s="1786"/>
      <c r="G998" s="1786"/>
      <c r="H998" s="1786"/>
      <c r="I998" s="1786"/>
      <c r="J998" s="1786"/>
      <c r="K998" s="1786"/>
      <c r="L998" s="1786"/>
      <c r="M998" s="1786"/>
      <c r="N998" s="1786"/>
      <c r="O998" s="1786"/>
      <c r="P998" s="1786"/>
      <c r="Q998" s="1786"/>
      <c r="R998" s="1786"/>
      <c r="S998" s="1786"/>
      <c r="T998" s="1786"/>
      <c r="U998" s="1786"/>
      <c r="V998" s="1786"/>
      <c r="W998" s="1786"/>
      <c r="X998" s="1786"/>
      <c r="Y998" s="1786"/>
      <c r="Z998" s="1786"/>
      <c r="AA998" s="1786"/>
      <c r="AB998" s="1786"/>
      <c r="AC998" s="1786"/>
      <c r="AD998" s="1786"/>
      <c r="AE998" s="1787"/>
      <c r="AF998" s="73"/>
      <c r="AG998" s="14"/>
      <c r="AH998" s="14"/>
      <c r="AI998" s="83"/>
      <c r="AJ998" s="1709"/>
      <c r="AK998" s="1710"/>
      <c r="AL998" s="1710"/>
      <c r="AM998" s="1710"/>
      <c r="AN998" s="1710"/>
      <c r="AO998" s="1710"/>
      <c r="AP998" s="1710"/>
      <c r="AQ998" s="1711"/>
      <c r="AR998" s="68"/>
      <c r="AS998" s="68"/>
      <c r="AT998" s="68"/>
      <c r="AU998" s="68"/>
      <c r="AV998" s="68"/>
      <c r="AW998" s="68"/>
      <c r="AX998" s="68"/>
      <c r="AY998" s="68"/>
      <c r="AZ998" s="34"/>
      <c r="BA998" s="34"/>
      <c r="BB998" s="34"/>
      <c r="BC998" s="34"/>
    </row>
    <row r="999" spans="1:55" ht="12.95" customHeight="1">
      <c r="A999" s="14"/>
      <c r="B999" s="257"/>
      <c r="C999" s="256"/>
      <c r="D999" s="1797" t="s">
        <v>2206</v>
      </c>
      <c r="E999" s="1798"/>
      <c r="F999" s="1798"/>
      <c r="G999" s="1798"/>
      <c r="H999" s="1798"/>
      <c r="I999" s="1798"/>
      <c r="J999" s="1798"/>
      <c r="K999" s="1798"/>
      <c r="L999" s="1798"/>
      <c r="M999" s="1798"/>
      <c r="N999" s="1798"/>
      <c r="O999" s="1798"/>
      <c r="P999" s="1798"/>
      <c r="Q999" s="1798"/>
      <c r="R999" s="1798"/>
      <c r="S999" s="1798"/>
      <c r="T999" s="1798"/>
      <c r="U999" s="1798"/>
      <c r="V999" s="1798"/>
      <c r="W999" s="1798"/>
      <c r="X999" s="1798"/>
      <c r="Y999" s="1798"/>
      <c r="Z999" s="1798"/>
      <c r="AA999" s="1798"/>
      <c r="AB999" s="1798"/>
      <c r="AC999" s="1798"/>
      <c r="AD999" s="1798"/>
      <c r="AE999" s="1799"/>
      <c r="AF999" s="73"/>
      <c r="AG999" s="14"/>
      <c r="AH999" s="14"/>
      <c r="AI999" s="83"/>
      <c r="AJ999" s="1709"/>
      <c r="AK999" s="1710"/>
      <c r="AL999" s="1710"/>
      <c r="AM999" s="1710"/>
      <c r="AN999" s="1710"/>
      <c r="AO999" s="1710"/>
      <c r="AP999" s="1710"/>
      <c r="AQ999" s="1711"/>
      <c r="AR999" s="68"/>
      <c r="AS999" s="68"/>
      <c r="AT999" s="68"/>
      <c r="AU999" s="68"/>
      <c r="AV999" s="68"/>
      <c r="AW999" s="68"/>
      <c r="AX999" s="68"/>
      <c r="AY999" s="68"/>
      <c r="AZ999" s="34"/>
      <c r="BA999" s="34"/>
      <c r="BB999" s="34"/>
      <c r="BC999" s="34"/>
    </row>
    <row r="1000" spans="1:55" ht="12.95" customHeight="1">
      <c r="A1000" s="14"/>
      <c r="B1000" s="257"/>
      <c r="C1000" s="256"/>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77"/>
      <c r="AG1000" s="7"/>
      <c r="AH1000" s="7"/>
      <c r="AI1000" s="78"/>
      <c r="AJ1000" s="1712"/>
      <c r="AK1000" s="1713"/>
      <c r="AL1000" s="1713"/>
      <c r="AM1000" s="1713"/>
      <c r="AN1000" s="1713"/>
      <c r="AO1000" s="1713"/>
      <c r="AP1000" s="1713"/>
      <c r="AQ1000" s="1714"/>
      <c r="AR1000" s="68"/>
      <c r="AS1000" s="68"/>
      <c r="AT1000" s="68"/>
      <c r="AU1000" s="68"/>
      <c r="AV1000" s="68"/>
      <c r="AW1000" s="68"/>
      <c r="AX1000" s="68"/>
      <c r="AY1000" s="68"/>
      <c r="AZ1000" s="34"/>
      <c r="BA1000" s="34"/>
      <c r="BB1000" s="34"/>
      <c r="BC1000" s="34"/>
    </row>
    <row r="1001" spans="1:55" ht="12.95" customHeight="1">
      <c r="A1001" s="14"/>
      <c r="B1001" s="255"/>
      <c r="C1001" s="318"/>
      <c r="D1001" s="1759" t="s">
        <v>1287</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79"/>
      <c r="AG1001" s="1752" t="s">
        <v>670</v>
      </c>
      <c r="AH1001" s="1753"/>
      <c r="AI1001" s="87"/>
      <c r="AJ1001" s="1706">
        <f>ROUND(IF(AG1001="yes",AJ992*0.05,0),0)</f>
        <v>0</v>
      </c>
      <c r="AK1001" s="1707"/>
      <c r="AL1001" s="1707"/>
      <c r="AM1001" s="1707"/>
      <c r="AN1001" s="1707"/>
      <c r="AO1001" s="1707"/>
      <c r="AP1001" s="1707"/>
      <c r="AQ1001" s="1708"/>
      <c r="AR1001" s="68"/>
      <c r="AS1001" s="68"/>
      <c r="AT1001" s="68"/>
      <c r="AU1001" s="68"/>
      <c r="AV1001" s="68"/>
      <c r="AW1001" s="68"/>
      <c r="AX1001" s="68"/>
      <c r="AY1001" s="68"/>
      <c r="AZ1001" s="34"/>
      <c r="BA1001" s="34"/>
      <c r="BB1001" s="34"/>
      <c r="BC1001" s="34"/>
    </row>
    <row r="1002" spans="1:55" ht="12.95" customHeight="1">
      <c r="A1002" s="14"/>
      <c r="B1002" s="257"/>
      <c r="C1002" s="82"/>
      <c r="D1002" s="1785" t="s">
        <v>1285</v>
      </c>
      <c r="E1002" s="1786"/>
      <c r="F1002" s="1786"/>
      <c r="G1002" s="1786"/>
      <c r="H1002" s="1786"/>
      <c r="I1002" s="1786"/>
      <c r="J1002" s="1786"/>
      <c r="K1002" s="1786"/>
      <c r="L1002" s="1786"/>
      <c r="M1002" s="1786"/>
      <c r="N1002" s="1786"/>
      <c r="O1002" s="1786"/>
      <c r="P1002" s="1786"/>
      <c r="Q1002" s="1786"/>
      <c r="R1002" s="1786"/>
      <c r="S1002" s="1786"/>
      <c r="T1002" s="1786"/>
      <c r="U1002" s="1786"/>
      <c r="V1002" s="1786"/>
      <c r="W1002" s="1786"/>
      <c r="X1002" s="1786"/>
      <c r="Y1002" s="1786"/>
      <c r="Z1002" s="1786"/>
      <c r="AA1002" s="1786"/>
      <c r="AB1002" s="1786"/>
      <c r="AC1002" s="1786"/>
      <c r="AD1002" s="1786"/>
      <c r="AE1002" s="1787"/>
      <c r="AF1002" s="73"/>
      <c r="AG1002" s="14"/>
      <c r="AH1002" s="14"/>
      <c r="AI1002" s="83"/>
      <c r="AJ1002" s="1709"/>
      <c r="AK1002" s="1710"/>
      <c r="AL1002" s="1710"/>
      <c r="AM1002" s="1710"/>
      <c r="AN1002" s="1710"/>
      <c r="AO1002" s="1710"/>
      <c r="AP1002" s="1710"/>
      <c r="AQ1002" s="1711"/>
      <c r="AR1002" s="68"/>
      <c r="AS1002" s="68"/>
      <c r="AT1002" s="68"/>
      <c r="AU1002" s="68"/>
      <c r="AV1002" s="68"/>
      <c r="AW1002" s="68"/>
      <c r="AX1002" s="68"/>
      <c r="AY1002" s="34"/>
      <c r="AZ1002" s="34"/>
      <c r="BB1002" s="34"/>
    </row>
    <row r="1003" spans="1:55" ht="12.95" customHeight="1">
      <c r="A1003" s="14"/>
      <c r="B1003" s="257"/>
      <c r="C1003" s="82"/>
      <c r="D1003" s="1785"/>
      <c r="E1003" s="1786"/>
      <c r="F1003" s="1786"/>
      <c r="G1003" s="1786"/>
      <c r="H1003" s="1786"/>
      <c r="I1003" s="1786"/>
      <c r="J1003" s="1786"/>
      <c r="K1003" s="1786"/>
      <c r="L1003" s="1786"/>
      <c r="M1003" s="1786"/>
      <c r="N1003" s="1786"/>
      <c r="O1003" s="1786"/>
      <c r="P1003" s="1786"/>
      <c r="Q1003" s="1786"/>
      <c r="R1003" s="1786"/>
      <c r="S1003" s="1786"/>
      <c r="T1003" s="1786"/>
      <c r="U1003" s="1786"/>
      <c r="V1003" s="1786"/>
      <c r="W1003" s="1786"/>
      <c r="X1003" s="1786"/>
      <c r="Y1003" s="1786"/>
      <c r="Z1003" s="1786"/>
      <c r="AA1003" s="1786"/>
      <c r="AB1003" s="1786"/>
      <c r="AC1003" s="1786"/>
      <c r="AD1003" s="1786"/>
      <c r="AE1003" s="1787"/>
      <c r="AF1003" s="73"/>
      <c r="AG1003" s="14"/>
      <c r="AH1003" s="14"/>
      <c r="AI1003" s="83"/>
      <c r="AJ1003" s="1709"/>
      <c r="AK1003" s="1710"/>
      <c r="AL1003" s="1710"/>
      <c r="AM1003" s="1710"/>
      <c r="AN1003" s="1710"/>
      <c r="AO1003" s="1710"/>
      <c r="AP1003" s="1710"/>
      <c r="AQ1003" s="1711"/>
      <c r="AR1003" s="68"/>
      <c r="AS1003" s="68"/>
      <c r="AT1003" s="68"/>
      <c r="AU1003" s="68"/>
      <c r="AV1003" s="68"/>
      <c r="AW1003" s="68"/>
      <c r="AX1003" s="68"/>
      <c r="AY1003" s="914">
        <f>G753+O797</f>
        <v>151</v>
      </c>
      <c r="AZ1003" s="34"/>
      <c r="BB1003" s="34"/>
    </row>
    <row r="1004" spans="1:55" ht="12.95" customHeight="1">
      <c r="A1004" s="14"/>
      <c r="B1004" s="257"/>
      <c r="C1004" s="82"/>
      <c r="D1004" s="1785"/>
      <c r="E1004" s="1786"/>
      <c r="F1004" s="1786"/>
      <c r="G1004" s="1786"/>
      <c r="H1004" s="1786"/>
      <c r="I1004" s="1786"/>
      <c r="J1004" s="1786"/>
      <c r="K1004" s="1786"/>
      <c r="L1004" s="1786"/>
      <c r="M1004" s="1786"/>
      <c r="N1004" s="1786"/>
      <c r="O1004" s="1786"/>
      <c r="P1004" s="1786"/>
      <c r="Q1004" s="1786"/>
      <c r="R1004" s="1786"/>
      <c r="S1004" s="1786"/>
      <c r="T1004" s="1786"/>
      <c r="U1004" s="1786"/>
      <c r="V1004" s="1786"/>
      <c r="W1004" s="1786"/>
      <c r="X1004" s="1786"/>
      <c r="Y1004" s="1786"/>
      <c r="Z1004" s="1786"/>
      <c r="AA1004" s="1786"/>
      <c r="AB1004" s="1786"/>
      <c r="AC1004" s="1786"/>
      <c r="AD1004" s="1786"/>
      <c r="AE1004" s="1787"/>
      <c r="AF1004" s="73"/>
      <c r="AG1004" s="14"/>
      <c r="AH1004" s="14"/>
      <c r="AI1004" s="83"/>
      <c r="AJ1004" s="1709"/>
      <c r="AK1004" s="1710"/>
      <c r="AL1004" s="1710"/>
      <c r="AM1004" s="1710"/>
      <c r="AN1004" s="1710"/>
      <c r="AO1004" s="1710"/>
      <c r="AP1004" s="1710"/>
      <c r="AQ1004" s="1711"/>
      <c r="AR1004" s="68"/>
      <c r="AS1004" s="68"/>
      <c r="AT1004" s="68"/>
      <c r="AU1004" s="68"/>
      <c r="AV1004" s="68"/>
      <c r="AW1004" s="68"/>
      <c r="AX1004" s="68"/>
      <c r="AY1004" s="14"/>
      <c r="AZ1004" s="34"/>
      <c r="BB1004" s="34"/>
    </row>
    <row r="1005" spans="1:55" ht="12.95" customHeight="1">
      <c r="A1005" s="14"/>
      <c r="B1005" s="257"/>
      <c r="C1005" s="82"/>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09"/>
      <c r="AK1005" s="1710"/>
      <c r="AL1005" s="1710"/>
      <c r="AM1005" s="1710"/>
      <c r="AN1005" s="1710"/>
      <c r="AO1005" s="1710"/>
      <c r="AP1005" s="1710"/>
      <c r="AQ1005" s="1711"/>
      <c r="AR1005" s="68"/>
      <c r="AS1005" s="68"/>
      <c r="AT1005" s="68"/>
      <c r="AU1005" s="68"/>
      <c r="AV1005" s="68"/>
      <c r="AW1005" s="68"/>
      <c r="AX1005" s="68"/>
      <c r="AY1005" s="913">
        <f>ROUNDDOWN(X1048/I1048,2)</f>
        <v>0.1</v>
      </c>
      <c r="AZ1005" s="34"/>
      <c r="BB1005" s="34"/>
    </row>
    <row r="1006" spans="1:55" ht="12.95" customHeight="1">
      <c r="A1006" s="14"/>
      <c r="B1006" s="75"/>
      <c r="C1006" s="76"/>
      <c r="D1006" s="1797"/>
      <c r="E1006" s="1798"/>
      <c r="F1006" s="1798"/>
      <c r="G1006" s="1798"/>
      <c r="H1006" s="1798"/>
      <c r="I1006" s="1798"/>
      <c r="J1006" s="1798"/>
      <c r="K1006" s="1798"/>
      <c r="L1006" s="1798"/>
      <c r="M1006" s="1798"/>
      <c r="N1006" s="1798"/>
      <c r="O1006" s="1798"/>
      <c r="P1006" s="1798"/>
      <c r="Q1006" s="1798"/>
      <c r="R1006" s="1798"/>
      <c r="S1006" s="1798"/>
      <c r="T1006" s="1798"/>
      <c r="U1006" s="1798"/>
      <c r="V1006" s="1798"/>
      <c r="W1006" s="1798"/>
      <c r="X1006" s="1798"/>
      <c r="Y1006" s="1798"/>
      <c r="Z1006" s="1798"/>
      <c r="AA1006" s="1798"/>
      <c r="AB1006" s="1798"/>
      <c r="AC1006" s="1798"/>
      <c r="AD1006" s="1798"/>
      <c r="AE1006" s="1799"/>
      <c r="AF1006" s="77"/>
      <c r="AG1006" s="7"/>
      <c r="AH1006" s="7"/>
      <c r="AI1006" s="78"/>
      <c r="AJ1006" s="1712"/>
      <c r="AK1006" s="1713"/>
      <c r="AL1006" s="1713"/>
      <c r="AM1006" s="1713"/>
      <c r="AN1006" s="1713"/>
      <c r="AO1006" s="1713"/>
      <c r="AP1006" s="1713"/>
      <c r="AQ1006" s="1714"/>
      <c r="AR1006" s="68"/>
      <c r="AS1006" s="68"/>
      <c r="AT1006" s="68"/>
      <c r="AU1006" s="68"/>
      <c r="AV1006" s="68"/>
      <c r="AW1006" s="68"/>
      <c r="AX1006" s="68"/>
      <c r="AY1006" s="913">
        <f>ROUNDDOWN(X1052/I1052,2)</f>
        <v>0.15</v>
      </c>
      <c r="AZ1006" s="34"/>
      <c r="BB1006" s="34"/>
    </row>
    <row r="1007" spans="1:55" ht="12.95" customHeight="1">
      <c r="A1007" s="14"/>
      <c r="B1007" s="255"/>
      <c r="C1007" s="80" t="s">
        <v>673</v>
      </c>
      <c r="D1007" s="1759" t="s">
        <v>1684</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86"/>
      <c r="AG1007" s="1752" t="s">
        <v>670</v>
      </c>
      <c r="AH1007" s="1753"/>
      <c r="AI1007" s="87"/>
      <c r="AJ1007" s="1706">
        <f>ROUND(IF(AG1007="yes",AJ992*0.1,0),0)</f>
        <v>0</v>
      </c>
      <c r="AK1007" s="1707"/>
      <c r="AL1007" s="1707"/>
      <c r="AM1007" s="1707"/>
      <c r="AN1007" s="1707"/>
      <c r="AO1007" s="1707"/>
      <c r="AP1007" s="1707"/>
      <c r="AQ1007" s="1708"/>
      <c r="AR1007" s="68"/>
      <c r="AS1007" s="68"/>
      <c r="AT1007" s="68"/>
      <c r="AU1007" s="68"/>
      <c r="AV1007" s="68"/>
      <c r="AW1007" s="68"/>
      <c r="AX1007" s="68"/>
      <c r="BB1007" s="34"/>
    </row>
    <row r="1008" spans="1:55" ht="12.95" customHeight="1">
      <c r="A1008" s="14"/>
      <c r="B1008" s="73"/>
      <c r="C1008" s="74"/>
      <c r="D1008" s="1762" t="s">
        <v>1286</v>
      </c>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I1008" s="83"/>
      <c r="AJ1008" s="1709"/>
      <c r="AK1008" s="1710"/>
      <c r="AL1008" s="1710"/>
      <c r="AM1008" s="1710"/>
      <c r="AN1008" s="1710"/>
      <c r="AO1008" s="1710"/>
      <c r="AP1008" s="1710"/>
      <c r="AQ1008" s="1711"/>
      <c r="AR1008" s="68"/>
      <c r="AS1008" s="68"/>
      <c r="AT1008" s="68"/>
      <c r="AU1008" s="68"/>
      <c r="AV1008" s="68"/>
      <c r="AW1008" s="68"/>
      <c r="AX1008" s="68"/>
    </row>
    <row r="1009" spans="1:52" ht="12.95" customHeight="1">
      <c r="A1009" s="14"/>
      <c r="B1009" s="73"/>
      <c r="C1009" s="74"/>
      <c r="D1009" s="1762"/>
      <c r="E1009" s="1763"/>
      <c r="F1009" s="1763"/>
      <c r="G1009" s="1763"/>
      <c r="H1009" s="1763"/>
      <c r="I1009" s="1763"/>
      <c r="J1009" s="1763"/>
      <c r="K1009" s="1763"/>
      <c r="L1009" s="1763"/>
      <c r="M1009" s="1763"/>
      <c r="N1009" s="1763"/>
      <c r="O1009" s="1763"/>
      <c r="P1009" s="1763"/>
      <c r="Q1009" s="1763"/>
      <c r="R1009" s="1763"/>
      <c r="S1009" s="1763"/>
      <c r="T1009" s="1763"/>
      <c r="U1009" s="1763"/>
      <c r="V1009" s="1763"/>
      <c r="W1009" s="1763"/>
      <c r="X1009" s="1763"/>
      <c r="Y1009" s="1763"/>
      <c r="Z1009" s="1763"/>
      <c r="AA1009" s="1763"/>
      <c r="AB1009" s="1763"/>
      <c r="AC1009" s="1763"/>
      <c r="AD1009" s="1763"/>
      <c r="AE1009" s="1764"/>
      <c r="AF1009" s="73"/>
      <c r="AG1009" s="14"/>
      <c r="AH1009" s="14"/>
      <c r="AI1009" s="83"/>
      <c r="AJ1009" s="1709"/>
      <c r="AK1009" s="1710"/>
      <c r="AL1009" s="1710"/>
      <c r="AM1009" s="1710"/>
      <c r="AN1009" s="1710"/>
      <c r="AO1009" s="1710"/>
      <c r="AP1009" s="1710"/>
      <c r="AQ1009" s="1711"/>
      <c r="AR1009" s="68"/>
      <c r="AS1009" s="68"/>
      <c r="AT1009" s="68"/>
      <c r="AU1009" s="68"/>
      <c r="AV1009" s="68"/>
      <c r="AW1009" s="68"/>
      <c r="AX1009" s="68"/>
    </row>
    <row r="1010" spans="1:52" ht="12.95" customHeight="1">
      <c r="A1010" s="14"/>
      <c r="B1010" s="85"/>
      <c r="C1010" s="76"/>
      <c r="D1010" s="1765"/>
      <c r="E1010" s="1766"/>
      <c r="F1010" s="1766"/>
      <c r="G1010" s="1766"/>
      <c r="H1010" s="1766"/>
      <c r="I1010" s="1766"/>
      <c r="J1010" s="1766"/>
      <c r="K1010" s="1766"/>
      <c r="L1010" s="1766"/>
      <c r="M1010" s="1766"/>
      <c r="N1010" s="1766"/>
      <c r="O1010" s="1766"/>
      <c r="P1010" s="1766"/>
      <c r="Q1010" s="1766"/>
      <c r="R1010" s="1766"/>
      <c r="S1010" s="1766"/>
      <c r="T1010" s="1766"/>
      <c r="U1010" s="1766"/>
      <c r="V1010" s="1766"/>
      <c r="W1010" s="1766"/>
      <c r="X1010" s="1766"/>
      <c r="Y1010" s="1766"/>
      <c r="Z1010" s="1766"/>
      <c r="AA1010" s="1766"/>
      <c r="AB1010" s="1766"/>
      <c r="AC1010" s="1766"/>
      <c r="AD1010" s="1766"/>
      <c r="AE1010" s="1767"/>
      <c r="AF1010" s="77"/>
      <c r="AG1010" s="7"/>
      <c r="AH1010" s="7"/>
      <c r="AI1010" s="78"/>
      <c r="AJ1010" s="1712"/>
      <c r="AK1010" s="1713"/>
      <c r="AL1010" s="1713"/>
      <c r="AM1010" s="1713"/>
      <c r="AN1010" s="1713"/>
      <c r="AO1010" s="1713"/>
      <c r="AP1010" s="1713"/>
      <c r="AQ1010" s="1714"/>
      <c r="AR1010" s="68"/>
      <c r="AS1010" s="68"/>
      <c r="AT1010" s="68"/>
      <c r="AU1010" s="68"/>
      <c r="AV1010" s="68"/>
      <c r="AW1010" s="68"/>
      <c r="AX1010" s="68"/>
    </row>
    <row r="1011" spans="1:52" ht="12.95" customHeight="1">
      <c r="A1011" s="14"/>
      <c r="B1011" s="79"/>
      <c r="C1011" s="80" t="s">
        <v>212</v>
      </c>
      <c r="D1011" s="1759" t="s">
        <v>1288</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9"/>
      <c r="AG1011" s="1752" t="s">
        <v>670</v>
      </c>
      <c r="AH1011" s="1753"/>
      <c r="AI1011" s="87"/>
      <c r="AJ1011" s="1706">
        <f>ROUND(IF(AG1011="yes",AJ992*0.02,0),0)</f>
        <v>0</v>
      </c>
      <c r="AK1011" s="1707"/>
      <c r="AL1011" s="1707"/>
      <c r="AM1011" s="1707"/>
      <c r="AN1011" s="1707"/>
      <c r="AO1011" s="1707"/>
      <c r="AP1011" s="1707"/>
      <c r="AQ1011" s="1708"/>
      <c r="AR1011" s="68"/>
      <c r="AS1011" s="68"/>
      <c r="AT1011" s="68"/>
      <c r="AU1011" s="68"/>
      <c r="AV1011" s="68"/>
      <c r="AW1011" s="68"/>
      <c r="AX1011" s="68"/>
    </row>
    <row r="1012" spans="1:52" ht="14.25" customHeight="1">
      <c r="A1012" s="14"/>
      <c r="B1012" s="73"/>
      <c r="C1012" s="74"/>
      <c r="D1012" s="1765" t="s">
        <v>1289</v>
      </c>
      <c r="E1012" s="1766"/>
      <c r="F1012" s="1766"/>
      <c r="G1012" s="1766"/>
      <c r="H1012" s="1766"/>
      <c r="I1012" s="1766"/>
      <c r="J1012" s="1766"/>
      <c r="K1012" s="1766"/>
      <c r="L1012" s="1766"/>
      <c r="M1012" s="1766"/>
      <c r="N1012" s="1766"/>
      <c r="O1012" s="1766"/>
      <c r="P1012" s="1766"/>
      <c r="Q1012" s="1766"/>
      <c r="R1012" s="1766"/>
      <c r="S1012" s="1766"/>
      <c r="T1012" s="1766"/>
      <c r="U1012" s="1766"/>
      <c r="V1012" s="1766"/>
      <c r="W1012" s="1766"/>
      <c r="X1012" s="1766"/>
      <c r="Y1012" s="1766"/>
      <c r="Z1012" s="1766"/>
      <c r="AA1012" s="1766"/>
      <c r="AB1012" s="1766"/>
      <c r="AC1012" s="1766"/>
      <c r="AD1012" s="1766"/>
      <c r="AE1012" s="1767"/>
      <c r="AF1012" s="77"/>
      <c r="AG1012" s="7"/>
      <c r="AH1012" s="7"/>
      <c r="AI1012" s="78"/>
      <c r="AJ1012" s="1712"/>
      <c r="AK1012" s="1713"/>
      <c r="AL1012" s="1713"/>
      <c r="AM1012" s="1713"/>
      <c r="AN1012" s="1713"/>
      <c r="AO1012" s="1713"/>
      <c r="AP1012" s="1713"/>
      <c r="AQ1012" s="1714"/>
      <c r="AR1012" s="68"/>
      <c r="AS1012" s="68"/>
      <c r="AT1012" s="68"/>
      <c r="AU1012" s="68"/>
      <c r="AV1012" s="68"/>
      <c r="AW1012" s="68"/>
      <c r="AX1012" s="3" t="s">
        <v>1842</v>
      </c>
      <c r="AZ1012" s="3" t="s">
        <v>2607</v>
      </c>
    </row>
    <row r="1013" spans="1:52" ht="12.95" customHeight="1">
      <c r="A1013" s="14"/>
      <c r="B1013" s="79"/>
      <c r="C1013" s="80" t="s">
        <v>215</v>
      </c>
      <c r="D1013" s="1759" t="s">
        <v>1290</v>
      </c>
      <c r="E1013" s="1760"/>
      <c r="F1013" s="1760"/>
      <c r="G1013" s="1760"/>
      <c r="H1013" s="1760"/>
      <c r="I1013" s="1760"/>
      <c r="J1013" s="1760"/>
      <c r="K1013" s="1760"/>
      <c r="L1013" s="1760"/>
      <c r="M1013" s="1760"/>
      <c r="N1013" s="1760"/>
      <c r="O1013" s="1760"/>
      <c r="P1013" s="1760"/>
      <c r="Q1013" s="1760"/>
      <c r="R1013" s="1760"/>
      <c r="S1013" s="1760"/>
      <c r="T1013" s="1760"/>
      <c r="U1013" s="1760"/>
      <c r="V1013" s="1760"/>
      <c r="W1013" s="1760"/>
      <c r="X1013" s="1760"/>
      <c r="Y1013" s="1760"/>
      <c r="Z1013" s="1760"/>
      <c r="AA1013" s="1760"/>
      <c r="AB1013" s="1760"/>
      <c r="AC1013" s="1760"/>
      <c r="AD1013" s="1760"/>
      <c r="AE1013" s="1761"/>
      <c r="AF1013" s="79"/>
      <c r="AG1013" s="1752" t="s">
        <v>670</v>
      </c>
      <c r="AH1013" s="1753"/>
      <c r="AI1013" s="79"/>
      <c r="AJ1013" s="1706">
        <f>ROUND(IF(AG1013="yes",AJ992*0.02,0),0)</f>
        <v>0</v>
      </c>
      <c r="AK1013" s="1707"/>
      <c r="AL1013" s="1707"/>
      <c r="AM1013" s="1707"/>
      <c r="AN1013" s="1707"/>
      <c r="AO1013" s="1707"/>
      <c r="AP1013" s="1707"/>
      <c r="AQ1013" s="1708"/>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62" t="s">
        <v>1291</v>
      </c>
      <c r="E1014" s="1763"/>
      <c r="F1014" s="1763"/>
      <c r="G1014" s="1763"/>
      <c r="H1014" s="1763"/>
      <c r="I1014" s="1763"/>
      <c r="J1014" s="1763"/>
      <c r="K1014" s="1763"/>
      <c r="L1014" s="1763"/>
      <c r="M1014" s="1763"/>
      <c r="N1014" s="1763"/>
      <c r="O1014" s="1763"/>
      <c r="P1014" s="1763"/>
      <c r="Q1014" s="1763"/>
      <c r="R1014" s="1763"/>
      <c r="S1014" s="1763"/>
      <c r="T1014" s="1763"/>
      <c r="U1014" s="1763"/>
      <c r="V1014" s="1763"/>
      <c r="W1014" s="1763"/>
      <c r="X1014" s="1763"/>
      <c r="Y1014" s="1763"/>
      <c r="Z1014" s="1763"/>
      <c r="AA1014" s="1763"/>
      <c r="AB1014" s="1763"/>
      <c r="AC1014" s="1763"/>
      <c r="AD1014" s="1763"/>
      <c r="AE1014" s="1764"/>
      <c r="AF1014" s="1843" t="str">
        <f>IF(AND(AG1013="yes",T212&lt;&gt;1),"The project may not be eligible for this boost","")</f>
        <v/>
      </c>
      <c r="AG1014" s="1844"/>
      <c r="AH1014" s="1844"/>
      <c r="AI1014" s="1845"/>
      <c r="AJ1014" s="1709"/>
      <c r="AK1014" s="1710"/>
      <c r="AL1014" s="1710"/>
      <c r="AM1014" s="1710"/>
      <c r="AN1014" s="1710"/>
      <c r="AO1014" s="1710"/>
      <c r="AP1014" s="1710"/>
      <c r="AQ1014" s="171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65"/>
      <c r="E1015" s="1766"/>
      <c r="F1015" s="1766"/>
      <c r="G1015" s="1766"/>
      <c r="H1015" s="1766"/>
      <c r="I1015" s="1766"/>
      <c r="J1015" s="1766"/>
      <c r="K1015" s="1766"/>
      <c r="L1015" s="1766"/>
      <c r="M1015" s="1766"/>
      <c r="N1015" s="1766"/>
      <c r="O1015" s="1766"/>
      <c r="P1015" s="1766"/>
      <c r="Q1015" s="1766"/>
      <c r="R1015" s="1766"/>
      <c r="S1015" s="1766"/>
      <c r="T1015" s="1766"/>
      <c r="U1015" s="1766"/>
      <c r="V1015" s="1766"/>
      <c r="W1015" s="1766"/>
      <c r="X1015" s="1766"/>
      <c r="Y1015" s="1766"/>
      <c r="Z1015" s="1766"/>
      <c r="AA1015" s="1766"/>
      <c r="AB1015" s="1766"/>
      <c r="AC1015" s="1766"/>
      <c r="AD1015" s="1766"/>
      <c r="AE1015" s="1767"/>
      <c r="AF1015" s="1846"/>
      <c r="AG1015" s="1847"/>
      <c r="AH1015" s="1847"/>
      <c r="AI1015" s="1848"/>
      <c r="AJ1015" s="1712"/>
      <c r="AK1015" s="1713"/>
      <c r="AL1015" s="1713"/>
      <c r="AM1015" s="1713"/>
      <c r="AN1015" s="1713"/>
      <c r="AO1015" s="1713"/>
      <c r="AP1015" s="1713"/>
      <c r="AQ1015" s="1714"/>
      <c r="AR1015" s="68"/>
      <c r="AS1015" s="68"/>
      <c r="AT1015" s="68"/>
      <c r="AU1015" s="68"/>
      <c r="AV1015" s="68"/>
      <c r="AW1015" s="68"/>
      <c r="AX1015" s="3">
        <v>3</v>
      </c>
      <c r="AY1015" s="200">
        <f t="shared" si="53"/>
        <v>0</v>
      </c>
      <c r="AZ1015" s="1255">
        <v>0.05</v>
      </c>
    </row>
    <row r="1016" spans="1:52" ht="12.95" customHeight="1">
      <c r="A1016" s="14"/>
      <c r="B1016" s="79"/>
      <c r="C1016" s="80" t="s">
        <v>218</v>
      </c>
      <c r="D1016" s="1771" t="s">
        <v>2236</v>
      </c>
      <c r="E1016" s="1772"/>
      <c r="F1016" s="1772"/>
      <c r="G1016" s="1772"/>
      <c r="H1016" s="1772"/>
      <c r="I1016" s="1772"/>
      <c r="J1016" s="1772"/>
      <c r="K1016" s="1772"/>
      <c r="L1016" s="1772"/>
      <c r="M1016" s="1772"/>
      <c r="N1016" s="1772"/>
      <c r="O1016" s="1772"/>
      <c r="P1016" s="1772"/>
      <c r="Q1016" s="1772"/>
      <c r="R1016" s="1772"/>
      <c r="S1016" s="1772"/>
      <c r="T1016" s="1772"/>
      <c r="U1016" s="1772"/>
      <c r="V1016" s="1772"/>
      <c r="W1016" s="1772"/>
      <c r="X1016" s="1772"/>
      <c r="Y1016" s="1772"/>
      <c r="Z1016" s="1772"/>
      <c r="AA1016" s="1772"/>
      <c r="AB1016" s="1772"/>
      <c r="AC1016" s="1772"/>
      <c r="AD1016" s="1772"/>
      <c r="AE1016" s="1773"/>
      <c r="AF1016" s="79"/>
      <c r="AG1016" s="1752" t="s">
        <v>670</v>
      </c>
      <c r="AH1016" s="1753"/>
      <c r="AI1016" s="87"/>
      <c r="AJ1016" s="1706">
        <f>IF(AG1016="yes",AJ992*AY1024,0)</f>
        <v>0</v>
      </c>
      <c r="AK1016" s="1707"/>
      <c r="AL1016" s="1707"/>
      <c r="AM1016" s="1707"/>
      <c r="AN1016" s="1707"/>
      <c r="AO1016" s="1707"/>
      <c r="AP1016" s="1707"/>
      <c r="AQ1016" s="1708"/>
      <c r="AR1016" s="68"/>
      <c r="AS1016" s="68"/>
      <c r="AT1016" s="68"/>
      <c r="AU1016" s="68"/>
      <c r="AV1016" s="68"/>
      <c r="AW1016" s="68"/>
      <c r="AX1016" s="3">
        <v>4</v>
      </c>
      <c r="AY1016" s="200">
        <f t="shared" si="53"/>
        <v>0</v>
      </c>
      <c r="AZ1016" s="1255">
        <v>0.02</v>
      </c>
    </row>
    <row r="1017" spans="1:52" ht="12.95" customHeight="1">
      <c r="A1017" s="14"/>
      <c r="B1017" s="73"/>
      <c r="C1017" s="74"/>
      <c r="D1017" s="1762" t="s">
        <v>1292</v>
      </c>
      <c r="E1017" s="1763"/>
      <c r="F1017" s="1763"/>
      <c r="G1017" s="1763"/>
      <c r="H1017" s="1763"/>
      <c r="I1017" s="1763"/>
      <c r="J1017" s="1763"/>
      <c r="K1017" s="1763"/>
      <c r="L1017" s="1763"/>
      <c r="M1017" s="1763"/>
      <c r="N1017" s="1763"/>
      <c r="O1017" s="1763"/>
      <c r="P1017" s="1763"/>
      <c r="Q1017" s="1763"/>
      <c r="R1017" s="1763"/>
      <c r="S1017" s="1763"/>
      <c r="T1017" s="1763"/>
      <c r="U1017" s="1763"/>
      <c r="V1017" s="1763"/>
      <c r="W1017" s="1763"/>
      <c r="X1017" s="1763"/>
      <c r="Y1017" s="1763"/>
      <c r="Z1017" s="1763"/>
      <c r="AA1017" s="1763"/>
      <c r="AB1017" s="1763"/>
      <c r="AC1017" s="1763"/>
      <c r="AD1017" s="1763"/>
      <c r="AE1017" s="1764"/>
      <c r="AF1017" s="1837" t="str">
        <f>IF(AND(AG1016="Yes",AY1024=0),AY1027,"")</f>
        <v/>
      </c>
      <c r="AG1017" s="1838"/>
      <c r="AH1017" s="1838"/>
      <c r="AI1017" s="1839"/>
      <c r="AJ1017" s="1709"/>
      <c r="AK1017" s="1710"/>
      <c r="AL1017" s="1710"/>
      <c r="AM1017" s="1710"/>
      <c r="AN1017" s="1710"/>
      <c r="AO1017" s="1710"/>
      <c r="AP1017" s="1710"/>
      <c r="AQ1017" s="1711"/>
      <c r="AR1017" s="68"/>
      <c r="AS1017" s="68"/>
      <c r="AT1017" s="68"/>
      <c r="AU1017" s="68"/>
      <c r="AV1017" s="68"/>
      <c r="AW1017" s="68"/>
      <c r="AX1017" s="3">
        <v>5</v>
      </c>
      <c r="AY1017" s="200">
        <f t="shared" si="53"/>
        <v>0</v>
      </c>
      <c r="AZ1017" s="1255">
        <v>0.04</v>
      </c>
    </row>
    <row r="1018" spans="1:52" ht="12.95" customHeight="1">
      <c r="A1018" s="14"/>
      <c r="B1018" s="73"/>
      <c r="C1018" s="74"/>
      <c r="D1018" s="1762"/>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4"/>
      <c r="AF1018" s="1837"/>
      <c r="AG1018" s="1838"/>
      <c r="AH1018" s="1838"/>
      <c r="AI1018" s="1839"/>
      <c r="AJ1018" s="1709"/>
      <c r="AK1018" s="1710"/>
      <c r="AL1018" s="1710"/>
      <c r="AM1018" s="1710"/>
      <c r="AN1018" s="1710"/>
      <c r="AO1018" s="1710"/>
      <c r="AP1018" s="1710"/>
      <c r="AQ1018" s="1711"/>
      <c r="AR1018" s="68"/>
      <c r="AS1018" s="68"/>
      <c r="AT1018" s="68"/>
      <c r="AU1018" s="68"/>
      <c r="AV1018" s="68"/>
      <c r="AW1018" s="68"/>
      <c r="AX1018" s="3">
        <v>6</v>
      </c>
      <c r="AY1018" s="200">
        <f t="shared" si="53"/>
        <v>0</v>
      </c>
      <c r="AZ1018" s="1255">
        <v>0.04</v>
      </c>
    </row>
    <row r="1019" spans="1:52" ht="12.95" customHeight="1">
      <c r="A1019" s="14"/>
      <c r="B1019" s="81"/>
      <c r="C1019" s="82"/>
      <c r="D1019" s="1765"/>
      <c r="E1019" s="1766"/>
      <c r="F1019" s="1766"/>
      <c r="G1019" s="1766"/>
      <c r="H1019" s="1766"/>
      <c r="I1019" s="1766"/>
      <c r="J1019" s="1766"/>
      <c r="K1019" s="1766"/>
      <c r="L1019" s="1766"/>
      <c r="M1019" s="1766"/>
      <c r="N1019" s="1766"/>
      <c r="O1019" s="1766"/>
      <c r="P1019" s="1766"/>
      <c r="Q1019" s="1766"/>
      <c r="R1019" s="1766"/>
      <c r="S1019" s="1766"/>
      <c r="T1019" s="1766"/>
      <c r="U1019" s="1766"/>
      <c r="V1019" s="1766"/>
      <c r="W1019" s="1766"/>
      <c r="X1019" s="1766"/>
      <c r="Y1019" s="1766"/>
      <c r="Z1019" s="1766"/>
      <c r="AA1019" s="1766"/>
      <c r="AB1019" s="1766"/>
      <c r="AC1019" s="1766"/>
      <c r="AD1019" s="1766"/>
      <c r="AE1019" s="1767"/>
      <c r="AF1019" s="1840"/>
      <c r="AG1019" s="1841"/>
      <c r="AH1019" s="1841"/>
      <c r="AI1019" s="1842"/>
      <c r="AJ1019" s="1712"/>
      <c r="AK1019" s="1713"/>
      <c r="AL1019" s="1713"/>
      <c r="AM1019" s="1713"/>
      <c r="AN1019" s="1713"/>
      <c r="AO1019" s="1713"/>
      <c r="AP1019" s="1713"/>
      <c r="AQ1019" s="1714"/>
      <c r="AR1019" s="68"/>
      <c r="AS1019" s="68"/>
      <c r="AT1019" s="68"/>
      <c r="AU1019" s="68"/>
      <c r="AV1019" s="68"/>
      <c r="AW1019" s="68"/>
      <c r="AX1019" s="3">
        <v>7</v>
      </c>
      <c r="AY1019" s="200">
        <f t="shared" si="53"/>
        <v>0</v>
      </c>
      <c r="AZ1019" s="1255">
        <v>0.01</v>
      </c>
    </row>
    <row r="1020" spans="1:52" ht="12.95" customHeight="1">
      <c r="A1020" s="14"/>
      <c r="B1020" s="79"/>
      <c r="C1020" s="80" t="s">
        <v>223</v>
      </c>
      <c r="D1020" s="1776" t="s">
        <v>1293</v>
      </c>
      <c r="E1020" s="1777"/>
      <c r="F1020" s="1777"/>
      <c r="G1020" s="1777"/>
      <c r="H1020" s="1777"/>
      <c r="I1020" s="1777"/>
      <c r="J1020" s="1777"/>
      <c r="K1020" s="1777"/>
      <c r="L1020" s="1777"/>
      <c r="M1020" s="1777"/>
      <c r="N1020" s="1777"/>
      <c r="O1020" s="1777"/>
      <c r="P1020" s="1777"/>
      <c r="Q1020" s="1777"/>
      <c r="R1020" s="1777"/>
      <c r="S1020" s="1777"/>
      <c r="T1020" s="1777"/>
      <c r="U1020" s="1777"/>
      <c r="V1020" s="1777"/>
      <c r="W1020" s="1777"/>
      <c r="X1020" s="1777"/>
      <c r="Y1020" s="1777"/>
      <c r="Z1020" s="1777"/>
      <c r="AA1020" s="1777"/>
      <c r="AB1020" s="1777"/>
      <c r="AC1020" s="1777"/>
      <c r="AD1020" s="1777"/>
      <c r="AE1020" s="1778"/>
      <c r="AF1020" s="79"/>
      <c r="AG1020" s="1752" t="s">
        <v>670</v>
      </c>
      <c r="AH1020" s="1753"/>
      <c r="AI1020" s="87"/>
      <c r="AJ1020" s="1706">
        <f>ROUND(IF(AND(AG1020="Yes",J1024&lt;&gt;"N/A",AF1023&lt;&gt;""),MIN(AF1023,(0.15*AJ992)),0),0)</f>
        <v>0</v>
      </c>
      <c r="AK1020" s="1707"/>
      <c r="AL1020" s="1707"/>
      <c r="AM1020" s="1707"/>
      <c r="AN1020" s="1707"/>
      <c r="AO1020" s="1707"/>
      <c r="AP1020" s="1707"/>
      <c r="AQ1020" s="1708"/>
      <c r="AR1020" s="68"/>
      <c r="AS1020" s="68"/>
      <c r="AT1020" s="68"/>
      <c r="AU1020" s="68"/>
      <c r="AV1020" s="68"/>
      <c r="AW1020" s="68"/>
      <c r="AX1020" s="3">
        <v>8</v>
      </c>
      <c r="AY1020" s="200">
        <f t="shared" si="53"/>
        <v>0</v>
      </c>
      <c r="AZ1020" s="1255">
        <v>0.01</v>
      </c>
    </row>
    <row r="1021" spans="1:52" ht="12.95" customHeight="1">
      <c r="A1021" s="14"/>
      <c r="B1021" s="81"/>
      <c r="C1021" s="84"/>
      <c r="D1021" s="1779"/>
      <c r="E1021" s="1780"/>
      <c r="F1021" s="1780"/>
      <c r="G1021" s="1780"/>
      <c r="H1021" s="1780"/>
      <c r="I1021" s="1780"/>
      <c r="J1021" s="1780"/>
      <c r="K1021" s="1780"/>
      <c r="L1021" s="1780"/>
      <c r="M1021" s="1780"/>
      <c r="N1021" s="1780"/>
      <c r="O1021" s="1780"/>
      <c r="P1021" s="1780"/>
      <c r="Q1021" s="1780"/>
      <c r="R1021" s="1780"/>
      <c r="S1021" s="1780"/>
      <c r="T1021" s="1780"/>
      <c r="U1021" s="1780"/>
      <c r="V1021" s="1780"/>
      <c r="W1021" s="1780"/>
      <c r="X1021" s="1780"/>
      <c r="Y1021" s="1780"/>
      <c r="Z1021" s="1780"/>
      <c r="AA1021" s="1780"/>
      <c r="AB1021" s="1780"/>
      <c r="AC1021" s="1780"/>
      <c r="AD1021" s="1780"/>
      <c r="AE1021" s="1781"/>
      <c r="AF1021" s="1803" t="str">
        <f>IF(AG1020="yes","Please Select Type and Enter Amount:","")</f>
        <v/>
      </c>
      <c r="AG1021" s="1804"/>
      <c r="AH1021" s="1804"/>
      <c r="AI1021" s="1805"/>
      <c r="AJ1021" s="1709"/>
      <c r="AK1021" s="1710"/>
      <c r="AL1021" s="1710"/>
      <c r="AM1021" s="1710"/>
      <c r="AN1021" s="1710"/>
      <c r="AO1021" s="1710"/>
      <c r="AP1021" s="1710"/>
      <c r="AQ1021" s="1711"/>
      <c r="AR1021" s="68"/>
      <c r="AS1021" s="68"/>
      <c r="AT1021" s="68"/>
      <c r="AU1021" s="68"/>
      <c r="AV1021" s="68"/>
      <c r="AW1021" s="68"/>
      <c r="AX1021" s="3">
        <v>9</v>
      </c>
      <c r="AY1021" s="200">
        <f t="shared" si="53"/>
        <v>0</v>
      </c>
      <c r="AZ1021" s="1255">
        <v>0.01</v>
      </c>
    </row>
    <row r="1022" spans="1:52" ht="12.95" customHeight="1">
      <c r="A1022" s="14"/>
      <c r="B1022" s="81"/>
      <c r="C1022" s="84"/>
      <c r="D1022" s="1762" t="s">
        <v>1294</v>
      </c>
      <c r="E1022" s="1763"/>
      <c r="F1022" s="1763"/>
      <c r="G1022" s="1763"/>
      <c r="H1022" s="1763"/>
      <c r="I1022" s="1763"/>
      <c r="J1022" s="1763"/>
      <c r="K1022" s="1763"/>
      <c r="L1022" s="1763"/>
      <c r="M1022" s="1763"/>
      <c r="N1022" s="1763"/>
      <c r="O1022" s="1763"/>
      <c r="P1022" s="1763"/>
      <c r="Q1022" s="1763"/>
      <c r="R1022" s="1763"/>
      <c r="S1022" s="1763"/>
      <c r="T1022" s="1763"/>
      <c r="U1022" s="1763"/>
      <c r="V1022" s="1763"/>
      <c r="W1022" s="1763"/>
      <c r="X1022" s="1763"/>
      <c r="Y1022" s="1763"/>
      <c r="Z1022" s="1763"/>
      <c r="AA1022" s="1763"/>
      <c r="AB1022" s="1763"/>
      <c r="AC1022" s="1763"/>
      <c r="AD1022" s="1763"/>
      <c r="AE1022" s="1764"/>
      <c r="AF1022" s="1803"/>
      <c r="AG1022" s="1804"/>
      <c r="AH1022" s="1804"/>
      <c r="AI1022" s="1805"/>
      <c r="AJ1022" s="1709"/>
      <c r="AK1022" s="1710"/>
      <c r="AL1022" s="1710"/>
      <c r="AM1022" s="1710"/>
      <c r="AN1022" s="1710"/>
      <c r="AO1022" s="1710"/>
      <c r="AP1022" s="1710"/>
      <c r="AQ1022" s="1711"/>
      <c r="AR1022" s="68"/>
      <c r="AS1022" s="68"/>
      <c r="AT1022" s="68"/>
      <c r="AU1022" s="68"/>
      <c r="AV1022" s="68"/>
      <c r="AW1022" s="68"/>
      <c r="AX1022" s="3">
        <v>10</v>
      </c>
      <c r="AY1022" s="200">
        <f t="shared" si="53"/>
        <v>0</v>
      </c>
      <c r="AZ1022" s="1255">
        <v>0.02</v>
      </c>
    </row>
    <row r="1023" spans="1:52" ht="12.95" customHeight="1">
      <c r="A1023" s="14"/>
      <c r="B1023" s="81"/>
      <c r="C1023" s="84"/>
      <c r="D1023" s="1762"/>
      <c r="E1023" s="1763"/>
      <c r="F1023" s="1763"/>
      <c r="G1023" s="1763"/>
      <c r="H1023" s="1763"/>
      <c r="I1023" s="1763"/>
      <c r="J1023" s="1763"/>
      <c r="K1023" s="1763"/>
      <c r="L1023" s="1763"/>
      <c r="M1023" s="1763"/>
      <c r="N1023" s="1763"/>
      <c r="O1023" s="1763"/>
      <c r="P1023" s="1763"/>
      <c r="Q1023" s="1763"/>
      <c r="R1023" s="1763"/>
      <c r="S1023" s="1763"/>
      <c r="T1023" s="1763"/>
      <c r="U1023" s="1763"/>
      <c r="V1023" s="1763"/>
      <c r="W1023" s="1763"/>
      <c r="X1023" s="1763"/>
      <c r="Y1023" s="1763"/>
      <c r="Z1023" s="1763"/>
      <c r="AA1023" s="1763"/>
      <c r="AB1023" s="1763"/>
      <c r="AC1023" s="1763"/>
      <c r="AD1023" s="1763"/>
      <c r="AE1023" s="1764"/>
      <c r="AF1023" s="1796"/>
      <c r="AG1023" s="1796"/>
      <c r="AH1023" s="1796"/>
      <c r="AI1023" s="1796"/>
      <c r="AJ1023" s="1709"/>
      <c r="AK1023" s="1710"/>
      <c r="AL1023" s="1710"/>
      <c r="AM1023" s="1710"/>
      <c r="AN1023" s="1710"/>
      <c r="AO1023" s="1710"/>
      <c r="AP1023" s="1710"/>
      <c r="AQ1023" s="1711"/>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96"/>
      <c r="AG1024" s="1796"/>
      <c r="AH1024" s="1796"/>
      <c r="AI1024" s="1796"/>
      <c r="AJ1024" s="1712"/>
      <c r="AK1024" s="1713"/>
      <c r="AL1024" s="1713"/>
      <c r="AM1024" s="1713"/>
      <c r="AN1024" s="1713"/>
      <c r="AO1024" s="1713"/>
      <c r="AP1024" s="1713"/>
      <c r="AQ1024" s="1714"/>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759" t="s">
        <v>1295</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79"/>
      <c r="AG1025" s="1752" t="s">
        <v>670</v>
      </c>
      <c r="AH1025" s="1753"/>
      <c r="AI1025" s="87"/>
      <c r="AJ1025" s="1706">
        <f>ROUND(IF(AG1025="Yes",AF1027,0),0)</f>
        <v>0</v>
      </c>
      <c r="AK1025" s="1707"/>
      <c r="AL1025" s="1707"/>
      <c r="AM1025" s="1707"/>
      <c r="AN1025" s="1707"/>
      <c r="AO1025" s="1707"/>
      <c r="AP1025" s="1707"/>
      <c r="AQ1025" s="1708"/>
      <c r="AR1025" s="68"/>
      <c r="AS1025" s="68"/>
      <c r="AT1025" s="68"/>
      <c r="AU1025" s="68"/>
      <c r="AV1025" s="68"/>
      <c r="AW1025" s="68"/>
      <c r="AX1025" s="68"/>
      <c r="AY1025" s="68"/>
    </row>
    <row r="1026" spans="1:57" ht="12.95" customHeight="1">
      <c r="A1026" s="14"/>
      <c r="B1026" s="73"/>
      <c r="C1026" s="74"/>
      <c r="D1026" s="1762" t="s">
        <v>1691</v>
      </c>
      <c r="E1026" s="1763"/>
      <c r="F1026" s="1763"/>
      <c r="G1026" s="1763"/>
      <c r="H1026" s="1763"/>
      <c r="I1026" s="1763"/>
      <c r="J1026" s="1763"/>
      <c r="K1026" s="1763"/>
      <c r="L1026" s="1763"/>
      <c r="M1026" s="1763"/>
      <c r="N1026" s="1763"/>
      <c r="O1026" s="1763"/>
      <c r="P1026" s="1763"/>
      <c r="Q1026" s="1763"/>
      <c r="R1026" s="1763"/>
      <c r="S1026" s="1763"/>
      <c r="T1026" s="1763"/>
      <c r="U1026" s="1763"/>
      <c r="V1026" s="1763"/>
      <c r="W1026" s="1763"/>
      <c r="X1026" s="1763"/>
      <c r="Y1026" s="1763"/>
      <c r="Z1026" s="1763"/>
      <c r="AA1026" s="1763"/>
      <c r="AB1026" s="1763"/>
      <c r="AC1026" s="1763"/>
      <c r="AD1026" s="1763"/>
      <c r="AE1026" s="1764"/>
      <c r="AF1026" s="1782" t="str">
        <f>IF(AG1025="yes","Enter Amount:","")</f>
        <v/>
      </c>
      <c r="AG1026" s="1783"/>
      <c r="AH1026" s="1783"/>
      <c r="AI1026" s="1784"/>
      <c r="AJ1026" s="1709"/>
      <c r="AK1026" s="1710"/>
      <c r="AL1026" s="1710"/>
      <c r="AM1026" s="1710"/>
      <c r="AN1026" s="1710"/>
      <c r="AO1026" s="1710"/>
      <c r="AP1026" s="1710"/>
      <c r="AQ1026" s="1711"/>
      <c r="AR1026" s="68"/>
      <c r="AS1026" s="68"/>
      <c r="AT1026" s="68"/>
      <c r="AU1026" s="68"/>
      <c r="AV1026" s="68"/>
      <c r="AW1026" s="68"/>
      <c r="AX1026" s="68"/>
      <c r="AY1026" s="68"/>
    </row>
    <row r="1027" spans="1:57" ht="12.95" customHeight="1">
      <c r="A1027" s="14"/>
      <c r="B1027" s="73"/>
      <c r="C1027" s="74"/>
      <c r="D1027" s="1762"/>
      <c r="E1027" s="1763"/>
      <c r="F1027" s="1763"/>
      <c r="G1027" s="1763"/>
      <c r="H1027" s="1763"/>
      <c r="I1027" s="1763"/>
      <c r="J1027" s="1763"/>
      <c r="K1027" s="1763"/>
      <c r="L1027" s="1763"/>
      <c r="M1027" s="1763"/>
      <c r="N1027" s="1763"/>
      <c r="O1027" s="1763"/>
      <c r="P1027" s="1763"/>
      <c r="Q1027" s="1763"/>
      <c r="R1027" s="1763"/>
      <c r="S1027" s="1763"/>
      <c r="T1027" s="1763"/>
      <c r="U1027" s="1763"/>
      <c r="V1027" s="1763"/>
      <c r="W1027" s="1763"/>
      <c r="X1027" s="1763"/>
      <c r="Y1027" s="1763"/>
      <c r="Z1027" s="1763"/>
      <c r="AA1027" s="1763"/>
      <c r="AB1027" s="1763"/>
      <c r="AC1027" s="1763"/>
      <c r="AD1027" s="1763"/>
      <c r="AE1027" s="1764"/>
      <c r="AF1027" s="1796"/>
      <c r="AG1027" s="1796"/>
      <c r="AH1027" s="1796"/>
      <c r="AI1027" s="1796"/>
      <c r="AJ1027" s="1709"/>
      <c r="AK1027" s="1710"/>
      <c r="AL1027" s="1710"/>
      <c r="AM1027" s="1710"/>
      <c r="AN1027" s="1710"/>
      <c r="AO1027" s="1710"/>
      <c r="AP1027" s="1710"/>
      <c r="AQ1027" s="171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65"/>
      <c r="E1028" s="1766"/>
      <c r="F1028" s="1766"/>
      <c r="G1028" s="1766"/>
      <c r="H1028" s="1766"/>
      <c r="I1028" s="1766"/>
      <c r="J1028" s="1766"/>
      <c r="K1028" s="1766"/>
      <c r="L1028" s="1766"/>
      <c r="M1028" s="1766"/>
      <c r="N1028" s="1766"/>
      <c r="O1028" s="1766"/>
      <c r="P1028" s="1766"/>
      <c r="Q1028" s="1766"/>
      <c r="R1028" s="1766"/>
      <c r="S1028" s="1766"/>
      <c r="T1028" s="1766"/>
      <c r="U1028" s="1766"/>
      <c r="V1028" s="1766"/>
      <c r="W1028" s="1766"/>
      <c r="X1028" s="1766"/>
      <c r="Y1028" s="1766"/>
      <c r="Z1028" s="1766"/>
      <c r="AA1028" s="1766"/>
      <c r="AB1028" s="1766"/>
      <c r="AC1028" s="1766"/>
      <c r="AD1028" s="1766"/>
      <c r="AE1028" s="1767"/>
      <c r="AF1028" s="1796"/>
      <c r="AG1028" s="1796"/>
      <c r="AH1028" s="1796"/>
      <c r="AI1028" s="1796"/>
      <c r="AJ1028" s="1712"/>
      <c r="AK1028" s="1713"/>
      <c r="AL1028" s="1713"/>
      <c r="AM1028" s="1713"/>
      <c r="AN1028" s="1713"/>
      <c r="AO1028" s="1713"/>
      <c r="AP1028" s="1713"/>
      <c r="AQ1028" s="1714"/>
      <c r="AR1028" s="68"/>
      <c r="AS1028" s="68"/>
      <c r="AT1028" s="68"/>
      <c r="AU1028" s="68"/>
      <c r="AV1028" s="68"/>
      <c r="AW1028" s="68"/>
      <c r="AX1028" s="68"/>
      <c r="AY1028" s="68"/>
    </row>
    <row r="1029" spans="1:57" ht="12.95" customHeight="1">
      <c r="A1029" s="14"/>
      <c r="B1029" s="79"/>
      <c r="C1029" s="80" t="s">
        <v>234</v>
      </c>
      <c r="D1029" s="1771" t="s">
        <v>1296</v>
      </c>
      <c r="E1029" s="1772"/>
      <c r="F1029" s="1772"/>
      <c r="G1029" s="1772"/>
      <c r="H1029" s="1772"/>
      <c r="I1029" s="1772"/>
      <c r="J1029" s="1772"/>
      <c r="K1029" s="1772"/>
      <c r="L1029" s="1772"/>
      <c r="M1029" s="1772"/>
      <c r="N1029" s="1772"/>
      <c r="O1029" s="1772"/>
      <c r="P1029" s="1772"/>
      <c r="Q1029" s="1772"/>
      <c r="R1029" s="1772"/>
      <c r="S1029" s="1772"/>
      <c r="T1029" s="1772"/>
      <c r="U1029" s="1772"/>
      <c r="V1029" s="1772"/>
      <c r="W1029" s="1772"/>
      <c r="X1029" s="1772"/>
      <c r="Y1029" s="1772"/>
      <c r="Z1029" s="1772"/>
      <c r="AA1029" s="1772"/>
      <c r="AB1029" s="1772"/>
      <c r="AC1029" s="1772"/>
      <c r="AD1029" s="1772"/>
      <c r="AE1029" s="1773"/>
      <c r="AF1029" s="79"/>
      <c r="AG1029" s="1752" t="s">
        <v>546</v>
      </c>
      <c r="AH1029" s="1753"/>
      <c r="AI1029" s="87"/>
      <c r="AJ1029" s="1706">
        <f>ROUND(IF(AG1029="yes",(AJ992*0.1),0),0)</f>
        <v>7201789</v>
      </c>
      <c r="AK1029" s="1707"/>
      <c r="AL1029" s="1707"/>
      <c r="AM1029" s="1707"/>
      <c r="AN1029" s="1707"/>
      <c r="AO1029" s="1707"/>
      <c r="AP1029" s="1707"/>
      <c r="AQ1029" s="1708"/>
      <c r="AR1029" s="68"/>
      <c r="AS1029" s="68"/>
      <c r="AT1029" s="68"/>
      <c r="AU1029" s="68"/>
      <c r="AV1029" s="68"/>
      <c r="AW1029" s="68"/>
      <c r="AX1029" s="68"/>
      <c r="AY1029" s="68"/>
    </row>
    <row r="1030" spans="1:57" ht="12.95" customHeight="1">
      <c r="A1030" s="14"/>
      <c r="B1030" s="73"/>
      <c r="C1030" s="74"/>
      <c r="D1030" s="1762" t="s">
        <v>1297</v>
      </c>
      <c r="E1030" s="1763"/>
      <c r="F1030" s="1763"/>
      <c r="G1030" s="1763"/>
      <c r="H1030" s="1763"/>
      <c r="I1030" s="1763"/>
      <c r="J1030" s="1763"/>
      <c r="K1030" s="1763"/>
      <c r="L1030" s="1763"/>
      <c r="M1030" s="1763"/>
      <c r="N1030" s="1763"/>
      <c r="O1030" s="1763"/>
      <c r="P1030" s="1763"/>
      <c r="Q1030" s="1763"/>
      <c r="R1030" s="1763"/>
      <c r="S1030" s="1763"/>
      <c r="T1030" s="1763"/>
      <c r="U1030" s="1763"/>
      <c r="V1030" s="1763"/>
      <c r="W1030" s="1763"/>
      <c r="X1030" s="1763"/>
      <c r="Y1030" s="1763"/>
      <c r="Z1030" s="1763"/>
      <c r="AA1030" s="1763"/>
      <c r="AB1030" s="1763"/>
      <c r="AC1030" s="1763"/>
      <c r="AD1030" s="1763"/>
      <c r="AE1030" s="1764"/>
      <c r="AF1030" s="73"/>
      <c r="AG1030" s="14"/>
      <c r="AH1030" s="14"/>
      <c r="AI1030" s="83"/>
      <c r="AJ1030" s="1709"/>
      <c r="AK1030" s="1710"/>
      <c r="AL1030" s="1710"/>
      <c r="AM1030" s="1710"/>
      <c r="AN1030" s="1710"/>
      <c r="AO1030" s="1710"/>
      <c r="AP1030" s="1710"/>
      <c r="AQ1030" s="1711"/>
      <c r="AR1030" s="68"/>
      <c r="AS1030" s="68"/>
      <c r="AT1030" s="68"/>
      <c r="AU1030" s="68"/>
      <c r="AV1030" s="68"/>
      <c r="AW1030" s="68"/>
      <c r="AX1030" s="68"/>
      <c r="AY1030" s="68"/>
    </row>
    <row r="1031" spans="1:57" ht="12.95" customHeight="1">
      <c r="A1031" s="14"/>
      <c r="B1031" s="77"/>
      <c r="C1031" s="74"/>
      <c r="D1031" s="1765"/>
      <c r="E1031" s="1766"/>
      <c r="F1031" s="1766"/>
      <c r="G1031" s="1766"/>
      <c r="H1031" s="1766"/>
      <c r="I1031" s="1766"/>
      <c r="J1031" s="1766"/>
      <c r="K1031" s="1766"/>
      <c r="L1031" s="1766"/>
      <c r="M1031" s="1766"/>
      <c r="N1031" s="1766"/>
      <c r="O1031" s="1766"/>
      <c r="P1031" s="1766"/>
      <c r="Q1031" s="1766"/>
      <c r="R1031" s="1766"/>
      <c r="S1031" s="1766"/>
      <c r="T1031" s="1766"/>
      <c r="U1031" s="1766"/>
      <c r="V1031" s="1766"/>
      <c r="W1031" s="1766"/>
      <c r="X1031" s="1766"/>
      <c r="Y1031" s="1766"/>
      <c r="Z1031" s="1766"/>
      <c r="AA1031" s="1766"/>
      <c r="AB1031" s="1766"/>
      <c r="AC1031" s="1766"/>
      <c r="AD1031" s="1766"/>
      <c r="AE1031" s="1767"/>
      <c r="AF1031" s="73"/>
      <c r="AG1031" s="14"/>
      <c r="AH1031" s="14"/>
      <c r="AI1031" s="83"/>
      <c r="AJ1031" s="1712"/>
      <c r="AK1031" s="1713"/>
      <c r="AL1031" s="1713"/>
      <c r="AM1031" s="1713"/>
      <c r="AN1031" s="1713"/>
      <c r="AO1031" s="1713"/>
      <c r="AP1031" s="1713"/>
      <c r="AQ1031" s="1714"/>
      <c r="AR1031" s="68"/>
      <c r="AS1031" s="68"/>
      <c r="AT1031" s="68"/>
      <c r="AU1031" s="68"/>
      <c r="AV1031" s="68"/>
      <c r="AW1031" s="68"/>
      <c r="AX1031" s="68"/>
      <c r="AY1031" s="68"/>
    </row>
    <row r="1032" spans="1:57" ht="12.95" customHeight="1">
      <c r="A1032" s="14"/>
      <c r="B1032" s="73"/>
      <c r="C1032" s="339" t="s">
        <v>688</v>
      </c>
      <c r="D1032" s="1759" t="s">
        <v>1687</v>
      </c>
      <c r="E1032" s="1760"/>
      <c r="F1032" s="1760"/>
      <c r="G1032" s="1760"/>
      <c r="H1032" s="1760"/>
      <c r="I1032" s="1760"/>
      <c r="J1032" s="1760"/>
      <c r="K1032" s="1760"/>
      <c r="L1032" s="1760"/>
      <c r="M1032" s="1760"/>
      <c r="N1032" s="1760"/>
      <c r="O1032" s="1760"/>
      <c r="P1032" s="1760"/>
      <c r="Q1032" s="1760"/>
      <c r="R1032" s="1760"/>
      <c r="S1032" s="1760"/>
      <c r="T1032" s="1760"/>
      <c r="U1032" s="1760"/>
      <c r="V1032" s="1760"/>
      <c r="W1032" s="1760"/>
      <c r="X1032" s="1760"/>
      <c r="Y1032" s="1760"/>
      <c r="Z1032" s="1760"/>
      <c r="AA1032" s="1760"/>
      <c r="AB1032" s="1760"/>
      <c r="AC1032" s="1760"/>
      <c r="AD1032" s="1760"/>
      <c r="AE1032" s="1761"/>
      <c r="AF1032" s="79"/>
      <c r="AG1032" s="1752" t="s">
        <v>670</v>
      </c>
      <c r="AH1032" s="1753"/>
      <c r="AI1032" s="87"/>
      <c r="AJ1032" s="1706">
        <f>ROUND(IF(AG1032="yes",(AJ992*0.15),0),0)</f>
        <v>0</v>
      </c>
      <c r="AK1032" s="1707"/>
      <c r="AL1032" s="1707"/>
      <c r="AM1032" s="1707"/>
      <c r="AN1032" s="1707"/>
      <c r="AO1032" s="1707"/>
      <c r="AP1032" s="1707"/>
      <c r="AQ1032" s="1708"/>
      <c r="AR1032" s="68"/>
      <c r="AS1032" s="68"/>
      <c r="AT1032" s="68"/>
      <c r="AU1032" s="68"/>
      <c r="AV1032" s="68"/>
      <c r="AW1032" s="68"/>
      <c r="AX1032" s="68"/>
      <c r="AY1032" s="68"/>
    </row>
    <row r="1033" spans="1:57" ht="12.95" customHeight="1">
      <c r="A1033" s="14"/>
      <c r="B1033" s="73"/>
      <c r="C1033" s="74"/>
      <c r="D1033" s="1754"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755"/>
      <c r="AF1033" s="915"/>
      <c r="AG1033" s="916"/>
      <c r="AH1033" s="916"/>
      <c r="AI1033" s="917"/>
      <c r="AJ1033" s="1709"/>
      <c r="AK1033" s="1710"/>
      <c r="AL1033" s="1710"/>
      <c r="AM1033" s="1710"/>
      <c r="AN1033" s="1710"/>
      <c r="AO1033" s="1710"/>
      <c r="AP1033" s="1710"/>
      <c r="AQ1033" s="1711"/>
      <c r="AR1033" s="68"/>
      <c r="AS1033" s="68"/>
      <c r="AT1033" s="68"/>
      <c r="AU1033" s="68"/>
      <c r="AV1033" s="68"/>
      <c r="AW1033" s="68"/>
      <c r="AX1033" s="68"/>
      <c r="AY1033" s="68"/>
    </row>
    <row r="1034" spans="1:57" ht="12.95" customHeight="1">
      <c r="A1034" s="14"/>
      <c r="B1034" s="73"/>
      <c r="C1034" s="74"/>
      <c r="D1034" s="1754"/>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755"/>
      <c r="AF1034" s="915"/>
      <c r="AG1034" s="916"/>
      <c r="AH1034" s="916"/>
      <c r="AI1034" s="917"/>
      <c r="AJ1034" s="1709"/>
      <c r="AK1034" s="1710"/>
      <c r="AL1034" s="1710"/>
      <c r="AM1034" s="1710"/>
      <c r="AN1034" s="1710"/>
      <c r="AO1034" s="1710"/>
      <c r="AP1034" s="1710"/>
      <c r="AQ1034" s="1711"/>
      <c r="AR1034" s="68"/>
      <c r="AS1034" s="68"/>
      <c r="AT1034" s="68"/>
      <c r="AU1034" s="68"/>
      <c r="AV1034" s="68"/>
      <c r="AW1034" s="68"/>
      <c r="AX1034" s="68"/>
      <c r="AY1034" s="68"/>
    </row>
    <row r="1035" spans="1:57" ht="12.95" customHeight="1">
      <c r="A1035" s="14"/>
      <c r="B1035" s="73"/>
      <c r="C1035" s="74"/>
      <c r="D1035" s="1756"/>
      <c r="E1035" s="1757"/>
      <c r="F1035" s="1757"/>
      <c r="G1035" s="1757"/>
      <c r="H1035" s="1757"/>
      <c r="I1035" s="1757"/>
      <c r="J1035" s="1757"/>
      <c r="K1035" s="1757"/>
      <c r="L1035" s="1757"/>
      <c r="M1035" s="1757"/>
      <c r="N1035" s="1757"/>
      <c r="O1035" s="1757"/>
      <c r="P1035" s="1757"/>
      <c r="Q1035" s="1757"/>
      <c r="R1035" s="1757"/>
      <c r="S1035" s="1757"/>
      <c r="T1035" s="1757"/>
      <c r="U1035" s="1757"/>
      <c r="V1035" s="1757"/>
      <c r="W1035" s="1757"/>
      <c r="X1035" s="1757"/>
      <c r="Y1035" s="1757"/>
      <c r="Z1035" s="1757"/>
      <c r="AA1035" s="1757"/>
      <c r="AB1035" s="1757"/>
      <c r="AC1035" s="1757"/>
      <c r="AD1035" s="1757"/>
      <c r="AE1035" s="1758"/>
      <c r="AF1035" s="918"/>
      <c r="AG1035" s="919"/>
      <c r="AH1035" s="919"/>
      <c r="AI1035" s="920"/>
      <c r="AJ1035" s="1712"/>
      <c r="AK1035" s="1713"/>
      <c r="AL1035" s="1713"/>
      <c r="AM1035" s="1713"/>
      <c r="AN1035" s="1713"/>
      <c r="AO1035" s="1713"/>
      <c r="AP1035" s="1713"/>
      <c r="AQ1035" s="1714"/>
      <c r="AR1035" s="68"/>
      <c r="AS1035" s="68"/>
      <c r="AT1035" s="68"/>
      <c r="AU1035" s="68"/>
      <c r="AV1035" s="68"/>
      <c r="AW1035" s="68"/>
      <c r="AX1035" s="68"/>
      <c r="AY1035" s="68"/>
    </row>
    <row r="1036" spans="1:57" ht="12.95" customHeight="1">
      <c r="A1036" s="14"/>
      <c r="B1036" s="73"/>
      <c r="C1036" s="339" t="s">
        <v>688</v>
      </c>
      <c r="D1036" s="1771" t="s">
        <v>1689</v>
      </c>
      <c r="E1036" s="1772"/>
      <c r="F1036" s="1772"/>
      <c r="G1036" s="1772"/>
      <c r="H1036" s="1772"/>
      <c r="I1036" s="1772"/>
      <c r="J1036" s="1772"/>
      <c r="K1036" s="1772"/>
      <c r="L1036" s="1772"/>
      <c r="M1036" s="1772"/>
      <c r="N1036" s="1772"/>
      <c r="O1036" s="1772"/>
      <c r="P1036" s="1772"/>
      <c r="Q1036" s="1772"/>
      <c r="R1036" s="1772"/>
      <c r="S1036" s="1772"/>
      <c r="T1036" s="1772"/>
      <c r="U1036" s="1772"/>
      <c r="V1036" s="1772"/>
      <c r="W1036" s="1772"/>
      <c r="X1036" s="1772"/>
      <c r="Y1036" s="1772"/>
      <c r="Z1036" s="1772"/>
      <c r="AA1036" s="1772"/>
      <c r="AB1036" s="1772"/>
      <c r="AC1036" s="1772"/>
      <c r="AD1036" s="1772"/>
      <c r="AE1036" s="1773"/>
      <c r="AF1036" s="73"/>
      <c r="AG1036" s="1794" t="s">
        <v>546</v>
      </c>
      <c r="AH1036" s="1795"/>
      <c r="AI1036" s="83"/>
      <c r="AJ1036" s="1706">
        <f>ROUND(IF(AND(AG1036="yes",AJ1032=0),(AJ992*0.1),0),0)</f>
        <v>7201789</v>
      </c>
      <c r="AK1036" s="1707"/>
      <c r="AL1036" s="1707"/>
      <c r="AM1036" s="1707"/>
      <c r="AN1036" s="1707"/>
      <c r="AO1036" s="1707"/>
      <c r="AP1036" s="1707"/>
      <c r="AQ1036" s="1708"/>
      <c r="AR1036" s="68"/>
      <c r="AS1036" s="68"/>
      <c r="AT1036" s="68"/>
      <c r="AU1036" s="68"/>
      <c r="AV1036" s="68"/>
      <c r="AW1036" s="68"/>
      <c r="AX1036" s="68"/>
      <c r="AY1036" s="68"/>
    </row>
    <row r="1037" spans="1:57" ht="12.95" customHeight="1">
      <c r="A1037" s="14"/>
      <c r="B1037" s="73"/>
      <c r="C1037" s="74"/>
      <c r="D1037" s="1754"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755"/>
      <c r="AF1037" s="73"/>
      <c r="AG1037" s="14"/>
      <c r="AH1037" s="14"/>
      <c r="AI1037" s="83"/>
      <c r="AJ1037" s="1709"/>
      <c r="AK1037" s="1710"/>
      <c r="AL1037" s="1710"/>
      <c r="AM1037" s="1710"/>
      <c r="AN1037" s="1710"/>
      <c r="AO1037" s="1710"/>
      <c r="AP1037" s="1710"/>
      <c r="AQ1037" s="1711"/>
      <c r="AR1037" s="68"/>
      <c r="AS1037" s="68"/>
      <c r="AT1037" s="68"/>
      <c r="AU1037" s="68"/>
      <c r="AV1037" s="68"/>
      <c r="AW1037" s="68"/>
      <c r="AX1037" s="68"/>
      <c r="AY1037" s="68"/>
    </row>
    <row r="1038" spans="1:57" ht="12.95" customHeight="1">
      <c r="A1038" s="14"/>
      <c r="B1038" s="73"/>
      <c r="C1038" s="74"/>
      <c r="D1038" s="1754"/>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755"/>
      <c r="AF1038" s="73"/>
      <c r="AG1038" s="14"/>
      <c r="AH1038" s="14"/>
      <c r="AI1038" s="83"/>
      <c r="AJ1038" s="1709"/>
      <c r="AK1038" s="1710"/>
      <c r="AL1038" s="1710"/>
      <c r="AM1038" s="1710"/>
      <c r="AN1038" s="1710"/>
      <c r="AO1038" s="1710"/>
      <c r="AP1038" s="1710"/>
      <c r="AQ1038" s="1711"/>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754"/>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755"/>
      <c r="AF1039" s="73"/>
      <c r="AG1039" s="14"/>
      <c r="AH1039" s="14"/>
      <c r="AI1039" s="83"/>
      <c r="AJ1039" s="1709"/>
      <c r="AK1039" s="1710"/>
      <c r="AL1039" s="1710"/>
      <c r="AM1039" s="1710"/>
      <c r="AN1039" s="1710"/>
      <c r="AO1039" s="1710"/>
      <c r="AP1039" s="1710"/>
      <c r="AQ1039" s="1711"/>
      <c r="AR1039" s="68"/>
      <c r="AS1039" s="68"/>
      <c r="AT1039" s="68"/>
      <c r="AU1039" s="68"/>
      <c r="AV1039" s="68"/>
      <c r="AW1039" s="68"/>
      <c r="AX1039" s="68"/>
      <c r="AY1039" s="68"/>
      <c r="BA1039">
        <f>IFERROR((($CI$753+$CM$753)/$AG$440),0)</f>
        <v>0.25827814569536423</v>
      </c>
      <c r="BB1039" s="3" t="s">
        <v>2493</v>
      </c>
    </row>
    <row r="1040" spans="1:57" ht="12.95" customHeight="1">
      <c r="A1040" s="14"/>
      <c r="B1040" s="73"/>
      <c r="C1040" s="74"/>
      <c r="D1040" s="1756"/>
      <c r="E1040" s="1757"/>
      <c r="F1040" s="1757"/>
      <c r="G1040" s="1757"/>
      <c r="H1040" s="1757"/>
      <c r="I1040" s="1757"/>
      <c r="J1040" s="1757"/>
      <c r="K1040" s="1757"/>
      <c r="L1040" s="1757"/>
      <c r="M1040" s="1757"/>
      <c r="N1040" s="1757"/>
      <c r="O1040" s="1757"/>
      <c r="P1040" s="1757"/>
      <c r="Q1040" s="1757"/>
      <c r="R1040" s="1757"/>
      <c r="S1040" s="1757"/>
      <c r="T1040" s="1757"/>
      <c r="U1040" s="1757"/>
      <c r="V1040" s="1757"/>
      <c r="W1040" s="1757"/>
      <c r="X1040" s="1757"/>
      <c r="Y1040" s="1757"/>
      <c r="Z1040" s="1757"/>
      <c r="AA1040" s="1757"/>
      <c r="AB1040" s="1757"/>
      <c r="AC1040" s="1757"/>
      <c r="AD1040" s="1757"/>
      <c r="AE1040" s="1758"/>
      <c r="AF1040" s="73"/>
      <c r="AG1040" s="14"/>
      <c r="AH1040" s="14"/>
      <c r="AI1040" s="83"/>
      <c r="AJ1040" s="1709"/>
      <c r="AK1040" s="1710"/>
      <c r="AL1040" s="1710"/>
      <c r="AM1040" s="1710"/>
      <c r="AN1040" s="1710"/>
      <c r="AO1040" s="1710"/>
      <c r="AP1040" s="1710"/>
      <c r="AQ1040" s="1711"/>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59" t="s">
        <v>1298</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9"/>
      <c r="AG1041" s="1752" t="s">
        <v>670</v>
      </c>
      <c r="AH1041" s="1753"/>
      <c r="AI1041" s="87"/>
      <c r="AJ1041" s="1706">
        <f>ROUND(IF(AG1041="yes",(AJ992*0.1),0),0)</f>
        <v>0</v>
      </c>
      <c r="AK1041" s="1707"/>
      <c r="AL1041" s="1707"/>
      <c r="AM1041" s="1707"/>
      <c r="AN1041" s="1707"/>
      <c r="AO1041" s="1707"/>
      <c r="AP1041" s="1707"/>
      <c r="AQ1041" s="1708"/>
      <c r="AR1041" s="68"/>
      <c r="AS1041" s="68"/>
      <c r="AT1041" s="68"/>
      <c r="AU1041" s="68"/>
      <c r="AV1041" s="68"/>
      <c r="AW1041" s="68"/>
      <c r="AX1041" s="68"/>
      <c r="AY1041" s="68"/>
      <c r="BA1041">
        <f>Q212</f>
        <v>19</v>
      </c>
      <c r="BB1041" s="3" t="s">
        <v>2491</v>
      </c>
    </row>
    <row r="1042" spans="1:56" ht="12.95" customHeight="1">
      <c r="A1042" s="14"/>
      <c r="B1042" s="73"/>
      <c r="C1042" s="74"/>
      <c r="D1042" s="1762" t="s">
        <v>2145</v>
      </c>
      <c r="E1042" s="1763"/>
      <c r="F1042" s="1763"/>
      <c r="G1042" s="1763"/>
      <c r="H1042" s="1763"/>
      <c r="I1042" s="1763"/>
      <c r="J1042" s="1763"/>
      <c r="K1042" s="1763"/>
      <c r="L1042" s="1763"/>
      <c r="M1042" s="1763"/>
      <c r="N1042" s="1763"/>
      <c r="O1042" s="1763"/>
      <c r="P1042" s="1763"/>
      <c r="Q1042" s="1763"/>
      <c r="R1042" s="1763"/>
      <c r="S1042" s="1763"/>
      <c r="T1042" s="1763"/>
      <c r="U1042" s="1763"/>
      <c r="V1042" s="1763"/>
      <c r="W1042" s="1763"/>
      <c r="X1042" s="1763"/>
      <c r="Y1042" s="1763"/>
      <c r="Z1042" s="1763"/>
      <c r="AA1042" s="1763"/>
      <c r="AB1042" s="1763"/>
      <c r="AC1042" s="1763"/>
      <c r="AD1042" s="1763"/>
      <c r="AE1042" s="1764"/>
      <c r="AF1042" s="73"/>
      <c r="AG1042" s="14"/>
      <c r="AH1042" s="14"/>
      <c r="AI1042" s="83"/>
      <c r="AJ1042" s="1709"/>
      <c r="AK1042" s="1710"/>
      <c r="AL1042" s="1710"/>
      <c r="AM1042" s="1710"/>
      <c r="AN1042" s="1710"/>
      <c r="AO1042" s="1710"/>
      <c r="AP1042" s="1710"/>
      <c r="AQ1042" s="1711"/>
      <c r="AR1042" s="68"/>
      <c r="AS1042" s="68"/>
      <c r="AT1042" s="68"/>
      <c r="AU1042" s="68"/>
      <c r="AV1042" s="68"/>
      <c r="AW1042" s="68"/>
      <c r="AX1042" s="68"/>
      <c r="AY1042" s="68"/>
      <c r="BA1042" s="1184">
        <f>T212</f>
        <v>0.12582781456953643</v>
      </c>
      <c r="BB1042" s="3" t="s">
        <v>2492</v>
      </c>
    </row>
    <row r="1043" spans="1:56" ht="12.95" customHeight="1">
      <c r="A1043" s="14"/>
      <c r="B1043" s="73"/>
      <c r="C1043" s="74"/>
      <c r="D1043" s="1762"/>
      <c r="E1043" s="1763"/>
      <c r="F1043" s="1763"/>
      <c r="G1043" s="1763"/>
      <c r="H1043" s="1763"/>
      <c r="I1043" s="1763"/>
      <c r="J1043" s="1763"/>
      <c r="K1043" s="1763"/>
      <c r="L1043" s="1763"/>
      <c r="M1043" s="1763"/>
      <c r="N1043" s="1763"/>
      <c r="O1043" s="1763"/>
      <c r="P1043" s="1763"/>
      <c r="Q1043" s="1763"/>
      <c r="R1043" s="1763"/>
      <c r="S1043" s="1763"/>
      <c r="T1043" s="1763"/>
      <c r="U1043" s="1763"/>
      <c r="V1043" s="1763"/>
      <c r="W1043" s="1763"/>
      <c r="X1043" s="1763"/>
      <c r="Y1043" s="1763"/>
      <c r="Z1043" s="1763"/>
      <c r="AA1043" s="1763"/>
      <c r="AB1043" s="1763"/>
      <c r="AC1043" s="1763"/>
      <c r="AD1043" s="1763"/>
      <c r="AE1043" s="1764"/>
      <c r="AF1043" s="73"/>
      <c r="AG1043" s="14"/>
      <c r="AH1043" s="14"/>
      <c r="AI1043" s="83"/>
      <c r="AJ1043" s="1709"/>
      <c r="AK1043" s="1710"/>
      <c r="AL1043" s="1710"/>
      <c r="AM1043" s="1710"/>
      <c r="AN1043" s="1710"/>
      <c r="AO1043" s="1710"/>
      <c r="AP1043" s="1710"/>
      <c r="AQ1043" s="1711"/>
      <c r="AR1043" s="68"/>
      <c r="AS1043" s="68"/>
      <c r="AT1043" s="68"/>
      <c r="AU1043" s="68"/>
      <c r="AV1043" s="68"/>
      <c r="AW1043" s="68"/>
      <c r="AX1043" s="68"/>
      <c r="AY1043" s="68"/>
    </row>
    <row r="1044" spans="1:56" ht="12.95" customHeight="1">
      <c r="A1044" s="14"/>
      <c r="B1044" s="73"/>
      <c r="C1044" s="74"/>
      <c r="D1044" s="1765"/>
      <c r="E1044" s="1766"/>
      <c r="F1044" s="1766"/>
      <c r="G1044" s="1766"/>
      <c r="H1044" s="1766"/>
      <c r="I1044" s="1766"/>
      <c r="J1044" s="1766"/>
      <c r="K1044" s="1766"/>
      <c r="L1044" s="1766"/>
      <c r="M1044" s="1766"/>
      <c r="N1044" s="1766"/>
      <c r="O1044" s="1766"/>
      <c r="P1044" s="1766"/>
      <c r="Q1044" s="1766"/>
      <c r="R1044" s="1766"/>
      <c r="S1044" s="1766"/>
      <c r="T1044" s="1766"/>
      <c r="U1044" s="1766"/>
      <c r="V1044" s="1766"/>
      <c r="W1044" s="1766"/>
      <c r="X1044" s="1766"/>
      <c r="Y1044" s="1766"/>
      <c r="Z1044" s="1766"/>
      <c r="AA1044" s="1766"/>
      <c r="AB1044" s="1766"/>
      <c r="AC1044" s="1766"/>
      <c r="AD1044" s="1766"/>
      <c r="AE1044" s="1767"/>
      <c r="AF1044" s="73"/>
      <c r="AG1044" s="14"/>
      <c r="AH1044" s="14"/>
      <c r="AI1044" s="83"/>
      <c r="AJ1044" s="1712"/>
      <c r="AK1044" s="1713"/>
      <c r="AL1044" s="1713"/>
      <c r="AM1044" s="1713"/>
      <c r="AN1044" s="1713"/>
      <c r="AO1044" s="1713"/>
      <c r="AP1044" s="1713"/>
      <c r="AQ1044" s="1714"/>
      <c r="AR1044" s="68"/>
      <c r="AS1044" s="68"/>
      <c r="AT1044" s="68"/>
      <c r="AU1044" s="68"/>
      <c r="AV1044" s="68"/>
      <c r="AW1044" s="68"/>
      <c r="AX1044" s="68"/>
      <c r="AY1044" s="68"/>
    </row>
    <row r="1045" spans="1:56" ht="12.95" customHeight="1">
      <c r="A1045" s="14"/>
      <c r="B1045" s="79"/>
      <c r="C1045" s="131" t="s">
        <v>1685</v>
      </c>
      <c r="D1045" s="1771" t="s">
        <v>1865</v>
      </c>
      <c r="E1045" s="1772"/>
      <c r="F1045" s="1772"/>
      <c r="G1045" s="1772"/>
      <c r="H1045" s="1772"/>
      <c r="I1045" s="1772"/>
      <c r="J1045" s="1772"/>
      <c r="K1045" s="1772"/>
      <c r="L1045" s="1772"/>
      <c r="M1045" s="1772"/>
      <c r="N1045" s="1772"/>
      <c r="O1045" s="1772"/>
      <c r="P1045" s="1772"/>
      <c r="Q1045" s="1772"/>
      <c r="R1045" s="1772"/>
      <c r="S1045" s="1772"/>
      <c r="T1045" s="1772"/>
      <c r="U1045" s="1772"/>
      <c r="V1045" s="1772"/>
      <c r="W1045" s="1772"/>
      <c r="X1045" s="1772"/>
      <c r="Y1045" s="1772"/>
      <c r="Z1045" s="1772"/>
      <c r="AA1045" s="1772"/>
      <c r="AB1045" s="1772"/>
      <c r="AC1045" s="1772"/>
      <c r="AD1045" s="1772"/>
      <c r="AE1045" s="1773"/>
      <c r="AF1045" s="79"/>
      <c r="AG1045" s="1774" t="str">
        <f>IF(X1048&gt;0,"Yes","No")</f>
        <v>Yes</v>
      </c>
      <c r="AH1045" s="1775"/>
      <c r="AI1045" s="87"/>
      <c r="AJ1045" s="1706">
        <f>IF((X1048=0),0,AY1005*AJ992)</f>
        <v>7201789.2000000002</v>
      </c>
      <c r="AK1045" s="1707"/>
      <c r="AL1045" s="1707"/>
      <c r="AM1045" s="1707"/>
      <c r="AN1045" s="1707"/>
      <c r="AO1045" s="1707"/>
      <c r="AP1045" s="1707"/>
      <c r="AQ1045" s="170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762" t="s">
        <v>1300</v>
      </c>
      <c r="E1046" s="1763"/>
      <c r="F1046" s="1763"/>
      <c r="G1046" s="1763"/>
      <c r="H1046" s="1763"/>
      <c r="I1046" s="1763"/>
      <c r="J1046" s="1763"/>
      <c r="K1046" s="1763"/>
      <c r="L1046" s="1763"/>
      <c r="M1046" s="1763"/>
      <c r="N1046" s="1763"/>
      <c r="O1046" s="1763"/>
      <c r="P1046" s="1763"/>
      <c r="Q1046" s="1763"/>
      <c r="R1046" s="1763"/>
      <c r="S1046" s="1763"/>
      <c r="T1046" s="1763"/>
      <c r="U1046" s="1763"/>
      <c r="V1046" s="1763"/>
      <c r="W1046" s="1763"/>
      <c r="X1046" s="1763"/>
      <c r="Y1046" s="1763"/>
      <c r="Z1046" s="1763"/>
      <c r="AA1046" s="1763"/>
      <c r="AB1046" s="1763"/>
      <c r="AC1046" s="1763"/>
      <c r="AD1046" s="1763"/>
      <c r="AE1046" s="1764"/>
      <c r="AF1046" s="73"/>
      <c r="AG1046" s="443"/>
      <c r="AH1046" s="443"/>
      <c r="AI1046" s="83"/>
      <c r="AJ1046" s="1709"/>
      <c r="AK1046" s="1710"/>
      <c r="AL1046" s="1710"/>
      <c r="AM1046" s="1710"/>
      <c r="AN1046" s="1710"/>
      <c r="AO1046" s="1710"/>
      <c r="AP1046" s="1710"/>
      <c r="AQ1046" s="1711"/>
      <c r="AR1046" s="68"/>
      <c r="AS1046" s="68"/>
      <c r="AT1046" s="68"/>
      <c r="AU1046" s="13"/>
      <c r="AV1046" s="68"/>
      <c r="AW1046" s="68"/>
      <c r="AX1046" s="68"/>
      <c r="AY1046" s="68"/>
      <c r="AZ1046" s="962">
        <f>'Sources and Uses Budget'!S97*BA1046</f>
        <v>8984857.0499999989</v>
      </c>
      <c r="BA1046" s="1182">
        <f>IF(BA1040,20%,15%)</f>
        <v>0.15</v>
      </c>
      <c r="BB1046" s="3" t="s">
        <v>2479</v>
      </c>
      <c r="BC1046" s="3" t="s">
        <v>2480</v>
      </c>
      <c r="BD1046" s="3"/>
    </row>
    <row r="1047" spans="1:56" ht="12.95" customHeight="1">
      <c r="A1047" s="14"/>
      <c r="B1047" s="73"/>
      <c r="C1047" s="442"/>
      <c r="D1047" s="1762"/>
      <c r="E1047" s="1763"/>
      <c r="F1047" s="1763"/>
      <c r="G1047" s="1763"/>
      <c r="H1047" s="1763"/>
      <c r="I1047" s="1763"/>
      <c r="J1047" s="1763"/>
      <c r="K1047" s="1763"/>
      <c r="L1047" s="1763"/>
      <c r="M1047" s="1763"/>
      <c r="N1047" s="1763"/>
      <c r="O1047" s="1763"/>
      <c r="P1047" s="1763"/>
      <c r="Q1047" s="1763"/>
      <c r="R1047" s="1763"/>
      <c r="S1047" s="1763"/>
      <c r="T1047" s="1763"/>
      <c r="U1047" s="1763"/>
      <c r="V1047" s="1763"/>
      <c r="W1047" s="1763"/>
      <c r="X1047" s="1763"/>
      <c r="Y1047" s="1763"/>
      <c r="Z1047" s="1763"/>
      <c r="AA1047" s="1763"/>
      <c r="AB1047" s="1763"/>
      <c r="AC1047" s="1763"/>
      <c r="AD1047" s="1763"/>
      <c r="AE1047" s="1764"/>
      <c r="AF1047" s="73"/>
      <c r="AG1047" s="443"/>
      <c r="AH1047" s="443"/>
      <c r="AI1047" s="83"/>
      <c r="AJ1047" s="1709"/>
      <c r="AK1047" s="1710"/>
      <c r="AL1047" s="1710"/>
      <c r="AM1047" s="1710"/>
      <c r="AN1047" s="1710"/>
      <c r="AO1047" s="1710"/>
      <c r="AP1047" s="1710"/>
      <c r="AQ1047" s="1711"/>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2">
        <f>AY1003</f>
        <v>151</v>
      </c>
      <c r="J1048" s="1793"/>
      <c r="K1048" s="7"/>
      <c r="L1048" s="133"/>
      <c r="M1048" s="133"/>
      <c r="N1048" s="133"/>
      <c r="O1048" s="133"/>
      <c r="P1048" s="133"/>
      <c r="Q1048" s="133"/>
      <c r="R1048" s="133"/>
      <c r="S1048" s="133"/>
      <c r="T1048" s="133"/>
      <c r="U1048" s="133"/>
      <c r="V1048" s="134" t="s">
        <v>974</v>
      </c>
      <c r="W1048" s="48"/>
      <c r="X1048" s="1790">
        <f>CI753</f>
        <v>16</v>
      </c>
      <c r="Y1048" s="1791"/>
      <c r="Z1048" s="48"/>
      <c r="AA1048" s="48"/>
      <c r="AB1048" s="48"/>
      <c r="AC1048" s="48"/>
      <c r="AD1048" s="48"/>
      <c r="AE1048" s="49"/>
      <c r="AF1048" s="924"/>
      <c r="AG1048" s="925"/>
      <c r="AH1048" s="925"/>
      <c r="AI1048" s="926"/>
      <c r="AJ1048" s="1712"/>
      <c r="AK1048" s="1713"/>
      <c r="AL1048" s="1713"/>
      <c r="AM1048" s="1713"/>
      <c r="AN1048" s="1713"/>
      <c r="AO1048" s="1713"/>
      <c r="AP1048" s="1713"/>
      <c r="AQ1048" s="171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759" t="s">
        <v>2171</v>
      </c>
      <c r="E1049" s="1760"/>
      <c r="F1049" s="1760"/>
      <c r="G1049" s="1760"/>
      <c r="H1049" s="1760"/>
      <c r="I1049" s="1760"/>
      <c r="J1049" s="1760"/>
      <c r="K1049" s="1760"/>
      <c r="L1049" s="1760"/>
      <c r="M1049" s="1760"/>
      <c r="N1049" s="1760"/>
      <c r="O1049" s="1760"/>
      <c r="P1049" s="1760"/>
      <c r="Q1049" s="1760"/>
      <c r="R1049" s="1760"/>
      <c r="S1049" s="1760"/>
      <c r="T1049" s="1760"/>
      <c r="U1049" s="1760"/>
      <c r="V1049" s="1760"/>
      <c r="W1049" s="1760"/>
      <c r="X1049" s="1760"/>
      <c r="Y1049" s="1760"/>
      <c r="Z1049" s="1760"/>
      <c r="AA1049" s="1760"/>
      <c r="AB1049" s="1760"/>
      <c r="AC1049" s="1760"/>
      <c r="AD1049" s="1760"/>
      <c r="AE1049" s="1761"/>
      <c r="AF1049" s="73"/>
      <c r="AG1049" s="1774" t="str">
        <f>IF(X1052&gt;0,"Yes","No")</f>
        <v>Yes</v>
      </c>
      <c r="AH1049" s="1775"/>
      <c r="AI1049" s="83"/>
      <c r="AJ1049" s="1706">
        <f>IF((X1052=0),0,(2*AY1006)*AJ992)</f>
        <v>21605367.599999998</v>
      </c>
      <c r="AK1049" s="1707"/>
      <c r="AL1049" s="1707"/>
      <c r="AM1049" s="1707"/>
      <c r="AN1049" s="1707"/>
      <c r="AO1049" s="1707"/>
      <c r="AP1049" s="1707"/>
      <c r="AQ1049" s="1708"/>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762" t="s">
        <v>1299</v>
      </c>
      <c r="E1050" s="1763"/>
      <c r="F1050" s="1763"/>
      <c r="G1050" s="1763"/>
      <c r="H1050" s="1763"/>
      <c r="I1050" s="1763"/>
      <c r="J1050" s="1763"/>
      <c r="K1050" s="1763"/>
      <c r="L1050" s="1763"/>
      <c r="M1050" s="1763"/>
      <c r="N1050" s="1763"/>
      <c r="O1050" s="1763"/>
      <c r="P1050" s="1763"/>
      <c r="Q1050" s="1763"/>
      <c r="R1050" s="1763"/>
      <c r="S1050" s="1763"/>
      <c r="T1050" s="1763"/>
      <c r="U1050" s="1763"/>
      <c r="V1050" s="1763"/>
      <c r="W1050" s="1763"/>
      <c r="X1050" s="1763"/>
      <c r="Y1050" s="1763"/>
      <c r="Z1050" s="1763"/>
      <c r="AA1050" s="1763"/>
      <c r="AB1050" s="1763"/>
      <c r="AC1050" s="1763"/>
      <c r="AD1050" s="1763"/>
      <c r="AE1050" s="1764"/>
      <c r="AF1050" s="73"/>
      <c r="AG1050" s="443"/>
      <c r="AH1050" s="443"/>
      <c r="AI1050" s="83"/>
      <c r="AJ1050" s="1709"/>
      <c r="AK1050" s="1710"/>
      <c r="AL1050" s="1710"/>
      <c r="AM1050" s="1710"/>
      <c r="AN1050" s="1710"/>
      <c r="AO1050" s="1710"/>
      <c r="AP1050" s="1710"/>
      <c r="AQ1050" s="1711"/>
      <c r="AR1050" s="68"/>
      <c r="AS1050" s="68"/>
      <c r="AT1050" s="68"/>
      <c r="AU1050" s="68"/>
      <c r="AV1050" s="68"/>
      <c r="AW1050" s="68"/>
      <c r="AX1050" s="68"/>
      <c r="AY1050" s="68"/>
      <c r="AZ1050" s="962"/>
      <c r="BA1050" s="3"/>
      <c r="BB1050" s="3"/>
      <c r="BC1050" s="3"/>
      <c r="BD1050" s="3"/>
    </row>
    <row r="1051" spans="1:56" ht="12.95" customHeight="1">
      <c r="A1051" s="14"/>
      <c r="B1051" s="73"/>
      <c r="C1051" s="83"/>
      <c r="D1051" s="1762"/>
      <c r="E1051" s="1763"/>
      <c r="F1051" s="1763"/>
      <c r="G1051" s="1763"/>
      <c r="H1051" s="1763"/>
      <c r="I1051" s="1763"/>
      <c r="J1051" s="1763"/>
      <c r="K1051" s="1763"/>
      <c r="L1051" s="1763"/>
      <c r="M1051" s="1763"/>
      <c r="N1051" s="1763"/>
      <c r="O1051" s="1763"/>
      <c r="P1051" s="1763"/>
      <c r="Q1051" s="1763"/>
      <c r="R1051" s="1763"/>
      <c r="S1051" s="1763"/>
      <c r="T1051" s="1763"/>
      <c r="U1051" s="1763"/>
      <c r="V1051" s="1763"/>
      <c r="W1051" s="1763"/>
      <c r="X1051" s="1763"/>
      <c r="Y1051" s="1763"/>
      <c r="Z1051" s="1763"/>
      <c r="AA1051" s="1763"/>
      <c r="AB1051" s="1763"/>
      <c r="AC1051" s="1763"/>
      <c r="AD1051" s="1763"/>
      <c r="AE1051" s="1764"/>
      <c r="AF1051" s="921"/>
      <c r="AG1051" s="922"/>
      <c r="AH1051" s="922"/>
      <c r="AI1051" s="923"/>
      <c r="AJ1051" s="1709"/>
      <c r="AK1051" s="1710"/>
      <c r="AL1051" s="1710"/>
      <c r="AM1051" s="1710"/>
      <c r="AN1051" s="1710"/>
      <c r="AO1051" s="1710"/>
      <c r="AP1051" s="1710"/>
      <c r="AQ1051" s="1711"/>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2">
        <f>AY1003</f>
        <v>151</v>
      </c>
      <c r="J1052" s="1793"/>
      <c r="K1052" s="14"/>
      <c r="L1052" s="133"/>
      <c r="M1052" s="133"/>
      <c r="N1052" s="133"/>
      <c r="O1052" s="133"/>
      <c r="P1052" s="133"/>
      <c r="Q1052" s="133"/>
      <c r="R1052" s="133"/>
      <c r="S1052" s="133"/>
      <c r="T1052" s="133"/>
      <c r="U1052" s="133"/>
      <c r="V1052" s="134" t="s">
        <v>975</v>
      </c>
      <c r="X1052" s="1790">
        <f>CM753</f>
        <v>23</v>
      </c>
      <c r="Y1052" s="1791"/>
      <c r="AF1052" s="924"/>
      <c r="AG1052" s="925"/>
      <c r="AH1052" s="925"/>
      <c r="AI1052" s="926"/>
      <c r="AJ1052" s="1712"/>
      <c r="AK1052" s="1713"/>
      <c r="AL1052" s="1713"/>
      <c r="AM1052" s="1713"/>
      <c r="AN1052" s="1713"/>
      <c r="AO1052" s="1713"/>
      <c r="AP1052" s="1713"/>
      <c r="AQ1052" s="1714"/>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8" t="s">
        <v>514</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749">
        <f>SUM(AJ992:AQ1052)</f>
        <v>115228626.8</v>
      </c>
      <c r="AK1053" s="1750"/>
      <c r="AL1053" s="1750"/>
      <c r="AM1053" s="1750"/>
      <c r="AN1053" s="1750"/>
      <c r="AO1053" s="1750"/>
      <c r="AP1053" s="1750"/>
      <c r="AQ1053" s="175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68877904</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8984857.0499999989</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0.72203177057738088</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8978857</v>
      </c>
      <c r="BB1058" s="3" t="s">
        <v>2494</v>
      </c>
    </row>
    <row r="1059" spans="1:54" ht="12.95"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6478857</v>
      </c>
      <c r="BB1059" s="3" t="s">
        <v>2495</v>
      </c>
    </row>
    <row r="1060" spans="1:54" ht="12.95"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5" customHeight="1">
      <c r="A1061" s="1833" t="s">
        <v>795</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79" t="s">
        <v>592</v>
      </c>
      <c r="B1065" s="1379"/>
      <c r="C1065" s="1850">
        <v>1</v>
      </c>
      <c r="D1065" s="1850"/>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0"/>
      <c r="D1066" s="185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79" t="s">
        <v>592</v>
      </c>
      <c r="B1067" s="1379"/>
      <c r="C1067" s="1850">
        <v>2</v>
      </c>
      <c r="D1067" s="1850"/>
      <c r="E1067" s="1855" t="s">
        <v>2238</v>
      </c>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c r="AL1067" s="1855"/>
      <c r="AM1067" s="1855"/>
      <c r="AN1067" s="1855"/>
      <c r="AO1067" s="1855"/>
      <c r="AP1067" s="1855"/>
      <c r="AQ1067" s="1855"/>
      <c r="AR1067" s="1855"/>
      <c r="AS1067" s="14"/>
      <c r="AT1067" s="14"/>
      <c r="AV1067" s="68"/>
      <c r="AW1067" s="68"/>
      <c r="AX1067" s="68"/>
      <c r="AY1067" s="68"/>
    </row>
    <row r="1068" spans="1:54" ht="12.95" customHeight="1">
      <c r="A1068" s="198"/>
      <c r="B1068" s="67"/>
      <c r="C1068" s="1850"/>
      <c r="D1068" s="1850"/>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c r="AL1068" s="1855"/>
      <c r="AM1068" s="1855"/>
      <c r="AN1068" s="1855"/>
      <c r="AO1068" s="1855"/>
      <c r="AP1068" s="1855"/>
      <c r="AQ1068" s="1855"/>
      <c r="AR1068" s="1855"/>
      <c r="AS1068" s="14"/>
      <c r="AT1068" s="14"/>
      <c r="AV1068" s="68"/>
      <c r="AW1068" s="68"/>
      <c r="AX1068" s="68"/>
      <c r="AY1068" s="68"/>
    </row>
    <row r="1069" spans="1:54" ht="12.95" customHeight="1">
      <c r="A1069" s="198"/>
      <c r="B1069" s="67"/>
      <c r="C1069" s="1850"/>
      <c r="D1069" s="185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79" t="s">
        <v>592</v>
      </c>
      <c r="B1070" s="1379"/>
      <c r="C1070" s="1456">
        <v>3</v>
      </c>
      <c r="D1070" s="1456"/>
      <c r="E1070" s="1329" t="s">
        <v>1081</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456"/>
      <c r="D1071" s="145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456"/>
      <c r="D1072" s="145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456"/>
      <c r="D1073" s="145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456"/>
      <c r="D1074" s="145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79" t="s">
        <v>592</v>
      </c>
      <c r="B1075" s="1379"/>
      <c r="C1075" s="1456">
        <v>4</v>
      </c>
      <c r="D1075" s="1456"/>
      <c r="E1075" s="1329" t="s">
        <v>1080</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456"/>
      <c r="D1076" s="145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456"/>
      <c r="D1077" s="145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456"/>
      <c r="D1078" s="145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456"/>
      <c r="D1079" s="145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456"/>
      <c r="D1080" s="145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79" t="s">
        <v>592</v>
      </c>
      <c r="B1081" s="1379"/>
      <c r="C1081" s="1456">
        <v>5</v>
      </c>
      <c r="D1081" s="1456"/>
      <c r="E1081" s="1329" t="s">
        <v>2242</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456"/>
      <c r="D1082" s="145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456"/>
      <c r="D1083" s="145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456"/>
      <c r="D1084" s="145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79" t="s">
        <v>592</v>
      </c>
      <c r="B1085" s="1379"/>
      <c r="C1085" s="1456">
        <v>6</v>
      </c>
      <c r="D1085" s="1456"/>
      <c r="E1085" s="1329" t="s">
        <v>2243</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456"/>
      <c r="D1087" s="145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456"/>
      <c r="D1088" s="145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79" t="s">
        <v>592</v>
      </c>
      <c r="B1089" s="1379"/>
      <c r="C1089" s="1456">
        <v>7</v>
      </c>
      <c r="D1089" s="145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456"/>
      <c r="D1090" s="145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456"/>
      <c r="D1091" s="145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456"/>
      <c r="D1092" s="145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56"/>
      <c r="D1093" s="145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79" t="s">
        <v>592</v>
      </c>
      <c r="B1094" s="1379"/>
      <c r="C1094" s="1456">
        <v>8</v>
      </c>
      <c r="D1094" s="1456"/>
      <c r="E1094" s="1329" t="s">
        <v>1074</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456"/>
      <c r="D1095" s="145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456"/>
      <c r="D1096" s="145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79" t="s">
        <v>592</v>
      </c>
      <c r="B1097" s="1379"/>
      <c r="C1097" s="1850">
        <v>9</v>
      </c>
      <c r="D1097" s="1850"/>
      <c r="E1097" s="1329" t="s">
        <v>1076</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50"/>
      <c r="D1098" s="1850"/>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50"/>
      <c r="D1099" s="185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79" t="s">
        <v>592</v>
      </c>
      <c r="B1100" s="1379"/>
      <c r="C1100" s="1850">
        <v>10</v>
      </c>
      <c r="D1100" s="1850"/>
      <c r="E1100" s="1854" t="s">
        <v>2239</v>
      </c>
      <c r="F1100" s="1854"/>
      <c r="G1100" s="1854"/>
      <c r="H1100" s="1854"/>
      <c r="I1100" s="1854"/>
      <c r="J1100" s="1854"/>
      <c r="K1100" s="1854"/>
      <c r="L1100" s="1854"/>
      <c r="M1100" s="1854"/>
      <c r="N1100" s="1854"/>
      <c r="O1100" s="1854"/>
      <c r="P1100" s="1854"/>
      <c r="Q1100" s="1854"/>
      <c r="R1100" s="1854"/>
      <c r="S1100" s="1854"/>
      <c r="T1100" s="1854"/>
      <c r="U1100" s="1854"/>
      <c r="V1100" s="1854"/>
      <c r="W1100" s="1854"/>
      <c r="X1100" s="1854"/>
      <c r="Y1100" s="1854"/>
      <c r="Z1100" s="1854"/>
      <c r="AA1100" s="1854"/>
      <c r="AB1100" s="1854"/>
      <c r="AC1100" s="1854"/>
      <c r="AD1100" s="1854"/>
      <c r="AE1100" s="1854"/>
      <c r="AF1100" s="1854"/>
      <c r="AG1100" s="1854"/>
      <c r="AH1100" s="1854"/>
      <c r="AI1100" s="1854"/>
      <c r="AJ1100" s="1854"/>
      <c r="AK1100" s="1854"/>
      <c r="AL1100" s="1854"/>
      <c r="AM1100" s="1854"/>
      <c r="AN1100" s="1854"/>
      <c r="AO1100" s="1854"/>
      <c r="AP1100" s="1854"/>
      <c r="AQ1100" s="1854"/>
      <c r="AR1100" s="1854"/>
    </row>
    <row r="1101" spans="1:45" ht="12.95" customHeight="1">
      <c r="A1101" s="1"/>
      <c r="B1101" s="1"/>
      <c r="C1101" s="199"/>
      <c r="D1101" s="1161"/>
      <c r="E1101" s="1854"/>
      <c r="F1101" s="1854"/>
      <c r="G1101" s="1854"/>
      <c r="H1101" s="1854"/>
      <c r="I1101" s="1854"/>
      <c r="J1101" s="1854"/>
      <c r="K1101" s="1854"/>
      <c r="L1101" s="1854"/>
      <c r="M1101" s="1854"/>
      <c r="N1101" s="1854"/>
      <c r="O1101" s="1854"/>
      <c r="P1101" s="1854"/>
      <c r="Q1101" s="1854"/>
      <c r="R1101" s="1854"/>
      <c r="S1101" s="1854"/>
      <c r="T1101" s="1854"/>
      <c r="U1101" s="1854"/>
      <c r="V1101" s="1854"/>
      <c r="W1101" s="1854"/>
      <c r="X1101" s="1854"/>
      <c r="Y1101" s="1854"/>
      <c r="Z1101" s="1854"/>
      <c r="AA1101" s="1854"/>
      <c r="AB1101" s="1854"/>
      <c r="AC1101" s="1854"/>
      <c r="AD1101" s="1854"/>
      <c r="AE1101" s="1854"/>
      <c r="AF1101" s="1854"/>
      <c r="AG1101" s="1854"/>
      <c r="AH1101" s="1854"/>
      <c r="AI1101" s="1854"/>
      <c r="AJ1101" s="1854"/>
      <c r="AK1101" s="1854"/>
      <c r="AL1101" s="1854"/>
      <c r="AM1101" s="1854"/>
      <c r="AN1101" s="1854"/>
      <c r="AO1101" s="1854"/>
      <c r="AP1101" s="1854"/>
      <c r="AQ1101" s="1854"/>
      <c r="AR1101" s="185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79" t="s">
        <v>592</v>
      </c>
      <c r="B1103" s="1379"/>
      <c r="C1103" s="1850">
        <v>11</v>
      </c>
      <c r="D1103" s="1850"/>
      <c r="E1103" s="1854" t="s">
        <v>2241</v>
      </c>
      <c r="F1103" s="1854"/>
      <c r="G1103" s="1854"/>
      <c r="H1103" s="1854"/>
      <c r="I1103" s="1854"/>
      <c r="J1103" s="1854"/>
      <c r="K1103" s="1854"/>
      <c r="L1103" s="1854"/>
      <c r="M1103" s="1854"/>
      <c r="N1103" s="1854"/>
      <c r="O1103" s="1854"/>
      <c r="P1103" s="1854"/>
      <c r="Q1103" s="1854"/>
      <c r="R1103" s="1854"/>
      <c r="S1103" s="1854"/>
      <c r="T1103" s="1854"/>
      <c r="U1103" s="1854"/>
      <c r="V1103" s="1854"/>
      <c r="W1103" s="1854"/>
      <c r="X1103" s="1854"/>
      <c r="Y1103" s="1854"/>
      <c r="Z1103" s="1854"/>
      <c r="AA1103" s="1854"/>
      <c r="AB1103" s="1854"/>
      <c r="AC1103" s="1854"/>
      <c r="AD1103" s="1854"/>
      <c r="AE1103" s="1854"/>
      <c r="AF1103" s="1854"/>
      <c r="AG1103" s="1854"/>
      <c r="AH1103" s="1854"/>
      <c r="AI1103" s="1854"/>
      <c r="AJ1103" s="1854"/>
      <c r="AK1103" s="1854"/>
      <c r="AL1103" s="1854"/>
      <c r="AM1103" s="1854"/>
      <c r="AN1103" s="1854"/>
      <c r="AO1103" s="1854"/>
      <c r="AP1103" s="1854"/>
      <c r="AQ1103" s="1854"/>
      <c r="AR1103" s="1854"/>
    </row>
    <row r="1104" spans="1:45" ht="12.95" customHeight="1">
      <c r="A1104" s="1"/>
      <c r="B1104" s="1"/>
      <c r="C1104" s="199"/>
      <c r="D1104" s="1161"/>
      <c r="E1104" s="1854"/>
      <c r="F1104" s="1854"/>
      <c r="G1104" s="1854"/>
      <c r="H1104" s="1854"/>
      <c r="I1104" s="1854"/>
      <c r="J1104" s="1854"/>
      <c r="K1104" s="1854"/>
      <c r="L1104" s="1854"/>
      <c r="M1104" s="1854"/>
      <c r="N1104" s="1854"/>
      <c r="O1104" s="1854"/>
      <c r="P1104" s="1854"/>
      <c r="Q1104" s="1854"/>
      <c r="R1104" s="1854"/>
      <c r="S1104" s="1854"/>
      <c r="T1104" s="1854"/>
      <c r="U1104" s="1854"/>
      <c r="V1104" s="1854"/>
      <c r="W1104" s="1854"/>
      <c r="X1104" s="1854"/>
      <c r="Y1104" s="1854"/>
      <c r="Z1104" s="1854"/>
      <c r="AA1104" s="1854"/>
      <c r="AB1104" s="1854"/>
      <c r="AC1104" s="1854"/>
      <c r="AD1104" s="1854"/>
      <c r="AE1104" s="1854"/>
      <c r="AF1104" s="1854"/>
      <c r="AG1104" s="1854"/>
      <c r="AH1104" s="1854"/>
      <c r="AI1104" s="1854"/>
      <c r="AJ1104" s="1854"/>
      <c r="AK1104" s="1854"/>
      <c r="AL1104" s="1854"/>
      <c r="AM1104" s="1854"/>
      <c r="AN1104" s="1854"/>
      <c r="AO1104" s="1854"/>
      <c r="AP1104" s="1854"/>
      <c r="AQ1104" s="1854"/>
      <c r="AR1104" s="185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79" t="s">
        <v>592</v>
      </c>
      <c r="B1125" s="1379"/>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B748:F748"/>
    <mergeCell ref="B749:F749"/>
    <mergeCell ref="B750:F750"/>
    <mergeCell ref="T750:W750"/>
    <mergeCell ref="AE962:AK962"/>
    <mergeCell ref="M961:S961"/>
    <mergeCell ref="AK749:AO749"/>
    <mergeCell ref="AK751:AO751"/>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E959:AK959"/>
    <mergeCell ref="W974:AG974"/>
    <mergeCell ref="M972:S972"/>
    <mergeCell ref="D1022:AE1023"/>
    <mergeCell ref="D988:Q988"/>
    <mergeCell ref="AJ1013:AQ1015"/>
    <mergeCell ref="AJ1016:AQ1019"/>
    <mergeCell ref="D1011:AE1011"/>
    <mergeCell ref="H688:R688"/>
    <mergeCell ref="C1089:D108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B744:F744"/>
    <mergeCell ref="B745:F745"/>
    <mergeCell ref="AJ1045:AQ1048"/>
    <mergeCell ref="AJ1049:AQ1052"/>
    <mergeCell ref="U929:Z929"/>
    <mergeCell ref="B746:F746"/>
    <mergeCell ref="AA970:AG970"/>
    <mergeCell ref="AF1023:AI1024"/>
    <mergeCell ref="B747:F747"/>
    <mergeCell ref="AA971:AG971"/>
    <mergeCell ref="T972:Z972"/>
    <mergeCell ref="O974:P974"/>
    <mergeCell ref="R986:AA986"/>
    <mergeCell ref="R989:AA989"/>
    <mergeCell ref="AJ989:AQ989"/>
    <mergeCell ref="J1024:AE1024"/>
    <mergeCell ref="AJ992:AQ992"/>
    <mergeCell ref="AJ993:AQ993"/>
    <mergeCell ref="D1013:AE1013"/>
    <mergeCell ref="AF993:AI993"/>
    <mergeCell ref="AG994:AH994"/>
    <mergeCell ref="AG1001:AH1001"/>
    <mergeCell ref="AG1007:AH1007"/>
    <mergeCell ref="AJ990:AQ99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M973:S973"/>
    <mergeCell ref="H18:AJ18"/>
    <mergeCell ref="O33:P33"/>
    <mergeCell ref="M26:Q26"/>
    <mergeCell ref="H16:AJ16"/>
    <mergeCell ref="A21:AL21"/>
    <mergeCell ref="M27:Q27"/>
    <mergeCell ref="A13:AT14"/>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B740:F740"/>
    <mergeCell ref="T737:W737"/>
    <mergeCell ref="X739:AB739"/>
    <mergeCell ref="G740:J740"/>
    <mergeCell ref="T733:W733"/>
    <mergeCell ref="B714:F717"/>
    <mergeCell ref="G729:J729"/>
    <mergeCell ref="B726:F726"/>
    <mergeCell ref="G655:L655"/>
    <mergeCell ref="O736:S736"/>
    <mergeCell ref="O734:S734"/>
    <mergeCell ref="AC734:AG734"/>
    <mergeCell ref="AC735:AG735"/>
    <mergeCell ref="AC724:AG724"/>
    <mergeCell ref="AC730:AG730"/>
    <mergeCell ref="K724:N724"/>
    <mergeCell ref="K738:N738"/>
    <mergeCell ref="AK731:AO731"/>
    <mergeCell ref="AK738:AO738"/>
    <mergeCell ref="G730:J730"/>
    <mergeCell ref="X730:AB730"/>
    <mergeCell ref="X731:AB731"/>
    <mergeCell ref="AH732:AJ732"/>
    <mergeCell ref="X727:AB727"/>
    <mergeCell ref="AC733:AG733"/>
    <mergeCell ref="K736:N736"/>
    <mergeCell ref="G736:J736"/>
    <mergeCell ref="K727:N727"/>
    <mergeCell ref="K726:N726"/>
    <mergeCell ref="AC729:AG729"/>
    <mergeCell ref="O728:S728"/>
    <mergeCell ref="K737:N737"/>
    <mergeCell ref="K731:N731"/>
    <mergeCell ref="O731:S731"/>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647:L647"/>
    <mergeCell ref="C638:L638"/>
    <mergeCell ref="Q629:S629"/>
    <mergeCell ref="C634:L634"/>
    <mergeCell ref="M624:P626"/>
    <mergeCell ref="H656:R656"/>
    <mergeCell ref="AF624:AJ626"/>
    <mergeCell ref="AI613:AK613"/>
    <mergeCell ref="AA614:AK614"/>
    <mergeCell ref="AC624:AE626"/>
    <mergeCell ref="G645:R645"/>
    <mergeCell ref="Z596:AK596"/>
    <mergeCell ref="H598:R598"/>
    <mergeCell ref="AG583:AH583"/>
    <mergeCell ref="AG649:AH649"/>
    <mergeCell ref="T624:V626"/>
    <mergeCell ref="W627:Y627"/>
    <mergeCell ref="EH637:EL637"/>
    <mergeCell ref="EC648:EG648"/>
    <mergeCell ref="ER649:EV649"/>
    <mergeCell ref="ER647:EV647"/>
    <mergeCell ref="EH645:EL645"/>
    <mergeCell ref="EO727:ES727"/>
    <mergeCell ref="EW670:FA670"/>
    <mergeCell ref="EW656:FA656"/>
    <mergeCell ref="EJ724:EN724"/>
    <mergeCell ref="EE724:EI724"/>
    <mergeCell ref="EC668:EG668"/>
    <mergeCell ref="DU731:DY731"/>
    <mergeCell ref="DU732:DY732"/>
    <mergeCell ref="DZ732:ED732"/>
    <mergeCell ref="EE732:EI732"/>
    <mergeCell ref="EM642:EQ642"/>
    <mergeCell ref="ER642:EV642"/>
    <mergeCell ref="DX641:EB641"/>
    <mergeCell ref="EC644:EG644"/>
    <mergeCell ref="EH644:EL644"/>
    <mergeCell ref="EW647:FA647"/>
    <mergeCell ref="DU727:DY727"/>
    <mergeCell ref="EW652:FA652"/>
    <mergeCell ref="ER657:EV657"/>
    <mergeCell ref="EW657:FA657"/>
    <mergeCell ref="EH659:EL659"/>
    <mergeCell ref="EC661:EG661"/>
    <mergeCell ref="EH661:EL661"/>
    <mergeCell ref="EO730:ES730"/>
    <mergeCell ref="ER669:EV669"/>
    <mergeCell ref="ER668:EV668"/>
    <mergeCell ref="EW668:FA668"/>
    <mergeCell ref="DZ738:ED738"/>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DJ738:DN738"/>
    <mergeCell ref="DO737:DS737"/>
    <mergeCell ref="DO738:DS738"/>
    <mergeCell ref="EE737:EI737"/>
    <mergeCell ref="DO773:DS773"/>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J776:DN776"/>
    <mergeCell ref="DO776:DS776"/>
    <mergeCell ref="DO775:DS775"/>
    <mergeCell ref="DJ753:DN753"/>
    <mergeCell ref="CP787:CT787"/>
    <mergeCell ref="DE740:DI740"/>
    <mergeCell ref="DU740:DY740"/>
    <mergeCell ref="DZ740:ED740"/>
    <mergeCell ref="EE740:EI740"/>
    <mergeCell ref="CU775:CY775"/>
    <mergeCell ref="EE745:EI745"/>
    <mergeCell ref="DU749:DY749"/>
    <mergeCell ref="DZ749:ED749"/>
    <mergeCell ref="DE776:DI776"/>
    <mergeCell ref="DJ746:DN746"/>
    <mergeCell ref="DE744:DI744"/>
    <mergeCell ref="DE750:DI750"/>
    <mergeCell ref="DJ750:DN750"/>
    <mergeCell ref="DO774:DS774"/>
    <mergeCell ref="DU753:DY753"/>
    <mergeCell ref="DZ753:ED753"/>
    <mergeCell ref="DZ752:ED752"/>
    <mergeCell ref="DJ752:DN752"/>
    <mergeCell ref="CZ746:DD746"/>
    <mergeCell ref="DE774:DI774"/>
    <mergeCell ref="DU735:DY735"/>
    <mergeCell ref="EJ736:EN736"/>
    <mergeCell ref="ET735:EX735"/>
    <mergeCell ref="ET736:EX736"/>
    <mergeCell ref="EZ720:FD720"/>
    <mergeCell ref="DE736:DI736"/>
    <mergeCell ref="EJ717:EN717"/>
    <mergeCell ref="EE735:EI735"/>
    <mergeCell ref="EJ734:EN734"/>
    <mergeCell ref="EM636:EQ636"/>
    <mergeCell ref="DX637:EB637"/>
    <mergeCell ref="DU734:DY734"/>
    <mergeCell ref="DO720:DS720"/>
    <mergeCell ref="DX656:EB656"/>
    <mergeCell ref="EC656:EG656"/>
    <mergeCell ref="EH656:EL656"/>
    <mergeCell ref="EM656:EQ656"/>
    <mergeCell ref="EW669:FA669"/>
    <mergeCell ref="EH653:EL653"/>
    <mergeCell ref="EM653:EQ653"/>
    <mergeCell ref="ER653:EV653"/>
    <mergeCell ref="EW655:FA655"/>
    <mergeCell ref="DU733:DY733"/>
    <mergeCell ref="ER651:EV651"/>
    <mergeCell ref="ER652:EV652"/>
    <mergeCell ref="EH647:EL647"/>
    <mergeCell ref="EM647:EQ647"/>
    <mergeCell ref="DX648:EB648"/>
    <mergeCell ref="DX651:EB651"/>
    <mergeCell ref="EC651:EG651"/>
    <mergeCell ref="EC637:EG637"/>
    <mergeCell ref="DU736:DY736"/>
    <mergeCell ref="ET738:EX738"/>
    <mergeCell ref="CK745:CL745"/>
    <mergeCell ref="DU739:DY739"/>
    <mergeCell ref="CP777:CT777"/>
    <mergeCell ref="CP773:CT773"/>
    <mergeCell ref="CU752:CY752"/>
    <mergeCell ref="CP717:CT717"/>
    <mergeCell ref="AK720:AO720"/>
    <mergeCell ref="EE738:EI738"/>
    <mergeCell ref="EJ738:EN738"/>
    <mergeCell ref="DE735:DI735"/>
    <mergeCell ref="FE753:FI753"/>
    <mergeCell ref="EJ735:EN735"/>
    <mergeCell ref="EO735:ES735"/>
    <mergeCell ref="DZ735:ED735"/>
    <mergeCell ref="DZ736:ED736"/>
    <mergeCell ref="EE736:EI736"/>
    <mergeCell ref="ET751:EX751"/>
    <mergeCell ref="EJ751:EN751"/>
    <mergeCell ref="EO739:ES739"/>
    <mergeCell ref="ET739:EX739"/>
    <mergeCell ref="DJ773:DN773"/>
    <mergeCell ref="DJ777:DN777"/>
    <mergeCell ref="CZ774:DD774"/>
    <mergeCell ref="CZ773:DD773"/>
    <mergeCell ref="DJ774:DN774"/>
    <mergeCell ref="EZ733:FD733"/>
    <mergeCell ref="FE733:FI733"/>
    <mergeCell ref="ET740:EX740"/>
    <mergeCell ref="CU773:CY773"/>
    <mergeCell ref="CP738:CT738"/>
    <mergeCell ref="DZ737:ED737"/>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DO746:DS746"/>
    <mergeCell ref="DZ739:ED739"/>
    <mergeCell ref="EE739:EI739"/>
    <mergeCell ref="DO753:DS753"/>
    <mergeCell ref="FE737:FI737"/>
    <mergeCell ref="FJ737:FN737"/>
    <mergeCell ref="EO740:ES740"/>
    <mergeCell ref="EO738:ES738"/>
    <mergeCell ref="DE738:DI738"/>
    <mergeCell ref="DU737:DY737"/>
    <mergeCell ref="EJ739:EN739"/>
    <mergeCell ref="EO737:ES737"/>
    <mergeCell ref="FE747:FI747"/>
    <mergeCell ref="DE739:DI739"/>
    <mergeCell ref="ET741:EX741"/>
    <mergeCell ref="EE741:EI741"/>
    <mergeCell ref="EJ741:EN741"/>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J732:EN732"/>
    <mergeCell ref="EO733:ES733"/>
    <mergeCell ref="ET731:EX731"/>
    <mergeCell ref="EJ727:EN727"/>
    <mergeCell ref="EO729:ES729"/>
    <mergeCell ref="EO732:ES732"/>
    <mergeCell ref="ET729:EX729"/>
    <mergeCell ref="EE733:EI733"/>
    <mergeCell ref="ET732:EX732"/>
    <mergeCell ref="DU730:DY730"/>
    <mergeCell ref="EE728:EI728"/>
    <mergeCell ref="EJ728:EN728"/>
    <mergeCell ref="ET723:EX723"/>
    <mergeCell ref="DU725:DY725"/>
    <mergeCell ref="DZ725:ED725"/>
    <mergeCell ref="DU723:DY723"/>
    <mergeCell ref="DZ723:ED723"/>
    <mergeCell ref="ET725:EX725"/>
    <mergeCell ref="DU724:DY724"/>
    <mergeCell ref="EW654:FA654"/>
    <mergeCell ref="EE723:EI723"/>
    <mergeCell ref="EJ723:EN723"/>
    <mergeCell ref="EO723:ES723"/>
    <mergeCell ref="EM666:EQ666"/>
    <mergeCell ref="ER666:EV666"/>
    <mergeCell ref="DX655:EB655"/>
    <mergeCell ref="EM657:EQ657"/>
    <mergeCell ref="ET717:EX717"/>
    <mergeCell ref="EM670:EQ670"/>
    <mergeCell ref="EW660:FA660"/>
    <mergeCell ref="DX661:EB661"/>
    <mergeCell ref="ET730:EX730"/>
    <mergeCell ref="EO724:ES724"/>
    <mergeCell ref="EC655:EG655"/>
    <mergeCell ref="DX667:EB667"/>
    <mergeCell ref="EW661:FA661"/>
    <mergeCell ref="EM662:EQ662"/>
    <mergeCell ref="ER662:EV662"/>
    <mergeCell ref="ET724:EX724"/>
    <mergeCell ref="EO726:ES726"/>
    <mergeCell ref="ET726:EX726"/>
    <mergeCell ref="ET722:EX722"/>
    <mergeCell ref="EW638:FA638"/>
    <mergeCell ref="ER648:EV648"/>
    <mergeCell ref="EW639:FA639"/>
    <mergeCell ref="EC640:EG640"/>
    <mergeCell ref="EW640:FA640"/>
    <mergeCell ref="ER643:EV643"/>
    <mergeCell ref="ER640:EV640"/>
    <mergeCell ref="EJ722:EN722"/>
    <mergeCell ref="DX644:EB644"/>
    <mergeCell ref="DX642:EB642"/>
    <mergeCell ref="DX643:EB643"/>
    <mergeCell ref="EZ717:FD717"/>
    <mergeCell ref="EM650:EQ650"/>
    <mergeCell ref="DX653:EB653"/>
    <mergeCell ref="EC653:EG653"/>
    <mergeCell ref="DX654:EB654"/>
    <mergeCell ref="EJ718:EN718"/>
    <mergeCell ref="DX668:EB668"/>
    <mergeCell ref="EW667:FA667"/>
    <mergeCell ref="EM661:EQ661"/>
    <mergeCell ref="ER670:EV670"/>
    <mergeCell ref="DX669:EB669"/>
    <mergeCell ref="EC670:EG670"/>
    <mergeCell ref="EH670:EL670"/>
    <mergeCell ref="ER656:EV656"/>
    <mergeCell ref="EC669:EG669"/>
    <mergeCell ref="EH669:EL669"/>
    <mergeCell ref="EM669:EQ669"/>
    <mergeCell ref="EM645:EQ645"/>
    <mergeCell ref="EH640:EL640"/>
    <mergeCell ref="EM640:EQ640"/>
    <mergeCell ref="EW650:FA65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R639:EV639"/>
    <mergeCell ref="EW641:FA641"/>
    <mergeCell ref="EM648:EQ648"/>
    <mergeCell ref="EM651:EQ651"/>
    <mergeCell ref="EC652:EG652"/>
    <mergeCell ref="EH652:EL652"/>
    <mergeCell ref="EJ737:EN737"/>
    <mergeCell ref="EC664:EG664"/>
    <mergeCell ref="EH664:EL664"/>
    <mergeCell ref="EJ730:EN730"/>
    <mergeCell ref="ET733:EX733"/>
    <mergeCell ref="FJ721:FN721"/>
    <mergeCell ref="FO721:FS721"/>
    <mergeCell ref="EO718:ES718"/>
    <mergeCell ref="DU720:DY720"/>
    <mergeCell ref="EM668:EQ668"/>
    <mergeCell ref="DX670:EB670"/>
    <mergeCell ref="EM664:EQ664"/>
    <mergeCell ref="ER664:EV664"/>
    <mergeCell ref="EC667:EG667"/>
    <mergeCell ref="EH667:EL667"/>
    <mergeCell ref="DU729:DY729"/>
    <mergeCell ref="FJ735:FN735"/>
    <mergeCell ref="FJ733:FN733"/>
    <mergeCell ref="FO733:FS733"/>
    <mergeCell ref="EO734:ES734"/>
    <mergeCell ref="ET734:EX734"/>
    <mergeCell ref="EE734:EI734"/>
    <mergeCell ref="EE729:EI729"/>
    <mergeCell ref="EO731:ES731"/>
    <mergeCell ref="DZ724:ED724"/>
    <mergeCell ref="EE725:EI725"/>
    <mergeCell ref="EE726:EI726"/>
    <mergeCell ref="EJ726:EN726"/>
    <mergeCell ref="EZ729:FD729"/>
    <mergeCell ref="FE729:FI729"/>
    <mergeCell ref="FJ732:FN732"/>
    <mergeCell ref="EJ733:EN733"/>
    <mergeCell ref="DX645:EB645"/>
    <mergeCell ref="EO719:ES719"/>
    <mergeCell ref="ET719:EX719"/>
    <mergeCell ref="ET721:EX721"/>
    <mergeCell ref="EE720:EI720"/>
    <mergeCell ref="DX640:EB640"/>
    <mergeCell ref="DX646:EB646"/>
    <mergeCell ref="EC646:EG646"/>
    <mergeCell ref="EH646:EL646"/>
    <mergeCell ref="EM667:EQ667"/>
    <mergeCell ref="ER667:EV667"/>
    <mergeCell ref="ET718:EX718"/>
    <mergeCell ref="EE719:EI719"/>
    <mergeCell ref="DZ720:ED720"/>
    <mergeCell ref="EJ719:EN719"/>
    <mergeCell ref="DZ719:ED719"/>
    <mergeCell ref="ER650:EV650"/>
    <mergeCell ref="ER661:EV661"/>
    <mergeCell ref="EM649:EQ649"/>
    <mergeCell ref="EM654:EQ654"/>
    <mergeCell ref="ER654:EV654"/>
    <mergeCell ref="DX647:EB647"/>
    <mergeCell ref="EW648:FA648"/>
    <mergeCell ref="EW651:FA651"/>
    <mergeCell ref="EW649:FA649"/>
    <mergeCell ref="DX649:EB649"/>
    <mergeCell ref="EM652:EQ652"/>
    <mergeCell ref="DX650:EB650"/>
    <mergeCell ref="EC650:EG650"/>
    <mergeCell ref="ET720:EX720"/>
    <mergeCell ref="EW664:FA664"/>
    <mergeCell ref="EW666:FA666"/>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9:FX739"/>
    <mergeCell ref="FE751:FI751"/>
    <mergeCell ref="FY740:GC740"/>
    <mergeCell ref="FJ751:FN751"/>
    <mergeCell ref="FO740:FS740"/>
    <mergeCell ref="FT740:FX740"/>
    <mergeCell ref="FT733:FX733"/>
    <mergeCell ref="FT734:FX734"/>
    <mergeCell ref="FY734:GC734"/>
    <mergeCell ref="EZ735:FD735"/>
    <mergeCell ref="FE735:FI735"/>
    <mergeCell ref="EZ739:FD739"/>
    <mergeCell ref="FE739:FI739"/>
    <mergeCell ref="FJ739:FN739"/>
    <mergeCell ref="FY737:GC737"/>
    <mergeCell ref="FT751:FX751"/>
    <mergeCell ref="FY751:GC751"/>
    <mergeCell ref="EZ728:FD728"/>
    <mergeCell ref="FE728:FI728"/>
    <mergeCell ref="FJ728:FN728"/>
    <mergeCell ref="FO728:FS728"/>
    <mergeCell ref="FT728:FX728"/>
    <mergeCell ref="FO739:FS739"/>
    <mergeCell ref="FO730:FS730"/>
    <mergeCell ref="FT730:FX730"/>
    <mergeCell ref="FY748:GC748"/>
    <mergeCell ref="FE749:FI749"/>
    <mergeCell ref="FJ749:FN749"/>
    <mergeCell ref="FO749:FS749"/>
    <mergeCell ref="FY745:GC745"/>
    <mergeCell ref="FT746:FX746"/>
    <mergeCell ref="FY746:GC746"/>
    <mergeCell ref="FJ747:FN747"/>
    <mergeCell ref="FO747:FS747"/>
    <mergeCell ref="FT747:FX747"/>
    <mergeCell ref="FO735:FS735"/>
    <mergeCell ref="FT735:FX735"/>
    <mergeCell ref="FY738:GC738"/>
    <mergeCell ref="FY730:GC730"/>
    <mergeCell ref="EZ731:FD731"/>
    <mergeCell ref="FE731:FI731"/>
    <mergeCell ref="FJ731:FN731"/>
    <mergeCell ref="FO731:FS731"/>
    <mergeCell ref="FT731:FX731"/>
    <mergeCell ref="FY731:GC731"/>
    <mergeCell ref="EZ732:FD732"/>
    <mergeCell ref="FE732:FI732"/>
    <mergeCell ref="FO732:FS732"/>
    <mergeCell ref="FT732:FX732"/>
    <mergeCell ref="FY732:GC732"/>
    <mergeCell ref="FO736:FS736"/>
    <mergeCell ref="FT736:FX736"/>
    <mergeCell ref="FY736:GC736"/>
    <mergeCell ref="EZ737:FD737"/>
    <mergeCell ref="FJ734:FN734"/>
    <mergeCell ref="FO734:FS734"/>
    <mergeCell ref="FT738:FX738"/>
    <mergeCell ref="FY735:GC735"/>
    <mergeCell ref="EZ736:FD736"/>
    <mergeCell ref="FE736:FI736"/>
    <mergeCell ref="FJ736:FN736"/>
    <mergeCell ref="FT737:FX737"/>
    <mergeCell ref="FE730:FI730"/>
    <mergeCell ref="FJ730:FN730"/>
    <mergeCell ref="FO737:FS737"/>
    <mergeCell ref="FT729:FX729"/>
    <mergeCell ref="FY729:GC729"/>
    <mergeCell ref="FO729:FS729"/>
    <mergeCell ref="FJ725:FN725"/>
    <mergeCell ref="FO725:FS725"/>
    <mergeCell ref="FT725:FX725"/>
    <mergeCell ref="EZ721:FD721"/>
    <mergeCell ref="FE721:FI721"/>
    <mergeCell ref="EZ725:FD725"/>
    <mergeCell ref="FE725:FI725"/>
    <mergeCell ref="EZ724:FD724"/>
    <mergeCell ref="FY725:GC725"/>
    <mergeCell ref="EZ726:FD726"/>
    <mergeCell ref="FE726:FI726"/>
    <mergeCell ref="FT724:FX724"/>
    <mergeCell ref="FY724:GC724"/>
    <mergeCell ref="FJ724:FN724"/>
    <mergeCell ref="FO724:FS724"/>
    <mergeCell ref="FJ729:FN729"/>
    <mergeCell ref="FJ726:FN726"/>
    <mergeCell ref="FY726:GC726"/>
    <mergeCell ref="EZ727:FD727"/>
    <mergeCell ref="FE727:FI727"/>
    <mergeCell ref="FJ727:FN727"/>
    <mergeCell ref="FY728:GC728"/>
    <mergeCell ref="FE724:FI724"/>
    <mergeCell ref="FJ717:FN717"/>
    <mergeCell ref="FO717:FS717"/>
    <mergeCell ref="FT721:FX721"/>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O726:FS726"/>
    <mergeCell ref="FT726:FX726"/>
    <mergeCell ref="AJ1025:AQ1028"/>
    <mergeCell ref="AJ987:AQ987"/>
    <mergeCell ref="AJ988:AQ988"/>
    <mergeCell ref="B992:AI992"/>
    <mergeCell ref="D1029:AE1029"/>
    <mergeCell ref="B991:AA991"/>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3:FX723"/>
    <mergeCell ref="FY723:GC723"/>
    <mergeCell ref="FT720:FX720"/>
    <mergeCell ref="FO727:FS727"/>
    <mergeCell ref="FT727:FX727"/>
    <mergeCell ref="FE720:FI720"/>
    <mergeCell ref="FJ720:FN720"/>
    <mergeCell ref="FO720:FS720"/>
    <mergeCell ref="FE717:FI717"/>
    <mergeCell ref="AG1013:AH1013"/>
    <mergeCell ref="D1002:AE1006"/>
    <mergeCell ref="D1012:AE1012"/>
    <mergeCell ref="R988:AA988"/>
    <mergeCell ref="D989:Q989"/>
    <mergeCell ref="D990:Q990"/>
    <mergeCell ref="AB989:AI989"/>
    <mergeCell ref="AB990:AI990"/>
    <mergeCell ref="D1053:AI1053"/>
    <mergeCell ref="D1049:AE1049"/>
    <mergeCell ref="D1032:AE1032"/>
    <mergeCell ref="D1050:AE1051"/>
    <mergeCell ref="X1048:Y1048"/>
    <mergeCell ref="X1052:Y1052"/>
    <mergeCell ref="I1048:J1048"/>
    <mergeCell ref="I1052:J1052"/>
    <mergeCell ref="AG1049:AH1049"/>
    <mergeCell ref="AG1025:AH1025"/>
    <mergeCell ref="AG1036:AH1036"/>
    <mergeCell ref="D1026:AE1028"/>
    <mergeCell ref="AF1027:AI1028"/>
    <mergeCell ref="D1046:AE1047"/>
    <mergeCell ref="D1007:AE1007"/>
    <mergeCell ref="R990:AA990"/>
    <mergeCell ref="D999:AE999"/>
    <mergeCell ref="D1001:AE1001"/>
    <mergeCell ref="D994:AE994"/>
    <mergeCell ref="D1000:AE1000"/>
    <mergeCell ref="AG1016:AH1016"/>
    <mergeCell ref="AG1020:AH1020"/>
    <mergeCell ref="D1016:AE1016"/>
    <mergeCell ref="D1008:AE1010"/>
    <mergeCell ref="AF1021:AI1022"/>
    <mergeCell ref="AB988:AI988"/>
    <mergeCell ref="AJ1053:AQ1053"/>
    <mergeCell ref="AG1029:AH1029"/>
    <mergeCell ref="D1037:AE1040"/>
    <mergeCell ref="AJ1036:AQ1040"/>
    <mergeCell ref="D1041:AE1041"/>
    <mergeCell ref="D1042:AE1044"/>
    <mergeCell ref="F975:L975"/>
    <mergeCell ref="M975:S975"/>
    <mergeCell ref="AJ1041:AQ1044"/>
    <mergeCell ref="D1030:AE1031"/>
    <mergeCell ref="B993:AE993"/>
    <mergeCell ref="D1045:AE1045"/>
    <mergeCell ref="D1014:AE1015"/>
    <mergeCell ref="AG1045:AH1045"/>
    <mergeCell ref="D1017:AE1019"/>
    <mergeCell ref="AG1032:AH1032"/>
    <mergeCell ref="D1036:AE1036"/>
    <mergeCell ref="AG1041:AH104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D995:AE998"/>
    <mergeCell ref="AG1011:AH1011"/>
    <mergeCell ref="D985:Q985"/>
    <mergeCell ref="D986:Q986"/>
    <mergeCell ref="AB985:AI985"/>
    <mergeCell ref="AB986:AI986"/>
    <mergeCell ref="AB987:AI987"/>
    <mergeCell ref="U928:Z928"/>
    <mergeCell ref="U948:Z948"/>
    <mergeCell ref="U935:Z935"/>
    <mergeCell ref="AA923:AF923"/>
    <mergeCell ref="AB917:AE917"/>
    <mergeCell ref="AA922:AF922"/>
    <mergeCell ref="M958:S958"/>
    <mergeCell ref="AA972:AG972"/>
    <mergeCell ref="AA920:AF920"/>
    <mergeCell ref="AA919:AF919"/>
    <mergeCell ref="U925:Z925"/>
    <mergeCell ref="AA968:AG968"/>
    <mergeCell ref="AE955:AK955"/>
    <mergeCell ref="I950:T950"/>
    <mergeCell ref="R987:AA987"/>
    <mergeCell ref="P945:T945"/>
    <mergeCell ref="J957:S957"/>
    <mergeCell ref="AA973:AG973"/>
    <mergeCell ref="D987:Q987"/>
    <mergeCell ref="R985:AA985"/>
    <mergeCell ref="A979:AT981"/>
    <mergeCell ref="AJ985:AQ985"/>
    <mergeCell ref="M971:S971"/>
    <mergeCell ref="M956:S956"/>
    <mergeCell ref="AB957:AK957"/>
    <mergeCell ref="AA925:AF925"/>
    <mergeCell ref="M970:S970"/>
    <mergeCell ref="U915:Z917"/>
    <mergeCell ref="U950:Z950"/>
    <mergeCell ref="AA975:AG975"/>
    <mergeCell ref="AA945:AF945"/>
    <mergeCell ref="U918:Z918"/>
    <mergeCell ref="T973:Z973"/>
    <mergeCell ref="I947:T947"/>
    <mergeCell ref="G671:L671"/>
    <mergeCell ref="Z686:AK686"/>
    <mergeCell ref="Z675:AK675"/>
    <mergeCell ref="K734:N734"/>
    <mergeCell ref="AH733:AJ733"/>
    <mergeCell ref="G723:J723"/>
    <mergeCell ref="O725:S725"/>
    <mergeCell ref="O726:S726"/>
    <mergeCell ref="AK737:AO737"/>
    <mergeCell ref="X735:AB735"/>
    <mergeCell ref="X736:AB736"/>
    <mergeCell ref="T735:W735"/>
    <mergeCell ref="T734:W734"/>
    <mergeCell ref="AC727:AG727"/>
    <mergeCell ref="M962:S962"/>
    <mergeCell ref="G753:J753"/>
    <mergeCell ref="AE958:AK958"/>
    <mergeCell ref="F916:T917"/>
    <mergeCell ref="F939:T939"/>
    <mergeCell ref="X733:AB733"/>
    <mergeCell ref="G732:J732"/>
    <mergeCell ref="AH735:AJ735"/>
    <mergeCell ref="X734:AB734"/>
    <mergeCell ref="X724:AB724"/>
    <mergeCell ref="M959:S959"/>
    <mergeCell ref="O746:S746"/>
    <mergeCell ref="O743:S743"/>
    <mergeCell ref="T743:W743"/>
    <mergeCell ref="K744:N744"/>
    <mergeCell ref="O744:S744"/>
    <mergeCell ref="K728:N728"/>
    <mergeCell ref="O732:S732"/>
    <mergeCell ref="G737:J737"/>
    <mergeCell ref="G735:J735"/>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Q823:T824"/>
    <mergeCell ref="Z809:AE809"/>
    <mergeCell ref="G669:R669"/>
    <mergeCell ref="O791:S791"/>
    <mergeCell ref="W629:Y629"/>
    <mergeCell ref="J783:N786"/>
    <mergeCell ref="T790:W790"/>
    <mergeCell ref="T793:W793"/>
    <mergeCell ref="O775:S775"/>
    <mergeCell ref="J792:N792"/>
    <mergeCell ref="Z806:AE806"/>
    <mergeCell ref="X791:AB791"/>
    <mergeCell ref="J788:N788"/>
    <mergeCell ref="T744:W744"/>
    <mergeCell ref="O740:S740"/>
    <mergeCell ref="K741:N741"/>
    <mergeCell ref="Z814:AE814"/>
    <mergeCell ref="Z817:AE817"/>
    <mergeCell ref="P816:Y816"/>
    <mergeCell ref="T742:W742"/>
    <mergeCell ref="X745:AB745"/>
    <mergeCell ref="K743:N743"/>
    <mergeCell ref="K746:N746"/>
    <mergeCell ref="T751:W751"/>
    <mergeCell ref="K748:N748"/>
    <mergeCell ref="O742:S742"/>
    <mergeCell ref="T749:W749"/>
    <mergeCell ref="K750:N750"/>
    <mergeCell ref="X748:AB748"/>
    <mergeCell ref="X749:AB749"/>
    <mergeCell ref="X750:AB750"/>
    <mergeCell ref="AC749:AG749"/>
    <mergeCell ref="T746:W746"/>
    <mergeCell ref="K747:N747"/>
    <mergeCell ref="X741:AB741"/>
    <mergeCell ref="X740:AB740"/>
    <mergeCell ref="AD759:AF759"/>
    <mergeCell ref="M823:P824"/>
    <mergeCell ref="T796:W796"/>
    <mergeCell ref="O776:S776"/>
    <mergeCell ref="O769:S772"/>
    <mergeCell ref="B754:AH755"/>
    <mergeCell ref="X774:AB774"/>
    <mergeCell ref="T773:W773"/>
    <mergeCell ref="AC747:AG74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U823:X824"/>
    <mergeCell ref="G739:J739"/>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M878:V878"/>
    <mergeCell ref="U946:Z946"/>
    <mergeCell ref="AA944:AF944"/>
    <mergeCell ref="AA936:AF936"/>
    <mergeCell ref="U943:Z943"/>
    <mergeCell ref="U941:Z941"/>
    <mergeCell ref="AA943:AF943"/>
    <mergeCell ref="F946:H946"/>
    <mergeCell ref="AA967:AG967"/>
    <mergeCell ref="F929:T929"/>
    <mergeCell ref="AE956:AK956"/>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M826:P826"/>
    <mergeCell ref="M871:V871"/>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AC829:AF829"/>
    <mergeCell ref="Y826:AB826"/>
    <mergeCell ref="DJ737:DN737"/>
    <mergeCell ref="DJ735:DN735"/>
    <mergeCell ref="DE737:DI737"/>
    <mergeCell ref="CG735:CH735"/>
    <mergeCell ref="U825:X82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Z629:AB629"/>
    <mergeCell ref="W471:Y471"/>
    <mergeCell ref="AA688:AK688"/>
    <mergeCell ref="K730:N730"/>
    <mergeCell ref="EO728:ES728"/>
    <mergeCell ref="ET728:EX728"/>
    <mergeCell ref="T727:W727"/>
    <mergeCell ref="EO720:ES720"/>
    <mergeCell ref="O720:S720"/>
    <mergeCell ref="CU718:CY718"/>
    <mergeCell ref="AC728:AG728"/>
    <mergeCell ref="X721:AB721"/>
    <mergeCell ref="K719:N719"/>
    <mergeCell ref="DZ730:ED730"/>
    <mergeCell ref="EE730:EI730"/>
    <mergeCell ref="CG727:CH727"/>
    <mergeCell ref="CG726:CH726"/>
    <mergeCell ref="DJ725:DN725"/>
    <mergeCell ref="CP726:CT726"/>
    <mergeCell ref="DE729:DI729"/>
    <mergeCell ref="CK721:CL721"/>
    <mergeCell ref="CM718:CN718"/>
    <mergeCell ref="AK730:AO730"/>
    <mergeCell ref="DZ729:ED729"/>
    <mergeCell ref="ET727:EX727"/>
    <mergeCell ref="DZ727:ED727"/>
    <mergeCell ref="EE727:EI727"/>
    <mergeCell ref="EO725:ES725"/>
    <mergeCell ref="CU722:CY722"/>
    <mergeCell ref="CZ722:DD722"/>
    <mergeCell ref="DO729:DS729"/>
    <mergeCell ref="DO718:DS718"/>
    <mergeCell ref="DO719:DS719"/>
    <mergeCell ref="DO728:DS728"/>
    <mergeCell ref="DJ730:DN73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DX652:EB652"/>
    <mergeCell ref="DJ718:DN718"/>
    <mergeCell ref="CZ719:DD719"/>
    <mergeCell ref="Z631:AB631"/>
    <mergeCell ref="Z687:AE687"/>
    <mergeCell ref="AH718:AJ718"/>
    <mergeCell ref="AC718:AG718"/>
    <mergeCell ref="AK714:AO717"/>
    <mergeCell ref="AK718:AO718"/>
    <mergeCell ref="AK630:AN630"/>
    <mergeCell ref="DO730:DS730"/>
    <mergeCell ref="DO731:DS731"/>
    <mergeCell ref="DJ728:DN728"/>
    <mergeCell ref="AC719:AG719"/>
    <mergeCell ref="W700:AK700"/>
    <mergeCell ref="Z683:AK683"/>
    <mergeCell ref="Z667:AK667"/>
    <mergeCell ref="Z679:AE679"/>
    <mergeCell ref="Z670:AK670"/>
    <mergeCell ref="AK728:AO728"/>
    <mergeCell ref="AK729:AO729"/>
    <mergeCell ref="AK628:AN628"/>
    <mergeCell ref="AE702:AF702"/>
    <mergeCell ref="AO631:AS631"/>
    <mergeCell ref="CU731:CY731"/>
    <mergeCell ref="CI726:CJ726"/>
    <mergeCell ref="CG719:CH719"/>
    <mergeCell ref="CI721:CJ721"/>
    <mergeCell ref="CG725:CH725"/>
    <mergeCell ref="T718:W718"/>
    <mergeCell ref="CU724:CY724"/>
    <mergeCell ref="CP730:CT730"/>
    <mergeCell ref="CM727:CN727"/>
    <mergeCell ref="CK726:CL726"/>
    <mergeCell ref="AC731:AG731"/>
    <mergeCell ref="AM564:AS564"/>
    <mergeCell ref="AI581:AK581"/>
    <mergeCell ref="Z601:AK601"/>
    <mergeCell ref="DE717:DI717"/>
    <mergeCell ref="CU719:CY719"/>
    <mergeCell ref="CG718:CH718"/>
    <mergeCell ref="EE722:EI722"/>
    <mergeCell ref="DZ718:ED718"/>
    <mergeCell ref="EE718:EI718"/>
    <mergeCell ref="Z611:AK611"/>
    <mergeCell ref="AM565:AS565"/>
    <mergeCell ref="DX639:EB639"/>
    <mergeCell ref="EC642:EG642"/>
    <mergeCell ref="EH642:EL642"/>
    <mergeCell ref="AE693:AF693"/>
    <mergeCell ref="AH727:AJ727"/>
    <mergeCell ref="X725:AB725"/>
    <mergeCell ref="DJ720:DN720"/>
    <mergeCell ref="DJ717:DN717"/>
    <mergeCell ref="DJ722:DN722"/>
    <mergeCell ref="DE721:DI721"/>
    <mergeCell ref="DE723:DI723"/>
    <mergeCell ref="DJ723:DN723"/>
    <mergeCell ref="DJ724:DN724"/>
    <mergeCell ref="DO727:DS727"/>
    <mergeCell ref="DO722:DS722"/>
    <mergeCell ref="DO723:DS723"/>
    <mergeCell ref="DO724:DS724"/>
    <mergeCell ref="DJ721:DN721"/>
    <mergeCell ref="DO726:DS726"/>
    <mergeCell ref="DO717:DS717"/>
    <mergeCell ref="AF629:AJ629"/>
    <mergeCell ref="AM558:AS558"/>
    <mergeCell ref="AM562:AS562"/>
    <mergeCell ref="Z565:AD565"/>
    <mergeCell ref="Z572:AE572"/>
    <mergeCell ref="AI562:AL562"/>
    <mergeCell ref="Z589:AE589"/>
    <mergeCell ref="AC632:AE632"/>
    <mergeCell ref="CI717:CJ717"/>
    <mergeCell ref="AA680:AK680"/>
    <mergeCell ref="Z662:AK662"/>
    <mergeCell ref="CP719:CT719"/>
    <mergeCell ref="DJ727:DN727"/>
    <mergeCell ref="DJ726:DN726"/>
    <mergeCell ref="CU725:CY725"/>
    <mergeCell ref="CI725:CJ725"/>
    <mergeCell ref="AM561:AS561"/>
    <mergeCell ref="AM559:AS559"/>
    <mergeCell ref="AE563:AH563"/>
    <mergeCell ref="AM563:AS563"/>
    <mergeCell ref="AC633:AE633"/>
    <mergeCell ref="B639:AN639"/>
    <mergeCell ref="B640:AN640"/>
    <mergeCell ref="B719:F719"/>
    <mergeCell ref="CZ721:DD721"/>
    <mergeCell ref="AE564:AH564"/>
    <mergeCell ref="T638:V638"/>
    <mergeCell ref="T628:V628"/>
    <mergeCell ref="DJ719:DN719"/>
    <mergeCell ref="CU717:CY717"/>
    <mergeCell ref="AC635:AE635"/>
    <mergeCell ref="W635:Y635"/>
    <mergeCell ref="Z597:AE597"/>
    <mergeCell ref="AM566:AS566"/>
    <mergeCell ref="Q632:S632"/>
    <mergeCell ref="Q624:S626"/>
    <mergeCell ref="G572:L572"/>
    <mergeCell ref="Z581:AE581"/>
    <mergeCell ref="Z586:AK586"/>
    <mergeCell ref="M565:P565"/>
    <mergeCell ref="Z564:AD564"/>
    <mergeCell ref="AO628:AS628"/>
    <mergeCell ref="AG607:AH607"/>
    <mergeCell ref="AO624:AS626"/>
    <mergeCell ref="AG591:AH591"/>
    <mergeCell ref="Z632:AB632"/>
    <mergeCell ref="G675:R675"/>
    <mergeCell ref="K721:N721"/>
    <mergeCell ref="G667:R667"/>
    <mergeCell ref="G719:J719"/>
    <mergeCell ref="P589:R589"/>
    <mergeCell ref="Z588:AK588"/>
    <mergeCell ref="H582:R582"/>
    <mergeCell ref="Z579:AK579"/>
    <mergeCell ref="G601:R601"/>
    <mergeCell ref="AA573:AK573"/>
    <mergeCell ref="AG599:AH599"/>
    <mergeCell ref="G595:R595"/>
    <mergeCell ref="G596:R596"/>
    <mergeCell ref="Z577:AK577"/>
    <mergeCell ref="Z610:AK610"/>
    <mergeCell ref="AF628:AJ628"/>
    <mergeCell ref="N599:O599"/>
    <mergeCell ref="AA590:AK590"/>
    <mergeCell ref="AI589:AK589"/>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G684:R684"/>
    <mergeCell ref="G581:L581"/>
    <mergeCell ref="Q630:S630"/>
    <mergeCell ref="G589:L589"/>
    <mergeCell ref="G569:R569"/>
    <mergeCell ref="AE562:AH562"/>
    <mergeCell ref="Q562:S562"/>
    <mergeCell ref="G588:R588"/>
    <mergeCell ref="Z580:AK580"/>
    <mergeCell ref="Z595:AK595"/>
    <mergeCell ref="G603:R603"/>
    <mergeCell ref="P597:R597"/>
    <mergeCell ref="G597:L597"/>
    <mergeCell ref="G602:R602"/>
    <mergeCell ref="Z604:AK604"/>
    <mergeCell ref="G587:R587"/>
    <mergeCell ref="G578:R578"/>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I663:AK663"/>
    <mergeCell ref="G659:R659"/>
    <mergeCell ref="P671:R671"/>
    <mergeCell ref="B641:AN641"/>
    <mergeCell ref="G643:R643"/>
    <mergeCell ref="M634:P634"/>
    <mergeCell ref="Z661:AK661"/>
    <mergeCell ref="Q634:S634"/>
    <mergeCell ref="T565:V565"/>
    <mergeCell ref="C560:L560"/>
    <mergeCell ref="C632:L632"/>
    <mergeCell ref="Z652:AK652"/>
    <mergeCell ref="M632:P632"/>
    <mergeCell ref="Q633:S633"/>
    <mergeCell ref="AC634:AE634"/>
    <mergeCell ref="Q631:S631"/>
    <mergeCell ref="T632:V632"/>
    <mergeCell ref="T633:V633"/>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G610:R610"/>
    <mergeCell ref="A617:AT618"/>
    <mergeCell ref="B624:L626"/>
    <mergeCell ref="Z613:AE613"/>
    <mergeCell ref="AC629:AE629"/>
    <mergeCell ref="AO633:AS633"/>
    <mergeCell ref="H614:R614"/>
    <mergeCell ref="G613:L613"/>
    <mergeCell ref="G609:R609"/>
    <mergeCell ref="N607:O607"/>
    <mergeCell ref="G593:R593"/>
    <mergeCell ref="G605:L605"/>
    <mergeCell ref="H606:R606"/>
    <mergeCell ref="AI597:AK597"/>
    <mergeCell ref="Z605:AE605"/>
    <mergeCell ref="Z609:AK609"/>
    <mergeCell ref="AK636:AN636"/>
    <mergeCell ref="W634:Y634"/>
    <mergeCell ref="AO630:AS630"/>
    <mergeCell ref="C635:L635"/>
    <mergeCell ref="T627:V627"/>
    <mergeCell ref="AO627:AS627"/>
    <mergeCell ref="AO634:AS634"/>
    <mergeCell ref="AF635:AJ635"/>
    <mergeCell ref="AO635:AS635"/>
    <mergeCell ref="M630:P630"/>
    <mergeCell ref="M631:P631"/>
    <mergeCell ref="Z636:AB636"/>
    <mergeCell ref="N615:O615"/>
    <mergeCell ref="AK624:AN626"/>
    <mergeCell ref="C630:L630"/>
    <mergeCell ref="C631:L631"/>
    <mergeCell ref="O721:S721"/>
    <mergeCell ref="K722:N722"/>
    <mergeCell ref="K723:N723"/>
    <mergeCell ref="T723:W723"/>
    <mergeCell ref="CP723:CT723"/>
    <mergeCell ref="CU727:CY727"/>
    <mergeCell ref="CK724:CL724"/>
    <mergeCell ref="DE730:DI730"/>
    <mergeCell ref="M633:P633"/>
    <mergeCell ref="G644:R644"/>
    <mergeCell ref="M628:P628"/>
    <mergeCell ref="Z627:AB627"/>
    <mergeCell ref="Q627:S627"/>
    <mergeCell ref="Q628:S628"/>
    <mergeCell ref="AK634:AN634"/>
    <mergeCell ref="AK635:AN635"/>
    <mergeCell ref="AF630:AJ630"/>
    <mergeCell ref="M635:P635"/>
    <mergeCell ref="G646:R646"/>
    <mergeCell ref="M637:P637"/>
    <mergeCell ref="M638:P638"/>
    <mergeCell ref="W638:Y638"/>
    <mergeCell ref="C637:L637"/>
    <mergeCell ref="AC638:AE638"/>
    <mergeCell ref="AF638:AJ638"/>
    <mergeCell ref="Z637:AB637"/>
    <mergeCell ref="Z638:AB638"/>
    <mergeCell ref="W630:Y630"/>
    <mergeCell ref="AF633:AJ633"/>
    <mergeCell ref="DE719:DI719"/>
    <mergeCell ref="CZ720:DD720"/>
    <mergeCell ref="AK631:AN631"/>
    <mergeCell ref="G677:R677"/>
    <mergeCell ref="Z678:AK678"/>
    <mergeCell ref="M627:P627"/>
    <mergeCell ref="M629:P629"/>
    <mergeCell ref="W624:Y626"/>
    <mergeCell ref="W628:Y628"/>
    <mergeCell ref="P663:R663"/>
    <mergeCell ref="AO640:AS640"/>
    <mergeCell ref="W636:Y636"/>
    <mergeCell ref="M636:P636"/>
    <mergeCell ref="AA664:AK664"/>
    <mergeCell ref="T635:V635"/>
    <mergeCell ref="T636:V636"/>
    <mergeCell ref="T637:V637"/>
    <mergeCell ref="AO632:AS632"/>
    <mergeCell ref="Z635:AB635"/>
    <mergeCell ref="G651:R651"/>
    <mergeCell ref="G652:R652"/>
    <mergeCell ref="Z653:AK653"/>
    <mergeCell ref="AK632:AN632"/>
    <mergeCell ref="AI671:AK671"/>
    <mergeCell ref="AK627:AN627"/>
    <mergeCell ref="AF632:AJ632"/>
    <mergeCell ref="AC631:AE631"/>
    <mergeCell ref="Z676:AK676"/>
    <mergeCell ref="CM730:CN730"/>
    <mergeCell ref="CK727:CL727"/>
    <mergeCell ref="DE731:DI731"/>
    <mergeCell ref="CP724:CT724"/>
    <mergeCell ref="CP727:CT727"/>
    <mergeCell ref="CI727:CJ727"/>
    <mergeCell ref="CZ735:DD735"/>
    <mergeCell ref="CU734:CY734"/>
    <mergeCell ref="DE734:DI734"/>
    <mergeCell ref="DJ733:DN733"/>
    <mergeCell ref="CZ734:DD734"/>
    <mergeCell ref="CI735:CJ735"/>
    <mergeCell ref="DE728:DI728"/>
    <mergeCell ref="CU729:CY729"/>
    <mergeCell ref="CP733:CT733"/>
    <mergeCell ref="CK735:CL735"/>
    <mergeCell ref="CP732:CT732"/>
    <mergeCell ref="CM729:CN729"/>
    <mergeCell ref="CZ731:DD731"/>
    <mergeCell ref="CK731:CL731"/>
    <mergeCell ref="CK729:CL729"/>
    <mergeCell ref="CZ730:DD730"/>
    <mergeCell ref="DE732:DI732"/>
    <mergeCell ref="CM732:CN732"/>
    <mergeCell ref="DE725:DI725"/>
    <mergeCell ref="DE726:DI726"/>
    <mergeCell ref="CZ724:DD724"/>
    <mergeCell ref="DJ731:DN731"/>
    <mergeCell ref="DJ729:DN729"/>
    <mergeCell ref="CM723:CN723"/>
    <mergeCell ref="CM725:CN725"/>
    <mergeCell ref="CK730:CL730"/>
    <mergeCell ref="CP731:CT731"/>
    <mergeCell ref="CI729:CJ729"/>
    <mergeCell ref="CP729:CT729"/>
    <mergeCell ref="CZ723:DD723"/>
    <mergeCell ref="CI723:CJ723"/>
    <mergeCell ref="CZ728:DD728"/>
    <mergeCell ref="CI731:CJ731"/>
    <mergeCell ref="CI728:CJ728"/>
    <mergeCell ref="CI737:CJ737"/>
    <mergeCell ref="CP739:CT739"/>
    <mergeCell ref="CM738:CN738"/>
    <mergeCell ref="CU740:CY740"/>
    <mergeCell ref="CI733:CJ733"/>
    <mergeCell ref="CP728:CT728"/>
    <mergeCell ref="CU728:CY728"/>
    <mergeCell ref="CM726:CN726"/>
    <mergeCell ref="CI732:CJ732"/>
    <mergeCell ref="CM728:CN728"/>
    <mergeCell ref="CU726:CY726"/>
    <mergeCell ref="CZ726:DD726"/>
    <mergeCell ref="CK732:CL732"/>
    <mergeCell ref="CP725:CT725"/>
    <mergeCell ref="CZ727:DD727"/>
    <mergeCell ref="CP737:CT737"/>
    <mergeCell ref="CM740:CN740"/>
    <mergeCell ref="CZ725:DD725"/>
    <mergeCell ref="CK736:CL736"/>
    <mergeCell ref="CU730:CY730"/>
    <mergeCell ref="CK728:CL728"/>
    <mergeCell ref="CU736:CY736"/>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G742:CH742"/>
    <mergeCell ref="O729:S729"/>
    <mergeCell ref="DE741:DI741"/>
    <mergeCell ref="CK733:CL733"/>
    <mergeCell ref="CP736:CT736"/>
    <mergeCell ref="CM737:CN737"/>
    <mergeCell ref="K720:N720"/>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K725:CL725"/>
    <mergeCell ref="CG733:CH733"/>
    <mergeCell ref="CI734:CJ734"/>
    <mergeCell ref="CI719:CJ719"/>
    <mergeCell ref="CM739:CN739"/>
    <mergeCell ref="O719:S719"/>
    <mergeCell ref="CM733:CN733"/>
    <mergeCell ref="AI655:AK655"/>
    <mergeCell ref="G662:R662"/>
    <mergeCell ref="AG681:AH681"/>
    <mergeCell ref="CG737:CH737"/>
    <mergeCell ref="J705:O705"/>
    <mergeCell ref="CK738:CL738"/>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22:S722"/>
    <mergeCell ref="X728:AB728"/>
    <mergeCell ref="G731:J731"/>
    <mergeCell ref="P655:R655"/>
    <mergeCell ref="R705:T705"/>
    <mergeCell ref="X732:AB732"/>
    <mergeCell ref="G734:J734"/>
    <mergeCell ref="J704:X704"/>
    <mergeCell ref="T714:W717"/>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G721:J721"/>
    <mergeCell ref="G722:J722"/>
    <mergeCell ref="AH746:AJ746"/>
    <mergeCell ref="AH747:AJ747"/>
    <mergeCell ref="AH748:AJ748"/>
    <mergeCell ref="Z659:AK659"/>
    <mergeCell ref="B723:F723"/>
    <mergeCell ref="G685:R685"/>
    <mergeCell ref="G714:J717"/>
    <mergeCell ref="G668:R668"/>
    <mergeCell ref="B729:F729"/>
    <mergeCell ref="X746:AB746"/>
    <mergeCell ref="B742:F742"/>
    <mergeCell ref="B741:F741"/>
    <mergeCell ref="G679:L679"/>
    <mergeCell ref="K714:N717"/>
    <mergeCell ref="P687:R687"/>
    <mergeCell ref="AI687:AK687"/>
    <mergeCell ref="W843:AC843"/>
    <mergeCell ref="AA928:AF928"/>
    <mergeCell ref="O730:S730"/>
    <mergeCell ref="AC885:AH885"/>
    <mergeCell ref="W861:AC861"/>
    <mergeCell ref="C895:AB895"/>
    <mergeCell ref="Q832:T832"/>
    <mergeCell ref="AG830:AJ830"/>
    <mergeCell ref="F926:T926"/>
    <mergeCell ref="F927:T927"/>
    <mergeCell ref="F928:T928"/>
    <mergeCell ref="U926:Z926"/>
    <mergeCell ref="AA926:AF926"/>
    <mergeCell ref="U927:Z927"/>
    <mergeCell ref="AA927:AF927"/>
    <mergeCell ref="AC887:AH887"/>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910:AT911"/>
    <mergeCell ref="F936:T936"/>
    <mergeCell ref="BD902:BE902"/>
    <mergeCell ref="BD900:BE900"/>
    <mergeCell ref="BD899:BE899"/>
    <mergeCell ref="BD901:BE901"/>
    <mergeCell ref="U932:Z932"/>
    <mergeCell ref="AA932:AF932"/>
    <mergeCell ref="F938:T938"/>
    <mergeCell ref="BD904:BE904"/>
    <mergeCell ref="BD906:BF906"/>
    <mergeCell ref="BD905:BF905"/>
    <mergeCell ref="C832:L832"/>
    <mergeCell ref="W857:AC857"/>
    <mergeCell ref="M874:V874"/>
    <mergeCell ref="Y831:AB831"/>
    <mergeCell ref="W851:AC851"/>
    <mergeCell ref="W855:AC855"/>
    <mergeCell ref="W852:AC852"/>
    <mergeCell ref="W854:AC854"/>
    <mergeCell ref="W874:AC874"/>
    <mergeCell ref="C837:AJ837"/>
    <mergeCell ref="F944:T944"/>
    <mergeCell ref="U944:Z944"/>
    <mergeCell ref="F940:T940"/>
    <mergeCell ref="U939:Z939"/>
    <mergeCell ref="U940:Z940"/>
    <mergeCell ref="AA938:AF938"/>
    <mergeCell ref="U923:Z923"/>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AC886:AH886"/>
    <mergeCell ref="AA931:AF931"/>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C561:L561"/>
    <mergeCell ref="W563:Y563"/>
    <mergeCell ref="W564:Y564"/>
    <mergeCell ref="G594:R594"/>
    <mergeCell ref="Z594:AK594"/>
    <mergeCell ref="G585:R585"/>
    <mergeCell ref="AG575:AH575"/>
    <mergeCell ref="Z568:AK568"/>
    <mergeCell ref="Z571:AK571"/>
    <mergeCell ref="N591:O591"/>
    <mergeCell ref="Q560:S560"/>
    <mergeCell ref="Q565:S565"/>
    <mergeCell ref="Q561:S561"/>
    <mergeCell ref="C562:L562"/>
    <mergeCell ref="N583:O583"/>
    <mergeCell ref="G571:R571"/>
    <mergeCell ref="G568:R568"/>
    <mergeCell ref="M574:R574"/>
    <mergeCell ref="M561:P561"/>
    <mergeCell ref="Z570:AK570"/>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AD412:AE412"/>
    <mergeCell ref="H414:AE415"/>
    <mergeCell ref="AE425:AF425"/>
    <mergeCell ref="T556:V556"/>
    <mergeCell ref="AC520:AF520"/>
    <mergeCell ref="AC527:AF527"/>
    <mergeCell ref="AH501:AK501"/>
    <mergeCell ref="G474:V474"/>
    <mergeCell ref="AH526:AK526"/>
    <mergeCell ref="AE558:AH558"/>
    <mergeCell ref="C557:L557"/>
    <mergeCell ref="V381:W381"/>
    <mergeCell ref="T555:V555"/>
    <mergeCell ref="P421:R421"/>
    <mergeCell ref="W551:Y553"/>
    <mergeCell ref="AH521:AK521"/>
    <mergeCell ref="AH506:AK506"/>
    <mergeCell ref="AC538:AF538"/>
    <mergeCell ref="H324:M324"/>
    <mergeCell ref="AA325:AK325"/>
    <mergeCell ref="H315:M315"/>
    <mergeCell ref="H321:R321"/>
    <mergeCell ref="H322:R322"/>
    <mergeCell ref="AA321:AK321"/>
    <mergeCell ref="H325:R325"/>
    <mergeCell ref="AG394:AJ394"/>
    <mergeCell ref="E420:AJ420"/>
    <mergeCell ref="V377:W377"/>
    <mergeCell ref="S377:T377"/>
    <mergeCell ref="D437:AF437"/>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AH515:AK515"/>
    <mergeCell ref="AC516:AF516"/>
    <mergeCell ref="D442:AF442"/>
    <mergeCell ref="AC456:AF456"/>
    <mergeCell ref="D448:AF448"/>
    <mergeCell ref="H333:R333"/>
    <mergeCell ref="Q493:AK493"/>
    <mergeCell ref="AC502:AF502"/>
    <mergeCell ref="B514:H516"/>
    <mergeCell ref="B517:H519"/>
    <mergeCell ref="D406:AJ407"/>
    <mergeCell ref="D445:AF445"/>
    <mergeCell ref="P349:AE349"/>
    <mergeCell ref="AE556:AH556"/>
    <mergeCell ref="AC503:AF503"/>
    <mergeCell ref="AC513:AF513"/>
    <mergeCell ref="AC518:AF518"/>
    <mergeCell ref="AH504:AK504"/>
    <mergeCell ref="AH517:AK517"/>
    <mergeCell ref="AH509:AK509"/>
    <mergeCell ref="P424:Q424"/>
    <mergeCell ref="AC521:AF521"/>
    <mergeCell ref="AH527:AK527"/>
    <mergeCell ref="AC517:AF517"/>
    <mergeCell ref="D473:V473"/>
    <mergeCell ref="AC504:AF504"/>
    <mergeCell ref="D470:V470"/>
    <mergeCell ref="D438:AF438"/>
    <mergeCell ref="AG445:AJ445"/>
    <mergeCell ref="AG447:AJ447"/>
    <mergeCell ref="AC454:AF454"/>
    <mergeCell ref="P425:Q425"/>
    <mergeCell ref="I418:K418"/>
    <mergeCell ref="AC539:AF539"/>
    <mergeCell ref="O523:AA523"/>
    <mergeCell ref="M495:P495"/>
    <mergeCell ref="AC501:AF501"/>
    <mergeCell ref="L275:AD275"/>
    <mergeCell ref="H290:R290"/>
    <mergeCell ref="V276:W276"/>
    <mergeCell ref="AA301:AK301"/>
    <mergeCell ref="AA296:AK296"/>
    <mergeCell ref="H301:R301"/>
    <mergeCell ref="L277:AD277"/>
    <mergeCell ref="AA298:AK298"/>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AH505:AK505"/>
    <mergeCell ref="AA336:AK336"/>
    <mergeCell ref="AA337:AK337"/>
    <mergeCell ref="H327:R327"/>
    <mergeCell ref="H306:R306"/>
    <mergeCell ref="AA304:AK304"/>
    <mergeCell ref="AA309:AK309"/>
    <mergeCell ref="AA307:AF307"/>
    <mergeCell ref="AA305:AK305"/>
    <mergeCell ref="AA317:AK317"/>
    <mergeCell ref="AA332:AF332"/>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H292:M292"/>
    <mergeCell ref="H309:R309"/>
    <mergeCell ref="AH254:AK254"/>
    <mergeCell ref="M259:AE259"/>
    <mergeCell ref="AA293:AK293"/>
    <mergeCell ref="AA328:AK328"/>
    <mergeCell ref="AA327:AK327"/>
    <mergeCell ref="H332:M332"/>
    <mergeCell ref="AI315:AK315"/>
    <mergeCell ref="AA312:AK312"/>
    <mergeCell ref="AA329:AK329"/>
    <mergeCell ref="H307:M307"/>
    <mergeCell ref="H329:R329"/>
    <mergeCell ref="H330:R330"/>
    <mergeCell ref="P331:R331"/>
    <mergeCell ref="AA324:AF324"/>
    <mergeCell ref="H328:R328"/>
    <mergeCell ref="AI323:AK323"/>
    <mergeCell ref="AA320:AK320"/>
    <mergeCell ref="H317:R317"/>
    <mergeCell ref="P323:R323"/>
    <mergeCell ref="AA315:AF315"/>
    <mergeCell ref="H313:R313"/>
    <mergeCell ref="AA319:AK319"/>
    <mergeCell ref="AA323:AF323"/>
    <mergeCell ref="H320:R320"/>
    <mergeCell ref="AA314:AK314"/>
    <mergeCell ref="AA313:AK313"/>
    <mergeCell ref="H319:R319"/>
    <mergeCell ref="AA316:AF316"/>
    <mergeCell ref="AA331:AF331"/>
    <mergeCell ref="P315:R315"/>
    <mergeCell ref="H314:R314"/>
    <mergeCell ref="H316:M316"/>
    <mergeCell ref="AA322:AK322"/>
    <mergeCell ref="H323:M323"/>
    <mergeCell ref="AA330:AK33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A290:AK290"/>
    <mergeCell ref="AH262:AK262"/>
    <mergeCell ref="T267:X267"/>
    <mergeCell ref="AA291:AF291"/>
    <mergeCell ref="AI291:AK291"/>
    <mergeCell ref="L276:S276"/>
    <mergeCell ref="L278:Q278"/>
    <mergeCell ref="AA289:AK289"/>
    <mergeCell ref="AA292:AF292"/>
    <mergeCell ref="H296:R296"/>
    <mergeCell ref="M263:R263"/>
    <mergeCell ref="M265:T265"/>
    <mergeCell ref="AA297:AK297"/>
    <mergeCell ref="H288:R288"/>
    <mergeCell ref="L280:AD280"/>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335:AK335"/>
    <mergeCell ref="AC347:AE347"/>
    <mergeCell ref="P343:AE343"/>
    <mergeCell ref="AA340:AF340"/>
    <mergeCell ref="P344:AE344"/>
    <mergeCell ref="AA338:AK338"/>
    <mergeCell ref="H337:R337"/>
    <mergeCell ref="P345:AE345"/>
    <mergeCell ref="R412:S412"/>
    <mergeCell ref="Q429:R429"/>
    <mergeCell ref="AC370:AF370"/>
    <mergeCell ref="AI392:AJ392"/>
    <mergeCell ref="AE402:AJ402"/>
    <mergeCell ref="AC385:AJ385"/>
    <mergeCell ref="H336:R336"/>
    <mergeCell ref="D441:AF441"/>
    <mergeCell ref="J173:S173"/>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Q394:U394"/>
    <mergeCell ref="O529:AA529"/>
    <mergeCell ref="D451:AJ452"/>
    <mergeCell ref="AG443:AJ443"/>
    <mergeCell ref="AG444:AJ444"/>
    <mergeCell ref="D440:AF440"/>
    <mergeCell ref="AC526:AF526"/>
    <mergeCell ref="AH503:AK503"/>
    <mergeCell ref="AC500:AF500"/>
    <mergeCell ref="S402:U402"/>
    <mergeCell ref="AA339:AF339"/>
    <mergeCell ref="S489:AK490"/>
    <mergeCell ref="R411:S411"/>
    <mergeCell ref="W465:Y465"/>
    <mergeCell ref="W469:Y469"/>
    <mergeCell ref="D469:V469"/>
    <mergeCell ref="W473:Y473"/>
    <mergeCell ref="N363:O36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W466:Y466"/>
    <mergeCell ref="AG446:AJ446"/>
    <mergeCell ref="AC531:AF531"/>
    <mergeCell ref="B489:P490"/>
    <mergeCell ref="AC506:AF506"/>
    <mergeCell ref="Q489:R490"/>
    <mergeCell ref="Q488:AK488"/>
    <mergeCell ref="AC519:AF519"/>
    <mergeCell ref="AC523:AF523"/>
    <mergeCell ref="AH516:AK516"/>
    <mergeCell ref="O532:AA532"/>
    <mergeCell ref="AH745:AJ745"/>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AM557:AS557"/>
    <mergeCell ref="Z559:AD559"/>
    <mergeCell ref="W556:Y556"/>
    <mergeCell ref="AI560:AL560"/>
    <mergeCell ref="AC512:AF512"/>
    <mergeCell ref="AC542:AF542"/>
    <mergeCell ref="AM560:AS560"/>
    <mergeCell ref="C627:L627"/>
    <mergeCell ref="Z633:AB633"/>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G748:CH748"/>
    <mergeCell ref="AK742:AO742"/>
    <mergeCell ref="CP745:CT745"/>
    <mergeCell ref="X742:AB742"/>
    <mergeCell ref="AH742:AJ742"/>
    <mergeCell ref="AK739:AO739"/>
    <mergeCell ref="CZ750:DD750"/>
    <mergeCell ref="CK723:CL723"/>
    <mergeCell ref="CM731:CN731"/>
    <mergeCell ref="AK747:AO747"/>
    <mergeCell ref="CZ732:DD732"/>
    <mergeCell ref="CP748:CT748"/>
    <mergeCell ref="CK746:CL746"/>
    <mergeCell ref="CP746:CT746"/>
    <mergeCell ref="CI739:CJ739"/>
    <mergeCell ref="Z654:AK654"/>
    <mergeCell ref="CZ729:DD729"/>
    <mergeCell ref="CK722:CL722"/>
    <mergeCell ref="AG689:AH689"/>
    <mergeCell ref="CK719:CL719"/>
    <mergeCell ref="CK748:CL748"/>
    <mergeCell ref="CM748:CN748"/>
    <mergeCell ref="CG724:CH724"/>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Z628:AB628"/>
    <mergeCell ref="CG749:CH749"/>
    <mergeCell ref="CG730:CH730"/>
    <mergeCell ref="CG728:CH728"/>
    <mergeCell ref="X718:AB718"/>
    <mergeCell ref="CP747:CT747"/>
    <mergeCell ref="W557:Y557"/>
    <mergeCell ref="AE557:AH557"/>
    <mergeCell ref="T562:V562"/>
    <mergeCell ref="AI558:AL558"/>
    <mergeCell ref="AA582:AK582"/>
    <mergeCell ref="CI748:CJ748"/>
    <mergeCell ref="CI742:CJ742"/>
    <mergeCell ref="Z585:AK585"/>
    <mergeCell ref="Z554:AD554"/>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H535:AK535"/>
    <mergeCell ref="AC541:AF541"/>
    <mergeCell ref="AE551:AH553"/>
    <mergeCell ref="AI551:AL553"/>
    <mergeCell ref="AH510:AK510"/>
    <mergeCell ref="AH542:AK542"/>
    <mergeCell ref="AH529:AK529"/>
    <mergeCell ref="AH534:AK534"/>
    <mergeCell ref="AH512:AK512"/>
    <mergeCell ref="AG441:AJ441"/>
    <mergeCell ref="S413:T413"/>
    <mergeCell ref="AC532:AF532"/>
    <mergeCell ref="B501:H502"/>
    <mergeCell ref="Q393:U393"/>
    <mergeCell ref="AG380:AH380"/>
    <mergeCell ref="AH532:AK532"/>
    <mergeCell ref="AG438:AJ438"/>
    <mergeCell ref="AH533:AK533"/>
    <mergeCell ref="AH508:AK508"/>
    <mergeCell ref="AC540:AF540"/>
    <mergeCell ref="AC508:AF508"/>
    <mergeCell ref="AH537:AK537"/>
    <mergeCell ref="AC534:AF534"/>
    <mergeCell ref="D449:AF449"/>
    <mergeCell ref="O520:AA520"/>
    <mergeCell ref="AE555:AH555"/>
    <mergeCell ref="AH518:AK518"/>
    <mergeCell ref="AH514:AK514"/>
    <mergeCell ref="Q555:S555"/>
    <mergeCell ref="AH539:AK539"/>
    <mergeCell ref="AH541:AK541"/>
    <mergeCell ref="AC535:AF535"/>
    <mergeCell ref="AI554:AL554"/>
    <mergeCell ref="Q551:S553"/>
    <mergeCell ref="W467:Y467"/>
    <mergeCell ref="W470:Y470"/>
    <mergeCell ref="D471:V471"/>
    <mergeCell ref="AG450:AJ450"/>
    <mergeCell ref="D467:V467"/>
    <mergeCell ref="D472:V472"/>
    <mergeCell ref="W472:Y472"/>
    <mergeCell ref="Q554:S554"/>
    <mergeCell ref="AC514:AF514"/>
    <mergeCell ref="AH538:AK538"/>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C555:L555"/>
    <mergeCell ref="C556:L556"/>
    <mergeCell ref="M556:P556"/>
    <mergeCell ref="C559:L559"/>
    <mergeCell ref="Q559:S559"/>
    <mergeCell ref="C558:L558"/>
    <mergeCell ref="B551:L553"/>
    <mergeCell ref="Z562:AD562"/>
    <mergeCell ref="W561:Y561"/>
    <mergeCell ref="W562:Y562"/>
    <mergeCell ref="T559:V559"/>
    <mergeCell ref="H573:R573"/>
    <mergeCell ref="B566:AL566"/>
    <mergeCell ref="AE560:AH560"/>
    <mergeCell ref="P581:R581"/>
    <mergeCell ref="G579:R579"/>
    <mergeCell ref="M554:P554"/>
    <mergeCell ref="N575:O575"/>
    <mergeCell ref="Z551:AD553"/>
    <mergeCell ref="AH513:AK513"/>
    <mergeCell ref="AH507:AK507"/>
    <mergeCell ref="Z569:AK569"/>
    <mergeCell ref="AC510:AF510"/>
    <mergeCell ref="AC507:AF507"/>
    <mergeCell ref="AI564:AL564"/>
    <mergeCell ref="T561:V561"/>
    <mergeCell ref="C563:L563"/>
    <mergeCell ref="AE565:AH565"/>
    <mergeCell ref="T563:V563"/>
    <mergeCell ref="AE559:AH559"/>
    <mergeCell ref="AI559:AL559"/>
    <mergeCell ref="C565:L565"/>
    <mergeCell ref="W558:Y558"/>
    <mergeCell ref="T551:V553"/>
    <mergeCell ref="M555:P555"/>
    <mergeCell ref="AC522:AF522"/>
    <mergeCell ref="T554:V554"/>
    <mergeCell ref="AC524:AF524"/>
    <mergeCell ref="Q557:S557"/>
    <mergeCell ref="Z557:AD557"/>
    <mergeCell ref="M558:P558"/>
    <mergeCell ref="Q556:S556"/>
    <mergeCell ref="W565:Y565"/>
    <mergeCell ref="AF574:AK574"/>
    <mergeCell ref="L508:AB508"/>
    <mergeCell ref="Q558:S558"/>
    <mergeCell ref="AH531:AK531"/>
    <mergeCell ref="AH540:AK540"/>
    <mergeCell ref="AC515:AF515"/>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DU742:DY742"/>
    <mergeCell ref="DZ742:ED742"/>
    <mergeCell ref="ET742:EX742"/>
    <mergeCell ref="FE742:FI742"/>
    <mergeCell ref="FJ742:FN742"/>
    <mergeCell ref="FO742:FS742"/>
    <mergeCell ref="EW636:FA636"/>
    <mergeCell ref="ER637:EV637"/>
    <mergeCell ref="ET749:EX749"/>
    <mergeCell ref="DU750:DY750"/>
    <mergeCell ref="DZ750:ED750"/>
    <mergeCell ref="EE750:EI750"/>
    <mergeCell ref="EJ750:EN750"/>
    <mergeCell ref="EO750:ES750"/>
    <mergeCell ref="ET750:EX750"/>
    <mergeCell ref="EZ749:FD749"/>
    <mergeCell ref="EZ746:FD746"/>
    <mergeCell ref="ET745:EX745"/>
    <mergeCell ref="DU746:DY746"/>
    <mergeCell ref="DZ746:ED746"/>
    <mergeCell ref="EE746:EI746"/>
    <mergeCell ref="EJ746:EN746"/>
    <mergeCell ref="EO746:ES746"/>
    <mergeCell ref="ET746:EX746"/>
    <mergeCell ref="DU747:DY747"/>
    <mergeCell ref="DZ747:ED747"/>
    <mergeCell ref="EZ747:FD747"/>
    <mergeCell ref="DZ741:ED741"/>
    <mergeCell ref="EJ725:EN725"/>
    <mergeCell ref="DZ728:ED728"/>
    <mergeCell ref="DU745:DY745"/>
    <mergeCell ref="DZ745:ED745"/>
    <mergeCell ref="DZ734:ED734"/>
    <mergeCell ref="DU726:DY726"/>
    <mergeCell ref="EO721:ES721"/>
    <mergeCell ref="DX664:EB664"/>
    <mergeCell ref="EE731:EI731"/>
    <mergeCell ref="EJ731:EN731"/>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EO741:ES741"/>
    <mergeCell ref="CU742:CY742"/>
    <mergeCell ref="CZ742:DD742"/>
    <mergeCell ref="DE742:DI742"/>
    <mergeCell ref="DJ742:DN742"/>
    <mergeCell ref="DO742:DS742"/>
    <mergeCell ref="CU743:CY743"/>
    <mergeCell ref="CZ743:DD743"/>
    <mergeCell ref="DE743:DI743"/>
    <mergeCell ref="ET753:EX753"/>
    <mergeCell ref="EZ752:FD752"/>
    <mergeCell ref="FE752:FI752"/>
    <mergeCell ref="FJ752:FN752"/>
    <mergeCell ref="EE751:EI751"/>
    <mergeCell ref="DU751:DY751"/>
    <mergeCell ref="DZ751:ED751"/>
    <mergeCell ref="DU752:DY752"/>
    <mergeCell ref="DU741:DY741"/>
    <mergeCell ref="EO752:ES752"/>
    <mergeCell ref="EJ752:EN752"/>
    <mergeCell ref="EE753:EI753"/>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FO751:FS751"/>
    <mergeCell ref="FO752:FS752"/>
    <mergeCell ref="CZ745:DD745"/>
    <mergeCell ref="DE745:DI745"/>
    <mergeCell ref="DJ751:DN751"/>
    <mergeCell ref="EZ753:FD753"/>
    <mergeCell ref="DE746:DI746"/>
    <mergeCell ref="CU748:CY748"/>
    <mergeCell ref="FJ753:FN753"/>
    <mergeCell ref="ET752:EX752"/>
    <mergeCell ref="EO751:ES751"/>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K742:CL742"/>
    <mergeCell ref="B752:F752"/>
    <mergeCell ref="O750:S750"/>
    <mergeCell ref="B751:F751"/>
    <mergeCell ref="DO777:DS777"/>
    <mergeCell ref="DE773:DI773"/>
    <mergeCell ref="CZ777:DD777"/>
    <mergeCell ref="DE777:DI777"/>
    <mergeCell ref="DE775:DI775"/>
    <mergeCell ref="CG745:CH745"/>
    <mergeCell ref="CI745:CJ745"/>
    <mergeCell ref="CP789:CT789"/>
    <mergeCell ref="CZ744:DD744"/>
    <mergeCell ref="CI743:CJ743"/>
    <mergeCell ref="CK743:CL743"/>
    <mergeCell ref="CM743:CN743"/>
    <mergeCell ref="CZ752:DD752"/>
    <mergeCell ref="CG743:CH743"/>
    <mergeCell ref="O747:S747"/>
    <mergeCell ref="T747:W747"/>
    <mergeCell ref="AC748:AG748"/>
    <mergeCell ref="J773:N773"/>
    <mergeCell ref="O773:S773"/>
    <mergeCell ref="T752:W752"/>
    <mergeCell ref="B743:F743"/>
    <mergeCell ref="DE788:DI788"/>
    <mergeCell ref="CI750:CJ750"/>
    <mergeCell ref="DO789:DS789"/>
    <mergeCell ref="CM746:CN746"/>
    <mergeCell ref="CU744:CY744"/>
    <mergeCell ref="CZ775:DD775"/>
    <mergeCell ref="CZ776:DD776"/>
    <mergeCell ref="AH751:AJ751"/>
    <mergeCell ref="DE792:DI792"/>
    <mergeCell ref="DE793:DI793"/>
    <mergeCell ref="DE794:DI794"/>
    <mergeCell ref="AK743:AO743"/>
    <mergeCell ref="AK744:AO744"/>
    <mergeCell ref="X743:AB743"/>
    <mergeCell ref="X744:AB744"/>
    <mergeCell ref="AH743:AJ743"/>
    <mergeCell ref="AH744:AJ744"/>
    <mergeCell ref="AK732:AO732"/>
    <mergeCell ref="AK733:AO733"/>
    <mergeCell ref="AK734:AO734"/>
    <mergeCell ref="AK735:AO735"/>
    <mergeCell ref="CP740:CT740"/>
    <mergeCell ref="CZ733:DD733"/>
    <mergeCell ref="CZ736:DD736"/>
    <mergeCell ref="CG734:CH734"/>
    <mergeCell ref="AC739:AG739"/>
    <mergeCell ref="AH737:AJ737"/>
    <mergeCell ref="AH738:AJ738"/>
    <mergeCell ref="AH736:AJ736"/>
    <mergeCell ref="CI752:CJ752"/>
    <mergeCell ref="AH750:AJ750"/>
    <mergeCell ref="AK750:AO750"/>
    <mergeCell ref="CU737:CY737"/>
    <mergeCell ref="CZ738:DD738"/>
    <mergeCell ref="CM736:CN736"/>
    <mergeCell ref="CI738:CJ738"/>
    <mergeCell ref="CP741:CT741"/>
    <mergeCell ref="CK741:CL741"/>
    <mergeCell ref="CM741:CN741"/>
    <mergeCell ref="AC732:AG732"/>
    <mergeCell ref="O739:S739"/>
    <mergeCell ref="K739:N739"/>
    <mergeCell ref="J776:N776"/>
    <mergeCell ref="B739:F739"/>
    <mergeCell ref="K735:N735"/>
    <mergeCell ref="DJ747:DN747"/>
    <mergeCell ref="DO791:DS791"/>
    <mergeCell ref="X738:AB738"/>
    <mergeCell ref="X729:AB729"/>
    <mergeCell ref="CU751:CY751"/>
    <mergeCell ref="CU776:CY776"/>
    <mergeCell ref="CP750:CT750"/>
    <mergeCell ref="CU750:CY750"/>
    <mergeCell ref="J779:K779"/>
    <mergeCell ref="J787:N787"/>
    <mergeCell ref="CP751:CT751"/>
    <mergeCell ref="CM751:CN751"/>
    <mergeCell ref="AK748:AO748"/>
    <mergeCell ref="AC750:AG750"/>
    <mergeCell ref="AC751:AG751"/>
    <mergeCell ref="O745:S745"/>
    <mergeCell ref="T748:W748"/>
    <mergeCell ref="X747:AB747"/>
    <mergeCell ref="AH752:AJ752"/>
    <mergeCell ref="CU746:CY746"/>
    <mergeCell ref="CG739:CH739"/>
    <mergeCell ref="CG740:CH740"/>
    <mergeCell ref="CK737:CL737"/>
    <mergeCell ref="CG732:CH732"/>
    <mergeCell ref="CP734:CT734"/>
    <mergeCell ref="T736:W736"/>
    <mergeCell ref="O733:S733"/>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90:DI790"/>
    <mergeCell ref="DE791:DI791"/>
    <mergeCell ref="DU794:DY794"/>
    <mergeCell ref="DO747:DS74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EO793:ES793"/>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EO794:ES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C76" sqref="C7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2)Deferred Developer Fee</v>
      </c>
      <c r="H2" s="139" t="str">
        <f>Application!B629&amp;Application!C629</f>
        <v>3)DSS Funding</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+C4-SUM(F4:H4)</f>
        <v>1150000</v>
      </c>
      <c r="F4" s="147"/>
      <c r="G4" s="147"/>
      <c r="H4" s="147">
        <v>1850000</v>
      </c>
      <c r="I4" s="147"/>
      <c r="J4" s="147"/>
      <c r="K4" s="147"/>
      <c r="L4" s="147"/>
      <c r="M4" s="147"/>
      <c r="N4" s="147"/>
      <c r="O4" s="147"/>
      <c r="P4" s="147"/>
      <c r="Q4" s="147"/>
      <c r="R4" s="516">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3000000</v>
      </c>
      <c r="C8" s="146">
        <f t="shared" ref="C8:Q8" si="0">SUM(C4:C7)</f>
        <v>3000000</v>
      </c>
      <c r="D8" s="146">
        <f t="shared" si="0"/>
        <v>0</v>
      </c>
      <c r="E8" s="146">
        <f t="shared" si="0"/>
        <v>1150000</v>
      </c>
      <c r="F8" s="146">
        <f t="shared" si="0"/>
        <v>0</v>
      </c>
      <c r="G8" s="146">
        <f t="shared" si="0"/>
        <v>0</v>
      </c>
      <c r="H8" s="146">
        <f t="shared" si="0"/>
        <v>1850000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3000000</v>
      </c>
      <c r="C12" s="146">
        <f t="shared" si="2"/>
        <v>3000000</v>
      </c>
      <c r="D12" s="146">
        <f t="shared" si="2"/>
        <v>0</v>
      </c>
      <c r="E12" s="146">
        <f t="shared" si="2"/>
        <v>1150000</v>
      </c>
      <c r="F12" s="146">
        <f t="shared" si="2"/>
        <v>0</v>
      </c>
      <c r="G12" s="146">
        <f t="shared" si="2"/>
        <v>0</v>
      </c>
      <c r="H12" s="146">
        <f t="shared" si="2"/>
        <v>1850000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35595366</v>
      </c>
      <c r="C30" s="147">
        <v>35595366</v>
      </c>
      <c r="D30" s="147"/>
      <c r="E30" s="147">
        <f t="shared" ref="E30:E37" si="8">+C30-SUM(F30:H30)</f>
        <v>12628148</v>
      </c>
      <c r="F30" s="147">
        <f>+Application!AO627</f>
        <v>22967218</v>
      </c>
      <c r="G30" s="147"/>
      <c r="H30" s="147"/>
      <c r="I30" s="147"/>
      <c r="J30" s="147"/>
      <c r="K30" s="147"/>
      <c r="L30" s="147"/>
      <c r="M30" s="147"/>
      <c r="N30" s="147"/>
      <c r="O30" s="147"/>
      <c r="P30" s="147"/>
      <c r="Q30" s="147"/>
      <c r="R30" s="516">
        <f t="shared" si="7"/>
        <v>35595366</v>
      </c>
      <c r="S30" s="147">
        <f>+R30</f>
        <v>35595366</v>
      </c>
      <c r="T30" s="147"/>
      <c r="U30" s="143"/>
    </row>
    <row r="31" spans="1:21" s="144" customFormat="1">
      <c r="A31" s="145" t="s">
        <v>601</v>
      </c>
      <c r="B31" s="146">
        <f t="shared" si="6"/>
        <v>2135722</v>
      </c>
      <c r="C31" s="147">
        <v>2135722</v>
      </c>
      <c r="D31" s="147"/>
      <c r="E31" s="147">
        <f t="shared" si="8"/>
        <v>2135722</v>
      </c>
      <c r="F31" s="147"/>
      <c r="G31" s="147"/>
      <c r="H31" s="147"/>
      <c r="I31" s="147"/>
      <c r="J31" s="147"/>
      <c r="K31" s="147"/>
      <c r="L31" s="147"/>
      <c r="M31" s="147"/>
      <c r="N31" s="147"/>
      <c r="O31" s="147"/>
      <c r="P31" s="147"/>
      <c r="Q31" s="147"/>
      <c r="R31" s="516">
        <f t="shared" si="7"/>
        <v>2135722</v>
      </c>
      <c r="S31" s="147">
        <f t="shared" ref="S31:S37" si="9">+R31</f>
        <v>2135722</v>
      </c>
      <c r="T31" s="147"/>
      <c r="U31" s="143"/>
    </row>
    <row r="32" spans="1:21" s="144" customFormat="1">
      <c r="A32" s="145" t="s">
        <v>137</v>
      </c>
      <c r="B32" s="146">
        <f t="shared" si="6"/>
        <v>754622</v>
      </c>
      <c r="C32" s="147">
        <v>754622</v>
      </c>
      <c r="D32" s="147"/>
      <c r="E32" s="147">
        <f t="shared" si="8"/>
        <v>754622</v>
      </c>
      <c r="F32" s="147"/>
      <c r="G32" s="147"/>
      <c r="H32" s="147"/>
      <c r="I32" s="147"/>
      <c r="J32" s="147"/>
      <c r="K32" s="147"/>
      <c r="L32" s="147"/>
      <c r="M32" s="147"/>
      <c r="N32" s="147"/>
      <c r="O32" s="147"/>
      <c r="P32" s="147"/>
      <c r="Q32" s="147"/>
      <c r="R32" s="516">
        <f t="shared" si="7"/>
        <v>754622</v>
      </c>
      <c r="S32" s="147">
        <f t="shared" si="9"/>
        <v>754622</v>
      </c>
      <c r="T32" s="147"/>
      <c r="U32" s="143"/>
    </row>
    <row r="33" spans="1:21" s="144" customFormat="1">
      <c r="A33" s="145" t="s">
        <v>138</v>
      </c>
      <c r="B33" s="146">
        <f t="shared" si="6"/>
        <v>2263865</v>
      </c>
      <c r="C33" s="147">
        <v>2263865</v>
      </c>
      <c r="D33" s="147"/>
      <c r="E33" s="147">
        <f t="shared" si="8"/>
        <v>2263865</v>
      </c>
      <c r="F33" s="147"/>
      <c r="G33" s="147"/>
      <c r="H33" s="147"/>
      <c r="I33" s="147"/>
      <c r="J33" s="147"/>
      <c r="K33" s="147"/>
      <c r="L33" s="147"/>
      <c r="M33" s="147"/>
      <c r="N33" s="147"/>
      <c r="O33" s="147"/>
      <c r="P33" s="147"/>
      <c r="Q33" s="147"/>
      <c r="R33" s="516">
        <f t="shared" si="7"/>
        <v>2263865</v>
      </c>
      <c r="S33" s="147">
        <f t="shared" si="9"/>
        <v>2263865</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1222487</v>
      </c>
      <c r="C35" s="147">
        <v>1222487</v>
      </c>
      <c r="D35" s="147"/>
      <c r="E35" s="147">
        <f t="shared" si="8"/>
        <v>1222487</v>
      </c>
      <c r="F35" s="147"/>
      <c r="G35" s="147"/>
      <c r="H35" s="147"/>
      <c r="I35" s="147"/>
      <c r="J35" s="147"/>
      <c r="K35" s="147"/>
      <c r="L35" s="147"/>
      <c r="M35" s="147"/>
      <c r="N35" s="147"/>
      <c r="O35" s="147"/>
      <c r="P35" s="147"/>
      <c r="Q35" s="147"/>
      <c r="R35" s="516">
        <f t="shared" si="7"/>
        <v>1222487</v>
      </c>
      <c r="S35" s="147">
        <f t="shared" si="9"/>
        <v>1222487</v>
      </c>
      <c r="T35" s="147"/>
      <c r="U35" s="143"/>
    </row>
    <row r="36" spans="1:21" s="144" customFormat="1">
      <c r="A36" s="283" t="s">
        <v>1641</v>
      </c>
      <c r="B36" s="146">
        <f t="shared" si="6"/>
        <v>0</v>
      </c>
      <c r="C36" s="147"/>
      <c r="D36" s="147"/>
      <c r="E36" s="147">
        <f t="shared" si="8"/>
        <v>0</v>
      </c>
      <c r="F36" s="147"/>
      <c r="G36" s="147"/>
      <c r="H36" s="147"/>
      <c r="I36" s="147"/>
      <c r="J36" s="147"/>
      <c r="K36" s="147"/>
      <c r="L36" s="147"/>
      <c r="M36" s="147"/>
      <c r="N36" s="147"/>
      <c r="O36" s="147"/>
      <c r="P36" s="147"/>
      <c r="Q36" s="147"/>
      <c r="R36" s="516">
        <f t="shared" si="7"/>
        <v>0</v>
      </c>
      <c r="S36" s="147">
        <f t="shared" si="9"/>
        <v>0</v>
      </c>
      <c r="T36" s="147"/>
      <c r="U36" s="143"/>
    </row>
    <row r="37" spans="1:21" s="144" customFormat="1">
      <c r="A37" s="1149" t="s">
        <v>34</v>
      </c>
      <c r="B37" s="146">
        <f t="shared" si="6"/>
        <v>0</v>
      </c>
      <c r="C37" s="147"/>
      <c r="D37" s="147"/>
      <c r="E37" s="147">
        <f t="shared" si="8"/>
        <v>0</v>
      </c>
      <c r="F37" s="147"/>
      <c r="G37" s="147"/>
      <c r="H37" s="147"/>
      <c r="I37" s="147"/>
      <c r="J37" s="147"/>
      <c r="K37" s="147"/>
      <c r="L37" s="147"/>
      <c r="M37" s="147"/>
      <c r="N37" s="147"/>
      <c r="O37" s="147"/>
      <c r="P37" s="147"/>
      <c r="Q37" s="147"/>
      <c r="R37" s="516">
        <f t="shared" si="7"/>
        <v>0</v>
      </c>
      <c r="S37" s="147">
        <f t="shared" si="9"/>
        <v>0</v>
      </c>
      <c r="T37" s="147"/>
      <c r="U37" s="143"/>
    </row>
    <row r="38" spans="1:21" s="144" customFormat="1">
      <c r="A38" s="149" t="s">
        <v>143</v>
      </c>
      <c r="B38" s="146">
        <f t="shared" si="6"/>
        <v>41972062</v>
      </c>
      <c r="C38" s="146">
        <f>SUM(C29:C37)</f>
        <v>41972062</v>
      </c>
      <c r="D38" s="146">
        <f t="shared" ref="D38:Q38" si="10">SUM(D29:D37)</f>
        <v>0</v>
      </c>
      <c r="E38" s="146">
        <f t="shared" si="10"/>
        <v>19004844</v>
      </c>
      <c r="F38" s="146">
        <f t="shared" si="10"/>
        <v>22967218</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41972062</v>
      </c>
      <c r="S38" s="150">
        <f>SUM(S29:S37)</f>
        <v>41972062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 t="shared" ref="E40:E41" si="11">+C40-SUM(F40:H40)</f>
        <v>1500000</v>
      </c>
      <c r="F40" s="147"/>
      <c r="G40" s="147"/>
      <c r="H40" s="147"/>
      <c r="I40" s="147"/>
      <c r="J40" s="147"/>
      <c r="K40" s="147"/>
      <c r="L40" s="147"/>
      <c r="M40" s="147"/>
      <c r="N40" s="147"/>
      <c r="O40" s="147"/>
      <c r="P40" s="147"/>
      <c r="Q40" s="147"/>
      <c r="R40" s="516">
        <f>SUM(E40:Q40)</f>
        <v>1500000</v>
      </c>
      <c r="S40" s="147">
        <f t="shared" ref="S40:S41" si="12">+R40</f>
        <v>1500000</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f t="shared" si="12"/>
        <v>0</v>
      </c>
      <c r="T41" s="147"/>
      <c r="U41" s="143"/>
    </row>
    <row r="42" spans="1:21" s="144" customFormat="1">
      <c r="A42" s="149" t="s">
        <v>147</v>
      </c>
      <c r="B42" s="146">
        <f>SUM(C42:D42)</f>
        <v>1500000</v>
      </c>
      <c r="C42" s="146">
        <f>SUM(C39:C41)</f>
        <v>1500000</v>
      </c>
      <c r="D42" s="146">
        <f>SUM(D39:D41)</f>
        <v>0</v>
      </c>
      <c r="E42" s="146">
        <f t="shared" ref="E42:T42" si="13">SUM(E40:E41)</f>
        <v>1500000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1500000</v>
      </c>
      <c r="S42" s="150">
        <f t="shared" si="13"/>
        <v>1500000</v>
      </c>
      <c r="T42" s="150">
        <f t="shared" si="13"/>
        <v>0</v>
      </c>
      <c r="U42" s="143"/>
    </row>
    <row r="43" spans="1:21" s="144" customFormat="1">
      <c r="A43" s="149" t="s">
        <v>148</v>
      </c>
      <c r="B43" s="146">
        <f>SUM(C43:D43)</f>
        <v>150000</v>
      </c>
      <c r="C43" s="147">
        <v>150000</v>
      </c>
      <c r="D43" s="147"/>
      <c r="E43" s="147">
        <f>+C43-SUM(F43:H43)</f>
        <v>150000</v>
      </c>
      <c r="F43" s="147"/>
      <c r="G43" s="147"/>
      <c r="H43" s="147"/>
      <c r="I43" s="147"/>
      <c r="J43" s="147"/>
      <c r="K43" s="147"/>
      <c r="L43" s="147"/>
      <c r="M43" s="147"/>
      <c r="N43" s="147"/>
      <c r="O43" s="147"/>
      <c r="P43" s="147"/>
      <c r="Q43" s="147"/>
      <c r="R43" s="516">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4024603</v>
      </c>
      <c r="C45" s="147">
        <v>4024603</v>
      </c>
      <c r="D45" s="147"/>
      <c r="E45" s="147">
        <f t="shared" ref="E45:E53" si="15">+C45-SUM(F45:H45)</f>
        <v>4024603</v>
      </c>
      <c r="F45" s="147"/>
      <c r="G45" s="147"/>
      <c r="H45" s="147"/>
      <c r="I45" s="147"/>
      <c r="J45" s="147"/>
      <c r="K45" s="147"/>
      <c r="L45" s="147"/>
      <c r="M45" s="147"/>
      <c r="N45" s="147"/>
      <c r="O45" s="147"/>
      <c r="P45" s="147"/>
      <c r="Q45" s="147"/>
      <c r="R45" s="516">
        <f t="shared" ref="R45:R53" si="16">SUM(E45:Q45)</f>
        <v>4024603</v>
      </c>
      <c r="S45" s="147">
        <f t="shared" ref="S45:S53" si="17">+R45</f>
        <v>4024603</v>
      </c>
      <c r="T45" s="147"/>
      <c r="U45" s="143"/>
    </row>
    <row r="46" spans="1:21" s="144" customFormat="1">
      <c r="A46" s="145" t="s">
        <v>151</v>
      </c>
      <c r="B46" s="146">
        <f t="shared" si="14"/>
        <v>554606</v>
      </c>
      <c r="C46" s="147">
        <v>554606</v>
      </c>
      <c r="D46" s="147"/>
      <c r="E46" s="147">
        <f t="shared" si="15"/>
        <v>554606</v>
      </c>
      <c r="F46" s="147"/>
      <c r="G46" s="147"/>
      <c r="H46" s="147"/>
      <c r="I46" s="147"/>
      <c r="J46" s="147"/>
      <c r="K46" s="147"/>
      <c r="L46" s="147"/>
      <c r="M46" s="147"/>
      <c r="N46" s="147"/>
      <c r="O46" s="147"/>
      <c r="P46" s="147"/>
      <c r="Q46" s="147"/>
      <c r="R46" s="516">
        <f t="shared" si="16"/>
        <v>554606</v>
      </c>
      <c r="S46" s="147">
        <f t="shared" si="17"/>
        <v>554606</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227372</v>
      </c>
      <c r="C49" s="147">
        <v>227372</v>
      </c>
      <c r="D49" s="147"/>
      <c r="E49" s="147">
        <f t="shared" si="15"/>
        <v>227372</v>
      </c>
      <c r="F49" s="147"/>
      <c r="G49" s="147"/>
      <c r="H49" s="147"/>
      <c r="I49" s="147"/>
      <c r="J49" s="147"/>
      <c r="K49" s="147"/>
      <c r="L49" s="147"/>
      <c r="M49" s="147"/>
      <c r="N49" s="147"/>
      <c r="O49" s="147"/>
      <c r="P49" s="147"/>
      <c r="Q49" s="147"/>
      <c r="R49" s="516">
        <f t="shared" si="16"/>
        <v>227372</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60000</v>
      </c>
      <c r="C51" s="147">
        <v>60000</v>
      </c>
      <c r="D51" s="147"/>
      <c r="E51" s="147">
        <f t="shared" si="15"/>
        <v>60000</v>
      </c>
      <c r="F51" s="147"/>
      <c r="G51" s="147"/>
      <c r="H51" s="147"/>
      <c r="I51" s="147"/>
      <c r="J51" s="147"/>
      <c r="K51" s="147"/>
      <c r="L51" s="147"/>
      <c r="M51" s="147"/>
      <c r="N51" s="147"/>
      <c r="O51" s="147"/>
      <c r="P51" s="147"/>
      <c r="Q51" s="147"/>
      <c r="R51" s="516">
        <f t="shared" si="16"/>
        <v>60000</v>
      </c>
      <c r="S51" s="147">
        <f t="shared" si="17"/>
        <v>60000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9" t="s">
        <v>2722</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4961581</v>
      </c>
      <c r="C54" s="150">
        <f t="shared" ref="C54:T54" si="18">SUM(C45:C53)</f>
        <v>4961581</v>
      </c>
      <c r="D54" s="150">
        <f t="shared" si="18"/>
        <v>0</v>
      </c>
      <c r="E54" s="150">
        <f t="shared" si="18"/>
        <v>4961581</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4961581</v>
      </c>
      <c r="S54" s="150">
        <f t="shared" si="18"/>
        <v>4734209</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+C56-SUM(F56:H56)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51598643</v>
      </c>
      <c r="C63" s="146">
        <f t="shared" si="23"/>
        <v>51598643</v>
      </c>
      <c r="D63" s="146">
        <f t="shared" si="23"/>
        <v>0</v>
      </c>
      <c r="E63" s="146">
        <f t="shared" si="23"/>
        <v>26781425</v>
      </c>
      <c r="F63" s="146">
        <f t="shared" si="23"/>
        <v>22967218</v>
      </c>
      <c r="G63" s="146">
        <f t="shared" si="23"/>
        <v>0</v>
      </c>
      <c r="H63" s="146">
        <f t="shared" si="23"/>
        <v>1850000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51598643</v>
      </c>
      <c r="S63" s="146">
        <f>SUM(S10+S13+S14+S15+S26+S27+S38+S42+S43+S54)</f>
        <v>48356271</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+C65-SUM(F65:H65)</f>
        <v>65000</v>
      </c>
      <c r="F65" s="147"/>
      <c r="G65" s="147"/>
      <c r="H65" s="147"/>
      <c r="I65" s="147"/>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1642</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2723</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1646</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+C72-SUM(F72:H72)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610078</v>
      </c>
      <c r="C75" s="147">
        <v>610078</v>
      </c>
      <c r="D75" s="147"/>
      <c r="E75" s="147">
        <f t="shared" si="27"/>
        <v>610078</v>
      </c>
      <c r="F75" s="147"/>
      <c r="G75" s="147"/>
      <c r="H75" s="147"/>
      <c r="I75" s="147"/>
      <c r="J75" s="147"/>
      <c r="K75" s="147"/>
      <c r="L75" s="147"/>
      <c r="M75" s="147"/>
      <c r="N75" s="147"/>
      <c r="O75" s="147"/>
      <c r="P75" s="147"/>
      <c r="Q75" s="147"/>
      <c r="R75" s="516">
        <f>SUM(E75:Q75)</f>
        <v>610078</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640078</v>
      </c>
      <c r="C77" s="146">
        <f>SUM(C72:C76)</f>
        <v>640078</v>
      </c>
      <c r="D77" s="146">
        <f>SUM(D72:D76)</f>
        <v>0</v>
      </c>
      <c r="E77" s="146">
        <f t="shared" ref="E77:Q77" si="28">SUM(E72:E76)</f>
        <v>640078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640078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2098603</v>
      </c>
      <c r="C79" s="147">
        <v>2098603</v>
      </c>
      <c r="D79" s="147"/>
      <c r="E79" s="147">
        <f t="shared" ref="E79:E80" si="29">+C79-SUM(F79:H79)</f>
        <v>2098603</v>
      </c>
      <c r="F79" s="147"/>
      <c r="G79" s="147"/>
      <c r="H79" s="147"/>
      <c r="I79" s="147"/>
      <c r="J79" s="147"/>
      <c r="K79" s="147"/>
      <c r="L79" s="147"/>
      <c r="M79" s="147"/>
      <c r="N79" s="147"/>
      <c r="O79" s="147"/>
      <c r="P79" s="147"/>
      <c r="Q79" s="147"/>
      <c r="R79" s="516">
        <f>SUM(E79:Q79)</f>
        <v>2098603</v>
      </c>
      <c r="S79" s="147">
        <f t="shared" ref="S79:S80" si="30">+R79</f>
        <v>2098603</v>
      </c>
      <c r="T79" s="147"/>
      <c r="U79" s="143"/>
    </row>
    <row r="80" spans="1:21" s="144" customFormat="1">
      <c r="A80" s="283" t="s">
        <v>58</v>
      </c>
      <c r="B80" s="146">
        <f>SUM(C80:D80)</f>
        <v>589502</v>
      </c>
      <c r="C80" s="147">
        <v>589502</v>
      </c>
      <c r="D80" s="147"/>
      <c r="E80" s="147">
        <f t="shared" si="29"/>
        <v>589502</v>
      </c>
      <c r="F80" s="147"/>
      <c r="G80" s="147"/>
      <c r="H80" s="147"/>
      <c r="I80" s="147"/>
      <c r="J80" s="147"/>
      <c r="K80" s="147"/>
      <c r="L80" s="147"/>
      <c r="M80" s="147"/>
      <c r="N80" s="147"/>
      <c r="O80" s="147"/>
      <c r="P80" s="147"/>
      <c r="Q80" s="147"/>
      <c r="R80" s="516">
        <f>SUM(E80:Q80)</f>
        <v>589502</v>
      </c>
      <c r="S80" s="147">
        <f t="shared" si="30"/>
        <v>589502</v>
      </c>
      <c r="T80" s="147"/>
      <c r="U80" s="143"/>
    </row>
    <row r="81" spans="1:21" s="144" customFormat="1">
      <c r="A81" s="149" t="s">
        <v>1210</v>
      </c>
      <c r="B81" s="146">
        <f>SUM(C81:D81)</f>
        <v>2688105</v>
      </c>
      <c r="C81" s="509">
        <f>SUM(C79:C80)</f>
        <v>2688105</v>
      </c>
      <c r="D81" s="509">
        <f t="shared" ref="D81:T81" si="31">SUM(D79:D80)</f>
        <v>0</v>
      </c>
      <c r="E81" s="509">
        <f t="shared" si="31"/>
        <v>2688105</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2688105</v>
      </c>
      <c r="S81" s="509">
        <f t="shared" si="31"/>
        <v>2688105</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2">SUM(C83+D83)</f>
        <v>230914</v>
      </c>
      <c r="C83" s="147">
        <v>230914</v>
      </c>
      <c r="D83" s="147"/>
      <c r="E83" s="147">
        <f t="shared" ref="E83:E95" si="33">+C83-SUM(F83:H83)</f>
        <v>230914</v>
      </c>
      <c r="F83" s="147"/>
      <c r="G83" s="147"/>
      <c r="H83" s="147"/>
      <c r="I83" s="147"/>
      <c r="J83" s="147"/>
      <c r="K83" s="147"/>
      <c r="L83" s="147"/>
      <c r="M83" s="147"/>
      <c r="N83" s="147"/>
      <c r="O83" s="147"/>
      <c r="P83" s="147"/>
      <c r="Q83" s="147"/>
      <c r="R83" s="516">
        <f t="shared" ref="R83:R95" si="34">SUM(E83:Q83)</f>
        <v>230914</v>
      </c>
      <c r="S83" s="148"/>
      <c r="T83" s="148"/>
      <c r="U83" s="143"/>
    </row>
    <row r="84" spans="1:21" s="144" customFormat="1">
      <c r="A84" s="145" t="s">
        <v>768</v>
      </c>
      <c r="B84" s="146">
        <f t="shared" si="32"/>
        <v>7000</v>
      </c>
      <c r="C84" s="147">
        <v>7000</v>
      </c>
      <c r="D84" s="147"/>
      <c r="E84" s="147">
        <f t="shared" si="33"/>
        <v>7000</v>
      </c>
      <c r="F84" s="147"/>
      <c r="G84" s="147"/>
      <c r="H84" s="147"/>
      <c r="I84" s="147"/>
      <c r="J84" s="147"/>
      <c r="K84" s="147"/>
      <c r="L84" s="147"/>
      <c r="M84" s="147"/>
      <c r="N84" s="147"/>
      <c r="O84" s="147"/>
      <c r="P84" s="147"/>
      <c r="Q84" s="147"/>
      <c r="R84" s="516">
        <f t="shared" si="34"/>
        <v>7000</v>
      </c>
      <c r="S84" s="147">
        <f t="shared" ref="S84:S86" si="35">+R84</f>
        <v>7000</v>
      </c>
      <c r="T84" s="147"/>
      <c r="U84" s="143"/>
    </row>
    <row r="85" spans="1:21" s="144" customFormat="1">
      <c r="A85" s="145" t="s">
        <v>769</v>
      </c>
      <c r="B85" s="146">
        <f t="shared" si="32"/>
        <v>7581614</v>
      </c>
      <c r="C85" s="147">
        <v>7581614</v>
      </c>
      <c r="D85" s="147"/>
      <c r="E85" s="147">
        <f t="shared" si="33"/>
        <v>7581614</v>
      </c>
      <c r="F85" s="147"/>
      <c r="G85" s="147"/>
      <c r="H85" s="147"/>
      <c r="I85" s="147"/>
      <c r="J85" s="147"/>
      <c r="K85" s="147"/>
      <c r="L85" s="147"/>
      <c r="M85" s="147"/>
      <c r="N85" s="147"/>
      <c r="O85" s="147"/>
      <c r="P85" s="147"/>
      <c r="Q85" s="147"/>
      <c r="R85" s="516">
        <f t="shared" si="34"/>
        <v>7581614</v>
      </c>
      <c r="S85" s="147">
        <f t="shared" si="35"/>
        <v>7581614</v>
      </c>
      <c r="T85" s="147"/>
      <c r="U85" s="143"/>
    </row>
    <row r="86" spans="1:21" s="144" customFormat="1">
      <c r="A86" s="145" t="s">
        <v>770</v>
      </c>
      <c r="B86" s="146">
        <f t="shared" si="32"/>
        <v>1008557</v>
      </c>
      <c r="C86" s="147">
        <v>1008557</v>
      </c>
      <c r="D86" s="147"/>
      <c r="E86" s="147">
        <f t="shared" si="33"/>
        <v>1008557</v>
      </c>
      <c r="F86" s="147"/>
      <c r="G86" s="147"/>
      <c r="H86" s="147"/>
      <c r="I86" s="147"/>
      <c r="J86" s="147"/>
      <c r="K86" s="147"/>
      <c r="L86" s="147"/>
      <c r="M86" s="147"/>
      <c r="N86" s="147"/>
      <c r="O86" s="147"/>
      <c r="P86" s="147"/>
      <c r="Q86" s="147"/>
      <c r="R86" s="516">
        <f t="shared" si="34"/>
        <v>1008557</v>
      </c>
      <c r="S86" s="147">
        <f t="shared" si="35"/>
        <v>1008557</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772</v>
      </c>
      <c r="B88" s="146">
        <f t="shared" si="32"/>
        <v>62880</v>
      </c>
      <c r="C88" s="147">
        <v>62880</v>
      </c>
      <c r="D88" s="147"/>
      <c r="E88" s="147">
        <f t="shared" si="33"/>
        <v>62880</v>
      </c>
      <c r="F88" s="147"/>
      <c r="G88" s="147"/>
      <c r="H88" s="147"/>
      <c r="I88" s="147"/>
      <c r="J88" s="147"/>
      <c r="K88" s="147"/>
      <c r="L88" s="147"/>
      <c r="M88" s="147"/>
      <c r="N88" s="147"/>
      <c r="O88" s="147"/>
      <c r="P88" s="147"/>
      <c r="Q88" s="147"/>
      <c r="R88" s="516">
        <f t="shared" si="34"/>
        <v>62880</v>
      </c>
      <c r="S88" s="148"/>
      <c r="T88" s="148"/>
      <c r="U88" s="143"/>
    </row>
    <row r="89" spans="1:21" s="144" customFormat="1">
      <c r="A89" s="145" t="s">
        <v>773</v>
      </c>
      <c r="B89" s="146">
        <f t="shared" si="32"/>
        <v>80000</v>
      </c>
      <c r="C89" s="147">
        <v>80000</v>
      </c>
      <c r="D89" s="147"/>
      <c r="E89" s="147">
        <f t="shared" si="33"/>
        <v>80000</v>
      </c>
      <c r="F89" s="147"/>
      <c r="G89" s="147"/>
      <c r="H89" s="147"/>
      <c r="I89" s="147"/>
      <c r="J89" s="147"/>
      <c r="K89" s="147"/>
      <c r="L89" s="147"/>
      <c r="M89" s="147"/>
      <c r="N89" s="147"/>
      <c r="O89" s="147"/>
      <c r="P89" s="147"/>
      <c r="Q89" s="147"/>
      <c r="R89" s="516">
        <f t="shared" si="34"/>
        <v>80000</v>
      </c>
      <c r="S89" s="147">
        <f t="shared" ref="S89:S95" si="36">+R89</f>
        <v>80000</v>
      </c>
      <c r="T89" s="147"/>
      <c r="U89" s="143"/>
    </row>
    <row r="90" spans="1:21" s="144" customFormat="1">
      <c r="A90" s="145" t="s">
        <v>774</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1212</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f t="shared" si="36"/>
        <v>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775</v>
      </c>
      <c r="B96" s="146">
        <f>SUM(C96:D96)</f>
        <v>9033465</v>
      </c>
      <c r="C96" s="146">
        <f t="shared" ref="C96:R96" si="37">SUM(C83:C95)</f>
        <v>9033465</v>
      </c>
      <c r="D96" s="146">
        <f t="shared" si="37"/>
        <v>0</v>
      </c>
      <c r="E96" s="146">
        <f t="shared" si="37"/>
        <v>9033465</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9033465</v>
      </c>
      <c r="S96" s="150">
        <f>SUM(S84:S87,S89:S95)</f>
        <v>8739671</v>
      </c>
      <c r="T96" s="146">
        <f>SUM(T84:T87,T89:T95)</f>
        <v>0</v>
      </c>
      <c r="U96" s="143"/>
    </row>
    <row r="97" spans="1:21" s="144" customFormat="1">
      <c r="A97" s="149" t="s">
        <v>776</v>
      </c>
      <c r="B97" s="146">
        <f>SUM(C97:D97)</f>
        <v>64075291</v>
      </c>
      <c r="C97" s="146">
        <f t="shared" ref="C97:R97" si="38">SUM(C63+C70+C77+C81+C96)</f>
        <v>64075291</v>
      </c>
      <c r="D97" s="146">
        <f t="shared" si="38"/>
        <v>0</v>
      </c>
      <c r="E97" s="146">
        <f t="shared" si="38"/>
        <v>39258073</v>
      </c>
      <c r="F97" s="146">
        <f t="shared" si="38"/>
        <v>22967218</v>
      </c>
      <c r="G97" s="146">
        <f t="shared" si="38"/>
        <v>0</v>
      </c>
      <c r="H97" s="146">
        <f t="shared" si="38"/>
        <v>1850000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64075291</v>
      </c>
      <c r="S97" s="146">
        <f>SUM(S63+S70+S81+S96)</f>
        <v>59899047</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8978857</v>
      </c>
      <c r="C99" s="979">
        <v>8978857</v>
      </c>
      <c r="D99" s="979"/>
      <c r="E99" s="979">
        <f t="shared" ref="E99:E102" si="39">+C99-SUM(F99:H99)</f>
        <v>1700481</v>
      </c>
      <c r="F99" s="147"/>
      <c r="G99" s="147">
        <f>+Application!AO628</f>
        <v>7278376</v>
      </c>
      <c r="H99" s="147"/>
      <c r="I99" s="147"/>
      <c r="J99" s="147"/>
      <c r="K99" s="147"/>
      <c r="L99" s="147"/>
      <c r="M99" s="147"/>
      <c r="N99" s="147"/>
      <c r="O99" s="147"/>
      <c r="P99" s="147"/>
      <c r="Q99" s="147"/>
      <c r="R99" s="516">
        <f>SUM(E99:Q99)</f>
        <v>8978857</v>
      </c>
      <c r="S99" s="147">
        <f t="shared" ref="S99:S102" si="40">+R99</f>
        <v>8978857</v>
      </c>
      <c r="T99" s="147"/>
      <c r="U99" s="143"/>
    </row>
    <row r="100" spans="1:21" s="144" customFormat="1">
      <c r="A100" s="283" t="s">
        <v>1647</v>
      </c>
      <c r="B100" s="146">
        <f>SUM(C100+D100)</f>
        <v>0</v>
      </c>
      <c r="C100" s="147"/>
      <c r="D100" s="147"/>
      <c r="E100" s="147">
        <f t="shared" si="39"/>
        <v>0</v>
      </c>
      <c r="F100" s="147"/>
      <c r="G100" s="147"/>
      <c r="H100" s="147"/>
      <c r="I100" s="147"/>
      <c r="J100" s="147"/>
      <c r="K100" s="147"/>
      <c r="L100" s="147"/>
      <c r="M100" s="147"/>
      <c r="N100" s="147"/>
      <c r="O100" s="147"/>
      <c r="P100" s="147"/>
      <c r="Q100" s="147"/>
      <c r="R100" s="516">
        <f>SUM(E100:Q100)</f>
        <v>0</v>
      </c>
      <c r="S100" s="147">
        <f t="shared" si="40"/>
        <v>0</v>
      </c>
      <c r="T100" s="147"/>
      <c r="U100" s="143"/>
    </row>
    <row r="101" spans="1:21" s="144" customFormat="1" ht="12" customHeight="1">
      <c r="A101" s="145" t="s">
        <v>779</v>
      </c>
      <c r="B101" s="146">
        <f>SUM(C101+D101)</f>
        <v>0</v>
      </c>
      <c r="C101" s="147"/>
      <c r="D101" s="147"/>
      <c r="E101" s="147">
        <f t="shared" si="39"/>
        <v>0</v>
      </c>
      <c r="F101" s="147"/>
      <c r="G101" s="147"/>
      <c r="H101" s="147"/>
      <c r="I101" s="147"/>
      <c r="J101" s="147"/>
      <c r="K101" s="147"/>
      <c r="L101" s="147"/>
      <c r="M101" s="147"/>
      <c r="N101" s="147"/>
      <c r="O101" s="147"/>
      <c r="P101" s="147"/>
      <c r="Q101" s="147"/>
      <c r="R101" s="516">
        <f>SUM(E101:Q101)</f>
        <v>0</v>
      </c>
      <c r="S101" s="147">
        <f t="shared" si="40"/>
        <v>0</v>
      </c>
      <c r="T101" s="147"/>
      <c r="U101" s="143"/>
    </row>
    <row r="102" spans="1:21" s="144" customFormat="1">
      <c r="A102" s="283" t="s">
        <v>1648</v>
      </c>
      <c r="B102" s="146">
        <f>SUM(C102+D102)</f>
        <v>0</v>
      </c>
      <c r="C102" s="147"/>
      <c r="D102" s="147"/>
      <c r="E102" s="147">
        <f t="shared" si="39"/>
        <v>0</v>
      </c>
      <c r="F102" s="147"/>
      <c r="G102" s="147"/>
      <c r="H102" s="147"/>
      <c r="I102" s="147"/>
      <c r="J102" s="147"/>
      <c r="K102" s="147"/>
      <c r="L102" s="147"/>
      <c r="M102" s="147"/>
      <c r="N102" s="147"/>
      <c r="O102" s="147"/>
      <c r="P102" s="147"/>
      <c r="Q102" s="147"/>
      <c r="R102" s="516">
        <f>SUM(E102:Q102)</f>
        <v>0</v>
      </c>
      <c r="S102" s="147">
        <f t="shared" si="40"/>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8978857</v>
      </c>
      <c r="C104" s="146">
        <f>SUM(C99:C103)</f>
        <v>8978857</v>
      </c>
      <c r="D104" s="146">
        <f t="shared" ref="D104:T104" si="41">SUM(D99:D103)</f>
        <v>0</v>
      </c>
      <c r="E104" s="146">
        <f t="shared" si="41"/>
        <v>1700481</v>
      </c>
      <c r="F104" s="146">
        <f t="shared" si="41"/>
        <v>0</v>
      </c>
      <c r="G104" s="146">
        <f t="shared" si="41"/>
        <v>7278376</v>
      </c>
      <c r="H104" s="146">
        <f t="shared" si="41"/>
        <v>0</v>
      </c>
      <c r="I104" s="146">
        <f t="shared" si="41"/>
        <v>0</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8978857</v>
      </c>
      <c r="S104" s="150">
        <f t="shared" si="41"/>
        <v>8978857</v>
      </c>
      <c r="T104" s="150">
        <f t="shared" si="41"/>
        <v>0</v>
      </c>
      <c r="U104" s="143"/>
    </row>
    <row r="105" spans="1:21" s="144" customFormat="1">
      <c r="A105" s="149" t="s">
        <v>781</v>
      </c>
      <c r="B105" s="150">
        <f>SUM(C105:D105)</f>
        <v>73054148</v>
      </c>
      <c r="C105" s="150">
        <f t="shared" ref="C105:R105" si="42">SUM(C97+C104)</f>
        <v>73054148</v>
      </c>
      <c r="D105" s="150">
        <f t="shared" si="42"/>
        <v>0</v>
      </c>
      <c r="E105" s="150">
        <f t="shared" si="42"/>
        <v>40958554</v>
      </c>
      <c r="F105" s="150">
        <f t="shared" si="42"/>
        <v>22967218</v>
      </c>
      <c r="G105" s="150">
        <f t="shared" si="42"/>
        <v>7278376</v>
      </c>
      <c r="H105" s="150">
        <f t="shared" si="42"/>
        <v>1850000</v>
      </c>
      <c r="I105" s="150">
        <f t="shared" si="42"/>
        <v>0</v>
      </c>
      <c r="J105" s="150">
        <f t="shared" si="42"/>
        <v>0</v>
      </c>
      <c r="K105" s="150">
        <f t="shared" si="42"/>
        <v>0</v>
      </c>
      <c r="L105" s="150">
        <f t="shared" si="42"/>
        <v>0</v>
      </c>
      <c r="M105" s="150">
        <f t="shared" si="42"/>
        <v>0</v>
      </c>
      <c r="N105" s="150">
        <f t="shared" si="42"/>
        <v>0</v>
      </c>
      <c r="O105" s="150">
        <f t="shared" si="42"/>
        <v>0</v>
      </c>
      <c r="P105" s="150">
        <f t="shared" si="42"/>
        <v>0</v>
      </c>
      <c r="Q105" s="150">
        <f t="shared" si="42"/>
        <v>0</v>
      </c>
      <c r="R105" s="342">
        <f t="shared" si="42"/>
        <v>73054148</v>
      </c>
      <c r="S105" s="150">
        <f>S97+S104</f>
        <v>68877904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68877904</v>
      </c>
      <c r="T107" s="150">
        <f>T105+T106</f>
        <v>0</v>
      </c>
    </row>
    <row r="108" spans="1:21" s="189" customFormat="1">
      <c r="A108" s="162" t="s">
        <v>880</v>
      </c>
      <c r="B108" s="157"/>
      <c r="C108" s="157"/>
      <c r="D108" s="157"/>
      <c r="E108" s="301">
        <f>Application!AO640</f>
        <v>40958554</v>
      </c>
      <c r="F108" s="301">
        <f>Application!AO627</f>
        <v>22967218</v>
      </c>
      <c r="G108" s="301">
        <f>Application!AO628</f>
        <v>7278376</v>
      </c>
      <c r="H108" s="301">
        <f>Application!AO629</f>
        <v>1850000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6" t="s">
        <v>991</v>
      </c>
      <c r="E122" s="1866"/>
      <c r="F122" s="186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58" t="s">
        <v>1225</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993</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994</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57"/>
      <c r="K128" s="1857"/>
      <c r="L128" s="117"/>
      <c r="M128" s="117"/>
      <c r="N128" s="117"/>
      <c r="O128" s="117"/>
      <c r="P128" s="117"/>
      <c r="Q128" s="117"/>
      <c r="R128" s="117"/>
      <c r="S128" s="117"/>
      <c r="T128" s="324"/>
      <c r="U128" s="326"/>
    </row>
    <row r="129" spans="1:21" ht="12.75">
      <c r="A129" s="117" t="s">
        <v>300</v>
      </c>
      <c r="B129" s="333"/>
      <c r="C129" s="117"/>
      <c r="D129" s="1865" t="s">
        <v>998</v>
      </c>
      <c r="E129" s="1865"/>
      <c r="F129" s="1865"/>
      <c r="G129" s="1865"/>
      <c r="H129" s="186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19"/>
      <c r="E131" s="1519"/>
      <c r="F131" s="1519"/>
      <c r="G131" s="1519"/>
      <c r="H131" s="1519"/>
      <c r="I131" s="117"/>
      <c r="J131" s="1519"/>
      <c r="K131" s="1519"/>
      <c r="L131" s="1519"/>
      <c r="M131" s="1519"/>
      <c r="N131" s="117"/>
      <c r="O131" s="117"/>
      <c r="P131" s="117"/>
      <c r="Q131" s="117"/>
      <c r="R131" s="117"/>
      <c r="S131" s="117"/>
      <c r="T131" s="324"/>
      <c r="U131" s="326"/>
    </row>
    <row r="132" spans="1:21" ht="12" customHeight="1">
      <c r="A132" s="336"/>
      <c r="B132" s="117"/>
      <c r="C132" s="117"/>
      <c r="D132" s="1859" t="s">
        <v>1001</v>
      </c>
      <c r="E132" s="1859"/>
      <c r="F132" s="1859"/>
      <c r="G132" s="1859"/>
      <c r="H132" s="1859"/>
      <c r="I132" s="117"/>
      <c r="J132" s="1859" t="s">
        <v>1002</v>
      </c>
      <c r="K132" s="1859"/>
      <c r="L132" s="1859"/>
      <c r="M132" s="185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0"/>
      <c r="B138" s="1861"/>
      <c r="C138" s="1861"/>
      <c r="D138" s="328"/>
      <c r="E138" s="1857"/>
      <c r="F138" s="1857"/>
      <c r="G138" s="117"/>
      <c r="H138" s="117"/>
      <c r="I138" s="117"/>
      <c r="J138" s="117"/>
      <c r="K138" s="117"/>
      <c r="L138" s="117"/>
      <c r="M138" s="117"/>
      <c r="N138" s="117"/>
      <c r="O138" s="117"/>
      <c r="P138" s="117"/>
      <c r="Q138" s="117"/>
      <c r="R138" s="117"/>
      <c r="S138" s="117"/>
      <c r="T138" s="330"/>
      <c r="U138" s="331"/>
    </row>
    <row r="139" spans="1:21" ht="12.75">
      <c r="A139" s="1856" t="s">
        <v>1005</v>
      </c>
      <c r="B139" s="1856"/>
      <c r="C139" s="185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D99" sqref="D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9" t="s">
        <v>1228</v>
      </c>
      <c r="B1" s="1870"/>
      <c r="C1" s="1870"/>
      <c r="D1" s="1870"/>
      <c r="E1" s="1870"/>
      <c r="F1" s="1870"/>
      <c r="G1" s="1870"/>
      <c r="H1" s="1870"/>
      <c r="I1" s="1870"/>
      <c r="J1" s="187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3000000</v>
      </c>
      <c r="C4" s="362"/>
      <c r="D4" s="362">
        <f>+B4</f>
        <v>3000000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3000000</v>
      </c>
      <c r="C8" s="361">
        <f>SUM(C4:C7)</f>
        <v>0</v>
      </c>
      <c r="D8" s="361">
        <f>SUM(D4:D7)</f>
        <v>3000000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3000000</v>
      </c>
      <c r="C12" s="361">
        <f>SUM(C8+C11)</f>
        <v>0</v>
      </c>
      <c r="D12" s="361">
        <f>SUM(D8+D11)</f>
        <v>3000000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f t="shared" ref="D29:D37" si="0">+B29</f>
        <v>0</v>
      </c>
      <c r="E29" s="361">
        <f>'Sources and Uses Budget'!S29</f>
        <v>0</v>
      </c>
      <c r="F29" s="362"/>
      <c r="G29" s="362">
        <f t="shared" ref="G29:G37" si="1">+E29</f>
        <v>0</v>
      </c>
      <c r="H29" s="361">
        <f>'Sources and Uses Budget'!T29</f>
        <v>0</v>
      </c>
      <c r="I29" s="362"/>
      <c r="J29" s="362"/>
      <c r="K29" s="359"/>
    </row>
    <row r="30" spans="1:11" s="360" customFormat="1">
      <c r="A30" s="145" t="s">
        <v>600</v>
      </c>
      <c r="B30" s="361">
        <f>'Sources and Uses Budget'!C30</f>
        <v>35595366</v>
      </c>
      <c r="C30" s="362"/>
      <c r="D30" s="362">
        <f t="shared" si="0"/>
        <v>35595366</v>
      </c>
      <c r="E30" s="361">
        <f>'Sources and Uses Budget'!S30</f>
        <v>35595366</v>
      </c>
      <c r="F30" s="362"/>
      <c r="G30" s="362">
        <f t="shared" si="1"/>
        <v>35595366</v>
      </c>
      <c r="H30" s="361">
        <f>'Sources and Uses Budget'!T30</f>
        <v>0</v>
      </c>
      <c r="I30" s="362"/>
      <c r="J30" s="362"/>
      <c r="K30" s="359"/>
    </row>
    <row r="31" spans="1:11" s="360" customFormat="1">
      <c r="A31" s="145" t="s">
        <v>601</v>
      </c>
      <c r="B31" s="361">
        <f>'Sources and Uses Budget'!C31</f>
        <v>2135722</v>
      </c>
      <c r="C31" s="362"/>
      <c r="D31" s="362">
        <f t="shared" si="0"/>
        <v>2135722</v>
      </c>
      <c r="E31" s="361">
        <f>'Sources and Uses Budget'!S31</f>
        <v>2135722</v>
      </c>
      <c r="F31" s="362"/>
      <c r="G31" s="362">
        <f t="shared" si="1"/>
        <v>2135722</v>
      </c>
      <c r="H31" s="361">
        <f>'Sources and Uses Budget'!T31</f>
        <v>0</v>
      </c>
      <c r="I31" s="362"/>
      <c r="J31" s="362"/>
      <c r="K31" s="359"/>
    </row>
    <row r="32" spans="1:11" s="360" customFormat="1">
      <c r="A32" s="145" t="s">
        <v>137</v>
      </c>
      <c r="B32" s="361">
        <f>'Sources and Uses Budget'!C32</f>
        <v>754622</v>
      </c>
      <c r="C32" s="362"/>
      <c r="D32" s="362">
        <f t="shared" si="0"/>
        <v>754622</v>
      </c>
      <c r="E32" s="361">
        <f>'Sources and Uses Budget'!S32</f>
        <v>754622</v>
      </c>
      <c r="F32" s="362"/>
      <c r="G32" s="362">
        <f t="shared" si="1"/>
        <v>754622</v>
      </c>
      <c r="H32" s="361">
        <f>'Sources and Uses Budget'!T32</f>
        <v>0</v>
      </c>
      <c r="I32" s="362"/>
      <c r="J32" s="362"/>
      <c r="K32" s="359"/>
    </row>
    <row r="33" spans="1:11" s="360" customFormat="1">
      <c r="A33" s="145" t="s">
        <v>138</v>
      </c>
      <c r="B33" s="361">
        <f>'Sources and Uses Budget'!C33</f>
        <v>2263865</v>
      </c>
      <c r="C33" s="362"/>
      <c r="D33" s="362">
        <f t="shared" si="0"/>
        <v>2263865</v>
      </c>
      <c r="E33" s="361">
        <f>'Sources and Uses Budget'!S33</f>
        <v>2263865</v>
      </c>
      <c r="F33" s="362"/>
      <c r="G33" s="362">
        <f t="shared" si="1"/>
        <v>2263865</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1222487</v>
      </c>
      <c r="C35" s="362"/>
      <c r="D35" s="362">
        <f t="shared" si="0"/>
        <v>1222487</v>
      </c>
      <c r="E35" s="361">
        <f>'Sources and Uses Budget'!S35</f>
        <v>1222487</v>
      </c>
      <c r="F35" s="362"/>
      <c r="G35" s="362">
        <f t="shared" si="1"/>
        <v>1222487</v>
      </c>
      <c r="H35" s="361">
        <f>'Sources and Uses Budget'!T35</f>
        <v>0</v>
      </c>
      <c r="I35" s="362"/>
      <c r="J35" s="362"/>
      <c r="K35" s="359"/>
    </row>
    <row r="36" spans="1:11" s="360" customFormat="1">
      <c r="A36" s="508" t="s">
        <v>1641</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c r="A37" s="364" t="str">
        <f>'Sources and Uses Budget'!$A37</f>
        <v>Other: (Specify)</v>
      </c>
      <c r="B37" s="361">
        <f>'Sources and Uses Budget'!C37</f>
        <v>0</v>
      </c>
      <c r="C37" s="362"/>
      <c r="D37" s="362">
        <f t="shared" si="0"/>
        <v>0</v>
      </c>
      <c r="E37" s="361">
        <f>'Sources and Uses Budget'!S37</f>
        <v>0</v>
      </c>
      <c r="F37" s="362"/>
      <c r="G37" s="362">
        <f t="shared" si="1"/>
        <v>0</v>
      </c>
      <c r="H37" s="361">
        <f>'Sources and Uses Budget'!T37</f>
        <v>0</v>
      </c>
      <c r="I37" s="362"/>
      <c r="J37" s="362"/>
      <c r="K37" s="359"/>
    </row>
    <row r="38" spans="1:11" s="360" customFormat="1">
      <c r="A38" s="365" t="s">
        <v>143</v>
      </c>
      <c r="B38" s="361">
        <f>'Sources and Uses Budget'!C38</f>
        <v>41972062</v>
      </c>
      <c r="C38" s="361">
        <f>SUM(C29:C37)</f>
        <v>0</v>
      </c>
      <c r="D38" s="361">
        <f>SUM(D29:D37)</f>
        <v>41972062</v>
      </c>
      <c r="E38" s="361">
        <f>'Sources and Uses Budget'!S38</f>
        <v>41972062</v>
      </c>
      <c r="F38" s="367">
        <f>SUM(F29:F37)</f>
        <v>0</v>
      </c>
      <c r="G38" s="367">
        <f>SUM(G29:G37)</f>
        <v>41972062</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f t="shared" ref="D40:D41" si="2">+B40</f>
        <v>1500000</v>
      </c>
      <c r="E40" s="361">
        <f>'Sources and Uses Budget'!S40</f>
        <v>1500000</v>
      </c>
      <c r="F40" s="362"/>
      <c r="G40" s="362">
        <f t="shared" ref="G40:G41" si="3">+E40</f>
        <v>1500000</v>
      </c>
      <c r="H40" s="361">
        <f>'Sources and Uses Budget'!T40</f>
        <v>0</v>
      </c>
      <c r="I40" s="362"/>
      <c r="J40" s="362"/>
      <c r="K40" s="359"/>
    </row>
    <row r="41" spans="1:11" s="360" customFormat="1">
      <c r="A41" s="364" t="s">
        <v>146</v>
      </c>
      <c r="B41" s="361">
        <f>'Sources and Uses Budget'!C41</f>
        <v>0</v>
      </c>
      <c r="C41" s="362"/>
      <c r="D41" s="362">
        <f t="shared" si="2"/>
        <v>0</v>
      </c>
      <c r="E41" s="361">
        <f>'Sources and Uses Budget'!S41</f>
        <v>0</v>
      </c>
      <c r="F41" s="362"/>
      <c r="G41" s="362">
        <f t="shared" si="3"/>
        <v>0</v>
      </c>
      <c r="H41" s="361">
        <f>'Sources and Uses Budget'!T41</f>
        <v>0</v>
      </c>
      <c r="I41" s="362"/>
      <c r="J41" s="362"/>
      <c r="K41" s="359"/>
    </row>
    <row r="42" spans="1:11" s="360" customFormat="1">
      <c r="A42" s="365" t="s">
        <v>147</v>
      </c>
      <c r="B42" s="361">
        <f>'Sources and Uses Budget'!C42</f>
        <v>1500000</v>
      </c>
      <c r="C42" s="361">
        <f>SUM(C39:C41)</f>
        <v>0</v>
      </c>
      <c r="D42" s="361">
        <f>SUM(D39:D41)</f>
        <v>1500000</v>
      </c>
      <c r="E42" s="361">
        <f>'Sources and Uses Budget'!S42</f>
        <v>1500000</v>
      </c>
      <c r="F42" s="367">
        <f>SUM(F40:F41)</f>
        <v>0</v>
      </c>
      <c r="G42" s="367">
        <f>SUM(G40:G41)</f>
        <v>1500000</v>
      </c>
      <c r="H42" s="361">
        <f>'Sources and Uses Budget'!T42</f>
        <v>0</v>
      </c>
      <c r="I42" s="367">
        <f>SUM(I40:I41)</f>
        <v>0</v>
      </c>
      <c r="J42" s="367">
        <f>SUM(J40:J41)</f>
        <v>0</v>
      </c>
      <c r="K42" s="359"/>
    </row>
    <row r="43" spans="1:11" s="360" customFormat="1">
      <c r="A43" s="365" t="s">
        <v>148</v>
      </c>
      <c r="B43" s="361">
        <f>'Sources and Uses Budget'!C43</f>
        <v>150000</v>
      </c>
      <c r="C43" s="362"/>
      <c r="D43" s="362">
        <f>+B43</f>
        <v>150000</v>
      </c>
      <c r="E43" s="361">
        <f>'Sources and Uses Budget'!S43</f>
        <v>150000</v>
      </c>
      <c r="F43" s="362"/>
      <c r="G43" s="362">
        <f>+E43</f>
        <v>150000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4024603</v>
      </c>
      <c r="C45" s="362"/>
      <c r="D45" s="362">
        <f t="shared" ref="D45:D53" si="4">+B45</f>
        <v>4024603</v>
      </c>
      <c r="E45" s="361">
        <f>'Sources and Uses Budget'!S45</f>
        <v>4024603</v>
      </c>
      <c r="F45" s="362"/>
      <c r="G45" s="362">
        <f t="shared" ref="G45:G53" si="5">+E45</f>
        <v>4024603</v>
      </c>
      <c r="H45" s="361">
        <f>'Sources and Uses Budget'!T45</f>
        <v>0</v>
      </c>
      <c r="I45" s="362"/>
      <c r="J45" s="362"/>
      <c r="K45" s="359"/>
    </row>
    <row r="46" spans="1:11" s="360" customFormat="1">
      <c r="A46" s="364" t="s">
        <v>151</v>
      </c>
      <c r="B46" s="361">
        <f>'Sources and Uses Budget'!C46</f>
        <v>554606</v>
      </c>
      <c r="C46" s="362"/>
      <c r="D46" s="362">
        <f t="shared" si="4"/>
        <v>554606</v>
      </c>
      <c r="E46" s="361">
        <f>'Sources and Uses Budget'!S46</f>
        <v>554606</v>
      </c>
      <c r="F46" s="362"/>
      <c r="G46" s="362">
        <f t="shared" si="5"/>
        <v>554606</v>
      </c>
      <c r="H46" s="361">
        <f>'Sources and Uses Budget'!T46</f>
        <v>0</v>
      </c>
      <c r="I46" s="362"/>
      <c r="J46" s="362"/>
      <c r="K46" s="359"/>
    </row>
    <row r="47" spans="1:11" s="360" customFormat="1" ht="12" customHeight="1">
      <c r="A47" s="364" t="s">
        <v>152</v>
      </c>
      <c r="B47" s="361">
        <f>'Sources and Uses Budget'!C47</f>
        <v>35000</v>
      </c>
      <c r="C47" s="362"/>
      <c r="D47" s="362">
        <f t="shared" si="4"/>
        <v>35000</v>
      </c>
      <c r="E47" s="361">
        <f>'Sources and Uses Budget'!S47</f>
        <v>35000</v>
      </c>
      <c r="F47" s="362"/>
      <c r="G47" s="362">
        <f t="shared" si="5"/>
        <v>35000</v>
      </c>
      <c r="H47" s="361">
        <f>'Sources and Uses Budget'!T47</f>
        <v>0</v>
      </c>
      <c r="I47" s="362"/>
      <c r="J47" s="362"/>
      <c r="K47" s="359"/>
    </row>
    <row r="48" spans="1:11" s="360" customFormat="1">
      <c r="A48" s="364" t="s">
        <v>153</v>
      </c>
      <c r="B48" s="361">
        <f>'Sources and Uses Budget'!C48</f>
        <v>0</v>
      </c>
      <c r="C48" s="362"/>
      <c r="D48" s="362">
        <f t="shared" si="4"/>
        <v>0</v>
      </c>
      <c r="E48" s="361">
        <f>'Sources and Uses Budget'!S48</f>
        <v>0</v>
      </c>
      <c r="F48" s="362"/>
      <c r="G48" s="362">
        <f t="shared" si="5"/>
        <v>0</v>
      </c>
      <c r="H48" s="361">
        <f>'Sources and Uses Budget'!T48</f>
        <v>0</v>
      </c>
      <c r="I48" s="362"/>
      <c r="J48" s="362"/>
      <c r="K48" s="359"/>
    </row>
    <row r="49" spans="1:11" s="360" customFormat="1">
      <c r="A49" s="283" t="s">
        <v>57</v>
      </c>
      <c r="B49" s="361">
        <f>'Sources and Uses Budget'!C49</f>
        <v>227372</v>
      </c>
      <c r="C49" s="362"/>
      <c r="D49" s="362">
        <f t="shared" si="4"/>
        <v>227372</v>
      </c>
      <c r="E49" s="361">
        <f>'Sources and Uses Budget'!S49</f>
        <v>0</v>
      </c>
      <c r="F49" s="362"/>
      <c r="G49" s="362">
        <f t="shared" si="5"/>
        <v>0</v>
      </c>
      <c r="H49" s="361">
        <f>'Sources and Uses Budget'!T49</f>
        <v>0</v>
      </c>
      <c r="I49" s="362"/>
      <c r="J49" s="362"/>
      <c r="K49" s="359"/>
    </row>
    <row r="50" spans="1:11" s="360" customFormat="1">
      <c r="A50" s="364" t="s">
        <v>156</v>
      </c>
      <c r="B50" s="361">
        <f>'Sources and Uses Budget'!C50</f>
        <v>40000</v>
      </c>
      <c r="C50" s="362"/>
      <c r="D50" s="362">
        <f t="shared" si="4"/>
        <v>40000</v>
      </c>
      <c r="E50" s="361">
        <f>'Sources and Uses Budget'!S50</f>
        <v>40000</v>
      </c>
      <c r="F50" s="362"/>
      <c r="G50" s="362">
        <f t="shared" si="5"/>
        <v>40000</v>
      </c>
      <c r="H50" s="361">
        <f>'Sources and Uses Budget'!T50</f>
        <v>0</v>
      </c>
      <c r="I50" s="362"/>
      <c r="J50" s="362"/>
      <c r="K50" s="359"/>
    </row>
    <row r="51" spans="1:11" s="360" customFormat="1">
      <c r="A51" s="364" t="s">
        <v>154</v>
      </c>
      <c r="B51" s="361">
        <f>'Sources and Uses Budget'!C51</f>
        <v>60000</v>
      </c>
      <c r="C51" s="362"/>
      <c r="D51" s="362">
        <f t="shared" si="4"/>
        <v>60000</v>
      </c>
      <c r="E51" s="361">
        <f>'Sources and Uses Budget'!S51</f>
        <v>60000</v>
      </c>
      <c r="F51" s="362"/>
      <c r="G51" s="362">
        <f t="shared" si="5"/>
        <v>60000</v>
      </c>
      <c r="H51" s="361">
        <f>'Sources and Uses Budget'!T51</f>
        <v>0</v>
      </c>
      <c r="I51" s="362"/>
      <c r="J51" s="362"/>
      <c r="K51" s="359"/>
    </row>
    <row r="52" spans="1:11" s="360" customFormat="1">
      <c r="A52" s="364" t="s">
        <v>155</v>
      </c>
      <c r="B52" s="361">
        <f>'Sources and Uses Budget'!C52</f>
        <v>0</v>
      </c>
      <c r="C52" s="362"/>
      <c r="D52" s="362">
        <f t="shared" si="4"/>
        <v>0</v>
      </c>
      <c r="E52" s="361">
        <f>'Sources and Uses Budget'!S52</f>
        <v>0</v>
      </c>
      <c r="F52" s="362"/>
      <c r="G52" s="362">
        <f t="shared" si="5"/>
        <v>0</v>
      </c>
      <c r="H52" s="361">
        <f>'Sources and Uses Budget'!T52</f>
        <v>0</v>
      </c>
      <c r="I52" s="362"/>
      <c r="J52" s="362"/>
      <c r="K52" s="359"/>
    </row>
    <row r="53" spans="1:11" s="360" customFormat="1">
      <c r="A53" s="364" t="str">
        <f>'Sources and Uses Budget'!$A53</f>
        <v>Inspection Fees</v>
      </c>
      <c r="B53" s="361">
        <f>'Sources and Uses Budget'!C53</f>
        <v>20000</v>
      </c>
      <c r="C53" s="362"/>
      <c r="D53" s="362">
        <f t="shared" si="4"/>
        <v>20000</v>
      </c>
      <c r="E53" s="361">
        <f>'Sources and Uses Budget'!S53</f>
        <v>20000</v>
      </c>
      <c r="F53" s="362"/>
      <c r="G53" s="362">
        <f t="shared" si="5"/>
        <v>20000</v>
      </c>
      <c r="H53" s="361">
        <f>'Sources and Uses Budget'!T53</f>
        <v>0</v>
      </c>
      <c r="I53" s="362"/>
      <c r="J53" s="362"/>
      <c r="K53" s="359"/>
    </row>
    <row r="54" spans="1:11" s="369" customFormat="1">
      <c r="A54" s="365" t="s">
        <v>157</v>
      </c>
      <c r="B54" s="361">
        <f>'Sources and Uses Budget'!C54</f>
        <v>4961581</v>
      </c>
      <c r="C54" s="367">
        <f>SUM(C45:C53)</f>
        <v>0</v>
      </c>
      <c r="D54" s="367">
        <f>SUM(D45:D53)</f>
        <v>4961581</v>
      </c>
      <c r="E54" s="361">
        <f>'Sources and Uses Budget'!S54</f>
        <v>4734209</v>
      </c>
      <c r="F54" s="367">
        <f>SUM(F45:F53)</f>
        <v>0</v>
      </c>
      <c r="G54" s="367">
        <f>SUM(G45:G53)</f>
        <v>4734209</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f t="shared" ref="D56:D61" si="6">+B56</f>
        <v>0</v>
      </c>
      <c r="E56" s="363"/>
      <c r="F56" s="363"/>
      <c r="G56" s="363"/>
      <c r="H56" s="363"/>
      <c r="I56" s="363"/>
      <c r="J56" s="363"/>
      <c r="K56" s="359"/>
    </row>
    <row r="57" spans="1:11" s="360" customFormat="1" ht="12" customHeight="1">
      <c r="A57" s="364" t="s">
        <v>152</v>
      </c>
      <c r="B57" s="361">
        <f>'Sources and Uses Budget'!C57</f>
        <v>10000</v>
      </c>
      <c r="C57" s="362"/>
      <c r="D57" s="362">
        <f t="shared" si="6"/>
        <v>10000</v>
      </c>
      <c r="E57" s="363"/>
      <c r="F57" s="363"/>
      <c r="G57" s="363"/>
      <c r="H57" s="363"/>
      <c r="I57" s="363"/>
      <c r="J57" s="363"/>
      <c r="K57" s="359"/>
    </row>
    <row r="58" spans="1:11" s="360" customFormat="1">
      <c r="A58" s="364" t="s">
        <v>156</v>
      </c>
      <c r="B58" s="361">
        <f>'Sources and Uses Budget'!C58</f>
        <v>5000</v>
      </c>
      <c r="C58" s="362"/>
      <c r="D58" s="362">
        <f t="shared" si="6"/>
        <v>5000</v>
      </c>
      <c r="E58" s="363"/>
      <c r="F58" s="363"/>
      <c r="G58" s="363"/>
      <c r="H58" s="363"/>
      <c r="I58" s="363"/>
      <c r="J58" s="363"/>
      <c r="K58" s="359"/>
    </row>
    <row r="59" spans="1:11" s="360" customFormat="1">
      <c r="A59" s="364" t="s">
        <v>154</v>
      </c>
      <c r="B59" s="361">
        <f>'Sources and Uses Budget'!C59</f>
        <v>0</v>
      </c>
      <c r="C59" s="362"/>
      <c r="D59" s="362">
        <f t="shared" si="6"/>
        <v>0</v>
      </c>
      <c r="E59" s="363"/>
      <c r="F59" s="363"/>
      <c r="G59" s="363"/>
      <c r="H59" s="363"/>
      <c r="I59" s="363"/>
      <c r="J59" s="363"/>
      <c r="K59" s="359"/>
    </row>
    <row r="60" spans="1:11" s="360" customFormat="1">
      <c r="A60" s="364" t="s">
        <v>155</v>
      </c>
      <c r="B60" s="361">
        <f>'Sources and Uses Budget'!C60</f>
        <v>0</v>
      </c>
      <c r="C60" s="362"/>
      <c r="D60" s="362">
        <f t="shared" si="6"/>
        <v>0</v>
      </c>
      <c r="E60" s="363"/>
      <c r="F60" s="363"/>
      <c r="G60" s="363"/>
      <c r="H60" s="363"/>
      <c r="I60" s="363"/>
      <c r="J60" s="363"/>
      <c r="K60" s="359"/>
    </row>
    <row r="61" spans="1:11" s="360" customFormat="1">
      <c r="A61" s="364" t="str">
        <f>'Sources and Uses Budget'!$A61</f>
        <v>Other: (Specify)</v>
      </c>
      <c r="B61" s="361">
        <f>'Sources and Uses Budget'!C61</f>
        <v>0</v>
      </c>
      <c r="C61" s="362"/>
      <c r="D61" s="362">
        <f t="shared" si="6"/>
        <v>0</v>
      </c>
      <c r="E61" s="363"/>
      <c r="F61" s="363"/>
      <c r="G61" s="363"/>
      <c r="H61" s="363"/>
      <c r="I61" s="363"/>
      <c r="J61" s="363"/>
      <c r="K61" s="359"/>
    </row>
    <row r="62" spans="1:11" s="360" customFormat="1" ht="13.7" customHeight="1">
      <c r="A62" s="365" t="s">
        <v>301</v>
      </c>
      <c r="B62" s="361">
        <f>'Sources and Uses Budget'!C62</f>
        <v>15000</v>
      </c>
      <c r="C62" s="361">
        <f>SUM(C56:C61)</f>
        <v>0</v>
      </c>
      <c r="D62" s="361">
        <f>SUM(D56:D61)</f>
        <v>15000</v>
      </c>
      <c r="E62" s="363"/>
      <c r="F62" s="363"/>
      <c r="G62" s="363"/>
      <c r="H62" s="363"/>
      <c r="I62" s="363"/>
      <c r="J62" s="363"/>
      <c r="K62" s="359"/>
    </row>
    <row r="63" spans="1:11" s="360" customFormat="1">
      <c r="A63" s="370" t="s">
        <v>302</v>
      </c>
      <c r="B63" s="361">
        <f>'Sources and Uses Budget'!C63</f>
        <v>51598643</v>
      </c>
      <c r="C63" s="361">
        <f>SUM(C8+C11+C13+C14+C15+C26+C27+C38+C42+C43+C54+C62)</f>
        <v>0</v>
      </c>
      <c r="D63" s="361">
        <f>SUM(D8+D11+D13+D14+D15+D26+D27+D38+D42+D43+D54+D62)</f>
        <v>51598643</v>
      </c>
      <c r="E63" s="361">
        <f>'Sources and Uses Budget'!S63</f>
        <v>48356271</v>
      </c>
      <c r="F63" s="361">
        <f>SUM(F10+F13+F14+F15+F26+F27+F38+F42+F43+F54)</f>
        <v>0</v>
      </c>
      <c r="G63" s="361">
        <f>SUM(G10+G13+G14+G15+G26+G27+G38+G42+G43+G54)</f>
        <v>48356271</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c r="D65" s="362">
        <f t="shared" ref="D65:D69" si="7">+B65</f>
        <v>65000</v>
      </c>
      <c r="E65" s="361">
        <f>'Sources and Uses Budget'!S65</f>
        <v>65000</v>
      </c>
      <c r="F65" s="362"/>
      <c r="G65" s="362">
        <f t="shared" ref="G65:G69" si="8">+E65</f>
        <v>65000</v>
      </c>
      <c r="H65" s="361">
        <f>'Sources and Uses Budget'!T65</f>
        <v>0</v>
      </c>
      <c r="I65" s="362"/>
      <c r="J65" s="362"/>
      <c r="K65" s="359"/>
    </row>
    <row r="66" spans="1:11" s="360" customFormat="1" ht="24">
      <c r="A66" s="283" t="s">
        <v>1642</v>
      </c>
      <c r="B66" s="361">
        <f>'Sources and Uses Budget'!C66</f>
        <v>0</v>
      </c>
      <c r="C66" s="362"/>
      <c r="D66" s="362">
        <f t="shared" si="7"/>
        <v>0</v>
      </c>
      <c r="E66" s="361">
        <f>'Sources and Uses Budget'!S66</f>
        <v>0</v>
      </c>
      <c r="F66" s="362"/>
      <c r="G66" s="362">
        <f t="shared" si="8"/>
        <v>0</v>
      </c>
      <c r="H66" s="361">
        <f>'Sources and Uses Budget'!T66</f>
        <v>0</v>
      </c>
      <c r="I66" s="362"/>
      <c r="J66" s="362"/>
      <c r="K66" s="359"/>
    </row>
    <row r="67" spans="1:11" s="360" customFormat="1" ht="24">
      <c r="A67" s="283" t="s">
        <v>1643</v>
      </c>
      <c r="B67" s="361">
        <f>'Sources and Uses Budget'!C67</f>
        <v>0</v>
      </c>
      <c r="C67" s="362"/>
      <c r="D67" s="362">
        <f t="shared" si="7"/>
        <v>0</v>
      </c>
      <c r="E67" s="361">
        <f>'Sources and Uses Budget'!S67</f>
        <v>0</v>
      </c>
      <c r="F67" s="362"/>
      <c r="G67" s="362">
        <f t="shared" si="8"/>
        <v>0</v>
      </c>
      <c r="H67" s="361">
        <f>'Sources and Uses Budget'!T67</f>
        <v>0</v>
      </c>
      <c r="I67" s="362"/>
      <c r="J67" s="362"/>
      <c r="K67" s="359"/>
    </row>
    <row r="68" spans="1:11" s="360" customFormat="1">
      <c r="A68" s="283" t="s">
        <v>1649</v>
      </c>
      <c r="B68" s="361">
        <f>'Sources and Uses Budget'!C68</f>
        <v>0</v>
      </c>
      <c r="C68" s="362"/>
      <c r="D68" s="362">
        <f t="shared" si="7"/>
        <v>0</v>
      </c>
      <c r="E68" s="361">
        <f>'Sources and Uses Budget'!S68</f>
        <v>0</v>
      </c>
      <c r="F68" s="362"/>
      <c r="G68" s="362">
        <f t="shared" si="8"/>
        <v>0</v>
      </c>
      <c r="H68" s="361">
        <f>'Sources and Uses Budget'!T68</f>
        <v>0</v>
      </c>
      <c r="I68" s="362"/>
      <c r="J68" s="362"/>
      <c r="K68" s="359"/>
    </row>
    <row r="69" spans="1:11" s="360" customFormat="1">
      <c r="A69" s="364" t="str">
        <f>'Sources and Uses Budget'!$A69</f>
        <v>Borrower's Attorney</v>
      </c>
      <c r="B69" s="361">
        <f>'Sources and Uses Budget'!C69</f>
        <v>50000</v>
      </c>
      <c r="C69" s="362"/>
      <c r="D69" s="362">
        <f t="shared" si="7"/>
        <v>50000</v>
      </c>
      <c r="E69" s="361">
        <f>'Sources and Uses Budget'!S69</f>
        <v>50000</v>
      </c>
      <c r="F69" s="362"/>
      <c r="G69" s="362">
        <f t="shared" si="8"/>
        <v>50000</v>
      </c>
      <c r="H69" s="361">
        <f>'Sources and Uses Budget'!T69</f>
        <v>0</v>
      </c>
      <c r="I69" s="362"/>
      <c r="J69" s="362"/>
      <c r="K69" s="359"/>
    </row>
    <row r="70" spans="1:11" s="360" customFormat="1">
      <c r="A70" s="365" t="s">
        <v>602</v>
      </c>
      <c r="B70" s="361">
        <f>'Sources and Uses Budget'!C70</f>
        <v>115000</v>
      </c>
      <c r="C70" s="361">
        <f>SUM(C64:C69)</f>
        <v>0</v>
      </c>
      <c r="D70" s="361">
        <f>SUM(D64:D69)</f>
        <v>115000</v>
      </c>
      <c r="E70" s="361">
        <f>'Sources and Uses Budget'!S70</f>
        <v>115000</v>
      </c>
      <c r="F70" s="367">
        <f>SUM(F65:F69)</f>
        <v>0</v>
      </c>
      <c r="G70" s="367">
        <f>SUM(G65:G69)</f>
        <v>115000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c r="D72" s="362">
        <f t="shared" ref="D72:D76" si="9">+B72</f>
        <v>30000</v>
      </c>
      <c r="E72" s="363"/>
      <c r="F72" s="363"/>
      <c r="G72" s="363"/>
      <c r="H72" s="363"/>
      <c r="I72" s="363"/>
      <c r="J72" s="363"/>
      <c r="K72" s="359"/>
    </row>
    <row r="73" spans="1:11" s="360" customFormat="1">
      <c r="A73" s="364" t="s">
        <v>605</v>
      </c>
      <c r="B73" s="361">
        <f>'Sources and Uses Budget'!C73</f>
        <v>0</v>
      </c>
      <c r="C73" s="362"/>
      <c r="D73" s="362">
        <f t="shared" si="9"/>
        <v>0</v>
      </c>
      <c r="E73" s="363"/>
      <c r="F73" s="363"/>
      <c r="G73" s="363"/>
      <c r="H73" s="363"/>
      <c r="I73" s="363"/>
      <c r="J73" s="363"/>
      <c r="K73" s="359"/>
    </row>
    <row r="74" spans="1:11" s="360" customFormat="1">
      <c r="A74" s="366" t="s">
        <v>987</v>
      </c>
      <c r="B74" s="361">
        <f>'Sources and Uses Budget'!C74</f>
        <v>0</v>
      </c>
      <c r="C74" s="362"/>
      <c r="D74" s="362">
        <f t="shared" si="9"/>
        <v>0</v>
      </c>
      <c r="E74" s="363"/>
      <c r="F74" s="363"/>
      <c r="G74" s="363"/>
      <c r="H74" s="363"/>
      <c r="I74" s="363"/>
      <c r="J74" s="363"/>
      <c r="K74" s="359"/>
    </row>
    <row r="75" spans="1:11" s="360" customFormat="1">
      <c r="A75" s="364" t="s">
        <v>606</v>
      </c>
      <c r="B75" s="361">
        <f>'Sources and Uses Budget'!C75</f>
        <v>610078</v>
      </c>
      <c r="C75" s="362"/>
      <c r="D75" s="362">
        <f t="shared" si="9"/>
        <v>610078</v>
      </c>
      <c r="E75" s="363"/>
      <c r="F75" s="363"/>
      <c r="G75" s="363"/>
      <c r="H75" s="363"/>
      <c r="I75" s="363"/>
      <c r="J75" s="363"/>
      <c r="K75" s="359"/>
    </row>
    <row r="76" spans="1:11" s="360" customFormat="1">
      <c r="A76" s="364" t="str">
        <f>'Sources and Uses Budget'!$A76</f>
        <v>Other: (Specify)</v>
      </c>
      <c r="B76" s="361">
        <f>'Sources and Uses Budget'!C76</f>
        <v>0</v>
      </c>
      <c r="C76" s="362"/>
      <c r="D76" s="362">
        <f t="shared" si="9"/>
        <v>0</v>
      </c>
      <c r="E76" s="363"/>
      <c r="F76" s="363"/>
      <c r="G76" s="363"/>
      <c r="H76" s="363"/>
      <c r="I76" s="363"/>
      <c r="J76" s="363"/>
      <c r="K76" s="359"/>
    </row>
    <row r="77" spans="1:11" s="360" customFormat="1">
      <c r="A77" s="365" t="s">
        <v>607</v>
      </c>
      <c r="B77" s="361">
        <f>'Sources and Uses Budget'!C77</f>
        <v>640078</v>
      </c>
      <c r="C77" s="361">
        <f>SUM(C72:C76)</f>
        <v>0</v>
      </c>
      <c r="D77" s="361">
        <f>SUM(D72:D76)</f>
        <v>640078</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2098603</v>
      </c>
      <c r="C79" s="362"/>
      <c r="D79" s="362">
        <f t="shared" ref="D79:D80" si="10">+B79</f>
        <v>2098603</v>
      </c>
      <c r="E79" s="361">
        <f>'Sources and Uses Budget'!S79</f>
        <v>2098603</v>
      </c>
      <c r="F79" s="362"/>
      <c r="G79" s="362">
        <f t="shared" ref="G79:G80" si="11">+E79</f>
        <v>2098603</v>
      </c>
      <c r="H79" s="361">
        <f>'Sources and Uses Budget'!T79</f>
        <v>0</v>
      </c>
      <c r="I79" s="362"/>
      <c r="J79" s="362"/>
      <c r="K79" s="359"/>
    </row>
    <row r="80" spans="1:11" s="360" customFormat="1">
      <c r="A80" s="364" t="s">
        <v>58</v>
      </c>
      <c r="B80" s="361">
        <f>'Sources and Uses Budget'!C80</f>
        <v>589502</v>
      </c>
      <c r="C80" s="362"/>
      <c r="D80" s="362">
        <f t="shared" si="10"/>
        <v>589502</v>
      </c>
      <c r="E80" s="361">
        <f>'Sources and Uses Budget'!S80</f>
        <v>589502</v>
      </c>
      <c r="F80" s="362"/>
      <c r="G80" s="362">
        <f t="shared" si="11"/>
        <v>589502</v>
      </c>
      <c r="H80" s="361">
        <f>'Sources and Uses Budget'!T80</f>
        <v>0</v>
      </c>
      <c r="I80" s="362"/>
      <c r="J80" s="362"/>
      <c r="K80" s="359"/>
    </row>
    <row r="81" spans="1:11" s="360" customFormat="1">
      <c r="A81" s="365" t="s">
        <v>1210</v>
      </c>
      <c r="B81" s="361">
        <f>'Sources and Uses Budget'!C81</f>
        <v>2688105</v>
      </c>
      <c r="C81" s="361">
        <f>SUM(C79:C80)</f>
        <v>0</v>
      </c>
      <c r="D81" s="361">
        <f>SUM(D79:D80)</f>
        <v>2688105</v>
      </c>
      <c r="E81" s="361">
        <f>'Sources and Uses Budget'!S81</f>
        <v>2688105</v>
      </c>
      <c r="F81" s="361">
        <f>SUM(F79:F80)</f>
        <v>0</v>
      </c>
      <c r="G81" s="361">
        <f>SUM(G79:G80)</f>
        <v>2688105</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230914</v>
      </c>
      <c r="C83" s="362"/>
      <c r="D83" s="362">
        <f t="shared" ref="D83:D95" si="12">+B83</f>
        <v>230914</v>
      </c>
      <c r="E83" s="363"/>
      <c r="F83" s="363"/>
      <c r="G83" s="363"/>
      <c r="H83" s="363"/>
      <c r="I83" s="363"/>
      <c r="J83" s="363"/>
      <c r="K83" s="359"/>
    </row>
    <row r="84" spans="1:11" s="360" customFormat="1">
      <c r="A84" s="145" t="s">
        <v>768</v>
      </c>
      <c r="B84" s="361">
        <f>'Sources and Uses Budget'!C84</f>
        <v>7000</v>
      </c>
      <c r="C84" s="362"/>
      <c r="D84" s="362">
        <f t="shared" si="12"/>
        <v>7000</v>
      </c>
      <c r="E84" s="361">
        <f>'Sources and Uses Budget'!S84</f>
        <v>7000</v>
      </c>
      <c r="F84" s="362"/>
      <c r="G84" s="362">
        <f t="shared" ref="G84:G87" si="13">+E84</f>
        <v>7000</v>
      </c>
      <c r="H84" s="361">
        <f>'Sources and Uses Budget'!T84</f>
        <v>0</v>
      </c>
      <c r="I84" s="362"/>
      <c r="J84" s="362"/>
      <c r="K84" s="359"/>
    </row>
    <row r="85" spans="1:11" s="360" customFormat="1">
      <c r="A85" s="145" t="s">
        <v>769</v>
      </c>
      <c r="B85" s="361">
        <f>'Sources and Uses Budget'!C85</f>
        <v>7581614</v>
      </c>
      <c r="C85" s="362"/>
      <c r="D85" s="362">
        <f t="shared" si="12"/>
        <v>7581614</v>
      </c>
      <c r="E85" s="361">
        <f>'Sources and Uses Budget'!S85</f>
        <v>7581614</v>
      </c>
      <c r="F85" s="362"/>
      <c r="G85" s="362">
        <f t="shared" si="13"/>
        <v>7581614</v>
      </c>
      <c r="H85" s="361">
        <f>'Sources and Uses Budget'!T85</f>
        <v>0</v>
      </c>
      <c r="I85" s="362"/>
      <c r="J85" s="362"/>
      <c r="K85" s="359"/>
    </row>
    <row r="86" spans="1:11" s="360" customFormat="1">
      <c r="A86" s="145" t="s">
        <v>770</v>
      </c>
      <c r="B86" s="361">
        <f>'Sources and Uses Budget'!C86</f>
        <v>1008557</v>
      </c>
      <c r="C86" s="362"/>
      <c r="D86" s="362">
        <f t="shared" si="12"/>
        <v>1008557</v>
      </c>
      <c r="E86" s="361">
        <f>'Sources and Uses Budget'!S86</f>
        <v>1008557</v>
      </c>
      <c r="F86" s="362"/>
      <c r="G86" s="362">
        <f t="shared" si="13"/>
        <v>1008557</v>
      </c>
      <c r="H86" s="361">
        <f>'Sources and Uses Budget'!T86</f>
        <v>0</v>
      </c>
      <c r="I86" s="362"/>
      <c r="J86" s="362"/>
      <c r="K86" s="359"/>
    </row>
    <row r="87" spans="1:11" s="360" customFormat="1">
      <c r="A87" s="145" t="s">
        <v>771</v>
      </c>
      <c r="B87" s="361">
        <f>'Sources and Uses Budget'!C87</f>
        <v>0</v>
      </c>
      <c r="C87" s="362"/>
      <c r="D87" s="362">
        <f t="shared" si="12"/>
        <v>0</v>
      </c>
      <c r="E87" s="361">
        <f>'Sources and Uses Budget'!S87</f>
        <v>0</v>
      </c>
      <c r="F87" s="362"/>
      <c r="G87" s="362">
        <f t="shared" si="13"/>
        <v>0</v>
      </c>
      <c r="H87" s="361">
        <f>'Sources and Uses Budget'!T87</f>
        <v>0</v>
      </c>
      <c r="I87" s="362"/>
      <c r="J87" s="362"/>
      <c r="K87" s="359"/>
    </row>
    <row r="88" spans="1:11" s="360" customFormat="1">
      <c r="A88" s="145" t="s">
        <v>772</v>
      </c>
      <c r="B88" s="361">
        <f>'Sources and Uses Budget'!C88</f>
        <v>62880</v>
      </c>
      <c r="C88" s="362"/>
      <c r="D88" s="362">
        <f t="shared" si="12"/>
        <v>62880</v>
      </c>
      <c r="E88" s="363"/>
      <c r="F88" s="363"/>
      <c r="G88" s="363"/>
      <c r="H88" s="363"/>
      <c r="I88" s="363"/>
      <c r="J88" s="363"/>
      <c r="K88" s="359"/>
    </row>
    <row r="89" spans="1:11" s="360" customFormat="1">
      <c r="A89" s="145" t="s">
        <v>773</v>
      </c>
      <c r="B89" s="361">
        <f>'Sources and Uses Budget'!C89</f>
        <v>80000</v>
      </c>
      <c r="C89" s="362"/>
      <c r="D89" s="362">
        <f t="shared" si="12"/>
        <v>80000</v>
      </c>
      <c r="E89" s="361">
        <f>'Sources and Uses Budget'!S89</f>
        <v>80000</v>
      </c>
      <c r="F89" s="362"/>
      <c r="G89" s="362">
        <f t="shared" ref="G89:G95" si="14">+E89</f>
        <v>80000</v>
      </c>
      <c r="H89" s="361">
        <f>'Sources and Uses Budget'!T89</f>
        <v>0</v>
      </c>
      <c r="I89" s="362"/>
      <c r="J89" s="362"/>
      <c r="K89" s="359"/>
    </row>
    <row r="90" spans="1:11" s="360" customFormat="1">
      <c r="A90" s="145" t="s">
        <v>774</v>
      </c>
      <c r="B90" s="361">
        <f>'Sources and Uses Budget'!C90</f>
        <v>10000</v>
      </c>
      <c r="C90" s="362"/>
      <c r="D90" s="362">
        <f t="shared" si="12"/>
        <v>10000</v>
      </c>
      <c r="E90" s="361">
        <f>'Sources and Uses Budget'!S90</f>
        <v>10000</v>
      </c>
      <c r="F90" s="362"/>
      <c r="G90" s="362">
        <f t="shared" si="14"/>
        <v>10000</v>
      </c>
      <c r="H90" s="361">
        <f>'Sources and Uses Budget'!T90</f>
        <v>0</v>
      </c>
      <c r="I90" s="362"/>
      <c r="J90" s="362"/>
      <c r="K90" s="359"/>
    </row>
    <row r="91" spans="1:11" s="360" customFormat="1">
      <c r="A91" s="155" t="s">
        <v>372</v>
      </c>
      <c r="B91" s="361">
        <f>'Sources and Uses Budget'!C91</f>
        <v>45000</v>
      </c>
      <c r="C91" s="362"/>
      <c r="D91" s="362">
        <f t="shared" si="12"/>
        <v>45000</v>
      </c>
      <c r="E91" s="361">
        <f>'Sources and Uses Budget'!S91</f>
        <v>45000</v>
      </c>
      <c r="F91" s="362"/>
      <c r="G91" s="362">
        <f t="shared" si="14"/>
        <v>45000</v>
      </c>
      <c r="H91" s="361">
        <f>'Sources and Uses Budget'!T91</f>
        <v>0</v>
      </c>
      <c r="I91" s="362"/>
      <c r="J91" s="362"/>
      <c r="K91" s="359"/>
    </row>
    <row r="92" spans="1:11" s="360" customFormat="1">
      <c r="A92" s="508" t="s">
        <v>1212</v>
      </c>
      <c r="B92" s="361">
        <f>'Sources and Uses Budget'!C92</f>
        <v>7500</v>
      </c>
      <c r="C92" s="362"/>
      <c r="D92" s="362">
        <f t="shared" si="12"/>
        <v>7500</v>
      </c>
      <c r="E92" s="361">
        <f>'Sources and Uses Budget'!S92</f>
        <v>7500</v>
      </c>
      <c r="F92" s="362"/>
      <c r="G92" s="362">
        <f t="shared" si="14"/>
        <v>7500</v>
      </c>
      <c r="H92" s="361">
        <f>'Sources and Uses Budget'!T92</f>
        <v>0</v>
      </c>
      <c r="I92" s="362"/>
      <c r="J92" s="362"/>
      <c r="K92" s="359"/>
    </row>
    <row r="93" spans="1:11" s="360" customFormat="1">
      <c r="A93" s="364" t="str">
        <f>'Sources and Uses Budget'!$A93</f>
        <v>Other: (Specify)</v>
      </c>
      <c r="B93" s="361">
        <f>'Sources and Uses Budget'!C93</f>
        <v>0</v>
      </c>
      <c r="C93" s="362"/>
      <c r="D93" s="362">
        <f t="shared" si="12"/>
        <v>0</v>
      </c>
      <c r="E93" s="361">
        <f>'Sources and Uses Budget'!S93</f>
        <v>0</v>
      </c>
      <c r="F93" s="362"/>
      <c r="G93" s="362">
        <f t="shared" si="14"/>
        <v>0</v>
      </c>
      <c r="H93" s="361">
        <f>'Sources and Uses Budget'!T93</f>
        <v>0</v>
      </c>
      <c r="I93" s="362"/>
      <c r="J93" s="362"/>
      <c r="K93" s="359"/>
    </row>
    <row r="94" spans="1:11" s="360" customFormat="1">
      <c r="A94" s="364" t="str">
        <f>'Sources and Uses Budget'!$A94</f>
        <v>Other: (Specify)</v>
      </c>
      <c r="B94" s="361">
        <f>'Sources and Uses Budget'!C94</f>
        <v>0</v>
      </c>
      <c r="C94" s="362"/>
      <c r="D94" s="362">
        <f t="shared" si="12"/>
        <v>0</v>
      </c>
      <c r="E94" s="361">
        <f>'Sources and Uses Budget'!S94</f>
        <v>0</v>
      </c>
      <c r="F94" s="362"/>
      <c r="G94" s="362">
        <f t="shared" si="14"/>
        <v>0</v>
      </c>
      <c r="H94" s="361">
        <f>'Sources and Uses Budget'!T94</f>
        <v>0</v>
      </c>
      <c r="I94" s="362"/>
      <c r="J94" s="362"/>
      <c r="K94" s="359"/>
    </row>
    <row r="95" spans="1:11" s="360" customFormat="1">
      <c r="A95" s="364" t="str">
        <f>'Sources and Uses Budget'!$A95</f>
        <v>Other: (Specify)</v>
      </c>
      <c r="B95" s="361">
        <f>'Sources and Uses Budget'!C95</f>
        <v>0</v>
      </c>
      <c r="C95" s="362"/>
      <c r="D95" s="362">
        <f t="shared" si="12"/>
        <v>0</v>
      </c>
      <c r="E95" s="361">
        <f>'Sources and Uses Budget'!S95</f>
        <v>0</v>
      </c>
      <c r="F95" s="362"/>
      <c r="G95" s="362">
        <f t="shared" si="14"/>
        <v>0</v>
      </c>
      <c r="H95" s="361">
        <f>'Sources and Uses Budget'!T95</f>
        <v>0</v>
      </c>
      <c r="I95" s="362"/>
      <c r="J95" s="362"/>
      <c r="K95" s="359"/>
    </row>
    <row r="96" spans="1:11" s="360" customFormat="1">
      <c r="A96" s="365" t="s">
        <v>775</v>
      </c>
      <c r="B96" s="361">
        <f>'Sources and Uses Budget'!C96</f>
        <v>9033465</v>
      </c>
      <c r="C96" s="361">
        <f>SUM(C83:C95)</f>
        <v>0</v>
      </c>
      <c r="D96" s="361">
        <f>SUM(D83:D95)</f>
        <v>9033465</v>
      </c>
      <c r="E96" s="361">
        <f>'Sources and Uses Budget'!S96</f>
        <v>8739671</v>
      </c>
      <c r="F96" s="367">
        <f>SUM(F84:F87,F89:F95)</f>
        <v>0</v>
      </c>
      <c r="G96" s="367">
        <f>SUM(G84:G87,G89:G95)</f>
        <v>8739671</v>
      </c>
      <c r="H96" s="361">
        <f>'Sources and Uses Budget'!T96</f>
        <v>0</v>
      </c>
      <c r="I96" s="361">
        <f>SUM(I84:I87,I89:I95)</f>
        <v>0</v>
      </c>
      <c r="J96" s="361">
        <f>SUM(J84:J87,J89:J95)</f>
        <v>0</v>
      </c>
      <c r="K96" s="359"/>
    </row>
    <row r="97" spans="1:11" s="360" customFormat="1">
      <c r="A97" s="365" t="s">
        <v>1030</v>
      </c>
      <c r="B97" s="361">
        <f>'Sources and Uses Budget'!C97</f>
        <v>64075291</v>
      </c>
      <c r="C97" s="361">
        <f>SUM(C63+C70+C77+C81+C96)</f>
        <v>0</v>
      </c>
      <c r="D97" s="361">
        <f>SUM(D63+D70+D77+D81+D96)</f>
        <v>64075291</v>
      </c>
      <c r="E97" s="361">
        <f>'Sources and Uses Budget'!S97</f>
        <v>59899047</v>
      </c>
      <c r="F97" s="367">
        <f>SUM(+F63+F70+F81+F96)</f>
        <v>0</v>
      </c>
      <c r="G97" s="367">
        <f>SUM(+G63+G70+G81+G96)</f>
        <v>59899047</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8978857</v>
      </c>
      <c r="C99" s="362"/>
      <c r="D99" s="362">
        <f>+B99</f>
        <v>8978857</v>
      </c>
      <c r="E99" s="361">
        <f>'Sources and Uses Budget'!S99</f>
        <v>8978857</v>
      </c>
      <c r="F99" s="362"/>
      <c r="G99" s="362">
        <f>+E99</f>
        <v>8978857</v>
      </c>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8978857</v>
      </c>
      <c r="C104" s="361">
        <f>SUM(C99:C103)</f>
        <v>0</v>
      </c>
      <c r="D104" s="361">
        <f>SUM(D99:D103)</f>
        <v>8978857</v>
      </c>
      <c r="E104" s="361">
        <f>'Sources and Uses Budget'!S104</f>
        <v>8978857</v>
      </c>
      <c r="F104" s="367">
        <f>SUM(F99:F103)</f>
        <v>0</v>
      </c>
      <c r="G104" s="367">
        <f>SUM(G99:G103)</f>
        <v>8978857</v>
      </c>
      <c r="H104" s="361">
        <f>'Sources and Uses Budget'!T104</f>
        <v>0</v>
      </c>
      <c r="I104" s="367">
        <f>SUM(I99:I103)</f>
        <v>0</v>
      </c>
      <c r="J104" s="367">
        <f>SUM(J99:J103)</f>
        <v>0</v>
      </c>
      <c r="K104" s="359"/>
    </row>
    <row r="105" spans="1:11" s="360" customFormat="1">
      <c r="A105" s="365" t="s">
        <v>1031</v>
      </c>
      <c r="B105" s="361">
        <f>'Sources and Uses Budget'!C105</f>
        <v>73054148</v>
      </c>
      <c r="C105" s="367">
        <f>SUM(C97+C104)</f>
        <v>0</v>
      </c>
      <c r="D105" s="367">
        <f>SUM(D97+D104)</f>
        <v>73054148</v>
      </c>
      <c r="E105" s="361">
        <f>'Sources and Uses Budget'!S105</f>
        <v>68877904</v>
      </c>
      <c r="F105" s="367">
        <f>F97+F104</f>
        <v>0</v>
      </c>
      <c r="G105" s="367">
        <f>G97+G104</f>
        <v>68877904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68877904</v>
      </c>
      <c r="F107" s="367">
        <f>F105+F106</f>
        <v>0</v>
      </c>
      <c r="G107" s="367">
        <f>G105+G106</f>
        <v>68877904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7"/>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0" t="s">
        <v>2457</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1"/>
      <c r="AW1" s="1881"/>
      <c r="AX1" s="1881"/>
      <c r="AY1" s="1881"/>
      <c r="AZ1" s="1881"/>
      <c r="BA1" s="1881"/>
      <c r="BB1" s="1881"/>
      <c r="BC1" s="1881"/>
      <c r="BD1" s="1881"/>
      <c r="BE1" s="1882"/>
    </row>
    <row r="2" spans="1:65" ht="15.75" customHeight="1">
      <c r="A2" s="1883" t="s">
        <v>2456</v>
      </c>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c r="AR2" s="1884"/>
      <c r="AS2" s="1884"/>
      <c r="AT2" s="1884"/>
      <c r="AU2" s="1884"/>
      <c r="AV2" s="1884"/>
      <c r="AW2" s="1884"/>
      <c r="AX2" s="1884"/>
      <c r="AY2" s="1884"/>
      <c r="AZ2" s="1884"/>
      <c r="BA2" s="1884"/>
      <c r="BB2" s="1884"/>
      <c r="BC2" s="1884"/>
      <c r="BD2" s="1884"/>
      <c r="BE2" s="188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2" t="str">
        <f>IF(Application!H18="","",Application!H18)</f>
        <v>1990 Lake Washington Housing</v>
      </c>
      <c r="M4" s="1873"/>
      <c r="N4" s="1873"/>
      <c r="O4" s="1873"/>
      <c r="P4" s="1873"/>
      <c r="Q4" s="1873"/>
      <c r="R4" s="1873"/>
      <c r="S4" s="1873"/>
      <c r="T4" s="1873"/>
      <c r="U4" s="1873"/>
      <c r="V4" s="1873"/>
      <c r="W4" s="1873"/>
      <c r="X4" s="1873"/>
      <c r="Y4" s="1873"/>
      <c r="Z4" s="1873"/>
      <c r="AA4" s="1873"/>
      <c r="AB4" s="1873"/>
      <c r="AC4" s="1874"/>
      <c r="AD4" s="1190"/>
      <c r="AE4" s="1190"/>
      <c r="AF4" s="1886" t="s">
        <v>2455</v>
      </c>
      <c r="AG4" s="1886"/>
      <c r="AH4" s="1886"/>
      <c r="AI4" s="1886"/>
      <c r="AJ4" s="1886"/>
      <c r="AK4" s="1886"/>
      <c r="AL4" s="1886"/>
      <c r="AM4" s="1886"/>
      <c r="AN4" s="1886"/>
      <c r="AO4" s="1886"/>
      <c r="AP4" s="1887"/>
      <c r="AQ4" s="1888"/>
      <c r="AR4" s="1888"/>
      <c r="AS4" s="1888"/>
      <c r="AT4" s="1888"/>
      <c r="AU4" s="188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6" t="s">
        <v>2454</v>
      </c>
      <c r="AG5" s="1886"/>
      <c r="AH5" s="1886"/>
      <c r="AI5" s="1886"/>
      <c r="AJ5" s="1886"/>
      <c r="AK5" s="1886"/>
      <c r="AL5" s="1886"/>
      <c r="AM5" s="1886"/>
      <c r="AN5" s="1886"/>
      <c r="AO5" s="1886"/>
      <c r="AP5" s="1887"/>
      <c r="AQ5" s="1888"/>
      <c r="AR5" s="1888"/>
      <c r="AS5" s="1888"/>
      <c r="AT5" s="1888"/>
      <c r="AU5" s="188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2" t="str">
        <f>IF(Application!H16="","",Application!H16)</f>
        <v>Community Revitalization and Development Corporation</v>
      </c>
      <c r="M6" s="1873"/>
      <c r="N6" s="1873"/>
      <c r="O6" s="1873"/>
      <c r="P6" s="1873"/>
      <c r="Q6" s="1873"/>
      <c r="R6" s="1873"/>
      <c r="S6" s="1873"/>
      <c r="T6" s="1873"/>
      <c r="U6" s="1873"/>
      <c r="V6" s="1873"/>
      <c r="W6" s="1873"/>
      <c r="X6" s="1873"/>
      <c r="Y6" s="1873"/>
      <c r="Z6" s="1873"/>
      <c r="AA6" s="1873"/>
      <c r="AB6" s="1873"/>
      <c r="AC6" s="1874"/>
      <c r="AD6" s="1190"/>
      <c r="AE6" s="1190"/>
      <c r="AF6" s="1875" t="s">
        <v>2452</v>
      </c>
      <c r="AG6" s="1875"/>
      <c r="AH6" s="1875"/>
      <c r="AI6" s="1875"/>
      <c r="AJ6" s="1875"/>
      <c r="AK6" s="1875"/>
      <c r="AL6" s="1875"/>
      <c r="AM6" s="1875"/>
      <c r="AN6" s="1875"/>
      <c r="AO6" s="1875"/>
      <c r="AP6" s="1876"/>
      <c r="AQ6" s="1876"/>
      <c r="AR6" s="1876"/>
      <c r="AS6" s="1876"/>
      <c r="AT6" s="1876"/>
      <c r="AU6" s="187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5" t="s">
        <v>2451</v>
      </c>
      <c r="AG7" s="1875"/>
      <c r="AH7" s="1875"/>
      <c r="AI7" s="1875"/>
      <c r="AJ7" s="1875"/>
      <c r="AK7" s="1875"/>
      <c r="AL7" s="1875"/>
      <c r="AM7" s="1875"/>
      <c r="AN7" s="1875"/>
      <c r="AO7" s="1875"/>
      <c r="AP7" s="1876"/>
      <c r="AQ7" s="1876"/>
      <c r="AR7" s="1876"/>
      <c r="AS7" s="1876"/>
      <c r="AT7" s="1876"/>
      <c r="AU7" s="1876"/>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7" t="str">
        <f>Application!T197</f>
        <v>No</v>
      </c>
      <c r="AC8" s="1878"/>
      <c r="AD8" s="1879"/>
      <c r="AE8" s="1190"/>
      <c r="AF8" s="1875" t="s">
        <v>2449</v>
      </c>
      <c r="AG8" s="1875"/>
      <c r="AH8" s="1875"/>
      <c r="AI8" s="1875"/>
      <c r="AJ8" s="1875"/>
      <c r="AK8" s="1875"/>
      <c r="AL8" s="1875"/>
      <c r="AM8" s="1875"/>
      <c r="AN8" s="1875"/>
      <c r="AO8" s="1875"/>
      <c r="AP8" s="1876" t="s">
        <v>2099</v>
      </c>
      <c r="AQ8" s="1876"/>
      <c r="AR8" s="1876"/>
      <c r="AS8" s="1876"/>
      <c r="AT8" s="1876"/>
      <c r="AU8" s="187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6" t="s">
        <v>2448</v>
      </c>
      <c r="AG9" s="1886"/>
      <c r="AH9" s="1886"/>
      <c r="AI9" s="1886"/>
      <c r="AJ9" s="1886"/>
      <c r="AK9" s="1886"/>
      <c r="AL9" s="1886"/>
      <c r="AM9" s="1886"/>
      <c r="AN9" s="1886"/>
      <c r="AO9" s="1886"/>
      <c r="AP9" s="1887"/>
      <c r="AQ9" s="1888"/>
      <c r="AR9" s="1888"/>
      <c r="AS9" s="1888"/>
      <c r="AT9" s="1888"/>
      <c r="AU9" s="1888"/>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1">
        <f>Application!AO627</f>
        <v>22967218</v>
      </c>
      <c r="O10" s="1901"/>
      <c r="P10" s="1901"/>
      <c r="Q10" s="1901"/>
      <c r="R10" s="1901"/>
      <c r="S10" s="1901"/>
      <c r="T10" s="1901"/>
      <c r="U10" s="1190"/>
      <c r="V10" s="1190"/>
      <c r="W10" s="1190"/>
      <c r="X10" s="1193"/>
      <c r="Y10" s="1193"/>
      <c r="Z10" s="1193"/>
      <c r="AA10" s="1193"/>
      <c r="AB10" s="1193"/>
      <c r="AC10" s="1193"/>
      <c r="AD10" s="1193"/>
      <c r="AE10" s="1193"/>
      <c r="AF10" s="1886" t="s">
        <v>2445</v>
      </c>
      <c r="AG10" s="1886"/>
      <c r="AH10" s="1886"/>
      <c r="AI10" s="1886"/>
      <c r="AJ10" s="1886"/>
      <c r="AK10" s="1886"/>
      <c r="AL10" s="1886"/>
      <c r="AM10" s="1886"/>
      <c r="AN10" s="1886"/>
      <c r="AO10" s="1886"/>
      <c r="AP10" s="1887"/>
      <c r="AQ10" s="1888"/>
      <c r="AR10" s="1888"/>
      <c r="AS10" s="1888"/>
      <c r="AT10" s="1888"/>
      <c r="AU10" s="1888"/>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1">
        <f>Application!AA934</f>
        <v>0</v>
      </c>
      <c r="O11" s="1901"/>
      <c r="P11" s="1901"/>
      <c r="Q11" s="1901"/>
      <c r="R11" s="1901"/>
      <c r="S11" s="1901"/>
      <c r="T11" s="1901"/>
      <c r="U11" s="1190"/>
      <c r="V11" s="1190"/>
      <c r="W11" s="1190"/>
      <c r="X11" s="1193"/>
      <c r="Y11" s="1193"/>
      <c r="Z11" s="1193"/>
      <c r="AA11" s="1193"/>
      <c r="AB11" s="1193"/>
      <c r="AC11" s="1193"/>
      <c r="AD11" s="1193"/>
      <c r="AE11" s="1193"/>
      <c r="AF11" s="1886" t="s">
        <v>2442</v>
      </c>
      <c r="AG11" s="1886"/>
      <c r="AH11" s="1886"/>
      <c r="AI11" s="1886"/>
      <c r="AJ11" s="1886"/>
      <c r="AK11" s="1886"/>
      <c r="AL11" s="1886"/>
      <c r="AM11" s="1886"/>
      <c r="AN11" s="1886"/>
      <c r="AO11" s="1886"/>
      <c r="AP11" s="1887"/>
      <c r="AQ11" s="1888"/>
      <c r="AR11" s="1888"/>
      <c r="AS11" s="1888"/>
      <c r="AT11" s="1888"/>
      <c r="AU11" s="1888"/>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89" t="s">
        <v>2440</v>
      </c>
      <c r="C13" s="1890"/>
      <c r="D13" s="1890"/>
      <c r="E13" s="1890"/>
      <c r="F13" s="1890"/>
      <c r="G13" s="1890"/>
      <c r="H13" s="1890"/>
      <c r="I13" s="1890"/>
      <c r="J13" s="1890"/>
      <c r="K13" s="1890"/>
      <c r="L13" s="1890"/>
      <c r="M13" s="1890"/>
      <c r="N13" s="1890"/>
      <c r="O13" s="1890"/>
      <c r="P13" s="1891"/>
      <c r="Q13" s="1892" t="s">
        <v>670</v>
      </c>
      <c r="R13" s="1893"/>
      <c r="S13" s="1893"/>
      <c r="T13" s="1894"/>
      <c r="U13" s="1193"/>
      <c r="V13" s="1190"/>
      <c r="W13" s="1190"/>
      <c r="X13" s="1190"/>
      <c r="Y13" s="1190"/>
      <c r="Z13" s="1190"/>
      <c r="AA13" s="1895" t="s">
        <v>2439</v>
      </c>
      <c r="AB13" s="1895"/>
      <c r="AC13" s="1895"/>
      <c r="AD13" s="1895"/>
      <c r="AE13" s="1895"/>
      <c r="AF13" s="1895"/>
      <c r="AG13" s="1895"/>
      <c r="AH13" s="1895"/>
      <c r="AI13" s="1895"/>
      <c r="AJ13" s="1895"/>
      <c r="AK13" s="1895"/>
      <c r="AL13" s="1895"/>
      <c r="AM13" s="1895"/>
      <c r="AN13" s="1895"/>
      <c r="AO13" s="1896">
        <f>Application!W473</f>
        <v>0</v>
      </c>
      <c r="AP13" s="1897"/>
      <c r="AQ13" s="1897"/>
      <c r="AR13" s="1897"/>
      <c r="AS13" s="1897"/>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8" t="s">
        <v>2437</v>
      </c>
      <c r="AB14" s="1898"/>
      <c r="AC14" s="1898"/>
      <c r="AD14" s="1898"/>
      <c r="AE14" s="1898"/>
      <c r="AF14" s="1898"/>
      <c r="AG14" s="1898"/>
      <c r="AH14" s="1898"/>
      <c r="AI14" s="1898"/>
      <c r="AJ14" s="1898"/>
      <c r="AK14" s="1898"/>
      <c r="AL14" s="1898"/>
      <c r="AM14" s="1898"/>
      <c r="AN14" s="1898"/>
      <c r="AO14" s="1899"/>
      <c r="AP14" s="1900"/>
      <c r="AQ14" s="1900"/>
      <c r="AR14" s="1900"/>
      <c r="AS14" s="1900"/>
      <c r="AT14" s="1193"/>
      <c r="AU14" s="1193"/>
      <c r="AV14" s="1193"/>
      <c r="AW14" s="1193"/>
      <c r="AX14" s="1193"/>
      <c r="AY14" s="1193"/>
      <c r="AZ14" s="1193"/>
      <c r="BA14" s="1193"/>
      <c r="BB14" s="1193"/>
      <c r="BC14" s="1193"/>
      <c r="BD14" s="1193"/>
      <c r="BE14" s="1194"/>
    </row>
    <row r="15" spans="1:65" thickBot="1">
      <c r="A15" s="1190"/>
      <c r="B15" s="1902" t="s">
        <v>2436</v>
      </c>
      <c r="C15" s="1903"/>
      <c r="D15" s="1903"/>
      <c r="E15" s="1903"/>
      <c r="F15" s="1903"/>
      <c r="G15" s="1903"/>
      <c r="H15" s="1903"/>
      <c r="I15" s="1903"/>
      <c r="J15" s="1903"/>
      <c r="K15" s="1903"/>
      <c r="L15" s="1903"/>
      <c r="M15" s="1903"/>
      <c r="N15" s="1903"/>
      <c r="O15" s="1903"/>
      <c r="P15" s="1903"/>
      <c r="Q15" s="1903"/>
      <c r="R15" s="1904"/>
      <c r="S15" s="1905" t="str">
        <f>IF(Application!AB214="","",Application!AB214)</f>
        <v/>
      </c>
      <c r="T15" s="1905"/>
      <c r="U15" s="1905"/>
      <c r="V15" s="1905"/>
      <c r="W15" s="1906"/>
      <c r="X15" s="1193"/>
      <c r="Y15" s="1190"/>
      <c r="Z15" s="1190"/>
      <c r="AA15" s="1895" t="s">
        <v>2435</v>
      </c>
      <c r="AB15" s="1895"/>
      <c r="AC15" s="1895"/>
      <c r="AD15" s="1895"/>
      <c r="AE15" s="1895"/>
      <c r="AF15" s="1895"/>
      <c r="AG15" s="1895"/>
      <c r="AH15" s="1895"/>
      <c r="AI15" s="1895"/>
      <c r="AJ15" s="1895"/>
      <c r="AK15" s="1895"/>
      <c r="AL15" s="1895"/>
      <c r="AM15" s="1895"/>
      <c r="AN15" s="1895"/>
      <c r="AO15" s="1899"/>
      <c r="AP15" s="1900"/>
      <c r="AQ15" s="1900"/>
      <c r="AR15" s="1900"/>
      <c r="AS15" s="190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7" t="s">
        <v>2434</v>
      </c>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8"/>
      <c r="AW17" s="1908"/>
      <c r="AX17" s="1908"/>
      <c r="AY17" s="1909"/>
      <c r="AZ17" s="1190"/>
      <c r="BA17" s="1190"/>
      <c r="BB17" s="1190"/>
      <c r="BC17" s="1190"/>
      <c r="BD17" s="1190"/>
      <c r="BE17" s="1194"/>
      <c r="BF17" s="1188"/>
    </row>
    <row r="18" spans="1:58" ht="15.75" customHeight="1">
      <c r="A18" s="1190"/>
      <c r="B18" s="1910" t="s">
        <v>2433</v>
      </c>
      <c r="C18" s="1911"/>
      <c r="D18" s="1911"/>
      <c r="E18" s="1911"/>
      <c r="F18" s="1911"/>
      <c r="G18" s="1911"/>
      <c r="H18" s="1911"/>
      <c r="I18" s="1912"/>
      <c r="J18" s="1913" t="s">
        <v>1587</v>
      </c>
      <c r="K18" s="1914"/>
      <c r="L18" s="1914"/>
      <c r="M18" s="1914"/>
      <c r="N18" s="1914"/>
      <c r="O18" s="1915"/>
      <c r="P18" s="1913" t="s">
        <v>324</v>
      </c>
      <c r="Q18" s="1914"/>
      <c r="R18" s="1914"/>
      <c r="S18" s="1914"/>
      <c r="T18" s="1914"/>
      <c r="U18" s="1915"/>
      <c r="V18" s="1913" t="s">
        <v>325</v>
      </c>
      <c r="W18" s="1914"/>
      <c r="X18" s="1914"/>
      <c r="Y18" s="1914"/>
      <c r="Z18" s="1914"/>
      <c r="AA18" s="1915"/>
      <c r="AB18" s="1913" t="s">
        <v>163</v>
      </c>
      <c r="AC18" s="1914"/>
      <c r="AD18" s="1914"/>
      <c r="AE18" s="1914"/>
      <c r="AF18" s="1914"/>
      <c r="AG18" s="1915"/>
      <c r="AH18" s="1913" t="s">
        <v>164</v>
      </c>
      <c r="AI18" s="1914"/>
      <c r="AJ18" s="1914"/>
      <c r="AK18" s="1914"/>
      <c r="AL18" s="1914"/>
      <c r="AM18" s="1915"/>
      <c r="AN18" s="1913" t="s">
        <v>165</v>
      </c>
      <c r="AO18" s="1914"/>
      <c r="AP18" s="1914"/>
      <c r="AQ18" s="1914"/>
      <c r="AR18" s="1914"/>
      <c r="AS18" s="1915"/>
      <c r="AT18" s="1913" t="s">
        <v>2432</v>
      </c>
      <c r="AU18" s="1914"/>
      <c r="AV18" s="1914"/>
      <c r="AW18" s="1914"/>
      <c r="AX18" s="1914"/>
      <c r="AY18" s="1916"/>
      <c r="AZ18" s="1190"/>
      <c r="BA18" s="1190"/>
      <c r="BB18" s="1190"/>
      <c r="BC18" s="1190"/>
      <c r="BD18" s="1190"/>
      <c r="BE18" s="1194"/>
    </row>
    <row r="19" spans="1:58" ht="15">
      <c r="A19" s="1190"/>
      <c r="B19" s="1917">
        <v>0.3</v>
      </c>
      <c r="C19" s="1918"/>
      <c r="D19" s="1918"/>
      <c r="E19" s="1918"/>
      <c r="F19" s="1918"/>
      <c r="G19" s="1918"/>
      <c r="H19" s="1918"/>
      <c r="I19" s="1919"/>
      <c r="J19" s="1920">
        <f t="shared" ref="J19:J24" si="0">SUM(P19:AS19)</f>
        <v>23</v>
      </c>
      <c r="K19" s="1921"/>
      <c r="L19" s="1921"/>
      <c r="M19" s="1921"/>
      <c r="N19" s="1921"/>
      <c r="O19" s="1922"/>
      <c r="P19" s="1920" cm="1">
        <f t="array" ref="P19">SUMPRODUCT((Application!$B$718:$B$752 = 'CalHFA Addendum'!P$18)*(Application!$AC$718:$AC$752 = 'CalHFA Addendum'!$B19),Application!$G$718:$G$752)</f>
        <v>0</v>
      </c>
      <c r="Q19" s="1921"/>
      <c r="R19" s="1921"/>
      <c r="S19" s="1921"/>
      <c r="T19" s="1921"/>
      <c r="U19" s="1922"/>
      <c r="V19" s="1920" cm="1">
        <f t="array" ref="V19">SUMPRODUCT((Application!$B$714:$B$738 = 'CalHFA Addendum'!V$18)*(Application!$AC$714:$AC$738 = 'CalHFA Addendum'!$B19),Application!$G$714:$G$738)</f>
        <v>9</v>
      </c>
      <c r="W19" s="1921"/>
      <c r="X19" s="1921"/>
      <c r="Y19" s="1921"/>
      <c r="Z19" s="1921"/>
      <c r="AA19" s="1922"/>
      <c r="AB19" s="1920" cm="1">
        <f t="array" ref="AB19">SUMPRODUCT((Application!$B$714:$B$738 = 'CalHFA Addendum'!AB$18)*(Application!$AC$714:$AC$738 = 'CalHFA Addendum'!$B19),Application!$G$714:$G$738)</f>
        <v>10</v>
      </c>
      <c r="AC19" s="1921"/>
      <c r="AD19" s="1921"/>
      <c r="AE19" s="1921"/>
      <c r="AF19" s="1921"/>
      <c r="AG19" s="1922"/>
      <c r="AH19" s="1920" cm="1">
        <f t="array" ref="AH19">SUMPRODUCT((Application!$B$714:$B$738 = 'CalHFA Addendum'!AH$18)*(Application!$AC$714:$AC$738 = 'CalHFA Addendum'!$B19),Application!$G$714:$G$738)</f>
        <v>4</v>
      </c>
      <c r="AI19" s="1921"/>
      <c r="AJ19" s="1921"/>
      <c r="AK19" s="1921"/>
      <c r="AL19" s="1921"/>
      <c r="AM19" s="1922"/>
      <c r="AN19" s="1920" cm="1">
        <f t="array" ref="AN19">SUMPRODUCT((Application!$B$714:$B$738 = 'CalHFA Addendum'!AN$18)*(Application!$AC$714:$AC$738 = 'CalHFA Addendum'!$B19),Application!$G$714:$G$738)</f>
        <v>0</v>
      </c>
      <c r="AO19" s="1921"/>
      <c r="AP19" s="1921"/>
      <c r="AQ19" s="1921"/>
      <c r="AR19" s="1921"/>
      <c r="AS19" s="1922"/>
      <c r="AT19" s="1923">
        <f t="shared" ref="AT19:AT29" si="1">J19/$J$29</f>
        <v>0.15131578947368421</v>
      </c>
      <c r="AU19" s="1924"/>
      <c r="AV19" s="1924"/>
      <c r="AW19" s="1924"/>
      <c r="AX19" s="1924"/>
      <c r="AY19" s="1925"/>
      <c r="AZ19" s="1195"/>
      <c r="BA19" s="1190"/>
      <c r="BB19" s="1190"/>
      <c r="BC19" s="1190"/>
      <c r="BD19" s="1190"/>
      <c r="BE19" s="1194"/>
    </row>
    <row r="20" spans="1:58" ht="15" customHeight="1">
      <c r="A20" s="1190"/>
      <c r="B20" s="1917">
        <v>0.4</v>
      </c>
      <c r="C20" s="1918"/>
      <c r="D20" s="1918"/>
      <c r="E20" s="1918"/>
      <c r="F20" s="1918"/>
      <c r="G20" s="1918"/>
      <c r="H20" s="1918"/>
      <c r="I20" s="1919"/>
      <c r="J20" s="1920">
        <f t="shared" si="0"/>
        <v>0</v>
      </c>
      <c r="K20" s="1921"/>
      <c r="L20" s="1921"/>
      <c r="M20" s="1921"/>
      <c r="N20" s="1921"/>
      <c r="O20" s="1922"/>
      <c r="P20" s="1920" cm="1">
        <f t="array" ref="P20">SUMPRODUCT((Application!$B$718:$B$752 = 'CalHFA Addendum'!P$18)*(Application!$AC$718:$AC$752 = 'CalHFA Addendum'!$B20),Application!$G$718:$G$752)</f>
        <v>0</v>
      </c>
      <c r="Q20" s="1921"/>
      <c r="R20" s="1921"/>
      <c r="S20" s="1921"/>
      <c r="T20" s="1921"/>
      <c r="U20" s="1922"/>
      <c r="V20" s="1920" cm="1">
        <f t="array" ref="V20">SUMPRODUCT((Application!$B$714:$B$738 = 'CalHFA Addendum'!V$18)*(Application!$AC$714:$AC$738 = 'CalHFA Addendum'!$B20),Application!$G$714:$G$738)</f>
        <v>0</v>
      </c>
      <c r="W20" s="1921"/>
      <c r="X20" s="1921"/>
      <c r="Y20" s="1921"/>
      <c r="Z20" s="1921"/>
      <c r="AA20" s="1922"/>
      <c r="AB20" s="1920" cm="1">
        <f t="array" ref="AB20">SUMPRODUCT((Application!$B$714:$B$738 = 'CalHFA Addendum'!AB$18)*(Application!$AC$714:$AC$738 = 'CalHFA Addendum'!$B20),Application!$G$714:$G$738)</f>
        <v>0</v>
      </c>
      <c r="AC20" s="1921"/>
      <c r="AD20" s="1921"/>
      <c r="AE20" s="1921"/>
      <c r="AF20" s="1921"/>
      <c r="AG20" s="1922"/>
      <c r="AH20" s="1920" cm="1">
        <f t="array" ref="AH20">SUMPRODUCT((Application!$B$714:$B$738 = 'CalHFA Addendum'!AH$18)*(Application!$AC$714:$AC$738 = 'CalHFA Addendum'!$B20),Application!$G$714:$G$738)</f>
        <v>0</v>
      </c>
      <c r="AI20" s="1921"/>
      <c r="AJ20" s="1921"/>
      <c r="AK20" s="1921"/>
      <c r="AL20" s="1921"/>
      <c r="AM20" s="1922"/>
      <c r="AN20" s="1920" cm="1">
        <f t="array" ref="AN20">SUMPRODUCT((Application!$B$714:$B$738 = 'CalHFA Addendum'!AN$18)*(Application!$AC$714:$AC$738 = 'CalHFA Addendum'!$B20),Application!$G$714:$G$738)</f>
        <v>0</v>
      </c>
      <c r="AO20" s="1921"/>
      <c r="AP20" s="1921"/>
      <c r="AQ20" s="1921"/>
      <c r="AR20" s="1921"/>
      <c r="AS20" s="1922"/>
      <c r="AT20" s="1923">
        <f t="shared" si="1"/>
        <v>0</v>
      </c>
      <c r="AU20" s="1924"/>
      <c r="AV20" s="1924"/>
      <c r="AW20" s="1924"/>
      <c r="AX20" s="1924"/>
      <c r="AY20" s="1925"/>
      <c r="AZ20" s="1190"/>
      <c r="BA20" s="1190"/>
      <c r="BB20" s="1190"/>
      <c r="BC20" s="1190"/>
      <c r="BD20" s="1190"/>
      <c r="BE20" s="1194"/>
    </row>
    <row r="21" spans="1:58" ht="15">
      <c r="A21" s="1190"/>
      <c r="B21" s="1917">
        <v>0.5</v>
      </c>
      <c r="C21" s="1918"/>
      <c r="D21" s="1918"/>
      <c r="E21" s="1918"/>
      <c r="F21" s="1918"/>
      <c r="G21" s="1918"/>
      <c r="H21" s="1918"/>
      <c r="I21" s="1919"/>
      <c r="J21" s="1920">
        <f t="shared" si="0"/>
        <v>16</v>
      </c>
      <c r="K21" s="1921"/>
      <c r="L21" s="1921"/>
      <c r="M21" s="1921"/>
      <c r="N21" s="1921"/>
      <c r="O21" s="1922"/>
      <c r="P21" s="1920" cm="1">
        <f t="array" ref="P21">SUMPRODUCT((Application!$B$714:$B$738 = 'CalHFA Addendum'!P$18)*(Application!$AC$714:$AC$738 = 'CalHFA Addendum'!$B21),Application!$G$714:$G$738)</f>
        <v>0</v>
      </c>
      <c r="Q21" s="1921"/>
      <c r="R21" s="1921"/>
      <c r="S21" s="1921"/>
      <c r="T21" s="1921"/>
      <c r="U21" s="1922"/>
      <c r="V21" s="1920" cm="1">
        <f t="array" ref="V21">SUMPRODUCT((Application!$B$714:$B$738 = 'CalHFA Addendum'!V$18)*(Application!$AC$714:$AC$738 = 'CalHFA Addendum'!$B21),Application!$G$714:$G$738)</f>
        <v>5</v>
      </c>
      <c r="W21" s="1921"/>
      <c r="X21" s="1921"/>
      <c r="Y21" s="1921"/>
      <c r="Z21" s="1921"/>
      <c r="AA21" s="1922"/>
      <c r="AB21" s="1920" cm="1">
        <f t="array" ref="AB21">SUMPRODUCT((Application!$B$714:$B$738 = 'CalHFA Addendum'!AB$18)*(Application!$AC$714:$AC$738 = 'CalHFA Addendum'!$B21),Application!$G$714:$G$738)</f>
        <v>7</v>
      </c>
      <c r="AC21" s="1921"/>
      <c r="AD21" s="1921"/>
      <c r="AE21" s="1921"/>
      <c r="AF21" s="1921"/>
      <c r="AG21" s="1922"/>
      <c r="AH21" s="1920" cm="1">
        <f t="array" ref="AH21">SUMPRODUCT((Application!$B$714:$B$738 = 'CalHFA Addendum'!AH$18)*(Application!$AC$714:$AC$738 = 'CalHFA Addendum'!$B21),Application!$G$714:$G$738)</f>
        <v>4</v>
      </c>
      <c r="AI21" s="1921"/>
      <c r="AJ21" s="1921"/>
      <c r="AK21" s="1921"/>
      <c r="AL21" s="1921"/>
      <c r="AM21" s="1922"/>
      <c r="AN21" s="1920" cm="1">
        <f t="array" ref="AN21">SUMPRODUCT((Application!$B$714:$B$738 = 'CalHFA Addendum'!AN$18)*(Application!$AC$714:$AC$738 = 'CalHFA Addendum'!$B21),Application!$G$714:$G$738)</f>
        <v>0</v>
      </c>
      <c r="AO21" s="1921"/>
      <c r="AP21" s="1921"/>
      <c r="AQ21" s="1921"/>
      <c r="AR21" s="1921"/>
      <c r="AS21" s="1922"/>
      <c r="AT21" s="1923">
        <f t="shared" si="1"/>
        <v>0.10526315789473684</v>
      </c>
      <c r="AU21" s="1924"/>
      <c r="AV21" s="1924"/>
      <c r="AW21" s="1924"/>
      <c r="AX21" s="1924"/>
      <c r="AY21" s="1925"/>
      <c r="AZ21" s="1190"/>
      <c r="BA21" s="1190"/>
      <c r="BB21" s="1190"/>
      <c r="BC21" s="1190"/>
      <c r="BD21" s="1190"/>
      <c r="BE21" s="1194"/>
    </row>
    <row r="22" spans="1:58" ht="15">
      <c r="A22" s="1190"/>
      <c r="B22" s="1917">
        <v>0.6</v>
      </c>
      <c r="C22" s="1918"/>
      <c r="D22" s="1918"/>
      <c r="E22" s="1918"/>
      <c r="F22" s="1918"/>
      <c r="G22" s="1918"/>
      <c r="H22" s="1918"/>
      <c r="I22" s="1919"/>
      <c r="J22" s="1920">
        <f t="shared" si="0"/>
        <v>38</v>
      </c>
      <c r="K22" s="1921"/>
      <c r="L22" s="1921"/>
      <c r="M22" s="1921"/>
      <c r="N22" s="1921"/>
      <c r="O22" s="1922"/>
      <c r="P22" s="1920" cm="1">
        <f t="array" ref="P22">SUMPRODUCT((Application!$B$714:$B$738 = 'CalHFA Addendum'!P$18)*(Application!$AC$714:$AC$738 = 'CalHFA Addendum'!$B22),Application!$G$714:$G$738)</f>
        <v>0</v>
      </c>
      <c r="Q22" s="1921"/>
      <c r="R22" s="1921"/>
      <c r="S22" s="1921"/>
      <c r="T22" s="1921"/>
      <c r="U22" s="1922"/>
      <c r="V22" s="1920" cm="1">
        <f t="array" ref="V22">SUMPRODUCT((Application!$B$714:$B$738 = 'CalHFA Addendum'!V$18)*(Application!$AC$714:$AC$738 = 'CalHFA Addendum'!$B22),Application!$G$714:$G$738)</f>
        <v>8</v>
      </c>
      <c r="W22" s="1921"/>
      <c r="X22" s="1921"/>
      <c r="Y22" s="1921"/>
      <c r="Z22" s="1921"/>
      <c r="AA22" s="1922"/>
      <c r="AB22" s="1920" cm="1">
        <f t="array" ref="AB22">SUMPRODUCT((Application!$B$714:$B$738 = 'CalHFA Addendum'!AB$18)*(Application!$AC$714:$AC$738 = 'CalHFA Addendum'!$B22),Application!$G$714:$G$738)</f>
        <v>20</v>
      </c>
      <c r="AC22" s="1921"/>
      <c r="AD22" s="1921"/>
      <c r="AE22" s="1921"/>
      <c r="AF22" s="1921"/>
      <c r="AG22" s="1922"/>
      <c r="AH22" s="1920" cm="1">
        <f t="array" ref="AH22">SUMPRODUCT((Application!$B$714:$B$738 = 'CalHFA Addendum'!AH$18)*(Application!$AC$714:$AC$738 = 'CalHFA Addendum'!$B22),Application!$G$714:$G$738)</f>
        <v>10</v>
      </c>
      <c r="AI22" s="1921"/>
      <c r="AJ22" s="1921"/>
      <c r="AK22" s="1921"/>
      <c r="AL22" s="1921"/>
      <c r="AM22" s="1922"/>
      <c r="AN22" s="1920" cm="1">
        <f t="array" ref="AN22">SUMPRODUCT((Application!$B$714:$B$738 = 'CalHFA Addendum'!AN$18)*(Application!$AC$714:$AC$738 = 'CalHFA Addendum'!$B22),Application!$G$714:$G$738)</f>
        <v>0</v>
      </c>
      <c r="AO22" s="1921"/>
      <c r="AP22" s="1921"/>
      <c r="AQ22" s="1921"/>
      <c r="AR22" s="1921"/>
      <c r="AS22" s="1922"/>
      <c r="AT22" s="1923">
        <f t="shared" si="1"/>
        <v>0.25</v>
      </c>
      <c r="AU22" s="1924"/>
      <c r="AV22" s="1924"/>
      <c r="AW22" s="1924"/>
      <c r="AX22" s="1924"/>
      <c r="AY22" s="1925"/>
      <c r="AZ22" s="1190"/>
      <c r="BA22" s="1190"/>
      <c r="BB22" s="1190"/>
      <c r="BC22" s="1190"/>
      <c r="BD22" s="1190"/>
      <c r="BE22" s="1194"/>
    </row>
    <row r="23" spans="1:58" ht="15">
      <c r="A23" s="1190"/>
      <c r="B23" s="1917">
        <v>0.7</v>
      </c>
      <c r="C23" s="1918"/>
      <c r="D23" s="1918"/>
      <c r="E23" s="1918"/>
      <c r="F23" s="1918"/>
      <c r="G23" s="1918"/>
      <c r="H23" s="1918"/>
      <c r="I23" s="1919"/>
      <c r="J23" s="1920">
        <f t="shared" si="0"/>
        <v>74</v>
      </c>
      <c r="K23" s="1921"/>
      <c r="L23" s="1921"/>
      <c r="M23" s="1921"/>
      <c r="N23" s="1921"/>
      <c r="O23" s="1922"/>
      <c r="P23" s="1920" cm="1">
        <f t="array" ref="P23">SUMPRODUCT((Application!$B$714:$B$738 = 'CalHFA Addendum'!P$18)*(Application!$AC$714:$AC$738 = 'CalHFA Addendum'!$B23),Application!$G$714:$G$738)</f>
        <v>0</v>
      </c>
      <c r="Q23" s="1921"/>
      <c r="R23" s="1921"/>
      <c r="S23" s="1921"/>
      <c r="T23" s="1921"/>
      <c r="U23" s="1922"/>
      <c r="V23" s="1920" cm="1">
        <f t="array" ref="V23">SUMPRODUCT((Application!$B$714:$B$738 = 'CalHFA Addendum'!V$18)*(Application!$AC$714:$AC$738 = 'CalHFA Addendum'!$B23),Application!$G$714:$G$738)</f>
        <v>20</v>
      </c>
      <c r="W23" s="1921"/>
      <c r="X23" s="1921"/>
      <c r="Y23" s="1921"/>
      <c r="Z23" s="1921"/>
      <c r="AA23" s="1922"/>
      <c r="AB23" s="1920" cm="1">
        <f t="array" ref="AB23">SUMPRODUCT((Application!$B$714:$B$738 = 'CalHFA Addendum'!AB$18)*(Application!$AC$714:$AC$738 = 'CalHFA Addendum'!$B23),Application!$G$714:$G$738)</f>
        <v>33</v>
      </c>
      <c r="AC23" s="1921"/>
      <c r="AD23" s="1921"/>
      <c r="AE23" s="1921"/>
      <c r="AF23" s="1921"/>
      <c r="AG23" s="1922"/>
      <c r="AH23" s="1920" cm="1">
        <f t="array" ref="AH23">SUMPRODUCT((Application!$B$714:$B$738 = 'CalHFA Addendum'!AH$18)*(Application!$AC$714:$AC$738 = 'CalHFA Addendum'!$B23),Application!$G$714:$G$738)</f>
        <v>21</v>
      </c>
      <c r="AI23" s="1921"/>
      <c r="AJ23" s="1921"/>
      <c r="AK23" s="1921"/>
      <c r="AL23" s="1921"/>
      <c r="AM23" s="1922"/>
      <c r="AN23" s="1920" cm="1">
        <f t="array" ref="AN23">SUMPRODUCT((Application!$B$714:$B$738 = 'CalHFA Addendum'!AN$18)*(Application!$AC$714:$AC$738 = 'CalHFA Addendum'!$B23),Application!$G$714:$G$738)</f>
        <v>0</v>
      </c>
      <c r="AO23" s="1921"/>
      <c r="AP23" s="1921"/>
      <c r="AQ23" s="1921"/>
      <c r="AR23" s="1921"/>
      <c r="AS23" s="1922"/>
      <c r="AT23" s="1923">
        <f t="shared" si="1"/>
        <v>0.48684210526315791</v>
      </c>
      <c r="AU23" s="1924"/>
      <c r="AV23" s="1924"/>
      <c r="AW23" s="1924"/>
      <c r="AX23" s="1924"/>
      <c r="AY23" s="1925"/>
      <c r="AZ23" s="1190"/>
      <c r="BA23" s="1190"/>
      <c r="BB23" s="1190"/>
      <c r="BC23" s="1190"/>
      <c r="BD23" s="1190"/>
      <c r="BE23" s="1194"/>
    </row>
    <row r="24" spans="1:58" ht="15">
      <c r="A24" s="1190"/>
      <c r="B24" s="1917">
        <v>0.8</v>
      </c>
      <c r="C24" s="1918"/>
      <c r="D24" s="1918"/>
      <c r="E24" s="1918"/>
      <c r="F24" s="1918"/>
      <c r="G24" s="1918"/>
      <c r="H24" s="1918"/>
      <c r="I24" s="1919"/>
      <c r="J24" s="1920">
        <f t="shared" si="0"/>
        <v>0</v>
      </c>
      <c r="K24" s="1921"/>
      <c r="L24" s="1921"/>
      <c r="M24" s="1921"/>
      <c r="N24" s="1921"/>
      <c r="O24" s="1922"/>
      <c r="P24" s="1920" cm="1">
        <f t="array" ref="P24">SUMPRODUCT((Application!$B$714:$B$738 = 'CalHFA Addendum'!P$18)*(Application!$AC$714:$AC$738 = 'CalHFA Addendum'!$B24),Application!$G$714:$G$738)</f>
        <v>0</v>
      </c>
      <c r="Q24" s="1921"/>
      <c r="R24" s="1921"/>
      <c r="S24" s="1921"/>
      <c r="T24" s="1921"/>
      <c r="U24" s="1922"/>
      <c r="V24" s="1920" cm="1">
        <f t="array" ref="V24">SUMPRODUCT((Application!$B$714:$B$738 = 'CalHFA Addendum'!V$18)*(Application!$AC$714:$AC$738 = 'CalHFA Addendum'!$B24),Application!$G$714:$G$738)</f>
        <v>0</v>
      </c>
      <c r="W24" s="1921"/>
      <c r="X24" s="1921"/>
      <c r="Y24" s="1921"/>
      <c r="Z24" s="1921"/>
      <c r="AA24" s="1922"/>
      <c r="AB24" s="1920" cm="1">
        <f t="array" ref="AB24">SUMPRODUCT((Application!$B$714:$B$738 = 'CalHFA Addendum'!AB$18)*(Application!$AC$714:$AC$738 = 'CalHFA Addendum'!$B24),Application!$G$714:$G$738)</f>
        <v>0</v>
      </c>
      <c r="AC24" s="1921"/>
      <c r="AD24" s="1921"/>
      <c r="AE24" s="1921"/>
      <c r="AF24" s="1921"/>
      <c r="AG24" s="1922"/>
      <c r="AH24" s="1920" cm="1">
        <f t="array" ref="AH24">SUMPRODUCT((Application!$B$714:$B$738 = 'CalHFA Addendum'!AH$18)*(Application!$AC$714:$AC$738 = 'CalHFA Addendum'!$B24),Application!$G$714:$G$738)</f>
        <v>0</v>
      </c>
      <c r="AI24" s="1921"/>
      <c r="AJ24" s="1921"/>
      <c r="AK24" s="1921"/>
      <c r="AL24" s="1921"/>
      <c r="AM24" s="1922"/>
      <c r="AN24" s="1920" cm="1">
        <f t="array" ref="AN24">SUMPRODUCT((Application!$B$714:$B$738 = 'CalHFA Addendum'!AN$18)*(Application!$AC$714:$AC$738 = 'CalHFA Addendum'!$B24),Application!$G$714:$G$738)</f>
        <v>0</v>
      </c>
      <c r="AO24" s="1921"/>
      <c r="AP24" s="1921"/>
      <c r="AQ24" s="1921"/>
      <c r="AR24" s="1921"/>
      <c r="AS24" s="1922"/>
      <c r="AT24" s="1923">
        <f t="shared" si="1"/>
        <v>0</v>
      </c>
      <c r="AU24" s="1924"/>
      <c r="AV24" s="1924"/>
      <c r="AW24" s="1924"/>
      <c r="AX24" s="1924"/>
      <c r="AY24" s="1925"/>
      <c r="AZ24" s="1190"/>
      <c r="BA24" s="1190"/>
      <c r="BB24" s="1190"/>
      <c r="BC24" s="1190"/>
      <c r="BD24" s="1190"/>
      <c r="BE24" s="1194"/>
    </row>
    <row r="25" spans="1:58" ht="15">
      <c r="A25" s="1190"/>
      <c r="B25" s="1917">
        <v>0.9</v>
      </c>
      <c r="C25" s="1918"/>
      <c r="D25" s="1918"/>
      <c r="E25" s="1918"/>
      <c r="F25" s="1918"/>
      <c r="G25" s="1918"/>
      <c r="H25" s="1918"/>
      <c r="I25" s="1919"/>
      <c r="J25" s="1926"/>
      <c r="K25" s="1927"/>
      <c r="L25" s="1927"/>
      <c r="M25" s="1927"/>
      <c r="N25" s="1927"/>
      <c r="O25" s="1928"/>
      <c r="P25" s="1926"/>
      <c r="Q25" s="1927"/>
      <c r="R25" s="1927"/>
      <c r="S25" s="1927"/>
      <c r="T25" s="1927"/>
      <c r="U25" s="1928"/>
      <c r="V25" s="1926"/>
      <c r="W25" s="1927"/>
      <c r="X25" s="1927"/>
      <c r="Y25" s="1927"/>
      <c r="Z25" s="1927"/>
      <c r="AA25" s="1928"/>
      <c r="AB25" s="1926"/>
      <c r="AC25" s="1927"/>
      <c r="AD25" s="1927"/>
      <c r="AE25" s="1927"/>
      <c r="AF25" s="1927"/>
      <c r="AG25" s="1928"/>
      <c r="AH25" s="1926"/>
      <c r="AI25" s="1927"/>
      <c r="AJ25" s="1927"/>
      <c r="AK25" s="1927"/>
      <c r="AL25" s="1927"/>
      <c r="AM25" s="1928"/>
      <c r="AN25" s="1926"/>
      <c r="AO25" s="1927"/>
      <c r="AP25" s="1927"/>
      <c r="AQ25" s="1927"/>
      <c r="AR25" s="1927"/>
      <c r="AS25" s="1928"/>
      <c r="AT25" s="1923">
        <f t="shared" si="1"/>
        <v>0</v>
      </c>
      <c r="AU25" s="1924"/>
      <c r="AV25" s="1924"/>
      <c r="AW25" s="1924"/>
      <c r="AX25" s="1924"/>
      <c r="AY25" s="1925"/>
      <c r="AZ25" s="1190"/>
      <c r="BA25" s="1190"/>
      <c r="BB25" s="1190"/>
      <c r="BC25" s="1190"/>
      <c r="BD25" s="1190"/>
      <c r="BE25" s="1194"/>
    </row>
    <row r="26" spans="1:58" ht="15">
      <c r="A26" s="1190"/>
      <c r="B26" s="1917">
        <v>1</v>
      </c>
      <c r="C26" s="1918"/>
      <c r="D26" s="1918"/>
      <c r="E26" s="1918"/>
      <c r="F26" s="1918"/>
      <c r="G26" s="1918"/>
      <c r="H26" s="1918"/>
      <c r="I26" s="1919"/>
      <c r="J26" s="1926"/>
      <c r="K26" s="1927"/>
      <c r="L26" s="1927"/>
      <c r="M26" s="1927"/>
      <c r="N26" s="1927"/>
      <c r="O26" s="1928"/>
      <c r="P26" s="1926"/>
      <c r="Q26" s="1927"/>
      <c r="R26" s="1927"/>
      <c r="S26" s="1927"/>
      <c r="T26" s="1927"/>
      <c r="U26" s="1928"/>
      <c r="V26" s="1926"/>
      <c r="W26" s="1927"/>
      <c r="X26" s="1927"/>
      <c r="Y26" s="1927"/>
      <c r="Z26" s="1927"/>
      <c r="AA26" s="1928"/>
      <c r="AB26" s="1926"/>
      <c r="AC26" s="1927"/>
      <c r="AD26" s="1927"/>
      <c r="AE26" s="1927"/>
      <c r="AF26" s="1927"/>
      <c r="AG26" s="1928"/>
      <c r="AH26" s="1926"/>
      <c r="AI26" s="1927"/>
      <c r="AJ26" s="1927"/>
      <c r="AK26" s="1927"/>
      <c r="AL26" s="1927"/>
      <c r="AM26" s="1928"/>
      <c r="AN26" s="1926"/>
      <c r="AO26" s="1927"/>
      <c r="AP26" s="1927"/>
      <c r="AQ26" s="1927"/>
      <c r="AR26" s="1927"/>
      <c r="AS26" s="1928"/>
      <c r="AT26" s="1923">
        <f t="shared" si="1"/>
        <v>0</v>
      </c>
      <c r="AU26" s="1924"/>
      <c r="AV26" s="1924"/>
      <c r="AW26" s="1924"/>
      <c r="AX26" s="1924"/>
      <c r="AY26" s="1925"/>
      <c r="AZ26" s="1190"/>
      <c r="BA26" s="1190"/>
      <c r="BB26" s="1190"/>
      <c r="BC26" s="1190"/>
      <c r="BD26" s="1190"/>
      <c r="BE26" s="1194"/>
    </row>
    <row r="27" spans="1:58" ht="15">
      <c r="A27" s="1190"/>
      <c r="B27" s="1917">
        <v>1.2</v>
      </c>
      <c r="C27" s="1918"/>
      <c r="D27" s="1918"/>
      <c r="E27" s="1918"/>
      <c r="F27" s="1918"/>
      <c r="G27" s="1918"/>
      <c r="H27" s="1918"/>
      <c r="I27" s="1919"/>
      <c r="J27" s="1926"/>
      <c r="K27" s="1927"/>
      <c r="L27" s="1927"/>
      <c r="M27" s="1927"/>
      <c r="N27" s="1927"/>
      <c r="O27" s="1928"/>
      <c r="P27" s="1926"/>
      <c r="Q27" s="1927"/>
      <c r="R27" s="1927"/>
      <c r="S27" s="1927"/>
      <c r="T27" s="1927"/>
      <c r="U27" s="1928"/>
      <c r="V27" s="1926"/>
      <c r="W27" s="1927"/>
      <c r="X27" s="1927"/>
      <c r="Y27" s="1927"/>
      <c r="Z27" s="1927"/>
      <c r="AA27" s="1928"/>
      <c r="AB27" s="1926"/>
      <c r="AC27" s="1927"/>
      <c r="AD27" s="1927"/>
      <c r="AE27" s="1927"/>
      <c r="AF27" s="1927"/>
      <c r="AG27" s="1928"/>
      <c r="AH27" s="1926"/>
      <c r="AI27" s="1927"/>
      <c r="AJ27" s="1927"/>
      <c r="AK27" s="1927"/>
      <c r="AL27" s="1927"/>
      <c r="AM27" s="1928"/>
      <c r="AN27" s="1926"/>
      <c r="AO27" s="1927"/>
      <c r="AP27" s="1927"/>
      <c r="AQ27" s="1927"/>
      <c r="AR27" s="1927"/>
      <c r="AS27" s="1928"/>
      <c r="AT27" s="1923">
        <f t="shared" si="1"/>
        <v>0</v>
      </c>
      <c r="AU27" s="1924"/>
      <c r="AV27" s="1924"/>
      <c r="AW27" s="1924"/>
      <c r="AX27" s="1924"/>
      <c r="AY27" s="1925"/>
      <c r="AZ27" s="1190"/>
      <c r="BA27" s="1190"/>
      <c r="BB27" s="1190"/>
      <c r="BC27" s="1190"/>
      <c r="BD27" s="1190"/>
      <c r="BE27" s="1194"/>
    </row>
    <row r="28" spans="1:58" thickBot="1">
      <c r="A28" s="1190"/>
      <c r="B28" s="1929" t="s">
        <v>2431</v>
      </c>
      <c r="C28" s="1930"/>
      <c r="D28" s="1930"/>
      <c r="E28" s="1930"/>
      <c r="F28" s="1930"/>
      <c r="G28" s="1930"/>
      <c r="H28" s="1930"/>
      <c r="I28" s="1931"/>
      <c r="J28" s="1932">
        <f>SUM(P28:AS28)</f>
        <v>1</v>
      </c>
      <c r="K28" s="1933"/>
      <c r="L28" s="1933"/>
      <c r="M28" s="1933"/>
      <c r="N28" s="1933"/>
      <c r="O28" s="1934"/>
      <c r="P28" s="1932">
        <f>_xlfn.IFNA(VLOOKUP(P$18,Application!$J$773:$S$776,6,FALSE), 0)</f>
        <v>0</v>
      </c>
      <c r="Q28" s="1933"/>
      <c r="R28" s="1933"/>
      <c r="S28" s="1933"/>
      <c r="T28" s="1933"/>
      <c r="U28" s="1934"/>
      <c r="V28" s="1932">
        <f>_xlfn.IFNA(VLOOKUP(V$18,Application!$J$773:$S$776,6,FALSE), 0)</f>
        <v>0</v>
      </c>
      <c r="W28" s="1933"/>
      <c r="X28" s="1933"/>
      <c r="Y28" s="1933"/>
      <c r="Z28" s="1933"/>
      <c r="AA28" s="1934"/>
      <c r="AB28" s="1932">
        <f>_xlfn.IFNA(VLOOKUP(AB$18,Application!$J$773:$S$776,6,FALSE), 0)</f>
        <v>0</v>
      </c>
      <c r="AC28" s="1933"/>
      <c r="AD28" s="1933"/>
      <c r="AE28" s="1933"/>
      <c r="AF28" s="1933"/>
      <c r="AG28" s="1934"/>
      <c r="AH28" s="1932">
        <f>_xlfn.IFNA(VLOOKUP(AH$18,Application!$J$773:$S$776,6,FALSE), 0)</f>
        <v>1</v>
      </c>
      <c r="AI28" s="1933"/>
      <c r="AJ28" s="1933"/>
      <c r="AK28" s="1933"/>
      <c r="AL28" s="1933"/>
      <c r="AM28" s="1934"/>
      <c r="AN28" s="1932">
        <f>_xlfn.IFNA(VLOOKUP(AN$18,Application!$J$773:$S$776,6,FALSE), 0)</f>
        <v>0</v>
      </c>
      <c r="AO28" s="1933"/>
      <c r="AP28" s="1933"/>
      <c r="AQ28" s="1933"/>
      <c r="AR28" s="1933"/>
      <c r="AS28" s="1934"/>
      <c r="AT28" s="1935">
        <f t="shared" si="1"/>
        <v>6.5789473684210523E-3</v>
      </c>
      <c r="AU28" s="1936"/>
      <c r="AV28" s="1936"/>
      <c r="AW28" s="1936"/>
      <c r="AX28" s="1936"/>
      <c r="AY28" s="1937"/>
      <c r="AZ28" s="1190"/>
      <c r="BA28" s="1190"/>
      <c r="BB28" s="1190"/>
      <c r="BC28" s="1190"/>
      <c r="BD28" s="1190"/>
      <c r="BE28" s="1194"/>
    </row>
    <row r="29" spans="1:58" thickBot="1">
      <c r="A29" s="1190"/>
      <c r="B29" s="1966" t="s">
        <v>1587</v>
      </c>
      <c r="C29" s="1939"/>
      <c r="D29" s="1939"/>
      <c r="E29" s="1939"/>
      <c r="F29" s="1939"/>
      <c r="G29" s="1939"/>
      <c r="H29" s="1939"/>
      <c r="I29" s="1940"/>
      <c r="J29" s="1938">
        <f>SUM(J19:O28)</f>
        <v>152</v>
      </c>
      <c r="K29" s="1939"/>
      <c r="L29" s="1939"/>
      <c r="M29" s="1939"/>
      <c r="N29" s="1939"/>
      <c r="O29" s="1940"/>
      <c r="P29" s="1938">
        <f>SUM(P19:U28)</f>
        <v>0</v>
      </c>
      <c r="Q29" s="1939"/>
      <c r="R29" s="1939"/>
      <c r="S29" s="1939"/>
      <c r="T29" s="1939"/>
      <c r="U29" s="1940"/>
      <c r="V29" s="1938">
        <f>SUM(V19:AA28)</f>
        <v>42</v>
      </c>
      <c r="W29" s="1939"/>
      <c r="X29" s="1939"/>
      <c r="Y29" s="1939"/>
      <c r="Z29" s="1939"/>
      <c r="AA29" s="1940"/>
      <c r="AB29" s="1938">
        <f>SUM(AB19:AG28)</f>
        <v>70</v>
      </c>
      <c r="AC29" s="1939"/>
      <c r="AD29" s="1939"/>
      <c r="AE29" s="1939"/>
      <c r="AF29" s="1939"/>
      <c r="AG29" s="1940"/>
      <c r="AH29" s="1938">
        <f>SUM(AH19:AM28)</f>
        <v>40</v>
      </c>
      <c r="AI29" s="1939"/>
      <c r="AJ29" s="1939"/>
      <c r="AK29" s="1939"/>
      <c r="AL29" s="1939"/>
      <c r="AM29" s="1940"/>
      <c r="AN29" s="1938">
        <f>SUM(AN19:AS28)</f>
        <v>0</v>
      </c>
      <c r="AO29" s="1939"/>
      <c r="AP29" s="1939"/>
      <c r="AQ29" s="1939"/>
      <c r="AR29" s="1939"/>
      <c r="AS29" s="1940"/>
      <c r="AT29" s="1941">
        <f t="shared" si="1"/>
        <v>1</v>
      </c>
      <c r="AU29" s="1942"/>
      <c r="AV29" s="1942"/>
      <c r="AW29" s="1942"/>
      <c r="AX29" s="1942"/>
      <c r="AY29" s="194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4" t="s">
        <v>2430</v>
      </c>
      <c r="C31" s="1945"/>
      <c r="D31" s="1945"/>
      <c r="E31" s="1945"/>
      <c r="F31" s="1945"/>
      <c r="G31" s="1945"/>
      <c r="H31" s="1945"/>
      <c r="I31" s="1945"/>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6"/>
      <c r="BE31" s="1194"/>
    </row>
    <row r="32" spans="1:58" thickBot="1">
      <c r="A32" s="1190"/>
      <c r="B32" s="1947" t="s">
        <v>2429</v>
      </c>
      <c r="C32" s="1948"/>
      <c r="D32" s="1948"/>
      <c r="E32" s="1948"/>
      <c r="F32" s="1948"/>
      <c r="G32" s="1948"/>
      <c r="H32" s="1948"/>
      <c r="I32" s="1948"/>
      <c r="J32" s="1951" t="s">
        <v>2428</v>
      </c>
      <c r="K32" s="1952"/>
      <c r="L32" s="1952"/>
      <c r="M32" s="1952"/>
      <c r="N32" s="1951" t="s">
        <v>2427</v>
      </c>
      <c r="O32" s="1952"/>
      <c r="P32" s="1952"/>
      <c r="Q32" s="1954"/>
      <c r="R32" s="1956" t="s">
        <v>2426</v>
      </c>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7"/>
      <c r="AZ32" s="1957"/>
      <c r="BA32" s="1957"/>
      <c r="BB32" s="1957"/>
      <c r="BC32" s="1957"/>
      <c r="BD32" s="1958"/>
      <c r="BE32" s="1194"/>
    </row>
    <row r="33" spans="1:58" ht="15" customHeight="1">
      <c r="A33" s="1190"/>
      <c r="B33" s="1949"/>
      <c r="C33" s="1950"/>
      <c r="D33" s="1950"/>
      <c r="E33" s="1950"/>
      <c r="F33" s="1950"/>
      <c r="G33" s="1950"/>
      <c r="H33" s="1950"/>
      <c r="I33" s="1950"/>
      <c r="J33" s="1953"/>
      <c r="K33" s="1953"/>
      <c r="L33" s="1953"/>
      <c r="M33" s="1953"/>
      <c r="N33" s="1953"/>
      <c r="O33" s="1953"/>
      <c r="P33" s="1953"/>
      <c r="Q33" s="1955"/>
      <c r="R33" s="1959" t="s">
        <v>2425</v>
      </c>
      <c r="S33" s="1960"/>
      <c r="T33" s="1960"/>
      <c r="U33" s="1960"/>
      <c r="V33" s="1960"/>
      <c r="W33" s="1960"/>
      <c r="X33" s="1960"/>
      <c r="Y33" s="1960"/>
      <c r="Z33" s="1960"/>
      <c r="AA33" s="1960"/>
      <c r="AB33" s="1960"/>
      <c r="AC33" s="1960"/>
      <c r="AD33" s="1960"/>
      <c r="AE33" s="1960"/>
      <c r="AF33" s="1960"/>
      <c r="AG33" s="1960"/>
      <c r="AH33" s="1960"/>
      <c r="AI33" s="1960"/>
      <c r="AJ33" s="1960"/>
      <c r="AK33" s="1960"/>
      <c r="AL33" s="1960"/>
      <c r="AM33" s="1960"/>
      <c r="AN33" s="1960"/>
      <c r="AO33" s="1960"/>
      <c r="AP33" s="1960"/>
      <c r="AQ33" s="1960"/>
      <c r="AR33" s="1960"/>
      <c r="AS33" s="1960"/>
      <c r="AT33" s="1960"/>
      <c r="AU33" s="1960"/>
      <c r="AV33" s="1960"/>
      <c r="AW33" s="1960"/>
      <c r="AX33" s="1960"/>
      <c r="AY33" s="1960"/>
      <c r="AZ33" s="1960"/>
      <c r="BA33" s="1960"/>
      <c r="BB33" s="1960"/>
      <c r="BC33" s="1960"/>
      <c r="BD33" s="1961"/>
      <c r="BE33" s="1194"/>
    </row>
    <row r="34" spans="1:58" ht="15.75" customHeight="1" thickBot="1">
      <c r="A34" s="1190"/>
      <c r="B34" s="1949"/>
      <c r="C34" s="1950"/>
      <c r="D34" s="1950"/>
      <c r="E34" s="1950"/>
      <c r="F34" s="1950"/>
      <c r="G34" s="1950"/>
      <c r="H34" s="1950"/>
      <c r="I34" s="1950"/>
      <c r="J34" s="1953"/>
      <c r="K34" s="1953"/>
      <c r="L34" s="1953"/>
      <c r="M34" s="1953"/>
      <c r="N34" s="1953"/>
      <c r="O34" s="1953"/>
      <c r="P34" s="1953"/>
      <c r="Q34" s="1955"/>
      <c r="R34" s="1962"/>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4"/>
      <c r="BE34" s="1194"/>
    </row>
    <row r="35" spans="1:58" ht="15.75" customHeight="1">
      <c r="A35" s="1190"/>
      <c r="B35" s="1949"/>
      <c r="C35" s="1950"/>
      <c r="D35" s="1950"/>
      <c r="E35" s="1950"/>
      <c r="F35" s="1950"/>
      <c r="G35" s="1950"/>
      <c r="H35" s="1950"/>
      <c r="I35" s="1950"/>
      <c r="J35" s="1953"/>
      <c r="K35" s="1953"/>
      <c r="L35" s="1953"/>
      <c r="M35" s="1953"/>
      <c r="N35" s="1953"/>
      <c r="O35" s="1953"/>
      <c r="P35" s="1953"/>
      <c r="Q35" s="1953"/>
      <c r="R35" s="1965">
        <v>0.3</v>
      </c>
      <c r="S35" s="1965"/>
      <c r="T35" s="1965"/>
      <c r="U35" s="1965"/>
      <c r="V35" s="1965">
        <v>0.4</v>
      </c>
      <c r="W35" s="1965"/>
      <c r="X35" s="1965"/>
      <c r="Y35" s="1965"/>
      <c r="Z35" s="1965">
        <v>0.5</v>
      </c>
      <c r="AA35" s="1965"/>
      <c r="AB35" s="1965"/>
      <c r="AC35" s="1965"/>
      <c r="AD35" s="1965">
        <v>0.6</v>
      </c>
      <c r="AE35" s="1965"/>
      <c r="AF35" s="1965"/>
      <c r="AG35" s="1965"/>
      <c r="AH35" s="1965">
        <v>0.7</v>
      </c>
      <c r="AI35" s="1965"/>
      <c r="AJ35" s="1965"/>
      <c r="AK35" s="1965"/>
      <c r="AL35" s="1970">
        <v>0.8</v>
      </c>
      <c r="AM35" s="1971"/>
      <c r="AN35" s="1971"/>
      <c r="AO35" s="1972"/>
      <c r="AP35" s="1973">
        <v>1.2</v>
      </c>
      <c r="AQ35" s="1974"/>
      <c r="AR35" s="1975"/>
      <c r="AS35" s="1967" t="s">
        <v>2424</v>
      </c>
      <c r="AT35" s="1968"/>
      <c r="AU35" s="1968"/>
      <c r="AV35" s="1968"/>
      <c r="AW35" s="1968"/>
      <c r="AX35" s="1976"/>
      <c r="AY35" s="1967" t="s">
        <v>2423</v>
      </c>
      <c r="AZ35" s="1968"/>
      <c r="BA35" s="1968"/>
      <c r="BB35" s="1968"/>
      <c r="BC35" s="1968"/>
      <c r="BD35" s="1969"/>
      <c r="BE35" s="1194"/>
    </row>
    <row r="36" spans="1:58" ht="15.75" customHeight="1">
      <c r="A36" s="1190"/>
      <c r="B36" s="1986" t="s">
        <v>2422</v>
      </c>
      <c r="C36" s="1987"/>
      <c r="D36" s="1987"/>
      <c r="E36" s="1987"/>
      <c r="F36" s="1987"/>
      <c r="G36" s="1987"/>
      <c r="H36" s="1987"/>
      <c r="I36" s="1987"/>
      <c r="J36" s="1988" t="s">
        <v>2421</v>
      </c>
      <c r="K36" s="1988"/>
      <c r="L36" s="1988"/>
      <c r="M36" s="1988"/>
      <c r="N36" s="1988">
        <v>55</v>
      </c>
      <c r="O36" s="1988"/>
      <c r="P36" s="1988"/>
      <c r="Q36" s="1988"/>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77"/>
      <c r="AM36" s="1978"/>
      <c r="AN36" s="1978"/>
      <c r="AO36" s="1979"/>
      <c r="AP36" s="1977"/>
      <c r="AQ36" s="1978"/>
      <c r="AR36" s="1979"/>
      <c r="AS36" s="1980">
        <f t="shared" ref="AS36:AS47" si="2">SUM(R36:AR36)</f>
        <v>0</v>
      </c>
      <c r="AT36" s="1981"/>
      <c r="AU36" s="1981"/>
      <c r="AV36" s="1981"/>
      <c r="AW36" s="1981"/>
      <c r="AX36" s="1982"/>
      <c r="AY36" s="1983">
        <f t="shared" ref="AY36:AY47" si="3">AS36/$J$29</f>
        <v>0</v>
      </c>
      <c r="AZ36" s="1984"/>
      <c r="BA36" s="1984"/>
      <c r="BB36" s="1984"/>
      <c r="BC36" s="1984"/>
      <c r="BD36" s="1985"/>
      <c r="BE36" s="1194"/>
    </row>
    <row r="37" spans="1:58" ht="15.75" customHeight="1">
      <c r="A37" s="1190"/>
      <c r="B37" s="1986" t="s">
        <v>2420</v>
      </c>
      <c r="C37" s="1987"/>
      <c r="D37" s="1987"/>
      <c r="E37" s="1987"/>
      <c r="F37" s="1987"/>
      <c r="G37" s="1987"/>
      <c r="H37" s="1987"/>
      <c r="I37" s="1987"/>
      <c r="J37" s="1988" t="s">
        <v>2419</v>
      </c>
      <c r="K37" s="1988"/>
      <c r="L37" s="1988"/>
      <c r="M37" s="1988"/>
      <c r="N37" s="1988">
        <v>55</v>
      </c>
      <c r="O37" s="1988"/>
      <c r="P37" s="1988"/>
      <c r="Q37" s="1988"/>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77"/>
      <c r="AM37" s="1978"/>
      <c r="AN37" s="1978"/>
      <c r="AO37" s="1979"/>
      <c r="AP37" s="1977"/>
      <c r="AQ37" s="1978"/>
      <c r="AR37" s="1979"/>
      <c r="AS37" s="1980">
        <f t="shared" si="2"/>
        <v>0</v>
      </c>
      <c r="AT37" s="1981"/>
      <c r="AU37" s="1981"/>
      <c r="AV37" s="1981"/>
      <c r="AW37" s="1981"/>
      <c r="AX37" s="1982"/>
      <c r="AY37" s="1983">
        <f t="shared" si="3"/>
        <v>0</v>
      </c>
      <c r="AZ37" s="1984"/>
      <c r="BA37" s="1984"/>
      <c r="BB37" s="1984"/>
      <c r="BC37" s="1984"/>
      <c r="BD37" s="1985"/>
      <c r="BE37" s="1194"/>
    </row>
    <row r="38" spans="1:58" ht="15.75" customHeight="1">
      <c r="A38" s="1190"/>
      <c r="B38" s="1986" t="s">
        <v>2418</v>
      </c>
      <c r="C38" s="1987"/>
      <c r="D38" s="1987"/>
      <c r="E38" s="1987"/>
      <c r="F38" s="1987"/>
      <c r="G38" s="1987"/>
      <c r="H38" s="1987"/>
      <c r="I38" s="1987"/>
      <c r="J38" s="1988" t="s">
        <v>2417</v>
      </c>
      <c r="K38" s="1988"/>
      <c r="L38" s="1988"/>
      <c r="M38" s="1988"/>
      <c r="N38" s="1988">
        <v>55</v>
      </c>
      <c r="O38" s="1988"/>
      <c r="P38" s="1988"/>
      <c r="Q38" s="1988"/>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77"/>
      <c r="AM38" s="1978"/>
      <c r="AN38" s="1978"/>
      <c r="AO38" s="1979"/>
      <c r="AP38" s="1977"/>
      <c r="AQ38" s="1978"/>
      <c r="AR38" s="1979"/>
      <c r="AS38" s="1980">
        <f t="shared" si="2"/>
        <v>0</v>
      </c>
      <c r="AT38" s="1981"/>
      <c r="AU38" s="1981"/>
      <c r="AV38" s="1981"/>
      <c r="AW38" s="1981"/>
      <c r="AX38" s="1982"/>
      <c r="AY38" s="1983">
        <f t="shared" si="3"/>
        <v>0</v>
      </c>
      <c r="AZ38" s="1984"/>
      <c r="BA38" s="1984"/>
      <c r="BB38" s="1984"/>
      <c r="BC38" s="1984"/>
      <c r="BD38" s="1985"/>
      <c r="BE38" s="1194"/>
    </row>
    <row r="39" spans="1:58" ht="15.75" customHeight="1">
      <c r="A39" s="1190"/>
      <c r="B39" s="1986" t="s">
        <v>2416</v>
      </c>
      <c r="C39" s="1987"/>
      <c r="D39" s="1987"/>
      <c r="E39" s="1987"/>
      <c r="F39" s="1987"/>
      <c r="G39" s="1987"/>
      <c r="H39" s="1987"/>
      <c r="I39" s="1987"/>
      <c r="J39" s="1988"/>
      <c r="K39" s="1988"/>
      <c r="L39" s="1988"/>
      <c r="M39" s="1988"/>
      <c r="N39" s="1988"/>
      <c r="O39" s="1988"/>
      <c r="P39" s="1988"/>
      <c r="Q39" s="1988"/>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77"/>
      <c r="AM39" s="1978"/>
      <c r="AN39" s="1978"/>
      <c r="AO39" s="1979"/>
      <c r="AP39" s="1977"/>
      <c r="AQ39" s="1978"/>
      <c r="AR39" s="1979"/>
      <c r="AS39" s="1980">
        <f t="shared" si="2"/>
        <v>0</v>
      </c>
      <c r="AT39" s="1981"/>
      <c r="AU39" s="1981"/>
      <c r="AV39" s="1981"/>
      <c r="AW39" s="1981"/>
      <c r="AX39" s="1982"/>
      <c r="AY39" s="1983">
        <f t="shared" si="3"/>
        <v>0</v>
      </c>
      <c r="AZ39" s="1984"/>
      <c r="BA39" s="1984"/>
      <c r="BB39" s="1984"/>
      <c r="BC39" s="1984"/>
      <c r="BD39" s="1985"/>
      <c r="BE39" s="1194"/>
    </row>
    <row r="40" spans="1:58" ht="15.75" customHeight="1">
      <c r="A40" s="1190"/>
      <c r="B40" s="1986" t="s">
        <v>2416</v>
      </c>
      <c r="C40" s="1987"/>
      <c r="D40" s="1987"/>
      <c r="E40" s="1987"/>
      <c r="F40" s="1987"/>
      <c r="G40" s="1987"/>
      <c r="H40" s="1987"/>
      <c r="I40" s="1987"/>
      <c r="J40" s="1988"/>
      <c r="K40" s="1988"/>
      <c r="L40" s="1988"/>
      <c r="M40" s="1988"/>
      <c r="N40" s="1988"/>
      <c r="O40" s="1988"/>
      <c r="P40" s="1988"/>
      <c r="Q40" s="1988"/>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77"/>
      <c r="AM40" s="1978"/>
      <c r="AN40" s="1978"/>
      <c r="AO40" s="1979"/>
      <c r="AP40" s="1977"/>
      <c r="AQ40" s="1978"/>
      <c r="AR40" s="1979"/>
      <c r="AS40" s="1980">
        <f t="shared" si="2"/>
        <v>0</v>
      </c>
      <c r="AT40" s="1981"/>
      <c r="AU40" s="1981"/>
      <c r="AV40" s="1981"/>
      <c r="AW40" s="1981"/>
      <c r="AX40" s="1982"/>
      <c r="AY40" s="1983">
        <f t="shared" si="3"/>
        <v>0</v>
      </c>
      <c r="AZ40" s="1984"/>
      <c r="BA40" s="1984"/>
      <c r="BB40" s="1984"/>
      <c r="BC40" s="1984"/>
      <c r="BD40" s="1985"/>
      <c r="BE40" s="1194"/>
    </row>
    <row r="41" spans="1:58" ht="15.75" customHeight="1">
      <c r="A41" s="1190"/>
      <c r="B41" s="1986" t="s">
        <v>2415</v>
      </c>
      <c r="C41" s="1987"/>
      <c r="D41" s="1987"/>
      <c r="E41" s="1987"/>
      <c r="F41" s="1987"/>
      <c r="G41" s="1987"/>
      <c r="H41" s="1987"/>
      <c r="I41" s="1987"/>
      <c r="J41" s="1988"/>
      <c r="K41" s="1988"/>
      <c r="L41" s="1988"/>
      <c r="M41" s="1988"/>
      <c r="N41" s="1988"/>
      <c r="O41" s="1988"/>
      <c r="P41" s="1988"/>
      <c r="Q41" s="1988"/>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77"/>
      <c r="AM41" s="1978"/>
      <c r="AN41" s="1978"/>
      <c r="AO41" s="1979"/>
      <c r="AP41" s="1977"/>
      <c r="AQ41" s="1978"/>
      <c r="AR41" s="1979"/>
      <c r="AS41" s="1980">
        <f t="shared" si="2"/>
        <v>0</v>
      </c>
      <c r="AT41" s="1981"/>
      <c r="AU41" s="1981"/>
      <c r="AV41" s="1981"/>
      <c r="AW41" s="1981"/>
      <c r="AX41" s="1982"/>
      <c r="AY41" s="1983">
        <f t="shared" si="3"/>
        <v>0</v>
      </c>
      <c r="AZ41" s="1984"/>
      <c r="BA41" s="1984"/>
      <c r="BB41" s="1984"/>
      <c r="BC41" s="1984"/>
      <c r="BD41" s="1985"/>
      <c r="BE41" s="1194"/>
    </row>
    <row r="42" spans="1:58" ht="15.75" customHeight="1">
      <c r="A42" s="1190"/>
      <c r="B42" s="1986" t="s">
        <v>2415</v>
      </c>
      <c r="C42" s="1987"/>
      <c r="D42" s="1987"/>
      <c r="E42" s="1987"/>
      <c r="F42" s="1987"/>
      <c r="G42" s="1987"/>
      <c r="H42" s="1987"/>
      <c r="I42" s="1987"/>
      <c r="J42" s="1988"/>
      <c r="K42" s="1988"/>
      <c r="L42" s="1988"/>
      <c r="M42" s="1988"/>
      <c r="N42" s="1988"/>
      <c r="O42" s="1988"/>
      <c r="P42" s="1988"/>
      <c r="Q42" s="1988"/>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77"/>
      <c r="AM42" s="1978"/>
      <c r="AN42" s="1978"/>
      <c r="AO42" s="1979"/>
      <c r="AP42" s="1977"/>
      <c r="AQ42" s="1978"/>
      <c r="AR42" s="1979"/>
      <c r="AS42" s="1980">
        <f t="shared" si="2"/>
        <v>0</v>
      </c>
      <c r="AT42" s="1981"/>
      <c r="AU42" s="1981"/>
      <c r="AV42" s="1981"/>
      <c r="AW42" s="1981"/>
      <c r="AX42" s="1982"/>
      <c r="AY42" s="1983">
        <f t="shared" si="3"/>
        <v>0</v>
      </c>
      <c r="AZ42" s="1984"/>
      <c r="BA42" s="1984"/>
      <c r="BB42" s="1984"/>
      <c r="BC42" s="1984"/>
      <c r="BD42" s="1985"/>
      <c r="BE42" s="1194"/>
    </row>
    <row r="43" spans="1:58" ht="15.75" customHeight="1">
      <c r="A43" s="1190"/>
      <c r="B43" s="1990" t="s">
        <v>2414</v>
      </c>
      <c r="C43" s="1991"/>
      <c r="D43" s="1991"/>
      <c r="E43" s="1991"/>
      <c r="F43" s="1991"/>
      <c r="G43" s="1991"/>
      <c r="H43" s="1991"/>
      <c r="I43" s="1991"/>
      <c r="J43" s="1988"/>
      <c r="K43" s="1988"/>
      <c r="L43" s="1988"/>
      <c r="M43" s="1988"/>
      <c r="N43" s="1988"/>
      <c r="O43" s="1988"/>
      <c r="P43" s="1988"/>
      <c r="Q43" s="1988"/>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77"/>
      <c r="AM43" s="1978"/>
      <c r="AN43" s="1978"/>
      <c r="AO43" s="1979"/>
      <c r="AP43" s="1977"/>
      <c r="AQ43" s="1978"/>
      <c r="AR43" s="1979"/>
      <c r="AS43" s="1980">
        <f t="shared" si="2"/>
        <v>0</v>
      </c>
      <c r="AT43" s="1981"/>
      <c r="AU43" s="1981"/>
      <c r="AV43" s="1981"/>
      <c r="AW43" s="1981"/>
      <c r="AX43" s="1982"/>
      <c r="AY43" s="1983">
        <f t="shared" si="3"/>
        <v>0</v>
      </c>
      <c r="AZ43" s="1984"/>
      <c r="BA43" s="1984"/>
      <c r="BB43" s="1984"/>
      <c r="BC43" s="1984"/>
      <c r="BD43" s="1985"/>
      <c r="BE43" s="1194"/>
    </row>
    <row r="44" spans="1:58" ht="15.75" customHeight="1">
      <c r="A44" s="1190"/>
      <c r="B44" s="1990" t="s">
        <v>2413</v>
      </c>
      <c r="C44" s="1991"/>
      <c r="D44" s="1991"/>
      <c r="E44" s="1991"/>
      <c r="F44" s="1991"/>
      <c r="G44" s="1991"/>
      <c r="H44" s="1991"/>
      <c r="I44" s="1991"/>
      <c r="J44" s="1988"/>
      <c r="K44" s="1988"/>
      <c r="L44" s="1988"/>
      <c r="M44" s="1988"/>
      <c r="N44" s="1988"/>
      <c r="O44" s="1988"/>
      <c r="P44" s="1988"/>
      <c r="Q44" s="1988"/>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77"/>
      <c r="AM44" s="1978"/>
      <c r="AN44" s="1978"/>
      <c r="AO44" s="1979"/>
      <c r="AP44" s="1977"/>
      <c r="AQ44" s="1978"/>
      <c r="AR44" s="1979"/>
      <c r="AS44" s="1980">
        <f t="shared" si="2"/>
        <v>0</v>
      </c>
      <c r="AT44" s="1981"/>
      <c r="AU44" s="1981"/>
      <c r="AV44" s="1981"/>
      <c r="AW44" s="1981"/>
      <c r="AX44" s="1982"/>
      <c r="AY44" s="1983">
        <f t="shared" si="3"/>
        <v>0</v>
      </c>
      <c r="AZ44" s="1984"/>
      <c r="BA44" s="1984"/>
      <c r="BB44" s="1984"/>
      <c r="BC44" s="1984"/>
      <c r="BD44" s="1985"/>
      <c r="BE44" s="1194"/>
    </row>
    <row r="45" spans="1:58" ht="15.75" customHeight="1">
      <c r="A45" s="1190"/>
      <c r="B45" s="1990" t="s">
        <v>2412</v>
      </c>
      <c r="C45" s="1991"/>
      <c r="D45" s="1991"/>
      <c r="E45" s="1991"/>
      <c r="F45" s="1991"/>
      <c r="G45" s="1991"/>
      <c r="H45" s="1991"/>
      <c r="I45" s="1991"/>
      <c r="J45" s="1988"/>
      <c r="K45" s="1988"/>
      <c r="L45" s="1988"/>
      <c r="M45" s="1988"/>
      <c r="N45" s="1988"/>
      <c r="O45" s="1988"/>
      <c r="P45" s="1988"/>
      <c r="Q45" s="1988"/>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77"/>
      <c r="AM45" s="1978"/>
      <c r="AN45" s="1978"/>
      <c r="AO45" s="1979"/>
      <c r="AP45" s="1977"/>
      <c r="AQ45" s="1978"/>
      <c r="AR45" s="1979"/>
      <c r="AS45" s="1980">
        <f t="shared" si="2"/>
        <v>0</v>
      </c>
      <c r="AT45" s="1981"/>
      <c r="AU45" s="1981"/>
      <c r="AV45" s="1981"/>
      <c r="AW45" s="1981"/>
      <c r="AX45" s="1982"/>
      <c r="AY45" s="1983">
        <f t="shared" si="3"/>
        <v>0</v>
      </c>
      <c r="AZ45" s="1984"/>
      <c r="BA45" s="1984"/>
      <c r="BB45" s="1984"/>
      <c r="BC45" s="1984"/>
      <c r="BD45" s="1985"/>
      <c r="BE45" s="1194"/>
    </row>
    <row r="46" spans="1:58" ht="15.75" customHeight="1">
      <c r="A46" s="1190"/>
      <c r="B46" s="1990" t="s">
        <v>2336</v>
      </c>
      <c r="C46" s="1991"/>
      <c r="D46" s="1991"/>
      <c r="E46" s="1991"/>
      <c r="F46" s="1991"/>
      <c r="G46" s="1991"/>
      <c r="H46" s="1991"/>
      <c r="I46" s="1991"/>
      <c r="J46" s="1988"/>
      <c r="K46" s="1988"/>
      <c r="L46" s="1988"/>
      <c r="M46" s="1988"/>
      <c r="N46" s="1988">
        <v>99</v>
      </c>
      <c r="O46" s="1988"/>
      <c r="P46" s="1988"/>
      <c r="Q46" s="1988"/>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77"/>
      <c r="AM46" s="1978"/>
      <c r="AN46" s="1978"/>
      <c r="AO46" s="1979"/>
      <c r="AP46" s="1977"/>
      <c r="AQ46" s="1978"/>
      <c r="AR46" s="1979"/>
      <c r="AS46" s="1980">
        <f t="shared" si="2"/>
        <v>0</v>
      </c>
      <c r="AT46" s="1981"/>
      <c r="AU46" s="1981"/>
      <c r="AV46" s="1981"/>
      <c r="AW46" s="1981"/>
      <c r="AX46" s="1982"/>
      <c r="AY46" s="1983">
        <f t="shared" si="3"/>
        <v>0</v>
      </c>
      <c r="AZ46" s="1984"/>
      <c r="BA46" s="1984"/>
      <c r="BB46" s="1984"/>
      <c r="BC46" s="1984"/>
      <c r="BD46" s="1985"/>
      <c r="BE46" s="1194"/>
    </row>
    <row r="47" spans="1:58" ht="15.75" customHeight="1" thickBot="1">
      <c r="A47" s="1190"/>
      <c r="B47" s="1992" t="s">
        <v>300</v>
      </c>
      <c r="C47" s="1993"/>
      <c r="D47" s="1993"/>
      <c r="E47" s="1993"/>
      <c r="F47" s="1993"/>
      <c r="G47" s="1993"/>
      <c r="H47" s="1993"/>
      <c r="I47" s="1993"/>
      <c r="J47" s="1994"/>
      <c r="K47" s="1994"/>
      <c r="L47" s="1994"/>
      <c r="M47" s="1994"/>
      <c r="N47" s="1994"/>
      <c r="O47" s="1994"/>
      <c r="P47" s="1994"/>
      <c r="Q47" s="1994"/>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9"/>
      <c r="AM47" s="2000"/>
      <c r="AN47" s="2000"/>
      <c r="AO47" s="2001"/>
      <c r="AP47" s="1999"/>
      <c r="AQ47" s="2000"/>
      <c r="AR47" s="2001"/>
      <c r="AS47" s="1980">
        <f t="shared" si="2"/>
        <v>0</v>
      </c>
      <c r="AT47" s="1981"/>
      <c r="AU47" s="1981"/>
      <c r="AV47" s="1981"/>
      <c r="AW47" s="1981"/>
      <c r="AX47" s="1982"/>
      <c r="AY47" s="1996">
        <f t="shared" si="3"/>
        <v>0</v>
      </c>
      <c r="AZ47" s="1997"/>
      <c r="BA47" s="1997"/>
      <c r="BB47" s="1997"/>
      <c r="BC47" s="1997"/>
      <c r="BD47" s="199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2" t="s">
        <v>2409</v>
      </c>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5" t="s">
        <v>2402</v>
      </c>
      <c r="C51" s="2006"/>
      <c r="D51" s="2006"/>
      <c r="E51" s="2006"/>
      <c r="F51" s="2006"/>
      <c r="G51" s="2006"/>
      <c r="H51" s="2006"/>
      <c r="I51" s="2006"/>
      <c r="J51" s="2006" t="s">
        <v>2408</v>
      </c>
      <c r="K51" s="2006"/>
      <c r="L51" s="2006"/>
      <c r="M51" s="2006"/>
      <c r="N51" s="2006"/>
      <c r="O51" s="2006"/>
      <c r="P51" s="2006"/>
      <c r="Q51" s="2006"/>
      <c r="R51" s="2007" t="s">
        <v>2407</v>
      </c>
      <c r="S51" s="2007"/>
      <c r="T51" s="2007"/>
      <c r="U51" s="2007"/>
      <c r="V51" s="2007"/>
      <c r="W51" s="2007"/>
      <c r="X51" s="2007"/>
      <c r="Y51" s="2007"/>
      <c r="Z51" s="2007" t="s">
        <v>2406</v>
      </c>
      <c r="AA51" s="2007"/>
      <c r="AB51" s="2007"/>
      <c r="AC51" s="2007"/>
      <c r="AD51" s="2007"/>
      <c r="AE51" s="2007"/>
      <c r="AF51" s="2007"/>
      <c r="AG51" s="2007"/>
      <c r="AH51" s="2007" t="s">
        <v>2405</v>
      </c>
      <c r="AI51" s="2007"/>
      <c r="AJ51" s="2007"/>
      <c r="AK51" s="2007"/>
      <c r="AL51" s="2007"/>
      <c r="AM51" s="2007"/>
      <c r="AN51" s="2007"/>
      <c r="AO51" s="20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0" t="s">
        <v>2404</v>
      </c>
      <c r="C52" s="1991"/>
      <c r="D52" s="1991"/>
      <c r="E52" s="1991"/>
      <c r="F52" s="1991"/>
      <c r="G52" s="1991"/>
      <c r="H52" s="1991"/>
      <c r="I52" s="1991"/>
      <c r="J52" s="2009">
        <v>0</v>
      </c>
      <c r="K52" s="2009"/>
      <c r="L52" s="2009"/>
      <c r="M52" s="2009"/>
      <c r="N52" s="2009"/>
      <c r="O52" s="2009"/>
      <c r="P52" s="2009"/>
      <c r="Q52" s="2009"/>
      <c r="R52" s="2010">
        <v>0</v>
      </c>
      <c r="S52" s="2010"/>
      <c r="T52" s="2010"/>
      <c r="U52" s="2010"/>
      <c r="V52" s="2010"/>
      <c r="W52" s="2010"/>
      <c r="X52" s="2010"/>
      <c r="Y52" s="2010"/>
      <c r="Z52" s="2011">
        <v>0</v>
      </c>
      <c r="AA52" s="2011"/>
      <c r="AB52" s="2011"/>
      <c r="AC52" s="2011"/>
      <c r="AD52" s="2011"/>
      <c r="AE52" s="2011"/>
      <c r="AF52" s="2011"/>
      <c r="AG52" s="2011"/>
      <c r="AH52" s="2012"/>
      <c r="AI52" s="2012"/>
      <c r="AJ52" s="2012"/>
      <c r="AK52" s="2012"/>
      <c r="AL52" s="2012"/>
      <c r="AM52" s="2012"/>
      <c r="AN52" s="2012"/>
      <c r="AO52" s="201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0" t="s">
        <v>2403</v>
      </c>
      <c r="C53" s="1991"/>
      <c r="D53" s="1991"/>
      <c r="E53" s="1991"/>
      <c r="F53" s="1991"/>
      <c r="G53" s="1991"/>
      <c r="H53" s="1991"/>
      <c r="I53" s="1991"/>
      <c r="J53" s="2009">
        <v>0</v>
      </c>
      <c r="K53" s="2009"/>
      <c r="L53" s="2009"/>
      <c r="M53" s="2009"/>
      <c r="N53" s="2009"/>
      <c r="O53" s="2009"/>
      <c r="P53" s="2009"/>
      <c r="Q53" s="2009"/>
      <c r="R53" s="2010">
        <v>0</v>
      </c>
      <c r="S53" s="2010"/>
      <c r="T53" s="2010"/>
      <c r="U53" s="2010"/>
      <c r="V53" s="2010"/>
      <c r="W53" s="2010"/>
      <c r="X53" s="2010"/>
      <c r="Y53" s="2010"/>
      <c r="Z53" s="2011">
        <v>0</v>
      </c>
      <c r="AA53" s="2011"/>
      <c r="AB53" s="2011"/>
      <c r="AC53" s="2011"/>
      <c r="AD53" s="2011"/>
      <c r="AE53" s="2011"/>
      <c r="AF53" s="2011"/>
      <c r="AG53" s="2011"/>
      <c r="AH53" s="2012"/>
      <c r="AI53" s="2012"/>
      <c r="AJ53" s="2012"/>
      <c r="AK53" s="2012"/>
      <c r="AL53" s="2012"/>
      <c r="AM53" s="2012"/>
      <c r="AN53" s="2012"/>
      <c r="AO53" s="201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0"/>
      <c r="C54" s="1991"/>
      <c r="D54" s="1991"/>
      <c r="E54" s="1991"/>
      <c r="F54" s="1991"/>
      <c r="G54" s="1991"/>
      <c r="H54" s="1991"/>
      <c r="I54" s="1991"/>
      <c r="J54" s="2009"/>
      <c r="K54" s="2009"/>
      <c r="L54" s="2009"/>
      <c r="M54" s="2009"/>
      <c r="N54" s="2009"/>
      <c r="O54" s="2009"/>
      <c r="P54" s="2009"/>
      <c r="Q54" s="2009"/>
      <c r="R54" s="2010"/>
      <c r="S54" s="2010"/>
      <c r="T54" s="2010"/>
      <c r="U54" s="2010"/>
      <c r="V54" s="2010"/>
      <c r="W54" s="2010"/>
      <c r="X54" s="2010"/>
      <c r="Y54" s="2010"/>
      <c r="Z54" s="2011"/>
      <c r="AA54" s="2011"/>
      <c r="AB54" s="2011"/>
      <c r="AC54" s="2011"/>
      <c r="AD54" s="2011"/>
      <c r="AE54" s="2011"/>
      <c r="AF54" s="2011"/>
      <c r="AG54" s="2011"/>
      <c r="AH54" s="2012"/>
      <c r="AI54" s="2012"/>
      <c r="AJ54" s="2012"/>
      <c r="AK54" s="2012"/>
      <c r="AL54" s="2012"/>
      <c r="AM54" s="2012"/>
      <c r="AN54" s="2012"/>
      <c r="AO54" s="201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0"/>
      <c r="C55" s="1991"/>
      <c r="D55" s="1991"/>
      <c r="E55" s="1991"/>
      <c r="F55" s="1991"/>
      <c r="G55" s="1991"/>
      <c r="H55" s="1991"/>
      <c r="I55" s="1991"/>
      <c r="J55" s="2009"/>
      <c r="K55" s="2009"/>
      <c r="L55" s="2009"/>
      <c r="M55" s="2009"/>
      <c r="N55" s="2009"/>
      <c r="O55" s="2009"/>
      <c r="P55" s="2009"/>
      <c r="Q55" s="2009"/>
      <c r="R55" s="2010"/>
      <c r="S55" s="2010"/>
      <c r="T55" s="2010"/>
      <c r="U55" s="2010"/>
      <c r="V55" s="2010"/>
      <c r="W55" s="2010"/>
      <c r="X55" s="2010"/>
      <c r="Y55" s="2010"/>
      <c r="Z55" s="2011"/>
      <c r="AA55" s="2011"/>
      <c r="AB55" s="2011"/>
      <c r="AC55" s="2011"/>
      <c r="AD55" s="2011"/>
      <c r="AE55" s="2011"/>
      <c r="AF55" s="2011"/>
      <c r="AG55" s="2011"/>
      <c r="AH55" s="2012"/>
      <c r="AI55" s="2012"/>
      <c r="AJ55" s="2012"/>
      <c r="AK55" s="2012"/>
      <c r="AL55" s="2012"/>
      <c r="AM55" s="2012"/>
      <c r="AN55" s="2012"/>
      <c r="AO55" s="201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0"/>
      <c r="C56" s="1991"/>
      <c r="D56" s="1991"/>
      <c r="E56" s="1991"/>
      <c r="F56" s="1991"/>
      <c r="G56" s="1991"/>
      <c r="H56" s="1991"/>
      <c r="I56" s="1991"/>
      <c r="J56" s="2009"/>
      <c r="K56" s="2009"/>
      <c r="L56" s="2009"/>
      <c r="M56" s="2009"/>
      <c r="N56" s="2009"/>
      <c r="O56" s="2009"/>
      <c r="P56" s="2009"/>
      <c r="Q56" s="2009"/>
      <c r="R56" s="2010"/>
      <c r="S56" s="2010"/>
      <c r="T56" s="2010"/>
      <c r="U56" s="2010"/>
      <c r="V56" s="2010"/>
      <c r="W56" s="2010"/>
      <c r="X56" s="2010"/>
      <c r="Y56" s="2010"/>
      <c r="Z56" s="2011"/>
      <c r="AA56" s="2011"/>
      <c r="AB56" s="2011"/>
      <c r="AC56" s="2011"/>
      <c r="AD56" s="2011"/>
      <c r="AE56" s="2011"/>
      <c r="AF56" s="2011"/>
      <c r="AG56" s="2011"/>
      <c r="AH56" s="2012"/>
      <c r="AI56" s="2012"/>
      <c r="AJ56" s="2012"/>
      <c r="AK56" s="2012"/>
      <c r="AL56" s="2012"/>
      <c r="AM56" s="2012"/>
      <c r="AN56" s="2012"/>
      <c r="AO56" s="201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3" t="s">
        <v>1587</v>
      </c>
      <c r="C57" s="2024"/>
      <c r="D57" s="2024"/>
      <c r="E57" s="2024"/>
      <c r="F57" s="2024"/>
      <c r="G57" s="2024"/>
      <c r="H57" s="2024"/>
      <c r="I57" s="2024"/>
      <c r="J57" s="2024"/>
      <c r="K57" s="2024"/>
      <c r="L57" s="2024"/>
      <c r="M57" s="2024"/>
      <c r="N57" s="2024"/>
      <c r="O57" s="2024"/>
      <c r="P57" s="2024"/>
      <c r="Q57" s="2024"/>
      <c r="R57" s="2025">
        <f>SUM(R52:Y56)</f>
        <v>0</v>
      </c>
      <c r="S57" s="2025"/>
      <c r="T57" s="2025"/>
      <c r="U57" s="2025"/>
      <c r="V57" s="2025"/>
      <c r="W57" s="2025"/>
      <c r="X57" s="2025"/>
      <c r="Y57" s="2025"/>
      <c r="Z57" s="2026">
        <f>SUM(Z52:AG56)</f>
        <v>0</v>
      </c>
      <c r="AA57" s="2026"/>
      <c r="AB57" s="2026"/>
      <c r="AC57" s="2026"/>
      <c r="AD57" s="2026"/>
      <c r="AE57" s="2026"/>
      <c r="AF57" s="2026"/>
      <c r="AG57" s="2026"/>
      <c r="AH57" s="2027"/>
      <c r="AI57" s="2027"/>
      <c r="AJ57" s="2027"/>
      <c r="AK57" s="2027"/>
      <c r="AL57" s="2027"/>
      <c r="AM57" s="2027"/>
      <c r="AN57" s="2027"/>
      <c r="AO57" s="202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4" t="s">
        <v>2402</v>
      </c>
      <c r="C59" s="2015"/>
      <c r="D59" s="2015"/>
      <c r="E59" s="2015"/>
      <c r="F59" s="2015"/>
      <c r="G59" s="2015"/>
      <c r="H59" s="2015"/>
      <c r="I59" s="2016"/>
      <c r="J59" s="1908" t="s">
        <v>2401</v>
      </c>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8"/>
      <c r="AW59" s="1909"/>
      <c r="AX59" s="1190"/>
      <c r="AY59" s="1190"/>
      <c r="AZ59" s="1190"/>
      <c r="BA59" s="1190"/>
      <c r="BB59" s="1190"/>
      <c r="BC59" s="1190"/>
      <c r="BD59" s="1190"/>
      <c r="BE59" s="1194"/>
    </row>
    <row r="60" spans="1:77" ht="15.75" customHeight="1">
      <c r="A60" s="1190"/>
      <c r="B60" s="2017" t="str">
        <f>IF(B52="", "", B52)</f>
        <v>Services Company 1</v>
      </c>
      <c r="C60" s="2018"/>
      <c r="D60" s="2018"/>
      <c r="E60" s="2018"/>
      <c r="F60" s="2018"/>
      <c r="G60" s="2018"/>
      <c r="H60" s="2018"/>
      <c r="I60" s="2019"/>
      <c r="J60" s="2020"/>
      <c r="K60" s="2021"/>
      <c r="L60" s="202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c r="AS60" s="2021"/>
      <c r="AT60" s="2021"/>
      <c r="AU60" s="2021"/>
      <c r="AV60" s="2021"/>
      <c r="AW60" s="2022"/>
      <c r="AX60" s="1190"/>
      <c r="AY60" s="1190"/>
      <c r="AZ60" s="1190"/>
      <c r="BA60" s="1190"/>
      <c r="BB60" s="1190"/>
      <c r="BC60" s="1190"/>
      <c r="BD60" s="1190"/>
      <c r="BE60" s="1194"/>
    </row>
    <row r="61" spans="1:77" ht="15.75" customHeight="1">
      <c r="A61" s="1190"/>
      <c r="B61" s="2017" t="str">
        <f>IF(B53="", "", B53)</f>
        <v>Services Company 2</v>
      </c>
      <c r="C61" s="2018"/>
      <c r="D61" s="2018"/>
      <c r="E61" s="2018"/>
      <c r="F61" s="2018"/>
      <c r="G61" s="2018"/>
      <c r="H61" s="2018"/>
      <c r="I61" s="2019"/>
      <c r="J61" s="2020"/>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c r="AS61" s="2021"/>
      <c r="AT61" s="2021"/>
      <c r="AU61" s="2021"/>
      <c r="AV61" s="2021"/>
      <c r="AW61" s="2022"/>
      <c r="AX61" s="1190"/>
      <c r="AY61" s="1190"/>
      <c r="AZ61" s="1190"/>
      <c r="BA61" s="1190"/>
      <c r="BB61" s="1190"/>
      <c r="BC61" s="1190"/>
      <c r="BD61" s="1190"/>
      <c r="BE61" s="1194"/>
    </row>
    <row r="62" spans="1:77" ht="15.75" customHeight="1">
      <c r="A62" s="1190"/>
      <c r="B62" s="2017" t="str">
        <f>IF(B54="", "", B54)</f>
        <v/>
      </c>
      <c r="C62" s="2018"/>
      <c r="D62" s="2018"/>
      <c r="E62" s="2018"/>
      <c r="F62" s="2018"/>
      <c r="G62" s="2018"/>
      <c r="H62" s="2018"/>
      <c r="I62" s="2019"/>
      <c r="J62" s="2020"/>
      <c r="K62" s="2021"/>
      <c r="L62" s="202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c r="AS62" s="2021"/>
      <c r="AT62" s="2021"/>
      <c r="AU62" s="2021"/>
      <c r="AV62" s="2021"/>
      <c r="AW62" s="2022"/>
      <c r="AX62" s="1190"/>
      <c r="AY62" s="1190"/>
      <c r="AZ62" s="1190"/>
      <c r="BA62" s="1190"/>
      <c r="BB62" s="1190"/>
      <c r="BC62" s="1190"/>
      <c r="BD62" s="1190"/>
      <c r="BE62" s="1194"/>
    </row>
    <row r="63" spans="1:77" ht="15.75" customHeight="1">
      <c r="A63" s="1190"/>
      <c r="B63" s="2017" t="str">
        <f>IF(B55="", "", B55)</f>
        <v/>
      </c>
      <c r="C63" s="2018"/>
      <c r="D63" s="2018"/>
      <c r="E63" s="2018"/>
      <c r="F63" s="2018"/>
      <c r="G63" s="2018"/>
      <c r="H63" s="2018"/>
      <c r="I63" s="2019"/>
      <c r="J63" s="2020"/>
      <c r="K63" s="2021"/>
      <c r="L63" s="202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c r="AS63" s="2021"/>
      <c r="AT63" s="2021"/>
      <c r="AU63" s="2021"/>
      <c r="AV63" s="2021"/>
      <c r="AW63" s="2022"/>
      <c r="AX63" s="1190"/>
      <c r="AY63" s="1190"/>
      <c r="AZ63" s="1190"/>
      <c r="BA63" s="1190"/>
      <c r="BB63" s="1190"/>
      <c r="BC63" s="1190"/>
      <c r="BD63" s="1190"/>
      <c r="BE63" s="1194"/>
    </row>
    <row r="64" spans="1:77" ht="15.75" customHeight="1" thickBot="1">
      <c r="A64" s="1190"/>
      <c r="B64" s="2039" t="str">
        <f>IF(B56="", "", B56)</f>
        <v/>
      </c>
      <c r="C64" s="2040"/>
      <c r="D64" s="2040"/>
      <c r="E64" s="2040"/>
      <c r="F64" s="2040"/>
      <c r="G64" s="2040"/>
      <c r="H64" s="2040"/>
      <c r="I64" s="2041"/>
      <c r="J64" s="2042"/>
      <c r="K64" s="2043"/>
      <c r="L64" s="2043"/>
      <c r="M64" s="2043"/>
      <c r="N64" s="2043"/>
      <c r="O64" s="2043"/>
      <c r="P64" s="2043"/>
      <c r="Q64" s="2043"/>
      <c r="R64" s="2043"/>
      <c r="S64" s="2043"/>
      <c r="T64" s="2043"/>
      <c r="U64" s="2043"/>
      <c r="V64" s="2043"/>
      <c r="W64" s="2043"/>
      <c r="X64" s="2043"/>
      <c r="Y64" s="2043"/>
      <c r="Z64" s="2043"/>
      <c r="AA64" s="2043"/>
      <c r="AB64" s="2043"/>
      <c r="AC64" s="2043"/>
      <c r="AD64" s="2043"/>
      <c r="AE64" s="2043"/>
      <c r="AF64" s="2043"/>
      <c r="AG64" s="2043"/>
      <c r="AH64" s="2043"/>
      <c r="AI64" s="2043"/>
      <c r="AJ64" s="2043"/>
      <c r="AK64" s="2043"/>
      <c r="AL64" s="2043"/>
      <c r="AM64" s="2043"/>
      <c r="AN64" s="2043"/>
      <c r="AO64" s="2043"/>
      <c r="AP64" s="2043"/>
      <c r="AQ64" s="2043"/>
      <c r="AR64" s="2043"/>
      <c r="AS64" s="2043"/>
      <c r="AT64" s="2043"/>
      <c r="AU64" s="2043"/>
      <c r="AV64" s="2043"/>
      <c r="AW64" s="204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7" t="s">
        <v>2399</v>
      </c>
      <c r="C68" s="1908"/>
      <c r="D68" s="1908"/>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9"/>
      <c r="AB68" s="1190"/>
      <c r="AC68" s="2051" t="s">
        <v>2398</v>
      </c>
      <c r="AD68" s="2052"/>
      <c r="AE68" s="2052"/>
      <c r="AF68" s="2052"/>
      <c r="AG68" s="2052"/>
      <c r="AH68" s="2052"/>
      <c r="AI68" s="2052"/>
      <c r="AJ68" s="2052"/>
      <c r="AK68" s="2052"/>
      <c r="AL68" s="2052"/>
      <c r="AM68" s="2052"/>
      <c r="AN68" s="2052"/>
      <c r="AO68" s="2052"/>
      <c r="AP68" s="2052"/>
      <c r="AQ68" s="2052"/>
      <c r="AR68" s="2052"/>
      <c r="AS68" s="2052"/>
      <c r="AT68" s="2052"/>
      <c r="AU68" s="2052"/>
      <c r="AV68" s="2029" t="s">
        <v>670</v>
      </c>
      <c r="AW68" s="2030"/>
      <c r="AX68" s="2030"/>
      <c r="AY68" s="2030"/>
      <c r="AZ68" s="2030"/>
      <c r="BA68" s="2030"/>
      <c r="BB68" s="2030"/>
      <c r="BC68" s="2031"/>
      <c r="BD68" s="1190"/>
      <c r="BE68" s="1194"/>
      <c r="BM68" s="1199" t="s">
        <v>2397</v>
      </c>
    </row>
    <row r="69" spans="1:94" ht="15.75" customHeight="1" thickTop="1" thickBot="1">
      <c r="A69" s="1190"/>
      <c r="B69" s="2032" t="s">
        <v>2396</v>
      </c>
      <c r="C69" s="2033"/>
      <c r="D69" s="2033"/>
      <c r="E69" s="2033"/>
      <c r="F69" s="2033"/>
      <c r="G69" s="2033"/>
      <c r="H69" s="2033"/>
      <c r="I69" s="2033"/>
      <c r="J69" s="2033"/>
      <c r="K69" s="2033"/>
      <c r="L69" s="2033"/>
      <c r="M69" s="2033"/>
      <c r="N69" s="2033"/>
      <c r="O69" s="2034" t="s">
        <v>2395</v>
      </c>
      <c r="P69" s="2035"/>
      <c r="Q69" s="2035"/>
      <c r="R69" s="2035"/>
      <c r="S69" s="2035"/>
      <c r="T69" s="2035"/>
      <c r="U69" s="2035"/>
      <c r="V69" s="2035"/>
      <c r="W69" s="2035"/>
      <c r="X69" s="2035"/>
      <c r="Y69" s="2035"/>
      <c r="Z69" s="2035"/>
      <c r="AA69" s="2036"/>
      <c r="AB69" s="1190"/>
      <c r="AC69" s="2037" t="s">
        <v>2394</v>
      </c>
      <c r="AD69" s="2038"/>
      <c r="AE69" s="2038"/>
      <c r="AF69" s="2038"/>
      <c r="AG69" s="2038"/>
      <c r="AH69" s="2038"/>
      <c r="AI69" s="2038"/>
      <c r="AJ69" s="2038"/>
      <c r="AK69" s="2038"/>
      <c r="AL69" s="2038"/>
      <c r="AM69" s="2038"/>
      <c r="AN69" s="2038"/>
      <c r="AO69" s="2038"/>
      <c r="AP69" s="2038"/>
      <c r="AQ69" s="2038"/>
      <c r="AR69" s="2038"/>
      <c r="AS69" s="2038"/>
      <c r="AT69" s="2038"/>
      <c r="AU69" s="2038"/>
      <c r="AV69" s="2029" t="s">
        <v>670</v>
      </c>
      <c r="AW69" s="2030"/>
      <c r="AX69" s="2030"/>
      <c r="AY69" s="2030"/>
      <c r="AZ69" s="2030"/>
      <c r="BA69" s="2030"/>
      <c r="BB69" s="2030"/>
      <c r="BC69" s="2031"/>
      <c r="BD69" s="1190"/>
      <c r="BE69" s="1194"/>
      <c r="BM69" s="1200" t="s">
        <v>546</v>
      </c>
    </row>
    <row r="70" spans="1:94" ht="15.75" customHeight="1">
      <c r="A70" s="1190"/>
      <c r="B70" s="1986" t="s">
        <v>2393</v>
      </c>
      <c r="C70" s="1987"/>
      <c r="D70" s="1987"/>
      <c r="E70" s="1987"/>
      <c r="F70" s="1987"/>
      <c r="G70" s="1987"/>
      <c r="H70" s="1987"/>
      <c r="I70" s="1987"/>
      <c r="J70" s="1987"/>
      <c r="K70" s="1987"/>
      <c r="L70" s="1987"/>
      <c r="M70" s="1987"/>
      <c r="N70" s="1987"/>
      <c r="O70" s="2045">
        <v>0</v>
      </c>
      <c r="P70" s="2045"/>
      <c r="Q70" s="2045"/>
      <c r="R70" s="2045"/>
      <c r="S70" s="2045"/>
      <c r="T70" s="2045"/>
      <c r="U70" s="2045"/>
      <c r="V70" s="2045"/>
      <c r="W70" s="2045"/>
      <c r="X70" s="2045"/>
      <c r="Y70" s="2045"/>
      <c r="Z70" s="2045"/>
      <c r="AA70" s="2046"/>
      <c r="AB70" s="1190"/>
      <c r="AC70" s="2002" t="s">
        <v>2392</v>
      </c>
      <c r="AD70" s="2003"/>
      <c r="AE70" s="2003"/>
      <c r="AF70" s="2047"/>
      <c r="AG70" s="2047"/>
      <c r="AH70" s="2047"/>
      <c r="AI70" s="2047"/>
      <c r="AJ70" s="2047"/>
      <c r="AK70" s="2047"/>
      <c r="AL70" s="2047"/>
      <c r="AM70" s="2047"/>
      <c r="AN70" s="2047"/>
      <c r="AO70" s="2047"/>
      <c r="AP70" s="2047"/>
      <c r="AQ70" s="2047"/>
      <c r="AR70" s="2047"/>
      <c r="AS70" s="2047"/>
      <c r="AT70" s="2047"/>
      <c r="AU70" s="2048"/>
      <c r="AV70" s="1190"/>
      <c r="AW70" s="1190"/>
      <c r="AX70" s="1190"/>
      <c r="AY70" s="1190"/>
      <c r="AZ70" s="1190"/>
      <c r="BA70" s="1190"/>
      <c r="BB70" s="1190"/>
      <c r="BC70" s="1190"/>
      <c r="BD70" s="1190"/>
      <c r="BE70" s="1194"/>
      <c r="BM70" s="1201" t="s">
        <v>670</v>
      </c>
    </row>
    <row r="71" spans="1:94" ht="15.75" customHeight="1" thickBot="1">
      <c r="A71" s="1190"/>
      <c r="B71" s="1986" t="s">
        <v>2391</v>
      </c>
      <c r="C71" s="1987"/>
      <c r="D71" s="1987"/>
      <c r="E71" s="1987"/>
      <c r="F71" s="1987"/>
      <c r="G71" s="1987"/>
      <c r="H71" s="1987"/>
      <c r="I71" s="1987"/>
      <c r="J71" s="1987"/>
      <c r="K71" s="1987"/>
      <c r="L71" s="1987"/>
      <c r="M71" s="1987"/>
      <c r="N71" s="1987"/>
      <c r="O71" s="2045">
        <v>0</v>
      </c>
      <c r="P71" s="2045"/>
      <c r="Q71" s="2045"/>
      <c r="R71" s="2045"/>
      <c r="S71" s="2045"/>
      <c r="T71" s="2045"/>
      <c r="U71" s="2045"/>
      <c r="V71" s="2045"/>
      <c r="W71" s="2045"/>
      <c r="X71" s="2045"/>
      <c r="Y71" s="2045"/>
      <c r="Z71" s="2045"/>
      <c r="AA71" s="2046"/>
      <c r="AB71" s="1190"/>
      <c r="AC71" s="2049" t="s">
        <v>2390</v>
      </c>
      <c r="AD71" s="2050"/>
      <c r="AE71" s="2050"/>
      <c r="AF71" s="2043"/>
      <c r="AG71" s="2043"/>
      <c r="AH71" s="2043"/>
      <c r="AI71" s="2043"/>
      <c r="AJ71" s="2043"/>
      <c r="AK71" s="2043"/>
      <c r="AL71" s="2043"/>
      <c r="AM71" s="2043"/>
      <c r="AN71" s="2043"/>
      <c r="AO71" s="2043"/>
      <c r="AP71" s="2043"/>
      <c r="AQ71" s="2043"/>
      <c r="AR71" s="2043"/>
      <c r="AS71" s="2043"/>
      <c r="AT71" s="2043"/>
      <c r="AU71" s="2044"/>
      <c r="AV71" s="1190"/>
      <c r="AW71" s="1190"/>
      <c r="AX71" s="1190"/>
      <c r="AY71" s="1190"/>
      <c r="AZ71" s="1190"/>
      <c r="BA71" s="1190"/>
      <c r="BB71" s="1190"/>
      <c r="BC71" s="1190"/>
      <c r="BD71" s="1190"/>
      <c r="BE71" s="1194"/>
      <c r="BM71" s="1187" t="s">
        <v>2389</v>
      </c>
    </row>
    <row r="72" spans="1:94" ht="15.75" customHeight="1">
      <c r="A72" s="1190"/>
      <c r="B72" s="1986" t="s">
        <v>2388</v>
      </c>
      <c r="C72" s="1987"/>
      <c r="D72" s="1987"/>
      <c r="E72" s="1987"/>
      <c r="F72" s="1987"/>
      <c r="G72" s="1987"/>
      <c r="H72" s="1987"/>
      <c r="I72" s="1987"/>
      <c r="J72" s="1987"/>
      <c r="K72" s="1987"/>
      <c r="L72" s="1987"/>
      <c r="M72" s="1987"/>
      <c r="N72" s="1987"/>
      <c r="O72" s="2045">
        <v>0</v>
      </c>
      <c r="P72" s="2045"/>
      <c r="Q72" s="2045"/>
      <c r="R72" s="2045"/>
      <c r="S72" s="2045"/>
      <c r="T72" s="2045"/>
      <c r="U72" s="2045"/>
      <c r="V72" s="2045"/>
      <c r="W72" s="2045"/>
      <c r="X72" s="2045"/>
      <c r="Y72" s="2045"/>
      <c r="Z72" s="2045"/>
      <c r="AA72" s="2046"/>
      <c r="AB72" s="1190"/>
      <c r="AC72" s="2069" t="s">
        <v>2387</v>
      </c>
      <c r="AD72" s="2070"/>
      <c r="AE72" s="2070"/>
      <c r="AF72" s="2070"/>
      <c r="AG72" s="2070"/>
      <c r="AH72" s="2070"/>
      <c r="AI72" s="2070"/>
      <c r="AJ72" s="2070"/>
      <c r="AK72" s="2070"/>
      <c r="AL72" s="2070"/>
      <c r="AM72" s="2070"/>
      <c r="AN72" s="2070"/>
      <c r="AO72" s="2070"/>
      <c r="AP72" s="2070"/>
      <c r="AQ72" s="2070"/>
      <c r="AR72" s="2070"/>
      <c r="AS72" s="2070"/>
      <c r="AT72" s="2070"/>
      <c r="AU72" s="2070"/>
      <c r="AV72" s="2003"/>
      <c r="AW72" s="2003"/>
      <c r="AX72" s="2003"/>
      <c r="AY72" s="2003"/>
      <c r="AZ72" s="2003"/>
      <c r="BA72" s="2003"/>
      <c r="BB72" s="2003"/>
      <c r="BC72" s="2004"/>
      <c r="BD72" s="1190"/>
      <c r="BE72" s="1194"/>
    </row>
    <row r="73" spans="1:94" ht="15.75" customHeight="1">
      <c r="A73" s="1190"/>
      <c r="B73" s="1990" t="s">
        <v>2386</v>
      </c>
      <c r="C73" s="1991"/>
      <c r="D73" s="1991"/>
      <c r="E73" s="1991"/>
      <c r="F73" s="1991"/>
      <c r="G73" s="1991"/>
      <c r="H73" s="1991"/>
      <c r="I73" s="1991"/>
      <c r="J73" s="1991"/>
      <c r="K73" s="1991"/>
      <c r="L73" s="1991"/>
      <c r="M73" s="1991"/>
      <c r="N73" s="1991"/>
      <c r="O73" s="2045">
        <v>0</v>
      </c>
      <c r="P73" s="2045"/>
      <c r="Q73" s="2045"/>
      <c r="R73" s="2045"/>
      <c r="S73" s="2045"/>
      <c r="T73" s="2045"/>
      <c r="U73" s="2045"/>
      <c r="V73" s="2045"/>
      <c r="W73" s="2045"/>
      <c r="X73" s="2045"/>
      <c r="Y73" s="2045"/>
      <c r="Z73" s="2045"/>
      <c r="AA73" s="2046"/>
      <c r="AB73" s="1190"/>
      <c r="AC73" s="2071" t="s">
        <v>2331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190"/>
      <c r="BE73" s="1194"/>
      <c r="CK73" s="1188"/>
      <c r="CL73" s="1188"/>
      <c r="CM73" s="1188"/>
      <c r="CN73" s="1188"/>
      <c r="CO73" s="1188"/>
      <c r="CP73" s="1188"/>
    </row>
    <row r="74" spans="1:94" ht="15.75" customHeight="1">
      <c r="A74" s="1190"/>
      <c r="B74" s="2077"/>
      <c r="C74" s="2009"/>
      <c r="D74" s="2009"/>
      <c r="E74" s="2009"/>
      <c r="F74" s="2009"/>
      <c r="G74" s="2009"/>
      <c r="H74" s="2009"/>
      <c r="I74" s="2009"/>
      <c r="J74" s="2009"/>
      <c r="K74" s="2009"/>
      <c r="L74" s="2009"/>
      <c r="M74" s="2009"/>
      <c r="N74" s="2009"/>
      <c r="O74" s="2045"/>
      <c r="P74" s="2045"/>
      <c r="Q74" s="2045"/>
      <c r="R74" s="2045"/>
      <c r="S74" s="2045"/>
      <c r="T74" s="2045"/>
      <c r="U74" s="2045"/>
      <c r="V74" s="2045"/>
      <c r="W74" s="2045"/>
      <c r="X74" s="2045"/>
      <c r="Y74" s="2045"/>
      <c r="Z74" s="2045"/>
      <c r="AA74" s="2046"/>
      <c r="AB74" s="1190"/>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190"/>
      <c r="BE74" s="1194"/>
      <c r="CK74" s="1188"/>
      <c r="CL74" s="1188"/>
      <c r="CM74" s="1188"/>
      <c r="CN74" s="1188"/>
      <c r="CO74" s="1188"/>
      <c r="CP74" s="1188"/>
    </row>
    <row r="75" spans="1:94" ht="15.75" customHeight="1" thickBot="1">
      <c r="A75" s="1190"/>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190"/>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3"/>
      <c r="G79" s="2054"/>
      <c r="H79" s="2054"/>
      <c r="I79" s="2054"/>
      <c r="J79" s="2054"/>
      <c r="K79" s="2054"/>
      <c r="L79" s="2054"/>
      <c r="M79" s="2054"/>
      <c r="N79" s="2054"/>
      <c r="O79" s="2054"/>
      <c r="P79" s="2054"/>
      <c r="Q79" s="2054"/>
      <c r="R79" s="2054"/>
      <c r="S79" s="2054"/>
      <c r="T79" s="205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6" t="s">
        <v>2384</v>
      </c>
      <c r="C80" s="2057"/>
      <c r="D80" s="2057"/>
      <c r="E80" s="2057"/>
      <c r="F80" s="2057"/>
      <c r="G80" s="2057"/>
      <c r="H80" s="2057"/>
      <c r="I80" s="2057"/>
      <c r="J80" s="2057"/>
      <c r="K80" s="2057"/>
      <c r="L80" s="2057"/>
      <c r="M80" s="2057"/>
      <c r="N80" s="2057"/>
      <c r="O80" s="2057"/>
      <c r="P80" s="2057"/>
      <c r="Q80" s="2057"/>
      <c r="R80" s="2058" t="str">
        <f>IFERROR(INDEX(BR96:BR98,MATCH(F79,$BQ$96:$BQ$98,0))/SUM($BR$96:$BR$98),"")</f>
        <v/>
      </c>
      <c r="S80" s="2059"/>
      <c r="T80" s="206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1" t="s">
        <v>2383</v>
      </c>
      <c r="C81" s="2062"/>
      <c r="D81" s="2062"/>
      <c r="E81" s="2062"/>
      <c r="F81" s="2062"/>
      <c r="G81" s="2062"/>
      <c r="H81" s="2062"/>
      <c r="I81" s="2062"/>
      <c r="J81" s="2062"/>
      <c r="K81" s="2062"/>
      <c r="L81" s="2062"/>
      <c r="M81" s="2062"/>
      <c r="N81" s="2062"/>
      <c r="O81" s="2062"/>
      <c r="P81" s="2062"/>
      <c r="Q81" s="2062"/>
      <c r="R81" s="2063" t="s">
        <v>2189</v>
      </c>
      <c r="S81" s="2064"/>
      <c r="T81" s="206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6" t="s">
        <v>2382</v>
      </c>
      <c r="C83" s="2067"/>
      <c r="D83" s="2067"/>
      <c r="E83" s="2067"/>
      <c r="F83" s="2067"/>
      <c r="G83" s="2067"/>
      <c r="H83" s="2067"/>
      <c r="I83" s="2067"/>
      <c r="J83" s="2067"/>
      <c r="K83" s="2067"/>
      <c r="L83" s="2067"/>
      <c r="M83" s="2067"/>
      <c r="N83" s="2067"/>
      <c r="O83" s="2067"/>
      <c r="P83" s="2067"/>
      <c r="Q83" s="2067"/>
      <c r="R83" s="2067"/>
      <c r="S83" s="2067"/>
      <c r="T83" s="2067"/>
      <c r="U83" s="2067"/>
      <c r="V83" s="2067"/>
      <c r="W83" s="2067"/>
      <c r="X83" s="2067"/>
      <c r="Y83" s="2067"/>
      <c r="Z83" s="2067"/>
      <c r="AA83" s="2067"/>
      <c r="AB83" s="2067"/>
      <c r="AC83" s="2067"/>
      <c r="AD83" s="2067"/>
      <c r="AE83" s="2067"/>
      <c r="AF83" s="2067"/>
      <c r="AG83" s="2067"/>
      <c r="AH83" s="2068"/>
      <c r="AI83" s="1190"/>
      <c r="AJ83" s="2084" t="s">
        <v>2381</v>
      </c>
      <c r="AK83" s="2085"/>
      <c r="AL83" s="2085"/>
      <c r="AM83" s="2085"/>
      <c r="AN83" s="2085"/>
      <c r="AO83" s="2085"/>
      <c r="AP83" s="2085"/>
      <c r="AQ83" s="2085"/>
      <c r="AR83" s="2085"/>
      <c r="AS83" s="2085"/>
      <c r="AT83" s="2085"/>
      <c r="AU83" s="2085"/>
      <c r="AV83" s="2085"/>
      <c r="AW83" s="2085"/>
      <c r="AX83" s="2085"/>
      <c r="AY83" s="2088" t="s">
        <v>546</v>
      </c>
      <c r="AZ83" s="2088"/>
      <c r="BA83" s="2088"/>
      <c r="BB83" s="2089"/>
      <c r="BC83" s="1190"/>
      <c r="BD83" s="1190"/>
      <c r="BE83" s="1194"/>
      <c r="CK83" s="1188"/>
      <c r="CL83" s="1188"/>
      <c r="CM83" s="1188"/>
      <c r="CN83" s="1188"/>
      <c r="CO83" s="1188"/>
      <c r="CP83" s="1188"/>
    </row>
    <row r="84" spans="1:94" ht="15.75" customHeight="1">
      <c r="A84" s="1190"/>
      <c r="B84" s="2005"/>
      <c r="C84" s="2006"/>
      <c r="D84" s="2006"/>
      <c r="E84" s="2006"/>
      <c r="F84" s="2006"/>
      <c r="G84" s="2006"/>
      <c r="H84" s="2006"/>
      <c r="I84" s="2006" t="s">
        <v>2371</v>
      </c>
      <c r="J84" s="2006"/>
      <c r="K84" s="2006"/>
      <c r="L84" s="2006"/>
      <c r="M84" s="2006"/>
      <c r="N84" s="2006"/>
      <c r="O84" s="2006" t="s">
        <v>2347</v>
      </c>
      <c r="P84" s="2006"/>
      <c r="Q84" s="2006"/>
      <c r="R84" s="2006"/>
      <c r="S84" s="2006"/>
      <c r="T84" s="2006"/>
      <c r="U84" s="2006"/>
      <c r="V84" s="2092" t="s">
        <v>2346</v>
      </c>
      <c r="W84" s="2092"/>
      <c r="X84" s="2092"/>
      <c r="Y84" s="2092"/>
      <c r="Z84" s="2092"/>
      <c r="AA84" s="2092"/>
      <c r="AB84" s="2093" t="s">
        <v>2370</v>
      </c>
      <c r="AC84" s="2093"/>
      <c r="AD84" s="2093"/>
      <c r="AE84" s="2093"/>
      <c r="AF84" s="2093"/>
      <c r="AG84" s="2093"/>
      <c r="AH84" s="2094"/>
      <c r="AI84" s="1190"/>
      <c r="AJ84" s="2086"/>
      <c r="AK84" s="2087"/>
      <c r="AL84" s="2087"/>
      <c r="AM84" s="2087"/>
      <c r="AN84" s="2087"/>
      <c r="AO84" s="2087"/>
      <c r="AP84" s="2087"/>
      <c r="AQ84" s="2087"/>
      <c r="AR84" s="2087"/>
      <c r="AS84" s="2087"/>
      <c r="AT84" s="2087"/>
      <c r="AU84" s="2087"/>
      <c r="AV84" s="2087"/>
      <c r="AW84" s="2087"/>
      <c r="AX84" s="2087"/>
      <c r="AY84" s="2090"/>
      <c r="AZ84" s="2090"/>
      <c r="BA84" s="2090"/>
      <c r="BB84" s="2091"/>
      <c r="BC84" s="1190"/>
      <c r="BD84" s="1190"/>
      <c r="BE84" s="1194"/>
      <c r="CK84" s="1188"/>
      <c r="CL84" s="1188"/>
      <c r="CM84" s="1188"/>
      <c r="CN84" s="1188"/>
      <c r="CO84" s="1188"/>
      <c r="CP84" s="1188"/>
    </row>
    <row r="85" spans="1:94" ht="15.75" customHeight="1">
      <c r="A85" s="1190"/>
      <c r="B85" s="2005"/>
      <c r="C85" s="2006"/>
      <c r="D85" s="2006"/>
      <c r="E85" s="2006"/>
      <c r="F85" s="2006"/>
      <c r="G85" s="2006"/>
      <c r="H85" s="2006"/>
      <c r="I85" s="2006"/>
      <c r="J85" s="2006"/>
      <c r="K85" s="2006"/>
      <c r="L85" s="2006"/>
      <c r="M85" s="2006"/>
      <c r="N85" s="2006"/>
      <c r="O85" s="2006"/>
      <c r="P85" s="2006"/>
      <c r="Q85" s="2006"/>
      <c r="R85" s="2006"/>
      <c r="S85" s="2006"/>
      <c r="T85" s="2006"/>
      <c r="U85" s="2006"/>
      <c r="V85" s="2092"/>
      <c r="W85" s="2092"/>
      <c r="X85" s="2092"/>
      <c r="Y85" s="2092"/>
      <c r="Z85" s="2092"/>
      <c r="AA85" s="2092"/>
      <c r="AB85" s="2093"/>
      <c r="AC85" s="2093"/>
      <c r="AD85" s="2093"/>
      <c r="AE85" s="2093"/>
      <c r="AF85" s="2093"/>
      <c r="AG85" s="2093"/>
      <c r="AH85" s="2094"/>
      <c r="AI85" s="1190"/>
      <c r="AJ85" s="2086"/>
      <c r="AK85" s="2087"/>
      <c r="AL85" s="2087"/>
      <c r="AM85" s="2087"/>
      <c r="AN85" s="2087"/>
      <c r="AO85" s="2087"/>
      <c r="AP85" s="2087"/>
      <c r="AQ85" s="2087"/>
      <c r="AR85" s="2087"/>
      <c r="AS85" s="2087"/>
      <c r="AT85" s="2087"/>
      <c r="AU85" s="2087"/>
      <c r="AV85" s="2087"/>
      <c r="AW85" s="2087"/>
      <c r="AX85" s="2087"/>
      <c r="AY85" s="2090"/>
      <c r="AZ85" s="2090"/>
      <c r="BA85" s="2090"/>
      <c r="BB85" s="2091"/>
      <c r="BC85" s="1190"/>
      <c r="BD85" s="1190"/>
      <c r="BE85" s="1194"/>
      <c r="CK85" s="1188"/>
      <c r="CL85" s="1188"/>
      <c r="CM85" s="1188"/>
      <c r="CN85" s="1188"/>
      <c r="CO85" s="1188"/>
      <c r="CP85" s="1188"/>
    </row>
    <row r="86" spans="1:94" ht="15.75" customHeight="1">
      <c r="A86" s="1190"/>
      <c r="B86" s="2005" t="s">
        <v>2369</v>
      </c>
      <c r="C86" s="2006"/>
      <c r="D86" s="2006"/>
      <c r="E86" s="2006"/>
      <c r="F86" s="2006"/>
      <c r="G86" s="2006"/>
      <c r="H86" s="2006"/>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0"/>
      <c r="AJ86" s="2086"/>
      <c r="AK86" s="2087"/>
      <c r="AL86" s="2087"/>
      <c r="AM86" s="2087"/>
      <c r="AN86" s="2087"/>
      <c r="AO86" s="2087"/>
      <c r="AP86" s="2087"/>
      <c r="AQ86" s="2087"/>
      <c r="AR86" s="2087"/>
      <c r="AS86" s="2087"/>
      <c r="AT86" s="2087"/>
      <c r="AU86" s="2087"/>
      <c r="AV86" s="2087"/>
      <c r="AW86" s="2087"/>
      <c r="AX86" s="2087"/>
      <c r="AY86" s="2090"/>
      <c r="AZ86" s="2090"/>
      <c r="BA86" s="2090"/>
      <c r="BB86" s="2091"/>
      <c r="BC86" s="1190"/>
      <c r="BD86" s="1190"/>
      <c r="BE86" s="1194"/>
      <c r="CK86" s="1188"/>
      <c r="CL86" s="1188"/>
      <c r="CM86" s="1188"/>
      <c r="CN86" s="1188"/>
      <c r="CO86" s="1188"/>
      <c r="CP86" s="1188"/>
    </row>
    <row r="87" spans="1:94" ht="15.75" customHeight="1">
      <c r="A87" s="1190"/>
      <c r="B87" s="2005" t="s">
        <v>2368</v>
      </c>
      <c r="C87" s="2006"/>
      <c r="D87" s="2006"/>
      <c r="E87" s="2006"/>
      <c r="F87" s="2006"/>
      <c r="G87" s="2006"/>
      <c r="H87" s="2006"/>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0"/>
      <c r="AJ87" s="2071" t="s">
        <v>2375</v>
      </c>
      <c r="AK87" s="2072"/>
      <c r="AL87" s="2072"/>
      <c r="AM87" s="2072"/>
      <c r="AN87" s="2072"/>
      <c r="AO87" s="2072"/>
      <c r="AP87" s="2072"/>
      <c r="AQ87" s="2072"/>
      <c r="AR87" s="2072"/>
      <c r="AS87" s="2072"/>
      <c r="AT87" s="2072"/>
      <c r="AU87" s="2072"/>
      <c r="AV87" s="2072"/>
      <c r="AW87" s="2072"/>
      <c r="AX87" s="2072"/>
      <c r="AY87" s="2072"/>
      <c r="AZ87" s="2072"/>
      <c r="BA87" s="2072"/>
      <c r="BB87" s="2073"/>
      <c r="BC87" s="1190"/>
      <c r="BD87" s="1190"/>
      <c r="BE87" s="1194"/>
      <c r="CK87" s="1188"/>
      <c r="CL87" s="1188"/>
      <c r="CM87" s="1188"/>
      <c r="CN87" s="1188"/>
      <c r="CO87" s="1188"/>
      <c r="CP87" s="1188"/>
    </row>
    <row r="88" spans="1:94" ht="15.75" customHeight="1" thickBot="1">
      <c r="A88" s="1190"/>
      <c r="B88" s="2023" t="s">
        <v>2367</v>
      </c>
      <c r="C88" s="2024"/>
      <c r="D88" s="2024"/>
      <c r="E88" s="2024"/>
      <c r="F88" s="2024"/>
      <c r="G88" s="2024"/>
      <c r="H88" s="2024"/>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190"/>
      <c r="AJ88" s="2074"/>
      <c r="AK88" s="2075"/>
      <c r="AL88" s="2075"/>
      <c r="AM88" s="2075"/>
      <c r="AN88" s="2075"/>
      <c r="AO88" s="2075"/>
      <c r="AP88" s="2075"/>
      <c r="AQ88" s="2075"/>
      <c r="AR88" s="2075"/>
      <c r="AS88" s="2075"/>
      <c r="AT88" s="2075"/>
      <c r="AU88" s="2075"/>
      <c r="AV88" s="2075"/>
      <c r="AW88" s="2075"/>
      <c r="AX88" s="2075"/>
      <c r="AY88" s="2075"/>
      <c r="AZ88" s="2075"/>
      <c r="BA88" s="2075"/>
      <c r="BB88" s="207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3"/>
      <c r="G92" s="2054"/>
      <c r="H92" s="2054"/>
      <c r="I92" s="2054"/>
      <c r="J92" s="2054"/>
      <c r="K92" s="2054"/>
      <c r="L92" s="2054"/>
      <c r="M92" s="2054"/>
      <c r="N92" s="2054"/>
      <c r="O92" s="2054"/>
      <c r="P92" s="2054"/>
      <c r="Q92" s="2054"/>
      <c r="R92" s="2054"/>
      <c r="S92" s="2054"/>
      <c r="T92" s="205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6" t="s">
        <v>2379</v>
      </c>
      <c r="C93" s="2057"/>
      <c r="D93" s="2057"/>
      <c r="E93" s="2057"/>
      <c r="F93" s="2057"/>
      <c r="G93" s="2057"/>
      <c r="H93" s="2057"/>
      <c r="I93" s="2057"/>
      <c r="J93" s="2057"/>
      <c r="K93" s="2057"/>
      <c r="L93" s="2057"/>
      <c r="M93" s="2057"/>
      <c r="N93" s="2057"/>
      <c r="O93" s="2057"/>
      <c r="P93" s="2057"/>
      <c r="Q93" s="2095"/>
      <c r="R93" s="2058" t="str">
        <f>IFERROR(INDEX(BR96:BR98,MATCH(F92,$BQ$96:$BQ$98,0))/SUM($BR$96:$BR$98),"")</f>
        <v/>
      </c>
      <c r="S93" s="2059"/>
      <c r="T93" s="206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1" t="s">
        <v>2378</v>
      </c>
      <c r="C94" s="2062"/>
      <c r="D94" s="2062"/>
      <c r="E94" s="2062"/>
      <c r="F94" s="2062"/>
      <c r="G94" s="2062"/>
      <c r="H94" s="2062"/>
      <c r="I94" s="2062"/>
      <c r="J94" s="2062"/>
      <c r="K94" s="2062"/>
      <c r="L94" s="2062"/>
      <c r="M94" s="2062"/>
      <c r="N94" s="2062"/>
      <c r="O94" s="2062"/>
      <c r="P94" s="2062"/>
      <c r="Q94" s="2096"/>
      <c r="R94" s="2063" t="s">
        <v>2189</v>
      </c>
      <c r="S94" s="2064"/>
      <c r="T94" s="206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6" t="s">
        <v>2377</v>
      </c>
      <c r="C96" s="2067"/>
      <c r="D96" s="2067"/>
      <c r="E96" s="2067"/>
      <c r="F96" s="2067"/>
      <c r="G96" s="2067"/>
      <c r="H96" s="2067"/>
      <c r="I96" s="2067"/>
      <c r="J96" s="2067"/>
      <c r="K96" s="2067"/>
      <c r="L96" s="2067"/>
      <c r="M96" s="2067"/>
      <c r="N96" s="2067"/>
      <c r="O96" s="2067"/>
      <c r="P96" s="2067"/>
      <c r="Q96" s="2067"/>
      <c r="R96" s="2067"/>
      <c r="S96" s="2067"/>
      <c r="T96" s="2067"/>
      <c r="U96" s="2067"/>
      <c r="V96" s="2067"/>
      <c r="W96" s="2067"/>
      <c r="X96" s="2067"/>
      <c r="Y96" s="2067"/>
      <c r="Z96" s="2067"/>
      <c r="AA96" s="2067"/>
      <c r="AB96" s="2067"/>
      <c r="AC96" s="2067"/>
      <c r="AD96" s="2067"/>
      <c r="AE96" s="2067"/>
      <c r="AF96" s="2067"/>
      <c r="AG96" s="2067"/>
      <c r="AH96" s="2068"/>
      <c r="AI96" s="1190"/>
      <c r="AJ96" s="2084" t="s">
        <v>2376</v>
      </c>
      <c r="AK96" s="2085"/>
      <c r="AL96" s="2085"/>
      <c r="AM96" s="2085"/>
      <c r="AN96" s="2085"/>
      <c r="AO96" s="2085"/>
      <c r="AP96" s="2085"/>
      <c r="AQ96" s="2085"/>
      <c r="AR96" s="2085"/>
      <c r="AS96" s="2085"/>
      <c r="AT96" s="2085"/>
      <c r="AU96" s="2085"/>
      <c r="AV96" s="2085"/>
      <c r="AW96" s="2085"/>
      <c r="AX96" s="2085"/>
      <c r="AY96" s="2088" t="s">
        <v>546</v>
      </c>
      <c r="AZ96" s="2088"/>
      <c r="BA96" s="2088"/>
      <c r="BB96" s="2089"/>
      <c r="BC96" s="1190"/>
      <c r="BD96" s="1190"/>
      <c r="BE96" s="1194"/>
      <c r="BQ96" s="1256" t="str">
        <f>Application!M243&amp;IF(TRIM(Application!AA249)&lt;&gt;""," ("&amp;Application!AA249&amp;")","")</f>
        <v>Community Revitalization and Development Corporation</v>
      </c>
      <c r="BR96" s="1259">
        <f>Application!AH246</f>
        <v>0.01</v>
      </c>
      <c r="CM96" s="1188"/>
      <c r="CN96" s="1188"/>
      <c r="CO96" s="1188"/>
      <c r="CP96" s="1188"/>
    </row>
    <row r="97" spans="1:94" ht="15.75" customHeight="1">
      <c r="A97" s="1190"/>
      <c r="B97" s="2005"/>
      <c r="C97" s="2006"/>
      <c r="D97" s="2006"/>
      <c r="E97" s="2006"/>
      <c r="F97" s="2006"/>
      <c r="G97" s="2006"/>
      <c r="H97" s="2006"/>
      <c r="I97" s="2006" t="s">
        <v>2371</v>
      </c>
      <c r="J97" s="2006"/>
      <c r="K97" s="2006"/>
      <c r="L97" s="2006"/>
      <c r="M97" s="2006"/>
      <c r="N97" s="2006"/>
      <c r="O97" s="2006" t="s">
        <v>2347</v>
      </c>
      <c r="P97" s="2006"/>
      <c r="Q97" s="2006"/>
      <c r="R97" s="2006"/>
      <c r="S97" s="2006"/>
      <c r="T97" s="2006"/>
      <c r="U97" s="2006"/>
      <c r="V97" s="2092" t="s">
        <v>2346</v>
      </c>
      <c r="W97" s="2092"/>
      <c r="X97" s="2092"/>
      <c r="Y97" s="2092"/>
      <c r="Z97" s="2092"/>
      <c r="AA97" s="2092"/>
      <c r="AB97" s="2093" t="s">
        <v>2370</v>
      </c>
      <c r="AC97" s="2093"/>
      <c r="AD97" s="2093"/>
      <c r="AE97" s="2093"/>
      <c r="AF97" s="2093"/>
      <c r="AG97" s="2093"/>
      <c r="AH97" s="2094"/>
      <c r="AI97" s="1190"/>
      <c r="AJ97" s="2086"/>
      <c r="AK97" s="2087"/>
      <c r="AL97" s="2087"/>
      <c r="AM97" s="2087"/>
      <c r="AN97" s="2087"/>
      <c r="AO97" s="2087"/>
      <c r="AP97" s="2087"/>
      <c r="AQ97" s="2087"/>
      <c r="AR97" s="2087"/>
      <c r="AS97" s="2087"/>
      <c r="AT97" s="2087"/>
      <c r="AU97" s="2087"/>
      <c r="AV97" s="2087"/>
      <c r="AW97" s="2087"/>
      <c r="AX97" s="2087"/>
      <c r="AY97" s="2090"/>
      <c r="AZ97" s="2090"/>
      <c r="BA97" s="2090"/>
      <c r="BB97" s="2091"/>
      <c r="BC97" s="1190"/>
      <c r="BD97" s="1190"/>
      <c r="BE97" s="1194"/>
      <c r="BQ97" s="1256" t="str">
        <f>Application!M251&amp;IF(TRIM(Application!AA257)&lt;&gt;""," ("&amp;Application!AA257&amp;")","")</f>
        <v>West Sacramento Lake Washington Boulevard LLC (Johnson &amp; Johnson Investments, LLC)</v>
      </c>
      <c r="BR97" s="1259">
        <f>Application!AH254</f>
        <v>0.09</v>
      </c>
      <c r="CM97" s="1188"/>
      <c r="CN97" s="1188"/>
      <c r="CO97" s="1188"/>
      <c r="CP97" s="1188"/>
    </row>
    <row r="98" spans="1:94" ht="15.75" customHeight="1">
      <c r="A98" s="1190"/>
      <c r="B98" s="2005"/>
      <c r="C98" s="2006"/>
      <c r="D98" s="2006"/>
      <c r="E98" s="2006"/>
      <c r="F98" s="2006"/>
      <c r="G98" s="2006"/>
      <c r="H98" s="2006"/>
      <c r="I98" s="2006"/>
      <c r="J98" s="2006"/>
      <c r="K98" s="2006"/>
      <c r="L98" s="2006"/>
      <c r="M98" s="2006"/>
      <c r="N98" s="2006"/>
      <c r="O98" s="2006"/>
      <c r="P98" s="2006"/>
      <c r="Q98" s="2006"/>
      <c r="R98" s="2006"/>
      <c r="S98" s="2006"/>
      <c r="T98" s="2006"/>
      <c r="U98" s="2006"/>
      <c r="V98" s="2092"/>
      <c r="W98" s="2092"/>
      <c r="X98" s="2092"/>
      <c r="Y98" s="2092"/>
      <c r="Z98" s="2092"/>
      <c r="AA98" s="2092"/>
      <c r="AB98" s="2093"/>
      <c r="AC98" s="2093"/>
      <c r="AD98" s="2093"/>
      <c r="AE98" s="2093"/>
      <c r="AF98" s="2093"/>
      <c r="AG98" s="2093"/>
      <c r="AH98" s="2094"/>
      <c r="AI98" s="1190"/>
      <c r="AJ98" s="2086"/>
      <c r="AK98" s="2087"/>
      <c r="AL98" s="2087"/>
      <c r="AM98" s="2087"/>
      <c r="AN98" s="2087"/>
      <c r="AO98" s="2087"/>
      <c r="AP98" s="2087"/>
      <c r="AQ98" s="2087"/>
      <c r="AR98" s="2087"/>
      <c r="AS98" s="2087"/>
      <c r="AT98" s="2087"/>
      <c r="AU98" s="2087"/>
      <c r="AV98" s="2087"/>
      <c r="AW98" s="2087"/>
      <c r="AX98" s="2087"/>
      <c r="AY98" s="2090"/>
      <c r="AZ98" s="2090"/>
      <c r="BA98" s="2090"/>
      <c r="BB98" s="209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5" t="s">
        <v>2369</v>
      </c>
      <c r="C99" s="2006"/>
      <c r="D99" s="2006"/>
      <c r="E99" s="2006"/>
      <c r="F99" s="2006"/>
      <c r="G99" s="2006"/>
      <c r="H99" s="2006"/>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0"/>
      <c r="AJ99" s="2086"/>
      <c r="AK99" s="2087"/>
      <c r="AL99" s="2087"/>
      <c r="AM99" s="2087"/>
      <c r="AN99" s="2087"/>
      <c r="AO99" s="2087"/>
      <c r="AP99" s="2087"/>
      <c r="AQ99" s="2087"/>
      <c r="AR99" s="2087"/>
      <c r="AS99" s="2087"/>
      <c r="AT99" s="2087"/>
      <c r="AU99" s="2087"/>
      <c r="AV99" s="2087"/>
      <c r="AW99" s="2087"/>
      <c r="AX99" s="2087"/>
      <c r="AY99" s="2090"/>
      <c r="AZ99" s="2090"/>
      <c r="BA99" s="2090"/>
      <c r="BB99" s="2091"/>
      <c r="BC99" s="1190"/>
      <c r="BD99" s="1190"/>
      <c r="BE99" s="1194"/>
      <c r="CM99" s="1188"/>
      <c r="CN99" s="1188"/>
      <c r="CO99" s="1188"/>
      <c r="CP99" s="1188"/>
    </row>
    <row r="100" spans="1:94" ht="15.75" customHeight="1">
      <c r="A100" s="1190"/>
      <c r="B100" s="2005" t="s">
        <v>2368</v>
      </c>
      <c r="C100" s="2006"/>
      <c r="D100" s="2006"/>
      <c r="E100" s="2006"/>
      <c r="F100" s="2006"/>
      <c r="G100" s="2006"/>
      <c r="H100" s="2006"/>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0"/>
      <c r="AJ100" s="2071" t="s">
        <v>2375</v>
      </c>
      <c r="AK100" s="2072"/>
      <c r="AL100" s="2072"/>
      <c r="AM100" s="2072"/>
      <c r="AN100" s="2072"/>
      <c r="AO100" s="2072"/>
      <c r="AP100" s="2072"/>
      <c r="AQ100" s="2072"/>
      <c r="AR100" s="2072"/>
      <c r="AS100" s="2072"/>
      <c r="AT100" s="2072"/>
      <c r="AU100" s="2072"/>
      <c r="AV100" s="2072"/>
      <c r="AW100" s="2072"/>
      <c r="AX100" s="2072"/>
      <c r="AY100" s="2072"/>
      <c r="AZ100" s="2072"/>
      <c r="BA100" s="2072"/>
      <c r="BB100" s="2073"/>
      <c r="BC100" s="1190"/>
      <c r="BD100" s="1190"/>
      <c r="BE100" s="1194"/>
      <c r="CM100" s="1188"/>
      <c r="CN100" s="1188"/>
      <c r="CO100" s="1188"/>
      <c r="CP100" s="1188"/>
    </row>
    <row r="101" spans="1:94" ht="15.75" customHeight="1" thickBot="1">
      <c r="A101" s="1190"/>
      <c r="B101" s="2023" t="s">
        <v>2367</v>
      </c>
      <c r="C101" s="2024"/>
      <c r="D101" s="2024"/>
      <c r="E101" s="2024"/>
      <c r="F101" s="2024"/>
      <c r="G101" s="2024"/>
      <c r="H101" s="2024"/>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190"/>
      <c r="AJ101" s="2074"/>
      <c r="AK101" s="2075"/>
      <c r="AL101" s="2075"/>
      <c r="AM101" s="2075"/>
      <c r="AN101" s="2075"/>
      <c r="AO101" s="2075"/>
      <c r="AP101" s="2075"/>
      <c r="AQ101" s="2075"/>
      <c r="AR101" s="2075"/>
      <c r="AS101" s="2075"/>
      <c r="AT101" s="2075"/>
      <c r="AU101" s="2075"/>
      <c r="AV101" s="2075"/>
      <c r="AW101" s="2075"/>
      <c r="AX101" s="2075"/>
      <c r="AY101" s="2075"/>
      <c r="AZ101" s="2075"/>
      <c r="BA101" s="2075"/>
      <c r="BB101" s="2076"/>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3" t="str">
        <f>IFERROR(INDEX(BR96:BR98,MATCH(F104,$BQ$96:$BQ$98,0))/SUM($BR$96:$BR$98),"")</f>
        <v/>
      </c>
      <c r="P105" s="2064"/>
      <c r="Q105" s="2064"/>
      <c r="R105" s="206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1" t="s">
        <v>2372</v>
      </c>
      <c r="C107" s="2052"/>
      <c r="D107" s="2052"/>
      <c r="E107" s="2052"/>
      <c r="F107" s="2052"/>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2052"/>
      <c r="AG107" s="2052"/>
      <c r="AH107" s="210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5"/>
      <c r="C108" s="2006"/>
      <c r="D108" s="2006"/>
      <c r="E108" s="2006"/>
      <c r="F108" s="2006"/>
      <c r="G108" s="2006"/>
      <c r="H108" s="2006"/>
      <c r="I108" s="2006" t="s">
        <v>2371</v>
      </c>
      <c r="J108" s="2006"/>
      <c r="K108" s="2006"/>
      <c r="L108" s="2006"/>
      <c r="M108" s="2006"/>
      <c r="N108" s="2006"/>
      <c r="O108" s="2006" t="s">
        <v>2347</v>
      </c>
      <c r="P108" s="2006"/>
      <c r="Q108" s="2006"/>
      <c r="R108" s="2006"/>
      <c r="S108" s="2006"/>
      <c r="T108" s="2006"/>
      <c r="U108" s="2006"/>
      <c r="V108" s="2092" t="s">
        <v>2346</v>
      </c>
      <c r="W108" s="2092"/>
      <c r="X108" s="2092"/>
      <c r="Y108" s="2092"/>
      <c r="Z108" s="2092"/>
      <c r="AA108" s="2092"/>
      <c r="AB108" s="2093" t="s">
        <v>2370</v>
      </c>
      <c r="AC108" s="2093"/>
      <c r="AD108" s="2093"/>
      <c r="AE108" s="2093"/>
      <c r="AF108" s="2093"/>
      <c r="AG108" s="2093"/>
      <c r="AH108" s="209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5"/>
      <c r="C109" s="2006"/>
      <c r="D109" s="2006"/>
      <c r="E109" s="2006"/>
      <c r="F109" s="2006"/>
      <c r="G109" s="2006"/>
      <c r="H109" s="2006"/>
      <c r="I109" s="2006"/>
      <c r="J109" s="2006"/>
      <c r="K109" s="2006"/>
      <c r="L109" s="2006"/>
      <c r="M109" s="2006"/>
      <c r="N109" s="2006"/>
      <c r="O109" s="2006"/>
      <c r="P109" s="2006"/>
      <c r="Q109" s="2006"/>
      <c r="R109" s="2006"/>
      <c r="S109" s="2006"/>
      <c r="T109" s="2006"/>
      <c r="U109" s="2006"/>
      <c r="V109" s="2092"/>
      <c r="W109" s="2092"/>
      <c r="X109" s="2092"/>
      <c r="Y109" s="2092"/>
      <c r="Z109" s="2092"/>
      <c r="AA109" s="2092"/>
      <c r="AB109" s="2093"/>
      <c r="AC109" s="2093"/>
      <c r="AD109" s="2093"/>
      <c r="AE109" s="2093"/>
      <c r="AF109" s="2093"/>
      <c r="AG109" s="2093"/>
      <c r="AH109" s="209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5" t="s">
        <v>2369</v>
      </c>
      <c r="C110" s="2006"/>
      <c r="D110" s="2006"/>
      <c r="E110" s="2006"/>
      <c r="F110" s="2006"/>
      <c r="G110" s="2006"/>
      <c r="H110" s="2006"/>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5" t="s">
        <v>2368</v>
      </c>
      <c r="C111" s="2006"/>
      <c r="D111" s="2006"/>
      <c r="E111" s="2006"/>
      <c r="F111" s="2006"/>
      <c r="G111" s="2006"/>
      <c r="H111" s="2006"/>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3" t="s">
        <v>2367</v>
      </c>
      <c r="C112" s="2024"/>
      <c r="D112" s="2024"/>
      <c r="E112" s="2024"/>
      <c r="F112" s="2024"/>
      <c r="G112" s="2024"/>
      <c r="H112" s="2024"/>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2365</v>
      </c>
      <c r="C117" s="2112"/>
      <c r="D117" s="2112"/>
      <c r="E117" s="2112"/>
      <c r="F117" s="2112"/>
      <c r="G117" s="2112"/>
      <c r="H117" s="2112"/>
      <c r="I117" s="2112"/>
      <c r="J117" s="2112"/>
      <c r="K117" s="2112"/>
      <c r="L117" s="2112"/>
      <c r="M117" s="2112"/>
      <c r="N117" s="2112"/>
      <c r="O117" s="2112"/>
      <c r="P117" s="2112"/>
      <c r="Q117" s="2112"/>
      <c r="R117" s="2112"/>
      <c r="S117" s="2112"/>
      <c r="T117" s="2112"/>
      <c r="U117" s="2115" t="s">
        <v>546</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2365</v>
      </c>
      <c r="C121" s="2120"/>
      <c r="D121" s="2120"/>
      <c r="E121" s="2120"/>
      <c r="F121" s="2120"/>
      <c r="G121" s="2120"/>
      <c r="H121" s="2120"/>
      <c r="I121" s="2120"/>
      <c r="J121" s="2120"/>
      <c r="K121" s="2120"/>
      <c r="L121" s="2120"/>
      <c r="M121" s="2120"/>
      <c r="N121" s="2120"/>
      <c r="O121" s="2120"/>
      <c r="P121" s="2120"/>
      <c r="Q121" s="2120"/>
      <c r="R121" s="2120"/>
      <c r="S121" s="2120"/>
      <c r="T121" s="2120"/>
      <c r="U121" s="2123" t="s">
        <v>546</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4" t="s">
        <v>2363</v>
      </c>
      <c r="Y125" s="2085"/>
      <c r="Z125" s="2085"/>
      <c r="AA125" s="2085"/>
      <c r="AB125" s="2085"/>
      <c r="AC125" s="2085"/>
      <c r="AD125" s="2085"/>
      <c r="AE125" s="2085"/>
      <c r="AF125" s="2085"/>
      <c r="AG125" s="2085"/>
      <c r="AH125" s="2085"/>
      <c r="AI125" s="2085"/>
      <c r="AJ125" s="2085"/>
      <c r="AK125" s="2085"/>
      <c r="AL125" s="2085"/>
      <c r="AM125" s="2085"/>
      <c r="AN125" s="2085"/>
      <c r="AO125" s="2085"/>
      <c r="AP125" s="2085"/>
      <c r="AQ125" s="2085"/>
      <c r="AR125" s="2085"/>
      <c r="AS125" s="2085"/>
      <c r="AT125" s="2085"/>
      <c r="AU125" s="2085"/>
      <c r="AV125" s="2085"/>
      <c r="AW125" s="2085"/>
      <c r="AX125" s="2085"/>
      <c r="AY125" s="2085"/>
      <c r="AZ125" s="2085"/>
      <c r="BA125" s="2085"/>
      <c r="BB125" s="2085"/>
      <c r="BC125" s="2085"/>
      <c r="BD125" s="2127"/>
      <c r="BE125" s="1194"/>
    </row>
    <row r="126" spans="1:57" ht="15.75" customHeight="1">
      <c r="A126" s="1190"/>
      <c r="B126" s="2129" t="s">
        <v>1577</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086"/>
      <c r="Y126" s="2087"/>
      <c r="Z126" s="2087"/>
      <c r="AA126" s="2087"/>
      <c r="AB126" s="2087"/>
      <c r="AC126" s="2087"/>
      <c r="AD126" s="2087"/>
      <c r="AE126" s="2087"/>
      <c r="AF126" s="2087"/>
      <c r="AG126" s="2087"/>
      <c r="AH126" s="2087"/>
      <c r="AI126" s="2087"/>
      <c r="AJ126" s="2087"/>
      <c r="AK126" s="2087"/>
      <c r="AL126" s="2087"/>
      <c r="AM126" s="2087"/>
      <c r="AN126" s="2087"/>
      <c r="AO126" s="2087"/>
      <c r="AP126" s="2087"/>
      <c r="AQ126" s="2087"/>
      <c r="AR126" s="2087"/>
      <c r="AS126" s="2087"/>
      <c r="AT126" s="2087"/>
      <c r="AU126" s="2087"/>
      <c r="AV126" s="2087"/>
      <c r="AW126" s="2087"/>
      <c r="AX126" s="2087"/>
      <c r="AY126" s="2087"/>
      <c r="AZ126" s="2087"/>
      <c r="BA126" s="2087"/>
      <c r="BB126" s="2087"/>
      <c r="BC126" s="2087"/>
      <c r="BD126" s="2128"/>
      <c r="BE126" s="1194"/>
    </row>
    <row r="127" spans="1:57" ht="15.75" customHeight="1">
      <c r="A127" s="1190"/>
      <c r="B127" s="2147"/>
      <c r="C127" s="2148"/>
      <c r="D127" s="2148"/>
      <c r="E127" s="2148"/>
      <c r="F127" s="2148"/>
      <c r="G127" s="2148"/>
      <c r="H127" s="2148"/>
      <c r="I127" s="2006" t="s">
        <v>2362</v>
      </c>
      <c r="J127" s="2006"/>
      <c r="K127" s="2006"/>
      <c r="L127" s="2006"/>
      <c r="M127" s="2006"/>
      <c r="N127" s="2006"/>
      <c r="O127" s="2103" t="s">
        <v>2361</v>
      </c>
      <c r="P127" s="2103"/>
      <c r="Q127" s="2103"/>
      <c r="R127" s="2103"/>
      <c r="S127" s="2103"/>
      <c r="T127" s="2103"/>
      <c r="U127" s="2104"/>
      <c r="V127" s="1190"/>
      <c r="W127" s="1190"/>
      <c r="X127" s="2071" t="s">
        <v>2331</v>
      </c>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194"/>
    </row>
    <row r="128" spans="1:57" ht="15.75" customHeight="1">
      <c r="A128" s="1190"/>
      <c r="B128" s="2105" t="s">
        <v>2345</v>
      </c>
      <c r="C128" s="2106"/>
      <c r="D128" s="2106"/>
      <c r="E128" s="2106"/>
      <c r="F128" s="2106"/>
      <c r="G128" s="2106"/>
      <c r="H128" s="2106"/>
      <c r="I128" s="2082">
        <v>0</v>
      </c>
      <c r="J128" s="2082"/>
      <c r="K128" s="2082"/>
      <c r="L128" s="2082"/>
      <c r="M128" s="2082"/>
      <c r="N128" s="2082"/>
      <c r="O128" s="2082">
        <v>0</v>
      </c>
      <c r="P128" s="2082"/>
      <c r="Q128" s="2082"/>
      <c r="R128" s="2082"/>
      <c r="S128" s="2082"/>
      <c r="T128" s="2082"/>
      <c r="U128" s="2083"/>
      <c r="V128" s="1190"/>
      <c r="W128" s="1190"/>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194"/>
    </row>
    <row r="129" spans="1:57" ht="15.75" customHeight="1" thickBot="1">
      <c r="A129" s="1190"/>
      <c r="B129" s="2107" t="s">
        <v>2344</v>
      </c>
      <c r="C129" s="2108"/>
      <c r="D129" s="2108"/>
      <c r="E129" s="2108"/>
      <c r="F129" s="2108"/>
      <c r="G129" s="2108"/>
      <c r="H129" s="2108"/>
      <c r="I129" s="2097">
        <v>0</v>
      </c>
      <c r="J129" s="2097"/>
      <c r="K129" s="2097"/>
      <c r="L129" s="2097"/>
      <c r="M129" s="2097"/>
      <c r="N129" s="2097"/>
      <c r="O129" s="2109"/>
      <c r="P129" s="2109"/>
      <c r="Q129" s="2109"/>
      <c r="R129" s="2109"/>
      <c r="S129" s="2109"/>
      <c r="T129" s="2109"/>
      <c r="U129" s="2110"/>
      <c r="V129" s="1190"/>
      <c r="W129" s="1190"/>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194"/>
    </row>
    <row r="133" spans="1:57" ht="15.75" customHeight="1">
      <c r="A133" s="1190"/>
      <c r="B133" s="1907" t="s">
        <v>2359</v>
      </c>
      <c r="C133" s="1908"/>
      <c r="D133" s="1908"/>
      <c r="E133" s="1908"/>
      <c r="F133" s="1908"/>
      <c r="G133" s="1908"/>
      <c r="H133" s="1908"/>
      <c r="I133" s="1908"/>
      <c r="J133" s="1908"/>
      <c r="K133" s="1908"/>
      <c r="L133" s="1908"/>
      <c r="M133" s="1908"/>
      <c r="N133" s="1908"/>
      <c r="O133" s="1908"/>
      <c r="P133" s="1908"/>
      <c r="Q133" s="1908"/>
      <c r="R133" s="1908"/>
      <c r="S133" s="1908"/>
      <c r="T133" s="1908"/>
      <c r="U133" s="1909"/>
      <c r="V133" s="1190"/>
      <c r="W133" s="1190"/>
      <c r="X133" s="2071"/>
      <c r="Y133" s="2072"/>
      <c r="Z133" s="2072"/>
      <c r="AA133" s="2072"/>
      <c r="AB133" s="2072"/>
      <c r="AC133" s="2072"/>
      <c r="AD133" s="2072"/>
      <c r="AE133" s="2072"/>
      <c r="AF133" s="2072"/>
      <c r="AG133" s="2072"/>
      <c r="AH133" s="2072"/>
      <c r="AI133" s="2072"/>
      <c r="AJ133" s="2072"/>
      <c r="AK133" s="2072"/>
      <c r="AL133" s="2072"/>
      <c r="AM133" s="2072"/>
      <c r="AN133" s="2072"/>
      <c r="AO133" s="2072"/>
      <c r="AP133" s="2072"/>
      <c r="AQ133" s="2072"/>
      <c r="AR133" s="2072"/>
      <c r="AS133" s="2072"/>
      <c r="AT133" s="2072"/>
      <c r="AU133" s="2072"/>
      <c r="AV133" s="2072"/>
      <c r="AW133" s="2072"/>
      <c r="AX133" s="2072"/>
      <c r="AY133" s="2072"/>
      <c r="AZ133" s="2072"/>
      <c r="BA133" s="2072"/>
      <c r="BB133" s="2072"/>
      <c r="BC133" s="2072"/>
      <c r="BD133" s="2073"/>
      <c r="BE133" s="1194"/>
    </row>
    <row r="134" spans="1:57" ht="15.75" customHeight="1">
      <c r="A134" s="1190"/>
      <c r="B134" s="2147"/>
      <c r="C134" s="2148"/>
      <c r="D134" s="2148"/>
      <c r="E134" s="2148"/>
      <c r="F134" s="2148"/>
      <c r="G134" s="2148"/>
      <c r="H134" s="2148"/>
      <c r="I134" s="2149" t="s">
        <v>2347</v>
      </c>
      <c r="J134" s="2149"/>
      <c r="K134" s="2149"/>
      <c r="L134" s="2149"/>
      <c r="M134" s="2149"/>
      <c r="N134" s="2149"/>
      <c r="O134" s="2149"/>
      <c r="P134" s="2149" t="s">
        <v>2346</v>
      </c>
      <c r="Q134" s="2149"/>
      <c r="R134" s="2149"/>
      <c r="S134" s="2149"/>
      <c r="T134" s="2149"/>
      <c r="U134" s="2150"/>
      <c r="V134" s="1190"/>
      <c r="W134" s="1190"/>
      <c r="X134" s="2071"/>
      <c r="Y134" s="2072"/>
      <c r="Z134" s="2072"/>
      <c r="AA134" s="2072"/>
      <c r="AB134" s="2072"/>
      <c r="AC134" s="2072"/>
      <c r="AD134" s="2072"/>
      <c r="AE134" s="2072"/>
      <c r="AF134" s="2072"/>
      <c r="AG134" s="2072"/>
      <c r="AH134" s="2072"/>
      <c r="AI134" s="2072"/>
      <c r="AJ134" s="2072"/>
      <c r="AK134" s="2072"/>
      <c r="AL134" s="2072"/>
      <c r="AM134" s="2072"/>
      <c r="AN134" s="2072"/>
      <c r="AO134" s="2072"/>
      <c r="AP134" s="2072"/>
      <c r="AQ134" s="2072"/>
      <c r="AR134" s="2072"/>
      <c r="AS134" s="2072"/>
      <c r="AT134" s="2072"/>
      <c r="AU134" s="2072"/>
      <c r="AV134" s="2072"/>
      <c r="AW134" s="2072"/>
      <c r="AX134" s="2072"/>
      <c r="AY134" s="2072"/>
      <c r="AZ134" s="2072"/>
      <c r="BA134" s="2072"/>
      <c r="BB134" s="2072"/>
      <c r="BC134" s="2072"/>
      <c r="BD134" s="2073"/>
      <c r="BE134" s="1194"/>
    </row>
    <row r="135" spans="1:57" ht="15.75" customHeight="1">
      <c r="A135" s="1190"/>
      <c r="B135" s="2147"/>
      <c r="C135" s="2148"/>
      <c r="D135" s="2148"/>
      <c r="E135" s="2148"/>
      <c r="F135" s="2148"/>
      <c r="G135" s="2148"/>
      <c r="H135" s="2148"/>
      <c r="I135" s="2149"/>
      <c r="J135" s="2149"/>
      <c r="K135" s="2149"/>
      <c r="L135" s="2149"/>
      <c r="M135" s="2149"/>
      <c r="N135" s="2149"/>
      <c r="O135" s="2149"/>
      <c r="P135" s="2149"/>
      <c r="Q135" s="2149"/>
      <c r="R135" s="2149"/>
      <c r="S135" s="2149"/>
      <c r="T135" s="2149"/>
      <c r="U135" s="2150"/>
      <c r="V135" s="1190"/>
      <c r="W135" s="1190"/>
      <c r="X135" s="2071"/>
      <c r="Y135" s="2072"/>
      <c r="Z135" s="2072"/>
      <c r="AA135" s="2072"/>
      <c r="AB135" s="2072"/>
      <c r="AC135" s="2072"/>
      <c r="AD135" s="2072"/>
      <c r="AE135" s="2072"/>
      <c r="AF135" s="2072"/>
      <c r="AG135" s="2072"/>
      <c r="AH135" s="2072"/>
      <c r="AI135" s="2072"/>
      <c r="AJ135" s="2072"/>
      <c r="AK135" s="2072"/>
      <c r="AL135" s="2072"/>
      <c r="AM135" s="2072"/>
      <c r="AN135" s="2072"/>
      <c r="AO135" s="2072"/>
      <c r="AP135" s="2072"/>
      <c r="AQ135" s="2072"/>
      <c r="AR135" s="2072"/>
      <c r="AS135" s="2072"/>
      <c r="AT135" s="2072"/>
      <c r="AU135" s="2072"/>
      <c r="AV135" s="2072"/>
      <c r="AW135" s="2072"/>
      <c r="AX135" s="2072"/>
      <c r="AY135" s="2072"/>
      <c r="AZ135" s="2072"/>
      <c r="BA135" s="2072"/>
      <c r="BB135" s="2072"/>
      <c r="BC135" s="2072"/>
      <c r="BD135" s="2073"/>
      <c r="BE135" s="1194"/>
    </row>
    <row r="136" spans="1:57" ht="15.75" customHeight="1">
      <c r="A136" s="1190"/>
      <c r="B136" s="2105" t="s">
        <v>2345</v>
      </c>
      <c r="C136" s="2106"/>
      <c r="D136" s="2106"/>
      <c r="E136" s="2106"/>
      <c r="F136" s="2106"/>
      <c r="G136" s="2106"/>
      <c r="H136" s="2106"/>
      <c r="I136" s="2082">
        <v>0</v>
      </c>
      <c r="J136" s="2082"/>
      <c r="K136" s="2082"/>
      <c r="L136" s="2082"/>
      <c r="M136" s="2082"/>
      <c r="N136" s="2082"/>
      <c r="O136" s="2082"/>
      <c r="P136" s="2082">
        <v>0</v>
      </c>
      <c r="Q136" s="2082"/>
      <c r="R136" s="2082"/>
      <c r="S136" s="2082"/>
      <c r="T136" s="2082"/>
      <c r="U136" s="2083"/>
      <c r="V136" s="1190"/>
      <c r="W136" s="1190"/>
      <c r="X136" s="2071"/>
      <c r="Y136" s="2072"/>
      <c r="Z136" s="2072"/>
      <c r="AA136" s="2072"/>
      <c r="AB136" s="2072"/>
      <c r="AC136" s="2072"/>
      <c r="AD136" s="2072"/>
      <c r="AE136" s="2072"/>
      <c r="AF136" s="2072"/>
      <c r="AG136" s="2072"/>
      <c r="AH136" s="2072"/>
      <c r="AI136" s="2072"/>
      <c r="AJ136" s="2072"/>
      <c r="AK136" s="2072"/>
      <c r="AL136" s="2072"/>
      <c r="AM136" s="2072"/>
      <c r="AN136" s="2072"/>
      <c r="AO136" s="2072"/>
      <c r="AP136" s="2072"/>
      <c r="AQ136" s="2072"/>
      <c r="AR136" s="2072"/>
      <c r="AS136" s="2072"/>
      <c r="AT136" s="2072"/>
      <c r="AU136" s="2072"/>
      <c r="AV136" s="2072"/>
      <c r="AW136" s="2072"/>
      <c r="AX136" s="2072"/>
      <c r="AY136" s="2072"/>
      <c r="AZ136" s="2072"/>
      <c r="BA136" s="2072"/>
      <c r="BB136" s="2072"/>
      <c r="BC136" s="2072"/>
      <c r="BD136" s="2073"/>
      <c r="BE136" s="1194"/>
    </row>
    <row r="137" spans="1:57" ht="15.75" customHeight="1" thickBot="1">
      <c r="A137" s="1190"/>
      <c r="B137" s="2107" t="s">
        <v>2344</v>
      </c>
      <c r="C137" s="2108"/>
      <c r="D137" s="2108"/>
      <c r="E137" s="2108"/>
      <c r="F137" s="2108"/>
      <c r="G137" s="2108"/>
      <c r="H137" s="2108"/>
      <c r="I137" s="2097">
        <v>0</v>
      </c>
      <c r="J137" s="2097"/>
      <c r="K137" s="2097"/>
      <c r="L137" s="2097"/>
      <c r="M137" s="2097"/>
      <c r="N137" s="2097"/>
      <c r="O137" s="2097"/>
      <c r="P137" s="2097">
        <v>0</v>
      </c>
      <c r="Q137" s="2097"/>
      <c r="R137" s="2097"/>
      <c r="S137" s="2097"/>
      <c r="T137" s="2097"/>
      <c r="U137" s="2098"/>
      <c r="V137" s="1190"/>
      <c r="W137" s="1190"/>
      <c r="X137" s="2074"/>
      <c r="Y137" s="2075"/>
      <c r="Z137" s="2075"/>
      <c r="AA137" s="2075"/>
      <c r="AB137" s="2075"/>
      <c r="AC137" s="2075"/>
      <c r="AD137" s="2075"/>
      <c r="AE137" s="2075"/>
      <c r="AF137" s="2075"/>
      <c r="AG137" s="2075"/>
      <c r="AH137" s="2075"/>
      <c r="AI137" s="2075"/>
      <c r="AJ137" s="2075"/>
      <c r="AK137" s="2075"/>
      <c r="AL137" s="2075"/>
      <c r="AM137" s="2075"/>
      <c r="AN137" s="2075"/>
      <c r="AO137" s="2075"/>
      <c r="AP137" s="2075"/>
      <c r="AQ137" s="2075"/>
      <c r="AR137" s="2075"/>
      <c r="AS137" s="2075"/>
      <c r="AT137" s="2075"/>
      <c r="AU137" s="2075"/>
      <c r="AV137" s="2075"/>
      <c r="AW137" s="2075"/>
      <c r="AX137" s="2075"/>
      <c r="AY137" s="2075"/>
      <c r="AZ137" s="2075"/>
      <c r="BA137" s="2075"/>
      <c r="BB137" s="2075"/>
      <c r="BC137" s="2075"/>
      <c r="BD137" s="207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5" t="s">
        <v>2358</v>
      </c>
      <c r="C139" s="2146"/>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c r="Z139" s="2146"/>
      <c r="AA139" s="2146"/>
      <c r="AB139" s="2146"/>
      <c r="AC139" s="2146"/>
      <c r="AD139" s="2146"/>
      <c r="AE139" s="2146"/>
      <c r="AF139" s="2146"/>
      <c r="AG139" s="2146"/>
      <c r="AH139" s="2030" t="s">
        <v>546</v>
      </c>
      <c r="AI139" s="2030"/>
      <c r="AJ139" s="2030"/>
      <c r="AK139" s="2030"/>
      <c r="AL139" s="2030"/>
      <c r="AM139" s="2030"/>
      <c r="AN139" s="2030"/>
      <c r="AO139" s="2030"/>
      <c r="AP139" s="2030"/>
      <c r="AQ139" s="2030"/>
      <c r="AR139" s="2030"/>
      <c r="AS139" s="2030"/>
      <c r="AT139" s="2030"/>
      <c r="AU139" s="2030"/>
      <c r="AV139" s="2030"/>
      <c r="AW139" s="2030"/>
      <c r="AX139" s="2031"/>
      <c r="AY139" s="1190"/>
      <c r="AZ139" s="1190"/>
      <c r="BA139" s="1190"/>
      <c r="BB139" s="1190"/>
      <c r="BC139" s="1190"/>
      <c r="BD139" s="1190"/>
      <c r="BE139" s="1194"/>
    </row>
    <row r="140" spans="1:57" ht="15.75" customHeight="1" thickBot="1">
      <c r="A140" s="1190"/>
      <c r="B140" s="2132" t="s">
        <v>2357</v>
      </c>
      <c r="C140" s="2133"/>
      <c r="D140" s="2133"/>
      <c r="E140" s="2133"/>
      <c r="F140" s="2133"/>
      <c r="G140" s="2133"/>
      <c r="H140" s="2133"/>
      <c r="I140" s="2133"/>
      <c r="J140" s="2133"/>
      <c r="K140" s="2133"/>
      <c r="L140" s="2133"/>
      <c r="M140" s="2133"/>
      <c r="N140" s="2133"/>
      <c r="O140" s="2133"/>
      <c r="P140" s="2133"/>
      <c r="Q140" s="2133"/>
      <c r="R140" s="2133"/>
      <c r="S140" s="2133"/>
      <c r="T140" s="2133"/>
      <c r="U140" s="2133"/>
      <c r="V140" s="2133"/>
      <c r="W140" s="2133"/>
      <c r="X140" s="2133"/>
      <c r="Y140" s="2133"/>
      <c r="Z140" s="2133"/>
      <c r="AA140" s="2133"/>
      <c r="AB140" s="2133"/>
      <c r="AC140" s="2133"/>
      <c r="AD140" s="2133"/>
      <c r="AE140" s="2133"/>
      <c r="AF140" s="2133"/>
      <c r="AG140" s="213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132" t="s">
        <v>2356</v>
      </c>
      <c r="C141" s="2133"/>
      <c r="D141" s="2133"/>
      <c r="E141" s="2133"/>
      <c r="F141" s="2133"/>
      <c r="G141" s="2133"/>
      <c r="H141" s="2133"/>
      <c r="I141" s="2133"/>
      <c r="J141" s="2133"/>
      <c r="K141" s="2133"/>
      <c r="L141" s="2133"/>
      <c r="M141" s="2133"/>
      <c r="N141" s="2133"/>
      <c r="O141" s="2133"/>
      <c r="P141" s="2133"/>
      <c r="Q141" s="2133"/>
      <c r="R141" s="2133"/>
      <c r="S141" s="2133"/>
      <c r="T141" s="2133"/>
      <c r="U141" s="2133"/>
      <c r="V141" s="2133"/>
      <c r="W141" s="2133"/>
      <c r="X141" s="2133"/>
      <c r="Y141" s="2133"/>
      <c r="Z141" s="2133"/>
      <c r="AA141" s="2133"/>
      <c r="AB141" s="2133"/>
      <c r="AC141" s="2133"/>
      <c r="AD141" s="2133"/>
      <c r="AE141" s="2133"/>
      <c r="AF141" s="2133"/>
      <c r="AG141" s="2134"/>
      <c r="AH141" s="2030" t="s">
        <v>546</v>
      </c>
      <c r="AI141" s="2030"/>
      <c r="AJ141" s="2030"/>
      <c r="AK141" s="2030"/>
      <c r="AL141" s="2030"/>
      <c r="AM141" s="2030"/>
      <c r="AN141" s="2030"/>
      <c r="AO141" s="2030"/>
      <c r="AP141" s="2030"/>
      <c r="AQ141" s="2030"/>
      <c r="AR141" s="2030"/>
      <c r="AS141" s="2030"/>
      <c r="AT141" s="2030"/>
      <c r="AU141" s="2030"/>
      <c r="AV141" s="2030"/>
      <c r="AW141" s="2030"/>
      <c r="AX141" s="2031"/>
      <c r="AY141" s="1190"/>
      <c r="AZ141" s="1190"/>
      <c r="BA141" s="1190"/>
      <c r="BB141" s="1190"/>
      <c r="BC141" s="1190"/>
      <c r="BD141" s="1190"/>
      <c r="BE141" s="1194"/>
    </row>
    <row r="142" spans="1:57" ht="15.75" customHeight="1">
      <c r="A142" s="1190"/>
      <c r="B142" s="2135" t="s">
        <v>2355</v>
      </c>
      <c r="C142" s="2136"/>
      <c r="D142" s="2136"/>
      <c r="E142" s="2136"/>
      <c r="F142" s="2136"/>
      <c r="G142" s="2136"/>
      <c r="H142" s="2136"/>
      <c r="I142" s="2136"/>
      <c r="J142" s="2136"/>
      <c r="K142" s="2136"/>
      <c r="L142" s="2136"/>
      <c r="M142" s="2136"/>
      <c r="N142" s="2136"/>
      <c r="O142" s="2136"/>
      <c r="P142" s="2136"/>
      <c r="Q142" s="2136"/>
      <c r="R142" s="2137" t="s">
        <v>2354</v>
      </c>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190"/>
      <c r="AZ142" s="1190"/>
      <c r="BA142" s="1190"/>
      <c r="BB142" s="1190"/>
      <c r="BC142" s="1190" t="s">
        <v>250</v>
      </c>
      <c r="BD142" s="1190"/>
      <c r="BE142" s="1194"/>
    </row>
    <row r="143" spans="1:57" ht="15.75" customHeight="1">
      <c r="A143" s="1190"/>
      <c r="B143" s="2139" t="s">
        <v>2353</v>
      </c>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190"/>
      <c r="AZ143" s="1190"/>
      <c r="BA143" s="1190"/>
      <c r="BB143" s="1190"/>
      <c r="BC143" s="1190"/>
      <c r="BD143" s="1190"/>
      <c r="BE143" s="1194"/>
    </row>
    <row r="144" spans="1:57" ht="15.75" customHeight="1">
      <c r="A144" s="1190"/>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190"/>
      <c r="AZ144" s="1190"/>
      <c r="BA144" s="1190"/>
      <c r="BB144" s="1190"/>
      <c r="BC144" s="1190"/>
      <c r="BD144" s="1190"/>
      <c r="BE144" s="1194"/>
    </row>
    <row r="145" spans="1:57" ht="15.75" customHeight="1">
      <c r="A145" s="1190"/>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190"/>
      <c r="AZ145" s="1190"/>
      <c r="BA145" s="1190"/>
      <c r="BB145" s="1190"/>
      <c r="BC145" s="1190"/>
      <c r="BD145" s="1190"/>
      <c r="BE145" s="1194"/>
    </row>
    <row r="146" spans="1:57" ht="15.75" customHeight="1">
      <c r="A146" s="1190"/>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190"/>
      <c r="AZ146" s="1190"/>
      <c r="BA146" s="1190"/>
      <c r="BB146" s="1190"/>
      <c r="BC146" s="1190"/>
      <c r="BD146" s="1190"/>
      <c r="BE146" s="1194"/>
    </row>
    <row r="147" spans="1:57" ht="15.75" customHeight="1">
      <c r="A147" s="1190"/>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190"/>
      <c r="AZ147" s="1190"/>
      <c r="BA147" s="1190"/>
      <c r="BB147" s="1190"/>
      <c r="BC147" s="1190"/>
      <c r="BD147" s="1190"/>
      <c r="BE147" s="1194"/>
    </row>
    <row r="148" spans="1:57" ht="15.75" customHeight="1">
      <c r="A148" s="1190"/>
      <c r="B148" s="2139"/>
      <c r="C148" s="2140"/>
      <c r="D148" s="2140"/>
      <c r="E148" s="2140"/>
      <c r="F148" s="2140"/>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c r="AG148" s="2140"/>
      <c r="AH148" s="2140"/>
      <c r="AI148" s="2140"/>
      <c r="AJ148" s="2140"/>
      <c r="AK148" s="2140"/>
      <c r="AL148" s="2140"/>
      <c r="AM148" s="2140"/>
      <c r="AN148" s="2140"/>
      <c r="AO148" s="2140"/>
      <c r="AP148" s="2140"/>
      <c r="AQ148" s="2140"/>
      <c r="AR148" s="2140"/>
      <c r="AS148" s="2140"/>
      <c r="AT148" s="2140"/>
      <c r="AU148" s="2140"/>
      <c r="AV148" s="2140"/>
      <c r="AW148" s="2140"/>
      <c r="AX148" s="2141"/>
      <c r="AY148" s="1190"/>
      <c r="AZ148" s="1190"/>
      <c r="BA148" s="1190"/>
      <c r="BB148" s="1190"/>
      <c r="BC148" s="1190"/>
      <c r="BD148" s="1190"/>
      <c r="BE148" s="1194"/>
    </row>
    <row r="149" spans="1:57" ht="15.75" customHeight="1">
      <c r="A149" s="1190"/>
      <c r="B149" s="2139"/>
      <c r="C149" s="2140"/>
      <c r="D149" s="2140"/>
      <c r="E149" s="2140"/>
      <c r="F149" s="2140"/>
      <c r="G149" s="2140"/>
      <c r="H149" s="2140"/>
      <c r="I149" s="2140"/>
      <c r="J149" s="2140"/>
      <c r="K149" s="2140"/>
      <c r="L149" s="2140"/>
      <c r="M149" s="2140"/>
      <c r="N149" s="2140"/>
      <c r="O149" s="2140"/>
      <c r="P149" s="2140"/>
      <c r="Q149" s="2140"/>
      <c r="R149" s="2140"/>
      <c r="S149" s="2140"/>
      <c r="T149" s="2140"/>
      <c r="U149" s="2140"/>
      <c r="V149" s="2140"/>
      <c r="W149" s="2140"/>
      <c r="X149" s="2140"/>
      <c r="Y149" s="2140"/>
      <c r="Z149" s="2140"/>
      <c r="AA149" s="2140"/>
      <c r="AB149" s="2140"/>
      <c r="AC149" s="2140"/>
      <c r="AD149" s="2140"/>
      <c r="AE149" s="2140"/>
      <c r="AF149" s="2140"/>
      <c r="AG149" s="2140"/>
      <c r="AH149" s="2140"/>
      <c r="AI149" s="2140"/>
      <c r="AJ149" s="2140"/>
      <c r="AK149" s="2140"/>
      <c r="AL149" s="2140"/>
      <c r="AM149" s="2140"/>
      <c r="AN149" s="2140"/>
      <c r="AO149" s="2140"/>
      <c r="AP149" s="2140"/>
      <c r="AQ149" s="2140"/>
      <c r="AR149" s="2140"/>
      <c r="AS149" s="2140"/>
      <c r="AT149" s="2140"/>
      <c r="AU149" s="2140"/>
      <c r="AV149" s="2140"/>
      <c r="AW149" s="2140"/>
      <c r="AX149" s="2141"/>
      <c r="AY149" s="1190"/>
      <c r="AZ149" s="1190"/>
      <c r="BA149" s="1190"/>
      <c r="BB149" s="1190"/>
      <c r="BC149" s="1190"/>
      <c r="BD149" s="1190"/>
      <c r="BE149" s="1194"/>
    </row>
    <row r="150" spans="1:57" ht="15.75" customHeight="1">
      <c r="A150" s="1190"/>
      <c r="B150" s="2139"/>
      <c r="C150" s="2140"/>
      <c r="D150" s="2140"/>
      <c r="E150" s="2140"/>
      <c r="F150" s="2140"/>
      <c r="G150" s="2140"/>
      <c r="H150" s="2140"/>
      <c r="I150" s="2140"/>
      <c r="J150" s="2140"/>
      <c r="K150" s="2140"/>
      <c r="L150" s="2140"/>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0"/>
      <c r="AI150" s="2140"/>
      <c r="AJ150" s="2140"/>
      <c r="AK150" s="2140"/>
      <c r="AL150" s="2140"/>
      <c r="AM150" s="2140"/>
      <c r="AN150" s="2140"/>
      <c r="AO150" s="2140"/>
      <c r="AP150" s="2140"/>
      <c r="AQ150" s="2140"/>
      <c r="AR150" s="2140"/>
      <c r="AS150" s="2140"/>
      <c r="AT150" s="2140"/>
      <c r="AU150" s="2140"/>
      <c r="AV150" s="2140"/>
      <c r="AW150" s="2140"/>
      <c r="AX150" s="2141"/>
      <c r="AY150" s="1190"/>
      <c r="AZ150" s="1190"/>
      <c r="BA150" s="1190"/>
      <c r="BB150" s="1190"/>
      <c r="BC150" s="1190"/>
      <c r="BD150" s="1190"/>
      <c r="BE150" s="1194"/>
    </row>
    <row r="151" spans="1:57" ht="15.75" customHeight="1">
      <c r="A151" s="1190"/>
      <c r="B151" s="2139"/>
      <c r="C151" s="2140"/>
      <c r="D151" s="2140"/>
      <c r="E151" s="2140"/>
      <c r="F151" s="2140"/>
      <c r="G151" s="2140"/>
      <c r="H151" s="2140"/>
      <c r="I151" s="2140"/>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c r="AG151" s="2140"/>
      <c r="AH151" s="2140"/>
      <c r="AI151" s="2140"/>
      <c r="AJ151" s="2140"/>
      <c r="AK151" s="2140"/>
      <c r="AL151" s="2140"/>
      <c r="AM151" s="2140"/>
      <c r="AN151" s="2140"/>
      <c r="AO151" s="2140"/>
      <c r="AP151" s="2140"/>
      <c r="AQ151" s="2140"/>
      <c r="AR151" s="2140"/>
      <c r="AS151" s="2140"/>
      <c r="AT151" s="2140"/>
      <c r="AU151" s="2140"/>
      <c r="AV151" s="2140"/>
      <c r="AW151" s="2140"/>
      <c r="AX151" s="2141"/>
      <c r="AY151" s="1190"/>
      <c r="AZ151" s="1190"/>
      <c r="BA151" s="1190"/>
      <c r="BB151" s="1190"/>
      <c r="BC151" s="1190"/>
      <c r="BD151" s="1190"/>
      <c r="BE151" s="1194"/>
    </row>
    <row r="152" spans="1:57" ht="15.75" customHeight="1" thickBot="1">
      <c r="A152" s="1190"/>
      <c r="B152" s="2142"/>
      <c r="C152" s="2143"/>
      <c r="D152" s="2143"/>
      <c r="E152" s="2143"/>
      <c r="F152" s="2143"/>
      <c r="G152" s="2143"/>
      <c r="H152" s="2143"/>
      <c r="I152" s="2143"/>
      <c r="J152" s="2143"/>
      <c r="K152" s="2143"/>
      <c r="L152" s="2143"/>
      <c r="M152" s="2143"/>
      <c r="N152" s="2143"/>
      <c r="O152" s="2143"/>
      <c r="P152" s="2143"/>
      <c r="Q152" s="2143"/>
      <c r="R152" s="2143"/>
      <c r="S152" s="2143"/>
      <c r="T152" s="2143"/>
      <c r="U152" s="2143"/>
      <c r="V152" s="2143"/>
      <c r="W152" s="2143"/>
      <c r="X152" s="2143"/>
      <c r="Y152" s="2143"/>
      <c r="Z152" s="2143"/>
      <c r="AA152" s="2143"/>
      <c r="AB152" s="2143"/>
      <c r="AC152" s="2143"/>
      <c r="AD152" s="2143"/>
      <c r="AE152" s="2143"/>
      <c r="AF152" s="2143"/>
      <c r="AG152" s="2143"/>
      <c r="AH152" s="2143"/>
      <c r="AI152" s="2143"/>
      <c r="AJ152" s="2143"/>
      <c r="AK152" s="2143"/>
      <c r="AL152" s="2143"/>
      <c r="AM152" s="2143"/>
      <c r="AN152" s="2143"/>
      <c r="AO152" s="2143"/>
      <c r="AP152" s="2143"/>
      <c r="AQ152" s="2143"/>
      <c r="AR152" s="2143"/>
      <c r="AS152" s="2143"/>
      <c r="AT152" s="2143"/>
      <c r="AU152" s="2143"/>
      <c r="AV152" s="2143"/>
      <c r="AW152" s="2143"/>
      <c r="AX152" s="214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2" t="s">
        <v>2350</v>
      </c>
      <c r="C156" s="2003"/>
      <c r="D156" s="2003"/>
      <c r="E156" s="2003"/>
      <c r="F156" s="2003"/>
      <c r="G156" s="2003"/>
      <c r="H156" s="2003"/>
      <c r="I156" s="2003"/>
      <c r="J156" s="2003"/>
      <c r="K156" s="2003"/>
      <c r="L156" s="2003"/>
      <c r="M156" s="2003"/>
      <c r="N156" s="2003"/>
      <c r="O156" s="2003"/>
      <c r="P156" s="2003"/>
      <c r="Q156" s="2003"/>
      <c r="R156" s="2003"/>
      <c r="S156" s="2003"/>
      <c r="T156" s="2003"/>
      <c r="U156" s="2004"/>
      <c r="V156" s="1190"/>
      <c r="W156" s="1192"/>
      <c r="X156" s="2002" t="s">
        <v>2349</v>
      </c>
      <c r="Y156" s="2003"/>
      <c r="Z156" s="2003"/>
      <c r="AA156" s="2003"/>
      <c r="AB156" s="2003"/>
      <c r="AC156" s="2003"/>
      <c r="AD156" s="2003"/>
      <c r="AE156" s="2003"/>
      <c r="AF156" s="2003"/>
      <c r="AG156" s="2003"/>
      <c r="AH156" s="2003"/>
      <c r="AI156" s="2003"/>
      <c r="AJ156" s="2003"/>
      <c r="AK156" s="2003"/>
      <c r="AL156" s="2003"/>
      <c r="AM156" s="2003"/>
      <c r="AN156" s="2003"/>
      <c r="AO156" s="2003"/>
      <c r="AP156" s="2003"/>
      <c r="AQ156" s="200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7"/>
      <c r="C157" s="2148"/>
      <c r="D157" s="2148"/>
      <c r="E157" s="2148"/>
      <c r="F157" s="2148"/>
      <c r="G157" s="2148"/>
      <c r="H157" s="2148"/>
      <c r="I157" s="2149" t="s">
        <v>2347</v>
      </c>
      <c r="J157" s="2149"/>
      <c r="K157" s="2149"/>
      <c r="L157" s="2149"/>
      <c r="M157" s="2149"/>
      <c r="N157" s="2149"/>
      <c r="O157" s="2149"/>
      <c r="P157" s="2149" t="s">
        <v>2348</v>
      </c>
      <c r="Q157" s="2149"/>
      <c r="R157" s="2149"/>
      <c r="S157" s="2149"/>
      <c r="T157" s="2149"/>
      <c r="U157" s="2150"/>
      <c r="V157" s="1190"/>
      <c r="W157" s="1190"/>
      <c r="X157" s="2147"/>
      <c r="Y157" s="2148"/>
      <c r="Z157" s="2148"/>
      <c r="AA157" s="2148"/>
      <c r="AB157" s="2148"/>
      <c r="AC157" s="2148"/>
      <c r="AD157" s="2148"/>
      <c r="AE157" s="2149" t="s">
        <v>2347</v>
      </c>
      <c r="AF157" s="2149"/>
      <c r="AG157" s="2149"/>
      <c r="AH157" s="2149"/>
      <c r="AI157" s="2149"/>
      <c r="AJ157" s="2149"/>
      <c r="AK157" s="2149"/>
      <c r="AL157" s="2149" t="s">
        <v>2346</v>
      </c>
      <c r="AM157" s="2149"/>
      <c r="AN157" s="2149"/>
      <c r="AO157" s="2149"/>
      <c r="AP157" s="2149"/>
      <c r="AQ157" s="215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7"/>
      <c r="C158" s="2148"/>
      <c r="D158" s="2148"/>
      <c r="E158" s="2148"/>
      <c r="F158" s="2148"/>
      <c r="G158" s="2148"/>
      <c r="H158" s="2148"/>
      <c r="I158" s="2149"/>
      <c r="J158" s="2149"/>
      <c r="K158" s="2149"/>
      <c r="L158" s="2149"/>
      <c r="M158" s="2149"/>
      <c r="N158" s="2149"/>
      <c r="O158" s="2149"/>
      <c r="P158" s="2149"/>
      <c r="Q158" s="2149"/>
      <c r="R158" s="2149"/>
      <c r="S158" s="2149"/>
      <c r="T158" s="2149"/>
      <c r="U158" s="2150"/>
      <c r="V158" s="1190"/>
      <c r="W158" s="1190"/>
      <c r="X158" s="2147"/>
      <c r="Y158" s="2148"/>
      <c r="Z158" s="2148"/>
      <c r="AA158" s="2148"/>
      <c r="AB158" s="2148"/>
      <c r="AC158" s="2148"/>
      <c r="AD158" s="2148"/>
      <c r="AE158" s="2149"/>
      <c r="AF158" s="2149"/>
      <c r="AG158" s="2149"/>
      <c r="AH158" s="2149"/>
      <c r="AI158" s="2149"/>
      <c r="AJ158" s="2149"/>
      <c r="AK158" s="2149"/>
      <c r="AL158" s="2149"/>
      <c r="AM158" s="2149"/>
      <c r="AN158" s="2149"/>
      <c r="AO158" s="2149"/>
      <c r="AP158" s="2149"/>
      <c r="AQ158" s="215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5" t="s">
        <v>2345</v>
      </c>
      <c r="C159" s="2106"/>
      <c r="D159" s="2106"/>
      <c r="E159" s="2106"/>
      <c r="F159" s="2106"/>
      <c r="G159" s="2106"/>
      <c r="H159" s="2106"/>
      <c r="I159" s="2082">
        <v>0</v>
      </c>
      <c r="J159" s="2082"/>
      <c r="K159" s="2082"/>
      <c r="L159" s="2082"/>
      <c r="M159" s="2082"/>
      <c r="N159" s="2082"/>
      <c r="O159" s="2082"/>
      <c r="P159" s="2082">
        <v>0</v>
      </c>
      <c r="Q159" s="2082"/>
      <c r="R159" s="2082"/>
      <c r="S159" s="2082"/>
      <c r="T159" s="2082"/>
      <c r="U159" s="2083"/>
      <c r="V159" s="1190"/>
      <c r="W159" s="1190"/>
      <c r="X159" s="2107" t="s">
        <v>2345</v>
      </c>
      <c r="Y159" s="2108"/>
      <c r="Z159" s="2108"/>
      <c r="AA159" s="2108"/>
      <c r="AB159" s="2108"/>
      <c r="AC159" s="2108"/>
      <c r="AD159" s="2108"/>
      <c r="AE159" s="2097">
        <v>0</v>
      </c>
      <c r="AF159" s="2097"/>
      <c r="AG159" s="2097"/>
      <c r="AH159" s="2097"/>
      <c r="AI159" s="2097"/>
      <c r="AJ159" s="2097"/>
      <c r="AK159" s="2097"/>
      <c r="AL159" s="2097">
        <v>0</v>
      </c>
      <c r="AM159" s="2097"/>
      <c r="AN159" s="2097"/>
      <c r="AO159" s="2097"/>
      <c r="AP159" s="2097"/>
      <c r="AQ159" s="209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7" t="s">
        <v>2344</v>
      </c>
      <c r="C160" s="2108"/>
      <c r="D160" s="2108"/>
      <c r="E160" s="2108"/>
      <c r="F160" s="2108"/>
      <c r="G160" s="2108"/>
      <c r="H160" s="2108"/>
      <c r="I160" s="2097">
        <v>0</v>
      </c>
      <c r="J160" s="2097"/>
      <c r="K160" s="2097"/>
      <c r="L160" s="2097"/>
      <c r="M160" s="2097"/>
      <c r="N160" s="2097"/>
      <c r="O160" s="2097"/>
      <c r="P160" s="2097">
        <v>0</v>
      </c>
      <c r="Q160" s="2097"/>
      <c r="R160" s="2097"/>
      <c r="S160" s="2097"/>
      <c r="T160" s="2097"/>
      <c r="U160" s="209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2" t="s">
        <v>2343</v>
      </c>
      <c r="D162" s="2003"/>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c r="Y162" s="2003"/>
      <c r="Z162" s="2003"/>
      <c r="AA162" s="2003"/>
      <c r="AB162" s="2003"/>
      <c r="AC162" s="2003"/>
      <c r="AD162" s="2003"/>
      <c r="AE162" s="2003"/>
      <c r="AF162" s="2003"/>
      <c r="AG162" s="200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7" t="s">
        <v>2328</v>
      </c>
      <c r="D163" s="2148"/>
      <c r="E163" s="2148"/>
      <c r="F163" s="2148"/>
      <c r="G163" s="2148"/>
      <c r="H163" s="2148"/>
      <c r="I163" s="2148"/>
      <c r="J163" s="2148"/>
      <c r="K163" s="2148"/>
      <c r="L163" s="2148"/>
      <c r="M163" s="2148"/>
      <c r="N163" s="2148"/>
      <c r="O163" s="2148"/>
      <c r="P163" s="2148"/>
      <c r="Q163" s="2148" t="s">
        <v>2342</v>
      </c>
      <c r="R163" s="2148"/>
      <c r="S163" s="2148"/>
      <c r="T163" s="2093" t="s">
        <v>2341</v>
      </c>
      <c r="U163" s="2093"/>
      <c r="V163" s="2093"/>
      <c r="W163" s="2093"/>
      <c r="X163" s="2093"/>
      <c r="Y163" s="2093"/>
      <c r="Z163" s="2093"/>
      <c r="AA163" s="2093"/>
      <c r="AB163" s="2148" t="s">
        <v>2340</v>
      </c>
      <c r="AC163" s="2148"/>
      <c r="AD163" s="2148"/>
      <c r="AE163" s="2148"/>
      <c r="AF163" s="2148"/>
      <c r="AG163" s="215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1" t="s">
        <v>2339</v>
      </c>
      <c r="D164" s="2152"/>
      <c r="E164" s="2152"/>
      <c r="F164" s="2152"/>
      <c r="G164" s="2152"/>
      <c r="H164" s="2152"/>
      <c r="I164" s="2152"/>
      <c r="J164" s="2152"/>
      <c r="K164" s="2152"/>
      <c r="L164" s="2152"/>
      <c r="M164" s="2152"/>
      <c r="N164" s="2152"/>
      <c r="O164" s="2152"/>
      <c r="P164" s="2152"/>
      <c r="Q164" s="2153">
        <v>55</v>
      </c>
      <c r="R164" s="2153"/>
      <c r="S164" s="2153"/>
      <c r="T164" s="2154"/>
      <c r="U164" s="2154"/>
      <c r="V164" s="2154"/>
      <c r="W164" s="2154"/>
      <c r="X164" s="2154"/>
      <c r="Y164" s="2154"/>
      <c r="Z164" s="2154"/>
      <c r="AA164" s="215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1" t="s">
        <v>2338</v>
      </c>
      <c r="D165" s="2152"/>
      <c r="E165" s="2152"/>
      <c r="F165" s="2152"/>
      <c r="G165" s="2152"/>
      <c r="H165" s="2152"/>
      <c r="I165" s="2152"/>
      <c r="J165" s="2152"/>
      <c r="K165" s="2152"/>
      <c r="L165" s="2152"/>
      <c r="M165" s="2152"/>
      <c r="N165" s="2152"/>
      <c r="O165" s="2152"/>
      <c r="P165" s="2152"/>
      <c r="Q165" s="2153">
        <v>55</v>
      </c>
      <c r="R165" s="2153"/>
      <c r="S165" s="2153"/>
      <c r="T165" s="2155"/>
      <c r="U165" s="2155"/>
      <c r="V165" s="2155"/>
      <c r="W165" s="2155"/>
      <c r="X165" s="2155"/>
      <c r="Y165" s="2155"/>
      <c r="Z165" s="2155"/>
      <c r="AA165" s="21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1" t="s">
        <v>2337</v>
      </c>
      <c r="D166" s="2152"/>
      <c r="E166" s="2152"/>
      <c r="F166" s="2152"/>
      <c r="G166" s="2152"/>
      <c r="H166" s="2152"/>
      <c r="I166" s="2152"/>
      <c r="J166" s="2152"/>
      <c r="K166" s="2152"/>
      <c r="L166" s="2152"/>
      <c r="M166" s="2152"/>
      <c r="N166" s="2152"/>
      <c r="O166" s="2152"/>
      <c r="P166" s="2152"/>
      <c r="Q166" s="2153">
        <v>55</v>
      </c>
      <c r="R166" s="2153"/>
      <c r="S166" s="2153"/>
      <c r="T166" s="2154"/>
      <c r="U166" s="2154"/>
      <c r="V166" s="2154"/>
      <c r="W166" s="2154"/>
      <c r="X166" s="2154"/>
      <c r="Y166" s="2154"/>
      <c r="Z166" s="2154"/>
      <c r="AA166" s="215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1" t="s">
        <v>2336</v>
      </c>
      <c r="D167" s="2152"/>
      <c r="E167" s="2152"/>
      <c r="F167" s="2152"/>
      <c r="G167" s="2152"/>
      <c r="H167" s="2152"/>
      <c r="I167" s="2152"/>
      <c r="J167" s="2152"/>
      <c r="K167" s="2152"/>
      <c r="L167" s="2152"/>
      <c r="M167" s="2152"/>
      <c r="N167" s="2152"/>
      <c r="O167" s="2152"/>
      <c r="P167" s="2152"/>
      <c r="Q167" s="2153">
        <v>55</v>
      </c>
      <c r="R167" s="2153"/>
      <c r="S167" s="2153"/>
      <c r="T167" s="2154"/>
      <c r="U167" s="2154"/>
      <c r="V167" s="2154"/>
      <c r="W167" s="2154"/>
      <c r="X167" s="2154"/>
      <c r="Y167" s="2154"/>
      <c r="Z167" s="2154"/>
      <c r="AA167" s="2154"/>
      <c r="AB167" s="2157">
        <v>0</v>
      </c>
      <c r="AC167" s="2157"/>
      <c r="AD167" s="2157"/>
      <c r="AE167" s="2157"/>
      <c r="AF167" s="2157"/>
      <c r="AG167" s="21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1" t="s">
        <v>170</v>
      </c>
      <c r="D168" s="2152"/>
      <c r="E168" s="2152"/>
      <c r="F168" s="2159" t="s">
        <v>2317</v>
      </c>
      <c r="G168" s="2159"/>
      <c r="H168" s="2159"/>
      <c r="I168" s="2159"/>
      <c r="J168" s="2159"/>
      <c r="K168" s="2159"/>
      <c r="L168" s="2159"/>
      <c r="M168" s="2159"/>
      <c r="N168" s="2159"/>
      <c r="O168" s="2159"/>
      <c r="P168" s="2159"/>
      <c r="Q168" s="2153">
        <v>55</v>
      </c>
      <c r="R168" s="2153"/>
      <c r="S168" s="2153"/>
      <c r="T168" s="2155"/>
      <c r="U168" s="2155"/>
      <c r="V168" s="2155"/>
      <c r="W168" s="2155"/>
      <c r="X168" s="2155"/>
      <c r="Y168" s="2155"/>
      <c r="Z168" s="2155"/>
      <c r="AA168" s="2155"/>
      <c r="AB168" s="2157">
        <v>0</v>
      </c>
      <c r="AC168" s="2157"/>
      <c r="AD168" s="2157"/>
      <c r="AE168" s="2157"/>
      <c r="AF168" s="2157"/>
      <c r="AG168" s="21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1" t="s">
        <v>170</v>
      </c>
      <c r="D169" s="2152"/>
      <c r="E169" s="2152"/>
      <c r="F169" s="2159" t="s">
        <v>2317</v>
      </c>
      <c r="G169" s="2159"/>
      <c r="H169" s="2159"/>
      <c r="I169" s="2159"/>
      <c r="J169" s="2159"/>
      <c r="K169" s="2159"/>
      <c r="L169" s="2159"/>
      <c r="M169" s="2159"/>
      <c r="N169" s="2159"/>
      <c r="O169" s="2159"/>
      <c r="P169" s="2159"/>
      <c r="Q169" s="2153">
        <v>55</v>
      </c>
      <c r="R169" s="2153"/>
      <c r="S169" s="2153"/>
      <c r="T169" s="2155"/>
      <c r="U169" s="2155"/>
      <c r="V169" s="2155"/>
      <c r="W169" s="2155"/>
      <c r="X169" s="2155"/>
      <c r="Y169" s="2155"/>
      <c r="Z169" s="2155"/>
      <c r="AA169" s="2155"/>
      <c r="AB169" s="2157">
        <v>0</v>
      </c>
      <c r="AC169" s="2157"/>
      <c r="AD169" s="2157"/>
      <c r="AE169" s="2157"/>
      <c r="AF169" s="2157"/>
      <c r="AG169" s="21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0" t="s">
        <v>170</v>
      </c>
      <c r="D170" s="2161"/>
      <c r="E170" s="2161"/>
      <c r="F170" s="2162" t="s">
        <v>2317</v>
      </c>
      <c r="G170" s="2162"/>
      <c r="H170" s="2162"/>
      <c r="I170" s="2162"/>
      <c r="J170" s="2162"/>
      <c r="K170" s="2162"/>
      <c r="L170" s="2162"/>
      <c r="M170" s="2162"/>
      <c r="N170" s="2162"/>
      <c r="O170" s="2162"/>
      <c r="P170" s="2162"/>
      <c r="Q170" s="2163">
        <v>55</v>
      </c>
      <c r="R170" s="2163"/>
      <c r="S170" s="2163"/>
      <c r="T170" s="2164"/>
      <c r="U170" s="2164"/>
      <c r="V170" s="2164"/>
      <c r="W170" s="2164"/>
      <c r="X170" s="2164"/>
      <c r="Y170" s="2164"/>
      <c r="Z170" s="2164"/>
      <c r="AA170" s="2164"/>
      <c r="AB170" s="2165">
        <v>0</v>
      </c>
      <c r="AC170" s="2165"/>
      <c r="AD170" s="2165"/>
      <c r="AE170" s="2165"/>
      <c r="AF170" s="2165"/>
      <c r="AG170" s="21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1" t="s">
        <v>2335</v>
      </c>
      <c r="D172" s="2052"/>
      <c r="E172" s="2052"/>
      <c r="F172" s="2052"/>
      <c r="G172" s="2052"/>
      <c r="H172" s="2052"/>
      <c r="I172" s="2052"/>
      <c r="J172" s="2052"/>
      <c r="K172" s="2052"/>
      <c r="L172" s="2052"/>
      <c r="M172" s="2052"/>
      <c r="N172" s="2102"/>
      <c r="O172" s="1190"/>
      <c r="P172" s="2167" t="s">
        <v>2334</v>
      </c>
      <c r="Q172" s="2168"/>
      <c r="R172" s="2168"/>
      <c r="S172" s="2168"/>
      <c r="T172" s="2168"/>
      <c r="U172" s="2168"/>
      <c r="V172" s="2168"/>
      <c r="W172" s="2168"/>
      <c r="X172" s="2168"/>
      <c r="Y172" s="2168"/>
      <c r="Z172" s="2168"/>
      <c r="AA172" s="2168"/>
      <c r="AB172" s="2168"/>
      <c r="AC172" s="2168"/>
      <c r="AD172" s="2168"/>
      <c r="AE172" s="2168"/>
      <c r="AF172" s="2168"/>
      <c r="AG172" s="2168"/>
      <c r="AH172" s="2168"/>
      <c r="AI172" s="2168"/>
      <c r="AJ172" s="2168"/>
      <c r="AK172" s="2168"/>
      <c r="AL172" s="2168"/>
      <c r="AM172" s="2168"/>
      <c r="AN172" s="2168"/>
      <c r="AO172" s="216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7" t="s">
        <v>2333</v>
      </c>
      <c r="D173" s="2148"/>
      <c r="E173" s="2148"/>
      <c r="F173" s="2148"/>
      <c r="G173" s="2148"/>
      <c r="H173" s="2148"/>
      <c r="I173" s="2148" t="s">
        <v>2332</v>
      </c>
      <c r="J173" s="2148"/>
      <c r="K173" s="2148"/>
      <c r="L173" s="2148"/>
      <c r="M173" s="2148"/>
      <c r="N173" s="2156"/>
      <c r="O173" s="1190"/>
      <c r="P173" s="2071" t="s">
        <v>2331</v>
      </c>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7"/>
      <c r="D174" s="2009"/>
      <c r="E174" s="2009"/>
      <c r="F174" s="2009"/>
      <c r="G174" s="2009"/>
      <c r="H174" s="2009"/>
      <c r="I174" s="2154"/>
      <c r="J174" s="2154"/>
      <c r="K174" s="2154"/>
      <c r="L174" s="2154"/>
      <c r="M174" s="2154"/>
      <c r="N174" s="2170"/>
      <c r="O174" s="1190"/>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7"/>
      <c r="D175" s="2009"/>
      <c r="E175" s="2009"/>
      <c r="F175" s="2009"/>
      <c r="G175" s="2009"/>
      <c r="H175" s="2009"/>
      <c r="I175" s="2154"/>
      <c r="J175" s="2154"/>
      <c r="K175" s="2154"/>
      <c r="L175" s="2154"/>
      <c r="M175" s="2154"/>
      <c r="N175" s="2170"/>
      <c r="O175" s="1190"/>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7"/>
      <c r="D176" s="2009"/>
      <c r="E176" s="2009"/>
      <c r="F176" s="2009"/>
      <c r="G176" s="2009"/>
      <c r="H176" s="2009"/>
      <c r="I176" s="2154"/>
      <c r="J176" s="2154"/>
      <c r="K176" s="2154"/>
      <c r="L176" s="2154"/>
      <c r="M176" s="2154"/>
      <c r="N176" s="2170"/>
      <c r="O176" s="1190"/>
      <c r="P176" s="2071"/>
      <c r="Q176" s="2072"/>
      <c r="R176" s="2072"/>
      <c r="S176" s="2072"/>
      <c r="T176" s="2072"/>
      <c r="U176" s="2072"/>
      <c r="V176" s="2072"/>
      <c r="W176" s="2072"/>
      <c r="X176" s="2072"/>
      <c r="Y176" s="2072"/>
      <c r="Z176" s="2072"/>
      <c r="AA176" s="2072"/>
      <c r="AB176" s="2072"/>
      <c r="AC176" s="2072"/>
      <c r="AD176" s="2072"/>
      <c r="AE176" s="2072"/>
      <c r="AF176" s="2072"/>
      <c r="AG176" s="2072"/>
      <c r="AH176" s="2072"/>
      <c r="AI176" s="2072"/>
      <c r="AJ176" s="2072"/>
      <c r="AK176" s="2072"/>
      <c r="AL176" s="2072"/>
      <c r="AM176" s="2072"/>
      <c r="AN176" s="2072"/>
      <c r="AO176" s="207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7"/>
      <c r="D177" s="2009"/>
      <c r="E177" s="2009"/>
      <c r="F177" s="2009"/>
      <c r="G177" s="2009"/>
      <c r="H177" s="2009"/>
      <c r="I177" s="2154"/>
      <c r="J177" s="2154"/>
      <c r="K177" s="2154"/>
      <c r="L177" s="2154"/>
      <c r="M177" s="2154"/>
      <c r="N177" s="2170"/>
      <c r="O177" s="1190"/>
      <c r="P177" s="2071"/>
      <c r="Q177" s="2072"/>
      <c r="R177" s="2072"/>
      <c r="S177" s="2072"/>
      <c r="T177" s="2072"/>
      <c r="U177" s="2072"/>
      <c r="V177" s="2072"/>
      <c r="W177" s="2072"/>
      <c r="X177" s="2072"/>
      <c r="Y177" s="2072"/>
      <c r="Z177" s="2072"/>
      <c r="AA177" s="2072"/>
      <c r="AB177" s="2072"/>
      <c r="AC177" s="2072"/>
      <c r="AD177" s="2072"/>
      <c r="AE177" s="2072"/>
      <c r="AF177" s="2072"/>
      <c r="AG177" s="2072"/>
      <c r="AH177" s="2072"/>
      <c r="AI177" s="2072"/>
      <c r="AJ177" s="2072"/>
      <c r="AK177" s="2072"/>
      <c r="AL177" s="2072"/>
      <c r="AM177" s="2072"/>
      <c r="AN177" s="2072"/>
      <c r="AO177" s="207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7"/>
      <c r="D178" s="2009"/>
      <c r="E178" s="2009"/>
      <c r="F178" s="2009"/>
      <c r="G178" s="2009"/>
      <c r="H178" s="2009"/>
      <c r="I178" s="2154"/>
      <c r="J178" s="2154"/>
      <c r="K178" s="2154"/>
      <c r="L178" s="2154"/>
      <c r="M178" s="2154"/>
      <c r="N178" s="2170"/>
      <c r="O178" s="1190"/>
      <c r="P178" s="2071"/>
      <c r="Q178" s="2072"/>
      <c r="R178" s="2072"/>
      <c r="S178" s="2072"/>
      <c r="T178" s="2072"/>
      <c r="U178" s="2072"/>
      <c r="V178" s="2072"/>
      <c r="W178" s="2072"/>
      <c r="X178" s="2072"/>
      <c r="Y178" s="2072"/>
      <c r="Z178" s="2072"/>
      <c r="AA178" s="2072"/>
      <c r="AB178" s="2072"/>
      <c r="AC178" s="2072"/>
      <c r="AD178" s="2072"/>
      <c r="AE178" s="2072"/>
      <c r="AF178" s="2072"/>
      <c r="AG178" s="2072"/>
      <c r="AH178" s="2072"/>
      <c r="AI178" s="2072"/>
      <c r="AJ178" s="2072"/>
      <c r="AK178" s="2072"/>
      <c r="AL178" s="2072"/>
      <c r="AM178" s="2072"/>
      <c r="AN178" s="2072"/>
      <c r="AO178" s="207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7"/>
      <c r="D179" s="2009"/>
      <c r="E179" s="2009"/>
      <c r="F179" s="2009"/>
      <c r="G179" s="2009"/>
      <c r="H179" s="2009"/>
      <c r="I179" s="2154"/>
      <c r="J179" s="2154"/>
      <c r="K179" s="2154"/>
      <c r="L179" s="2154"/>
      <c r="M179" s="2154"/>
      <c r="N179" s="2170"/>
      <c r="O179" s="1190"/>
      <c r="P179" s="2071"/>
      <c r="Q179" s="2072"/>
      <c r="R179" s="2072"/>
      <c r="S179" s="2072"/>
      <c r="T179" s="2072"/>
      <c r="U179" s="2072"/>
      <c r="V179" s="2072"/>
      <c r="W179" s="2072"/>
      <c r="X179" s="2072"/>
      <c r="Y179" s="2072"/>
      <c r="Z179" s="2072"/>
      <c r="AA179" s="2072"/>
      <c r="AB179" s="2072"/>
      <c r="AC179" s="2072"/>
      <c r="AD179" s="2072"/>
      <c r="AE179" s="2072"/>
      <c r="AF179" s="2072"/>
      <c r="AG179" s="2072"/>
      <c r="AH179" s="2072"/>
      <c r="AI179" s="2072"/>
      <c r="AJ179" s="2072"/>
      <c r="AK179" s="2072"/>
      <c r="AL179" s="2072"/>
      <c r="AM179" s="2072"/>
      <c r="AN179" s="2072"/>
      <c r="AO179" s="207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1"/>
      <c r="D180" s="2172"/>
      <c r="E180" s="2172"/>
      <c r="F180" s="2172"/>
      <c r="G180" s="2172"/>
      <c r="H180" s="2172"/>
      <c r="I180" s="2173"/>
      <c r="J180" s="2173"/>
      <c r="K180" s="2173"/>
      <c r="L180" s="2173"/>
      <c r="M180" s="2173"/>
      <c r="N180" s="2174"/>
      <c r="O180" s="1190"/>
      <c r="P180" s="2074"/>
      <c r="Q180" s="2075"/>
      <c r="R180" s="2075"/>
      <c r="S180" s="2075"/>
      <c r="T180" s="2075"/>
      <c r="U180" s="2075"/>
      <c r="V180" s="2075"/>
      <c r="W180" s="2075"/>
      <c r="X180" s="2075"/>
      <c r="Y180" s="2075"/>
      <c r="Z180" s="2075"/>
      <c r="AA180" s="2075"/>
      <c r="AB180" s="2075"/>
      <c r="AC180" s="2075"/>
      <c r="AD180" s="2075"/>
      <c r="AE180" s="2075"/>
      <c r="AF180" s="2075"/>
      <c r="AG180" s="2075"/>
      <c r="AH180" s="2075"/>
      <c r="AI180" s="2075"/>
      <c r="AJ180" s="2075"/>
      <c r="AK180" s="2075"/>
      <c r="AL180" s="2075"/>
      <c r="AM180" s="2075"/>
      <c r="AN180" s="2075"/>
      <c r="AO180" s="207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8" t="s">
        <v>2330</v>
      </c>
      <c r="D182" s="2179"/>
      <c r="E182" s="2179"/>
      <c r="F182" s="2179"/>
      <c r="G182" s="2179"/>
      <c r="H182" s="2179"/>
      <c r="I182" s="2179"/>
      <c r="J182" s="2179"/>
      <c r="K182" s="2179"/>
      <c r="L182" s="2179"/>
      <c r="M182" s="2179"/>
      <c r="N182" s="2179"/>
      <c r="O182" s="2179"/>
      <c r="P182" s="2179"/>
      <c r="Q182" s="2179"/>
      <c r="R182" s="2179"/>
      <c r="S182" s="2179"/>
      <c r="T182" s="2179"/>
      <c r="U182" s="2179"/>
      <c r="V182" s="2179"/>
      <c r="W182" s="2179"/>
      <c r="X182" s="2179"/>
      <c r="Y182" s="2179"/>
      <c r="Z182" s="2179"/>
      <c r="AA182" s="2179"/>
      <c r="AB182" s="2179"/>
      <c r="AC182" s="2179"/>
      <c r="AD182" s="2179"/>
      <c r="AE182" s="2180"/>
      <c r="AF182" s="1190"/>
      <c r="AG182" s="1190"/>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190"/>
      <c r="B183" s="1190"/>
      <c r="C183" s="2181"/>
      <c r="D183" s="2182"/>
      <c r="E183" s="2182"/>
      <c r="F183" s="2182"/>
      <c r="G183" s="2182"/>
      <c r="H183" s="2182"/>
      <c r="I183" s="2182"/>
      <c r="J183" s="2182"/>
      <c r="K183" s="2182"/>
      <c r="L183" s="2182"/>
      <c r="M183" s="2182"/>
      <c r="N183" s="2182"/>
      <c r="O183" s="2182"/>
      <c r="P183" s="2182"/>
      <c r="Q183" s="2182"/>
      <c r="R183" s="2182"/>
      <c r="S183" s="2182"/>
      <c r="T183" s="2182"/>
      <c r="U183" s="2182"/>
      <c r="V183" s="2182"/>
      <c r="W183" s="2182"/>
      <c r="X183" s="2182"/>
      <c r="Y183" s="2182"/>
      <c r="Z183" s="2182"/>
      <c r="AA183" s="2182"/>
      <c r="AB183" s="2182"/>
      <c r="AC183" s="2182"/>
      <c r="AD183" s="2182"/>
      <c r="AE183" s="2183"/>
      <c r="AF183" s="1190"/>
      <c r="AG183" s="1190"/>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c r="A184" s="1190"/>
      <c r="B184" s="1190"/>
      <c r="C184" s="2051" t="s">
        <v>2328</v>
      </c>
      <c r="D184" s="2052"/>
      <c r="E184" s="2052"/>
      <c r="F184" s="2052"/>
      <c r="G184" s="2052"/>
      <c r="H184" s="2052"/>
      <c r="I184" s="2052"/>
      <c r="J184" s="2052"/>
      <c r="K184" s="2052"/>
      <c r="L184" s="2052"/>
      <c r="M184" s="2052"/>
      <c r="N184" s="2052" t="s">
        <v>2329</v>
      </c>
      <c r="O184" s="2052"/>
      <c r="P184" s="2052"/>
      <c r="Q184" s="2052"/>
      <c r="R184" s="2052"/>
      <c r="S184" s="2052"/>
      <c r="T184" s="2052"/>
      <c r="U184" s="2003" t="s">
        <v>2328</v>
      </c>
      <c r="V184" s="2003"/>
      <c r="W184" s="2003"/>
      <c r="X184" s="2003"/>
      <c r="Y184" s="2003"/>
      <c r="Z184" s="2003"/>
      <c r="AA184" s="2003"/>
      <c r="AB184" s="2003"/>
      <c r="AC184" s="2003"/>
      <c r="AD184" s="2003"/>
      <c r="AE184" s="2004"/>
      <c r="AF184" s="1190"/>
      <c r="AG184" s="1190"/>
      <c r="AH184" s="2188"/>
      <c r="AI184" s="2188"/>
      <c r="AJ184" s="2188"/>
      <c r="AK184" s="2188"/>
      <c r="AL184" s="2188"/>
      <c r="AM184" s="2188"/>
      <c r="AN184" s="2188"/>
      <c r="AO184" s="2188"/>
      <c r="AP184" s="2188"/>
      <c r="AQ184" s="2188"/>
      <c r="AR184" s="2188"/>
      <c r="AS184" s="2188"/>
      <c r="AT184" s="2188"/>
      <c r="AU184" s="2188"/>
      <c r="AV184" s="2188"/>
      <c r="AW184" s="2188"/>
      <c r="AX184" s="2188"/>
      <c r="AY184" s="2188"/>
      <c r="AZ184" s="2188"/>
      <c r="BA184" s="2188"/>
      <c r="BB184" s="2188"/>
      <c r="BC184" s="2188"/>
      <c r="BD184" s="2188"/>
      <c r="BE184" s="2188"/>
    </row>
    <row r="185" spans="1:57" ht="15.75" customHeight="1">
      <c r="A185" s="1190"/>
      <c r="B185" s="1190"/>
      <c r="C185" s="2175" t="s">
        <v>2327</v>
      </c>
      <c r="D185" s="2176"/>
      <c r="E185" s="2176"/>
      <c r="F185" s="2176"/>
      <c r="G185" s="2176"/>
      <c r="H185" s="2176"/>
      <c r="I185" s="2176"/>
      <c r="J185" s="2176"/>
      <c r="K185" s="2176"/>
      <c r="L185" s="2176"/>
      <c r="M185" s="2176"/>
      <c r="N185" s="2177">
        <f>'Sources and Uses Budget'!B105</f>
        <v>73054148</v>
      </c>
      <c r="O185" s="2177"/>
      <c r="P185" s="2177"/>
      <c r="Q185" s="2177"/>
      <c r="R185" s="2177"/>
      <c r="S185" s="2177"/>
      <c r="T185" s="2177"/>
      <c r="U185" s="2189"/>
      <c r="V185" s="2189"/>
      <c r="W185" s="2189"/>
      <c r="X185" s="2189"/>
      <c r="Y185" s="2189"/>
      <c r="Z185" s="2189"/>
      <c r="AA185" s="2189"/>
      <c r="AB185" s="2189"/>
      <c r="AC185" s="2189"/>
      <c r="AD185" s="2189"/>
      <c r="AE185" s="2190"/>
      <c r="AF185" s="1190"/>
      <c r="AG185" s="1190"/>
      <c r="AH185" s="2188"/>
      <c r="AI185" s="2188"/>
      <c r="AJ185" s="2188"/>
      <c r="AK185" s="2188"/>
      <c r="AL185" s="2188"/>
      <c r="AM185" s="2188"/>
      <c r="AN185" s="2188"/>
      <c r="AO185" s="2188"/>
      <c r="AP185" s="2188"/>
      <c r="AQ185" s="2188"/>
      <c r="AR185" s="2188"/>
      <c r="AS185" s="2188"/>
      <c r="AT185" s="2188"/>
      <c r="AU185" s="2188"/>
      <c r="AV185" s="2188"/>
      <c r="AW185" s="2188"/>
      <c r="AX185" s="2188"/>
      <c r="AY185" s="2188"/>
      <c r="AZ185" s="2188"/>
      <c r="BA185" s="2188"/>
      <c r="BB185" s="2188"/>
      <c r="BC185" s="2188"/>
      <c r="BD185" s="2188"/>
      <c r="BE185" s="2188"/>
    </row>
    <row r="186" spans="1:57" ht="15.75" customHeight="1">
      <c r="A186" s="1190"/>
      <c r="B186" s="1190"/>
      <c r="C186" s="2175" t="s">
        <v>2326</v>
      </c>
      <c r="D186" s="2176"/>
      <c r="E186" s="2176"/>
      <c r="F186" s="2176"/>
      <c r="G186" s="2176"/>
      <c r="H186" s="2176"/>
      <c r="I186" s="2176"/>
      <c r="J186" s="2176"/>
      <c r="K186" s="2176"/>
      <c r="L186" s="2176"/>
      <c r="M186" s="2176"/>
      <c r="N186" s="2177">
        <f>N185/J29</f>
        <v>480619.39473684208</v>
      </c>
      <c r="O186" s="2177"/>
      <c r="P186" s="2177"/>
      <c r="Q186" s="2177"/>
      <c r="R186" s="2177"/>
      <c r="S186" s="2177"/>
      <c r="T186" s="2177"/>
      <c r="U186" s="1228"/>
      <c r="V186" s="1228"/>
      <c r="W186" s="1228"/>
      <c r="X186" s="1228"/>
      <c r="Y186" s="1228"/>
      <c r="Z186" s="1228"/>
      <c r="AA186" s="1228"/>
      <c r="AB186" s="1228"/>
      <c r="AC186" s="1228"/>
      <c r="AD186" s="1228"/>
      <c r="AE186" s="1229"/>
      <c r="AF186" s="1190"/>
      <c r="AG186" s="1190"/>
      <c r="AH186" s="2188"/>
      <c r="AI186" s="2188"/>
      <c r="AJ186" s="2188"/>
      <c r="AK186" s="2188"/>
      <c r="AL186" s="2188"/>
      <c r="AM186" s="2188"/>
      <c r="AN186" s="2188"/>
      <c r="AO186" s="2188"/>
      <c r="AP186" s="2188"/>
      <c r="AQ186" s="2188"/>
      <c r="AR186" s="2188"/>
      <c r="AS186" s="2188"/>
      <c r="AT186" s="2188"/>
      <c r="AU186" s="2188"/>
      <c r="AV186" s="2188"/>
      <c r="AW186" s="2188"/>
      <c r="AX186" s="2188"/>
      <c r="AY186" s="2188"/>
      <c r="AZ186" s="2188"/>
      <c r="BA186" s="2188"/>
      <c r="BB186" s="2188"/>
      <c r="BC186" s="2188"/>
      <c r="BD186" s="2188"/>
      <c r="BE186" s="2188"/>
    </row>
    <row r="187" spans="1:57" ht="15.75" customHeight="1">
      <c r="A187" s="1190"/>
      <c r="B187" s="1190"/>
      <c r="C187" s="2191" t="s">
        <v>2325</v>
      </c>
      <c r="D187" s="2192"/>
      <c r="E187" s="2192"/>
      <c r="F187" s="2192"/>
      <c r="G187" s="2192"/>
      <c r="H187" s="2192"/>
      <c r="I187" s="2192"/>
      <c r="J187" s="2192"/>
      <c r="K187" s="2192"/>
      <c r="L187" s="2192"/>
      <c r="M187" s="2192"/>
      <c r="N187" s="2045">
        <v>0</v>
      </c>
      <c r="O187" s="2045"/>
      <c r="P187" s="2045"/>
      <c r="Q187" s="2045"/>
      <c r="R187" s="2045"/>
      <c r="S187" s="2045"/>
      <c r="T187" s="2045"/>
      <c r="U187" s="2021"/>
      <c r="V187" s="2021"/>
      <c r="W187" s="2021"/>
      <c r="X187" s="2021"/>
      <c r="Y187" s="2021"/>
      <c r="Z187" s="2021"/>
      <c r="AA187" s="2021"/>
      <c r="AB187" s="2021"/>
      <c r="AC187" s="2021"/>
      <c r="AD187" s="2021"/>
      <c r="AE187" s="2022"/>
      <c r="AF187" s="1190"/>
      <c r="AG187" s="1190"/>
      <c r="AH187" s="2188"/>
      <c r="AI187" s="2188"/>
      <c r="AJ187" s="2188"/>
      <c r="AK187" s="2188"/>
      <c r="AL187" s="2188"/>
      <c r="AM187" s="2188"/>
      <c r="AN187" s="2188"/>
      <c r="AO187" s="2188"/>
      <c r="AP187" s="2188"/>
      <c r="AQ187" s="2188"/>
      <c r="AR187" s="2188"/>
      <c r="AS187" s="2188"/>
      <c r="AT187" s="2188"/>
      <c r="AU187" s="2188"/>
      <c r="AV187" s="2188"/>
      <c r="AW187" s="2188"/>
      <c r="AX187" s="2188"/>
      <c r="AY187" s="2188"/>
      <c r="AZ187" s="2188"/>
      <c r="BA187" s="2188"/>
      <c r="BB187" s="2188"/>
      <c r="BC187" s="2188"/>
      <c r="BD187" s="2188"/>
      <c r="BE187" s="2188"/>
    </row>
    <row r="188" spans="1:57" ht="15.75" customHeight="1" thickBot="1">
      <c r="A188" s="1190"/>
      <c r="B188" s="1190"/>
      <c r="C188" s="2175" t="s">
        <v>2324</v>
      </c>
      <c r="D188" s="2176"/>
      <c r="E188" s="2176"/>
      <c r="F188" s="2176"/>
      <c r="G188" s="2176"/>
      <c r="H188" s="2176"/>
      <c r="I188" s="2176"/>
      <c r="J188" s="2176"/>
      <c r="K188" s="2176"/>
      <c r="L188" s="2176"/>
      <c r="M188" s="2176"/>
      <c r="N188" s="2193">
        <f>SUM('Sources and Uses Budget'!B85:B86)</f>
        <v>8590171</v>
      </c>
      <c r="O188" s="2193"/>
      <c r="P188" s="2193"/>
      <c r="Q188" s="2193"/>
      <c r="R188" s="2193"/>
      <c r="S188" s="2193"/>
      <c r="T188" s="2193"/>
      <c r="U188" s="2021"/>
      <c r="V188" s="2021"/>
      <c r="W188" s="2021"/>
      <c r="X188" s="2021"/>
      <c r="Y188" s="2021"/>
      <c r="Z188" s="2021"/>
      <c r="AA188" s="2021"/>
      <c r="AB188" s="2021"/>
      <c r="AC188" s="2021"/>
      <c r="AD188" s="2021"/>
      <c r="AE188" s="2022"/>
      <c r="AF188" s="1190"/>
      <c r="AG188" s="1190"/>
      <c r="AH188" s="2188"/>
      <c r="AI188" s="2188"/>
      <c r="AJ188" s="2188"/>
      <c r="AK188" s="2188"/>
      <c r="AL188" s="2188"/>
      <c r="AM188" s="2188"/>
      <c r="AN188" s="2188"/>
      <c r="AO188" s="2188"/>
      <c r="AP188" s="2188"/>
      <c r="AQ188" s="2188"/>
      <c r="AR188" s="2188"/>
      <c r="AS188" s="2188"/>
      <c r="AT188" s="2188"/>
      <c r="AU188" s="2188"/>
      <c r="AV188" s="2188"/>
      <c r="AW188" s="2188"/>
      <c r="AX188" s="2188"/>
      <c r="AY188" s="2188"/>
      <c r="AZ188" s="2188"/>
      <c r="BA188" s="2188"/>
      <c r="BB188" s="2188"/>
      <c r="BC188" s="2188"/>
      <c r="BD188" s="2188"/>
      <c r="BE188" s="2188"/>
    </row>
    <row r="189" spans="1:57" ht="15.75" customHeight="1" thickBot="1">
      <c r="A189" s="1190"/>
      <c r="B189" s="1190"/>
      <c r="C189" s="2175" t="s">
        <v>2323</v>
      </c>
      <c r="D189" s="2176"/>
      <c r="E189" s="2176"/>
      <c r="F189" s="2176"/>
      <c r="G189" s="2176"/>
      <c r="H189" s="2176"/>
      <c r="I189" s="2176"/>
      <c r="J189" s="2176"/>
      <c r="K189" s="2176"/>
      <c r="L189" s="2176"/>
      <c r="M189" s="2176"/>
      <c r="N189" s="2193">
        <f>'Sources and Uses Budget'!B8</f>
        <v>3000000</v>
      </c>
      <c r="O189" s="2193"/>
      <c r="P189" s="2193"/>
      <c r="Q189" s="2193"/>
      <c r="R189" s="2193"/>
      <c r="S189" s="2193"/>
      <c r="T189" s="2193"/>
      <c r="U189" s="2021"/>
      <c r="V189" s="2021"/>
      <c r="W189" s="2021"/>
      <c r="X189" s="2021"/>
      <c r="Y189" s="2021"/>
      <c r="Z189" s="2021"/>
      <c r="AA189" s="2021"/>
      <c r="AB189" s="2021"/>
      <c r="AC189" s="2021"/>
      <c r="AD189" s="2021"/>
      <c r="AE189" s="2022"/>
      <c r="AF189" s="1190"/>
      <c r="AG189" s="1190"/>
      <c r="AH189" s="2197" t="s">
        <v>2321</v>
      </c>
      <c r="AI189" s="2198"/>
      <c r="AJ189" s="2198"/>
      <c r="AK189" s="2198"/>
      <c r="AL189" s="2198"/>
      <c r="AM189" s="2198"/>
      <c r="AN189" s="2198"/>
      <c r="AO189" s="2198"/>
      <c r="AP189" s="2198"/>
      <c r="AQ189" s="2198"/>
      <c r="AR189" s="2198"/>
      <c r="AS189" s="2198"/>
      <c r="AT189" s="2198"/>
      <c r="AU189" s="2198"/>
      <c r="AV189" s="2198"/>
      <c r="AW189" s="2198"/>
      <c r="AX189" s="2198"/>
      <c r="AY189" s="2198"/>
      <c r="AZ189" s="2198"/>
      <c r="BA189" s="2198"/>
      <c r="BB189" s="2198"/>
      <c r="BC189" s="2198"/>
      <c r="BD189" s="2198"/>
      <c r="BE189" s="2199"/>
    </row>
    <row r="190" spans="1:57" ht="15.75" customHeight="1">
      <c r="A190" s="1190"/>
      <c r="B190" s="1190"/>
      <c r="C190" s="2175" t="s">
        <v>2322</v>
      </c>
      <c r="D190" s="2176"/>
      <c r="E190" s="2176"/>
      <c r="F190" s="2176"/>
      <c r="G190" s="2176"/>
      <c r="H190" s="2176"/>
      <c r="I190" s="2176"/>
      <c r="J190" s="2176"/>
      <c r="K190" s="2176"/>
      <c r="L190" s="2176"/>
      <c r="M190" s="2176"/>
      <c r="N190" s="2184">
        <v>0</v>
      </c>
      <c r="O190" s="2184"/>
      <c r="P190" s="2184"/>
      <c r="Q190" s="2184"/>
      <c r="R190" s="2184"/>
      <c r="S190" s="2184"/>
      <c r="T190" s="2184"/>
      <c r="U190" s="2021"/>
      <c r="V190" s="2021"/>
      <c r="W190" s="2021"/>
      <c r="X190" s="2021"/>
      <c r="Y190" s="2021"/>
      <c r="Z190" s="2021"/>
      <c r="AA190" s="2021"/>
      <c r="AB190" s="2021"/>
      <c r="AC190" s="2021"/>
      <c r="AD190" s="2021"/>
      <c r="AE190" s="2022"/>
      <c r="AF190" s="1190"/>
      <c r="AG190" s="1190"/>
      <c r="AH190" s="2200" t="s">
        <v>2321</v>
      </c>
      <c r="AI190" s="2201"/>
      <c r="AJ190" s="2201"/>
      <c r="AK190" s="2201"/>
      <c r="AL190" s="2201"/>
      <c r="AM190" s="2201"/>
      <c r="AN190" s="2201"/>
      <c r="AO190" s="2201"/>
      <c r="AP190" s="2201"/>
      <c r="AQ190" s="2201"/>
      <c r="AR190" s="2201"/>
      <c r="AS190" s="2201"/>
      <c r="AT190" s="2201"/>
      <c r="AU190" s="2202">
        <v>0</v>
      </c>
      <c r="AV190" s="2202"/>
      <c r="AW190" s="2202"/>
      <c r="AX190" s="2202"/>
      <c r="AY190" s="2202"/>
      <c r="AZ190" s="2202"/>
      <c r="BA190" s="2202"/>
      <c r="BB190" s="2202"/>
      <c r="BC190" s="2203"/>
      <c r="BD190" s="2204"/>
      <c r="BE190" s="2205"/>
    </row>
    <row r="191" spans="1:57" ht="15.75" customHeight="1">
      <c r="A191" s="1190"/>
      <c r="B191" s="1190"/>
      <c r="C191" s="2175" t="s">
        <v>2320</v>
      </c>
      <c r="D191" s="2176"/>
      <c r="E191" s="2176"/>
      <c r="F191" s="2176"/>
      <c r="G191" s="2176"/>
      <c r="H191" s="2176"/>
      <c r="I191" s="2176"/>
      <c r="J191" s="2176"/>
      <c r="K191" s="2176"/>
      <c r="L191" s="2176"/>
      <c r="M191" s="2176"/>
      <c r="N191" s="2184">
        <v>0</v>
      </c>
      <c r="O191" s="2184"/>
      <c r="P191" s="2184"/>
      <c r="Q191" s="2184"/>
      <c r="R191" s="2184"/>
      <c r="S191" s="2184"/>
      <c r="T191" s="2184"/>
      <c r="U191" s="2021"/>
      <c r="V191" s="2021"/>
      <c r="W191" s="2021"/>
      <c r="X191" s="2021"/>
      <c r="Y191" s="2021"/>
      <c r="Z191" s="2021"/>
      <c r="AA191" s="2021"/>
      <c r="AB191" s="2021"/>
      <c r="AC191" s="2021"/>
      <c r="AD191" s="2021"/>
      <c r="AE191" s="2022"/>
      <c r="AF191" s="1190"/>
      <c r="AG191" s="1190"/>
      <c r="AH191" s="2185" t="s">
        <v>2319</v>
      </c>
      <c r="AI191" s="2186"/>
      <c r="AJ191" s="2186"/>
      <c r="AK191" s="2186"/>
      <c r="AL191" s="2186"/>
      <c r="AM191" s="2186"/>
      <c r="AN191" s="2186"/>
      <c r="AO191" s="2186"/>
      <c r="AP191" s="2186"/>
      <c r="AQ191" s="2186"/>
      <c r="AR191" s="2186"/>
      <c r="AS191" s="2186"/>
      <c r="AT191" s="2186"/>
      <c r="AU191" s="2187"/>
      <c r="AV191" s="2187"/>
      <c r="AW191" s="2187"/>
      <c r="AX191" s="2187"/>
      <c r="AY191" s="2187"/>
      <c r="AZ191" s="2187"/>
      <c r="BA191" s="2187"/>
      <c r="BB191" s="2187"/>
      <c r="BC191" s="2194"/>
      <c r="BD191" s="2195"/>
      <c r="BE191" s="2196"/>
    </row>
    <row r="192" spans="1:57" ht="15.75" customHeight="1">
      <c r="A192" s="1190"/>
      <c r="B192" s="1190"/>
      <c r="C192" s="2210" t="s">
        <v>300</v>
      </c>
      <c r="D192" s="2153"/>
      <c r="E192" s="2206" t="s">
        <v>2317</v>
      </c>
      <c r="F192" s="2206"/>
      <c r="G192" s="2206"/>
      <c r="H192" s="2206"/>
      <c r="I192" s="2206"/>
      <c r="J192" s="2206"/>
      <c r="K192" s="2206"/>
      <c r="L192" s="2206"/>
      <c r="M192" s="2206"/>
      <c r="N192" s="2184">
        <v>0</v>
      </c>
      <c r="O192" s="2184"/>
      <c r="P192" s="2184"/>
      <c r="Q192" s="2184"/>
      <c r="R192" s="2184"/>
      <c r="S192" s="2184"/>
      <c r="T192" s="2184"/>
      <c r="U192" s="2021"/>
      <c r="V192" s="2021"/>
      <c r="W192" s="2021"/>
      <c r="X192" s="2021"/>
      <c r="Y192" s="2021"/>
      <c r="Z192" s="2021"/>
      <c r="AA192" s="2021"/>
      <c r="AB192" s="2021"/>
      <c r="AC192" s="2021"/>
      <c r="AD192" s="2021"/>
      <c r="AE192" s="2022"/>
      <c r="AF192" s="1190"/>
      <c r="AG192" s="1190"/>
      <c r="AH192" s="2211" t="s">
        <v>2318</v>
      </c>
      <c r="AI192" s="2212"/>
      <c r="AJ192" s="2212"/>
      <c r="AK192" s="2212"/>
      <c r="AL192" s="2212"/>
      <c r="AM192" s="2212"/>
      <c r="AN192" s="2212"/>
      <c r="AO192" s="2212"/>
      <c r="AP192" s="2212"/>
      <c r="AQ192" s="2212"/>
      <c r="AR192" s="2212"/>
      <c r="AS192" s="2212"/>
      <c r="AT192" s="2212"/>
      <c r="AU192" s="2213">
        <f>SUM(AU190:BB191)</f>
        <v>0</v>
      </c>
      <c r="AV192" s="2213"/>
      <c r="AW192" s="2213"/>
      <c r="AX192" s="2213"/>
      <c r="AY192" s="2213"/>
      <c r="AZ192" s="2213"/>
      <c r="BA192" s="2213"/>
      <c r="BB192" s="2213"/>
      <c r="BC192" s="2194"/>
      <c r="BD192" s="2195"/>
      <c r="BE192" s="2196"/>
    </row>
    <row r="193" spans="1:57" ht="15.75" customHeight="1" thickBot="1">
      <c r="A193" s="1190"/>
      <c r="B193" s="1190"/>
      <c r="C193" s="2077" t="s">
        <v>300</v>
      </c>
      <c r="D193" s="2009"/>
      <c r="E193" s="2206" t="s">
        <v>2317</v>
      </c>
      <c r="F193" s="2206"/>
      <c r="G193" s="2206"/>
      <c r="H193" s="2206"/>
      <c r="I193" s="2206"/>
      <c r="J193" s="2206"/>
      <c r="K193" s="2206"/>
      <c r="L193" s="2206"/>
      <c r="M193" s="2206"/>
      <c r="N193" s="2184">
        <v>0</v>
      </c>
      <c r="O193" s="2184"/>
      <c r="P193" s="2184"/>
      <c r="Q193" s="2184"/>
      <c r="R193" s="2184"/>
      <c r="S193" s="2184"/>
      <c r="T193" s="2184"/>
      <c r="U193" s="2021"/>
      <c r="V193" s="2021"/>
      <c r="W193" s="2021"/>
      <c r="X193" s="2021"/>
      <c r="Y193" s="2021"/>
      <c r="Z193" s="2021"/>
      <c r="AA193" s="2021"/>
      <c r="AB193" s="2021"/>
      <c r="AC193" s="2021"/>
      <c r="AD193" s="2021"/>
      <c r="AE193" s="202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7"/>
      <c r="BD193" s="2208"/>
      <c r="BE193" s="2209"/>
    </row>
    <row r="194" spans="1:57" ht="15.75" customHeight="1" thickBot="1">
      <c r="A194" s="1190"/>
      <c r="B194" s="1190"/>
      <c r="C194" s="2231" t="s">
        <v>300</v>
      </c>
      <c r="D194" s="2232"/>
      <c r="E194" s="2233" t="s">
        <v>2317</v>
      </c>
      <c r="F194" s="2233"/>
      <c r="G194" s="2233"/>
      <c r="H194" s="2233"/>
      <c r="I194" s="2233"/>
      <c r="J194" s="2233"/>
      <c r="K194" s="2233"/>
      <c r="L194" s="2233"/>
      <c r="M194" s="2234"/>
      <c r="N194" s="2235">
        <v>0</v>
      </c>
      <c r="O194" s="2235"/>
      <c r="P194" s="2235"/>
      <c r="Q194" s="2235"/>
      <c r="R194" s="2235"/>
      <c r="S194" s="2235"/>
      <c r="T194" s="2236"/>
      <c r="U194" s="2237"/>
      <c r="V194" s="2238"/>
      <c r="W194" s="2238"/>
      <c r="X194" s="2238"/>
      <c r="Y194" s="2238"/>
      <c r="Z194" s="2238"/>
      <c r="AA194" s="2238"/>
      <c r="AB194" s="2238"/>
      <c r="AC194" s="2238"/>
      <c r="AD194" s="2238"/>
      <c r="AE194" s="2239"/>
      <c r="AF194" s="1190"/>
      <c r="AG194" s="1190"/>
      <c r="AH194" s="2240" t="s">
        <v>2316</v>
      </c>
      <c r="AI194" s="2241"/>
      <c r="AJ194" s="2241"/>
      <c r="AK194" s="2241"/>
      <c r="AL194" s="2241"/>
      <c r="AM194" s="2241"/>
      <c r="AN194" s="2241"/>
      <c r="AO194" s="2241"/>
      <c r="AP194" s="2241"/>
      <c r="AQ194" s="2241"/>
      <c r="AR194" s="2241"/>
      <c r="AS194" s="2241"/>
      <c r="AT194" s="2241"/>
      <c r="AU194" s="2242"/>
      <c r="AV194" s="2242"/>
      <c r="AW194" s="2242"/>
      <c r="AX194" s="2242"/>
      <c r="AY194" s="2242"/>
      <c r="AZ194" s="2242"/>
      <c r="BA194" s="2242"/>
      <c r="BB194" s="2242"/>
      <c r="BC194" s="1171"/>
      <c r="BD194" s="1171"/>
      <c r="BE194" s="1232"/>
    </row>
    <row r="195" spans="1:57" ht="15.75" customHeight="1">
      <c r="A195" s="1190"/>
      <c r="B195" s="1190"/>
      <c r="C195" s="2214" t="s">
        <v>2315</v>
      </c>
      <c r="D195" s="2215"/>
      <c r="E195" s="2215"/>
      <c r="F195" s="2215"/>
      <c r="G195" s="2215"/>
      <c r="H195" s="2215"/>
      <c r="I195" s="2215"/>
      <c r="J195" s="2215"/>
      <c r="K195" s="2215"/>
      <c r="L195" s="2215"/>
      <c r="M195" s="2215"/>
      <c r="N195" s="2216">
        <f>SUM(N187:T194)</f>
        <v>11590171</v>
      </c>
      <c r="O195" s="2216"/>
      <c r="P195" s="2216"/>
      <c r="Q195" s="2216"/>
      <c r="R195" s="2216"/>
      <c r="S195" s="2216"/>
      <c r="T195" s="2217"/>
      <c r="U195" s="1190"/>
      <c r="V195" s="1190"/>
      <c r="W195" s="1190"/>
      <c r="X195" s="1190"/>
      <c r="Y195" s="1190"/>
      <c r="Z195" s="1190"/>
      <c r="AA195" s="1190"/>
      <c r="AB195" s="1190"/>
      <c r="AC195" s="1190"/>
      <c r="AD195" s="1190"/>
      <c r="AE195" s="1190"/>
      <c r="AF195" s="1190"/>
      <c r="AG195" s="1190"/>
      <c r="AH195" s="2218" t="s">
        <v>2314</v>
      </c>
      <c r="AI195" s="2219"/>
      <c r="AJ195" s="2219"/>
      <c r="AK195" s="2219"/>
      <c r="AL195" s="2219"/>
      <c r="AM195" s="2219"/>
      <c r="AN195" s="2219"/>
      <c r="AO195" s="2219"/>
      <c r="AP195" s="2219"/>
      <c r="AQ195" s="2219"/>
      <c r="AR195" s="2219"/>
      <c r="AS195" s="2219"/>
      <c r="AT195" s="2219"/>
      <c r="AU195" s="2219"/>
      <c r="AV195" s="2219"/>
      <c r="AW195" s="2219"/>
      <c r="AX195" s="2219"/>
      <c r="AY195" s="2219"/>
      <c r="AZ195" s="2219"/>
      <c r="BA195" s="2219"/>
      <c r="BB195" s="2219"/>
      <c r="BC195" s="2219"/>
      <c r="BD195" s="2219"/>
      <c r="BE195" s="2220"/>
    </row>
    <row r="196" spans="1:57" ht="15.75" customHeight="1" thickBot="1">
      <c r="A196" s="1190"/>
      <c r="B196" s="1190"/>
      <c r="C196" s="2224" t="s">
        <v>2313</v>
      </c>
      <c r="D196" s="2225"/>
      <c r="E196" s="2225"/>
      <c r="F196" s="2225"/>
      <c r="G196" s="2225"/>
      <c r="H196" s="2225"/>
      <c r="I196" s="2225"/>
      <c r="J196" s="2225"/>
      <c r="K196" s="2225"/>
      <c r="L196" s="2225"/>
      <c r="M196" s="2225"/>
      <c r="N196" s="2226">
        <f>(N185-N195)/J29</f>
        <v>404368.26973684208</v>
      </c>
      <c r="O196" s="2227"/>
      <c r="P196" s="2227"/>
      <c r="Q196" s="2227"/>
      <c r="R196" s="2227"/>
      <c r="S196" s="2227"/>
      <c r="T196" s="2228"/>
      <c r="U196" s="1195"/>
      <c r="V196" s="1190"/>
      <c r="W196" s="1190"/>
      <c r="X196" s="1190"/>
      <c r="Y196" s="1190"/>
      <c r="Z196" s="1190"/>
      <c r="AA196" s="1190"/>
      <c r="AB196" s="1190"/>
      <c r="AC196" s="1190"/>
      <c r="AD196" s="1190"/>
      <c r="AE196" s="1190"/>
      <c r="AF196" s="1190"/>
      <c r="AG196" s="1190"/>
      <c r="AH196" s="2221"/>
      <c r="AI196" s="2222"/>
      <c r="AJ196" s="2222"/>
      <c r="AK196" s="2222"/>
      <c r="AL196" s="2222"/>
      <c r="AM196" s="2222"/>
      <c r="AN196" s="2222"/>
      <c r="AO196" s="2222"/>
      <c r="AP196" s="2222"/>
      <c r="AQ196" s="2222"/>
      <c r="AR196" s="2222"/>
      <c r="AS196" s="2222"/>
      <c r="AT196" s="2222"/>
      <c r="AU196" s="2222"/>
      <c r="AV196" s="2222"/>
      <c r="AW196" s="2222"/>
      <c r="AX196" s="2222"/>
      <c r="AY196" s="2222"/>
      <c r="AZ196" s="2222"/>
      <c r="BA196" s="2222"/>
      <c r="BB196" s="2222"/>
      <c r="BC196" s="2222"/>
      <c r="BD196" s="2222"/>
      <c r="BE196" s="222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9"/>
      <c r="AI197" s="2229"/>
      <c r="AJ197" s="2229"/>
      <c r="AK197" s="2229"/>
      <c r="AL197" s="2229"/>
      <c r="AM197" s="2229"/>
      <c r="AN197" s="2229"/>
      <c r="AO197" s="2229"/>
      <c r="AP197" s="2229"/>
      <c r="AQ197" s="2229"/>
      <c r="AR197" s="2229"/>
      <c r="AS197" s="2230"/>
      <c r="AT197" s="2230"/>
      <c r="AU197" s="2230"/>
      <c r="AV197" s="2230"/>
      <c r="AW197" s="2230"/>
      <c r="AX197" s="2230"/>
      <c r="AY197" s="2230"/>
      <c r="AZ197" s="2230"/>
      <c r="BA197" s="2230"/>
      <c r="BB197" s="2230"/>
      <c r="BC197" s="2230"/>
      <c r="BD197" s="223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8" t="s">
        <v>2312</v>
      </c>
      <c r="D199" s="2249"/>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C199" s="2249"/>
      <c r="AD199" s="2249"/>
      <c r="AE199" s="22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1" t="s">
        <v>2311</v>
      </c>
      <c r="D200" s="2251"/>
      <c r="E200" s="2251"/>
      <c r="F200" s="2251"/>
      <c r="G200" s="2251"/>
      <c r="H200" s="2251"/>
      <c r="I200" s="2251"/>
      <c r="J200" s="2251"/>
      <c r="K200" s="2251"/>
      <c r="L200" s="2251"/>
      <c r="M200" s="2251"/>
      <c r="N200" s="2251"/>
      <c r="O200" s="2252" t="s">
        <v>2310</v>
      </c>
      <c r="P200" s="2252"/>
      <c r="Q200" s="2252"/>
      <c r="R200" s="2252"/>
      <c r="S200" s="2252"/>
      <c r="T200" s="2252"/>
      <c r="U200" s="2252"/>
      <c r="V200" s="2252"/>
      <c r="W200" s="2252"/>
      <c r="X200" s="2252" t="s">
        <v>2309</v>
      </c>
      <c r="Y200" s="2252"/>
      <c r="Z200" s="2252"/>
      <c r="AA200" s="2252"/>
      <c r="AB200" s="2252"/>
      <c r="AC200" s="2252"/>
      <c r="AD200" s="2252"/>
      <c r="AE200" s="22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3" t="s">
        <v>2308</v>
      </c>
      <c r="D201" s="2243"/>
      <c r="E201" s="2243"/>
      <c r="F201" s="2243"/>
      <c r="G201" s="2243"/>
      <c r="H201" s="2243"/>
      <c r="I201" s="2243"/>
      <c r="J201" s="2243"/>
      <c r="K201" s="2243"/>
      <c r="L201" s="2243"/>
      <c r="M201" s="2243"/>
      <c r="N201" s="2243"/>
      <c r="O201" s="2244" t="s">
        <v>2307</v>
      </c>
      <c r="P201" s="2244"/>
      <c r="Q201" s="2244"/>
      <c r="R201" s="2244"/>
      <c r="S201" s="2244"/>
      <c r="T201" s="2244"/>
      <c r="U201" s="2244"/>
      <c r="V201" s="2244"/>
      <c r="W201" s="2244"/>
      <c r="X201" s="2245">
        <v>0.03</v>
      </c>
      <c r="Y201" s="2245"/>
      <c r="Z201" s="2245"/>
      <c r="AA201" s="2245"/>
      <c r="AB201" s="2245"/>
      <c r="AC201" s="2245"/>
      <c r="AD201" s="2245"/>
      <c r="AE201" s="22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3" t="s">
        <v>855</v>
      </c>
      <c r="D202" s="2243"/>
      <c r="E202" s="2243"/>
      <c r="F202" s="2243"/>
      <c r="G202" s="2243"/>
      <c r="H202" s="2243"/>
      <c r="I202" s="2243"/>
      <c r="J202" s="2243"/>
      <c r="K202" s="2243"/>
      <c r="L202" s="2243"/>
      <c r="M202" s="2243"/>
      <c r="N202" s="2243"/>
      <c r="O202" s="2244" t="s">
        <v>2307</v>
      </c>
      <c r="P202" s="2244"/>
      <c r="Q202" s="2244"/>
      <c r="R202" s="2244"/>
      <c r="S202" s="2244"/>
      <c r="T202" s="2244"/>
      <c r="U202" s="2244"/>
      <c r="V202" s="2244"/>
      <c r="W202" s="2244"/>
      <c r="X202" s="2245">
        <v>0.03</v>
      </c>
      <c r="Y202" s="2245"/>
      <c r="Z202" s="2245"/>
      <c r="AA202" s="2245"/>
      <c r="AB202" s="2245"/>
      <c r="AC202" s="2245"/>
      <c r="AD202" s="2245"/>
      <c r="AE202" s="22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3" t="s">
        <v>2306</v>
      </c>
      <c r="D203" s="2243"/>
      <c r="E203" s="2243"/>
      <c r="F203" s="2243"/>
      <c r="G203" s="2243"/>
      <c r="H203" s="2243"/>
      <c r="I203" s="2243"/>
      <c r="J203" s="2243"/>
      <c r="K203" s="2243"/>
      <c r="L203" s="2243"/>
      <c r="M203" s="2243"/>
      <c r="N203" s="2243"/>
      <c r="O203" s="2246">
        <f>SUM(O201:W202)</f>
        <v>0</v>
      </c>
      <c r="P203" s="2247"/>
      <c r="Q203" s="2247"/>
      <c r="R203" s="2247"/>
      <c r="S203" s="2247"/>
      <c r="T203" s="2247"/>
      <c r="U203" s="2247"/>
      <c r="V203" s="2247"/>
      <c r="W203" s="2247"/>
      <c r="X203" s="2247" t="s">
        <v>2305</v>
      </c>
      <c r="Y203" s="2247"/>
      <c r="Z203" s="2247"/>
      <c r="AA203" s="2247"/>
      <c r="AB203" s="2247"/>
      <c r="AC203" s="2247"/>
      <c r="AD203" s="2247"/>
      <c r="AE203" s="22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3" t="s">
        <v>2304</v>
      </c>
      <c r="D204" s="2253"/>
      <c r="E204" s="2253"/>
      <c r="F204" s="2253"/>
      <c r="G204" s="2253"/>
      <c r="H204" s="2253"/>
      <c r="I204" s="2253"/>
      <c r="J204" s="2253"/>
      <c r="K204" s="2253"/>
      <c r="L204" s="2253"/>
      <c r="M204" s="2253"/>
      <c r="N204" s="2253"/>
      <c r="O204" s="2253"/>
      <c r="P204" s="2253"/>
      <c r="Q204" s="2253"/>
      <c r="R204" s="2253"/>
      <c r="S204" s="2253"/>
      <c r="T204" s="2253"/>
      <c r="U204" s="2253"/>
      <c r="V204" s="2253"/>
      <c r="W204" s="2253"/>
      <c r="X204" s="2253"/>
      <c r="Y204" s="2253"/>
      <c r="Z204" s="2253"/>
      <c r="AA204" s="2253"/>
      <c r="AB204" s="2253"/>
      <c r="AC204" s="2253"/>
      <c r="AD204" s="2253"/>
      <c r="AE204" s="225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4" t="s">
        <v>2303</v>
      </c>
      <c r="D206" s="2255"/>
      <c r="E206" s="2255"/>
      <c r="F206" s="2255"/>
      <c r="G206" s="2255"/>
      <c r="H206" s="2255"/>
      <c r="I206" s="2255"/>
      <c r="J206" s="2255"/>
      <c r="K206" s="2255"/>
      <c r="L206" s="2255"/>
      <c r="M206" s="2255"/>
      <c r="N206" s="2255"/>
      <c r="O206" s="2255"/>
      <c r="P206" s="2255"/>
      <c r="Q206" s="2255"/>
      <c r="R206" s="2255"/>
      <c r="S206" s="2255"/>
      <c r="T206" s="2255"/>
      <c r="U206" s="2255"/>
      <c r="V206" s="2255"/>
      <c r="W206" s="2255"/>
      <c r="X206" s="2255"/>
      <c r="Y206" s="2255"/>
      <c r="Z206" s="2255"/>
      <c r="AA206" s="2255"/>
      <c r="AB206" s="2255"/>
      <c r="AC206" s="2255"/>
      <c r="AD206" s="2255"/>
      <c r="AE206" s="2255"/>
      <c r="AF206" s="2255"/>
      <c r="AG206" s="2255"/>
      <c r="AH206" s="2255"/>
      <c r="AI206" s="2255"/>
      <c r="AJ206" s="2255"/>
      <c r="AK206" s="225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7" t="s">
        <v>2302</v>
      </c>
      <c r="D207" s="2258"/>
      <c r="E207" s="2258"/>
      <c r="F207" s="2259"/>
      <c r="G207" s="2263" t="s">
        <v>2301</v>
      </c>
      <c r="H207" s="2258"/>
      <c r="I207" s="2258"/>
      <c r="J207" s="2258"/>
      <c r="K207" s="2258"/>
      <c r="L207" s="2258"/>
      <c r="M207" s="2258"/>
      <c r="N207" s="2258"/>
      <c r="O207" s="2259"/>
      <c r="P207" s="2265" t="s">
        <v>2300</v>
      </c>
      <c r="Q207" s="2266"/>
      <c r="R207" s="2266"/>
      <c r="S207" s="2266"/>
      <c r="T207" s="2267"/>
      <c r="U207" s="2271" t="s">
        <v>2299</v>
      </c>
      <c r="V207" s="2272"/>
      <c r="W207" s="2272"/>
      <c r="X207" s="2273"/>
      <c r="Y207" s="2271" t="s">
        <v>2298</v>
      </c>
      <c r="Z207" s="2272"/>
      <c r="AA207" s="2272"/>
      <c r="AB207" s="2273"/>
      <c r="AC207" s="2271" t="s">
        <v>2297</v>
      </c>
      <c r="AD207" s="2272"/>
      <c r="AE207" s="2272"/>
      <c r="AF207" s="2273"/>
      <c r="AG207" s="2263" t="s">
        <v>2296</v>
      </c>
      <c r="AH207" s="2258"/>
      <c r="AI207" s="2258"/>
      <c r="AJ207" s="2258"/>
      <c r="AK207" s="227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0"/>
      <c r="D208" s="2261"/>
      <c r="E208" s="2261"/>
      <c r="F208" s="2262"/>
      <c r="G208" s="2264"/>
      <c r="H208" s="2261"/>
      <c r="I208" s="2261"/>
      <c r="J208" s="2261"/>
      <c r="K208" s="2261"/>
      <c r="L208" s="2261"/>
      <c r="M208" s="2261"/>
      <c r="N208" s="2261"/>
      <c r="O208" s="2262"/>
      <c r="P208" s="2268"/>
      <c r="Q208" s="2269"/>
      <c r="R208" s="2269"/>
      <c r="S208" s="2269"/>
      <c r="T208" s="2270"/>
      <c r="U208" s="2274"/>
      <c r="V208" s="2275"/>
      <c r="W208" s="2275"/>
      <c r="X208" s="2276"/>
      <c r="Y208" s="2274"/>
      <c r="Z208" s="2275"/>
      <c r="AA208" s="2275"/>
      <c r="AB208" s="2276"/>
      <c r="AC208" s="2274"/>
      <c r="AD208" s="2275"/>
      <c r="AE208" s="2275"/>
      <c r="AF208" s="2276"/>
      <c r="AG208" s="2264"/>
      <c r="AH208" s="2261"/>
      <c r="AI208" s="2261"/>
      <c r="AJ208" s="2261"/>
      <c r="AK208" s="227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2">
        <v>1</v>
      </c>
      <c r="D209" s="2283"/>
      <c r="E209" s="2283"/>
      <c r="F209" s="2283"/>
      <c r="G209" s="2284" t="s">
        <v>1885</v>
      </c>
      <c r="H209" s="2284"/>
      <c r="I209" s="2284"/>
      <c r="J209" s="2284"/>
      <c r="K209" s="2284"/>
      <c r="L209" s="2284"/>
      <c r="M209" s="2284"/>
      <c r="N209" s="2284"/>
      <c r="O209" s="2284"/>
      <c r="P209" s="2285"/>
      <c r="Q209" s="2288"/>
      <c r="R209" s="2288"/>
      <c r="S209" s="2288"/>
      <c r="T209" s="2288"/>
      <c r="U209" s="2286" t="s">
        <v>1885</v>
      </c>
      <c r="V209" s="2286"/>
      <c r="W209" s="2286"/>
      <c r="X209" s="2286"/>
      <c r="Y209" s="2286" t="s">
        <v>1885</v>
      </c>
      <c r="Z209" s="2286"/>
      <c r="AA209" s="2286"/>
      <c r="AB209" s="2286"/>
      <c r="AC209" s="2287" t="s">
        <v>1885</v>
      </c>
      <c r="AD209" s="2287"/>
      <c r="AE209" s="2287"/>
      <c r="AF209" s="2287"/>
      <c r="AG209" s="2279"/>
      <c r="AH209" s="2280"/>
      <c r="AI209" s="2280"/>
      <c r="AJ209" s="2280"/>
      <c r="AK209" s="228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2">
        <v>2</v>
      </c>
      <c r="D210" s="2283"/>
      <c r="E210" s="2283"/>
      <c r="F210" s="2283"/>
      <c r="G210" s="2284" t="s">
        <v>1885</v>
      </c>
      <c r="H210" s="2284"/>
      <c r="I210" s="2284"/>
      <c r="J210" s="2284"/>
      <c r="K210" s="2284"/>
      <c r="L210" s="2284"/>
      <c r="M210" s="2284"/>
      <c r="N210" s="2284"/>
      <c r="O210" s="2284"/>
      <c r="P210" s="2285"/>
      <c r="Q210" s="2285"/>
      <c r="R210" s="2285"/>
      <c r="S210" s="2285"/>
      <c r="T210" s="2285"/>
      <c r="U210" s="2286" t="s">
        <v>1885</v>
      </c>
      <c r="V210" s="2286"/>
      <c r="W210" s="2286"/>
      <c r="X210" s="2286"/>
      <c r="Y210" s="2286" t="s">
        <v>1885</v>
      </c>
      <c r="Z210" s="2286"/>
      <c r="AA210" s="2286"/>
      <c r="AB210" s="2286"/>
      <c r="AC210" s="2287" t="s">
        <v>1885</v>
      </c>
      <c r="AD210" s="2287"/>
      <c r="AE210" s="2287"/>
      <c r="AF210" s="2287"/>
      <c r="AG210" s="2279"/>
      <c r="AH210" s="2280"/>
      <c r="AI210" s="2280"/>
      <c r="AJ210" s="2280"/>
      <c r="AK210" s="228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2">
        <v>3</v>
      </c>
      <c r="D211" s="2283"/>
      <c r="E211" s="2283"/>
      <c r="F211" s="2283"/>
      <c r="G211" s="2284" t="s">
        <v>1885</v>
      </c>
      <c r="H211" s="2284"/>
      <c r="I211" s="2284"/>
      <c r="J211" s="2284"/>
      <c r="K211" s="2284"/>
      <c r="L211" s="2284"/>
      <c r="M211" s="2284"/>
      <c r="N211" s="2284"/>
      <c r="O211" s="2284"/>
      <c r="P211" s="2285"/>
      <c r="Q211" s="2285"/>
      <c r="R211" s="2285"/>
      <c r="S211" s="2285"/>
      <c r="T211" s="2285"/>
      <c r="U211" s="2286" t="s">
        <v>1885</v>
      </c>
      <c r="V211" s="2286"/>
      <c r="W211" s="2286"/>
      <c r="X211" s="2286"/>
      <c r="Y211" s="2286" t="s">
        <v>1885</v>
      </c>
      <c r="Z211" s="2286"/>
      <c r="AA211" s="2286"/>
      <c r="AB211" s="2286"/>
      <c r="AC211" s="2287" t="s">
        <v>1885</v>
      </c>
      <c r="AD211" s="2287"/>
      <c r="AE211" s="2287"/>
      <c r="AF211" s="2287"/>
      <c r="AG211" s="2279"/>
      <c r="AH211" s="2280"/>
      <c r="AI211" s="2280"/>
      <c r="AJ211" s="2280"/>
      <c r="AK211" s="228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2">
        <v>4</v>
      </c>
      <c r="D212" s="2283"/>
      <c r="E212" s="2283"/>
      <c r="F212" s="2283"/>
      <c r="G212" s="2284" t="s">
        <v>1885</v>
      </c>
      <c r="H212" s="2284"/>
      <c r="I212" s="2284"/>
      <c r="J212" s="2284"/>
      <c r="K212" s="2284"/>
      <c r="L212" s="2284"/>
      <c r="M212" s="2284"/>
      <c r="N212" s="2284"/>
      <c r="O212" s="2284"/>
      <c r="P212" s="2285"/>
      <c r="Q212" s="2285"/>
      <c r="R212" s="2285"/>
      <c r="S212" s="2285"/>
      <c r="T212" s="2285"/>
      <c r="U212" s="2286" t="s">
        <v>1885</v>
      </c>
      <c r="V212" s="2286"/>
      <c r="W212" s="2286"/>
      <c r="X212" s="2286"/>
      <c r="Y212" s="2286" t="s">
        <v>1885</v>
      </c>
      <c r="Z212" s="2286"/>
      <c r="AA212" s="2286"/>
      <c r="AB212" s="2286"/>
      <c r="AC212" s="2287" t="s">
        <v>1885</v>
      </c>
      <c r="AD212" s="2287"/>
      <c r="AE212" s="2287"/>
      <c r="AF212" s="2287"/>
      <c r="AG212" s="2279"/>
      <c r="AH212" s="2280"/>
      <c r="AI212" s="2280"/>
      <c r="AJ212" s="2280"/>
      <c r="AK212" s="228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2">
        <v>5</v>
      </c>
      <c r="D213" s="2283"/>
      <c r="E213" s="2283"/>
      <c r="F213" s="2283"/>
      <c r="G213" s="2284" t="s">
        <v>1885</v>
      </c>
      <c r="H213" s="2284"/>
      <c r="I213" s="2284"/>
      <c r="J213" s="2284"/>
      <c r="K213" s="2284"/>
      <c r="L213" s="2284"/>
      <c r="M213" s="2284"/>
      <c r="N213" s="2284"/>
      <c r="O213" s="2284"/>
      <c r="P213" s="2285"/>
      <c r="Q213" s="2285"/>
      <c r="R213" s="2285"/>
      <c r="S213" s="2285"/>
      <c r="T213" s="2285"/>
      <c r="U213" s="2286" t="s">
        <v>1885</v>
      </c>
      <c r="V213" s="2286"/>
      <c r="W213" s="2286"/>
      <c r="X213" s="2286"/>
      <c r="Y213" s="2286" t="s">
        <v>1885</v>
      </c>
      <c r="Z213" s="2286"/>
      <c r="AA213" s="2286"/>
      <c r="AB213" s="2286"/>
      <c r="AC213" s="2287" t="s">
        <v>1885</v>
      </c>
      <c r="AD213" s="2287"/>
      <c r="AE213" s="2287"/>
      <c r="AF213" s="2287"/>
      <c r="AG213" s="2279"/>
      <c r="AH213" s="2280"/>
      <c r="AI213" s="2280"/>
      <c r="AJ213" s="2280"/>
      <c r="AK213" s="228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2">
        <v>6</v>
      </c>
      <c r="D214" s="2283"/>
      <c r="E214" s="2283"/>
      <c r="F214" s="2283"/>
      <c r="G214" s="2284" t="s">
        <v>1885</v>
      </c>
      <c r="H214" s="2284"/>
      <c r="I214" s="2284"/>
      <c r="J214" s="2284"/>
      <c r="K214" s="2284"/>
      <c r="L214" s="2284"/>
      <c r="M214" s="2284"/>
      <c r="N214" s="2284"/>
      <c r="O214" s="2284"/>
      <c r="P214" s="2285"/>
      <c r="Q214" s="2285"/>
      <c r="R214" s="2285"/>
      <c r="S214" s="2285"/>
      <c r="T214" s="2285"/>
      <c r="U214" s="2286"/>
      <c r="V214" s="2286"/>
      <c r="W214" s="2286"/>
      <c r="X214" s="2286"/>
      <c r="Y214" s="2286"/>
      <c r="Z214" s="2286"/>
      <c r="AA214" s="2286"/>
      <c r="AB214" s="2286"/>
      <c r="AC214" s="2287" t="s">
        <v>1885</v>
      </c>
      <c r="AD214" s="2287"/>
      <c r="AE214" s="2287"/>
      <c r="AF214" s="2287"/>
      <c r="AG214" s="2279"/>
      <c r="AH214" s="2280"/>
      <c r="AI214" s="2280"/>
      <c r="AJ214" s="2280"/>
      <c r="AK214" s="228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2">
        <v>7</v>
      </c>
      <c r="D215" s="2283"/>
      <c r="E215" s="2283"/>
      <c r="F215" s="2283"/>
      <c r="G215" s="2284"/>
      <c r="H215" s="2284"/>
      <c r="I215" s="2284"/>
      <c r="J215" s="2284"/>
      <c r="K215" s="2284"/>
      <c r="L215" s="2284"/>
      <c r="M215" s="2284"/>
      <c r="N215" s="2284"/>
      <c r="O215" s="2284"/>
      <c r="P215" s="2285"/>
      <c r="Q215" s="2285"/>
      <c r="R215" s="2285"/>
      <c r="S215" s="2285"/>
      <c r="T215" s="2285"/>
      <c r="U215" s="2286"/>
      <c r="V215" s="2286"/>
      <c r="W215" s="2286"/>
      <c r="X215" s="2286"/>
      <c r="Y215" s="2286"/>
      <c r="Z215" s="2286"/>
      <c r="AA215" s="2286"/>
      <c r="AB215" s="2286"/>
      <c r="AC215" s="2287" t="s">
        <v>1885</v>
      </c>
      <c r="AD215" s="2287"/>
      <c r="AE215" s="2287"/>
      <c r="AF215" s="2287"/>
      <c r="AG215" s="2279"/>
      <c r="AH215" s="2280"/>
      <c r="AI215" s="2280"/>
      <c r="AJ215" s="2280"/>
      <c r="AK215" s="228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1" t="s">
        <v>2295</v>
      </c>
      <c r="D216" s="2302"/>
      <c r="E216" s="2302"/>
      <c r="F216" s="2302"/>
      <c r="G216" s="2302"/>
      <c r="H216" s="2302"/>
      <c r="I216" s="2302"/>
      <c r="J216" s="2302"/>
      <c r="K216" s="2302"/>
      <c r="L216" s="2302"/>
      <c r="M216" s="2302"/>
      <c r="N216" s="2302"/>
      <c r="O216" s="2302"/>
      <c r="P216" s="2303"/>
      <c r="Q216" s="2303"/>
      <c r="R216" s="2303"/>
      <c r="S216" s="2303"/>
      <c r="T216" s="2303"/>
      <c r="U216" s="2304">
        <f>-SUM(U209:U215)</f>
        <v>0</v>
      </c>
      <c r="V216" s="2304"/>
      <c r="W216" s="2304"/>
      <c r="X216" s="2304"/>
      <c r="Y216" s="2304">
        <f>-SUM(Y209:Y215)</f>
        <v>0</v>
      </c>
      <c r="Z216" s="2304"/>
      <c r="AA216" s="2304"/>
      <c r="AB216" s="2304"/>
      <c r="AC216" s="2305">
        <f>-SUM(AC209:AC215)</f>
        <v>0</v>
      </c>
      <c r="AD216" s="2305"/>
      <c r="AE216" s="2305"/>
      <c r="AF216" s="2305"/>
      <c r="AG216" s="2306"/>
      <c r="AH216" s="2307"/>
      <c r="AI216" s="2307"/>
      <c r="AJ216" s="2307"/>
      <c r="AK216" s="230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9" t="s">
        <v>2293</v>
      </c>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1"/>
      <c r="BE221" s="1194"/>
    </row>
    <row r="222" spans="1:57" ht="15.75" customHeight="1">
      <c r="A222" s="1190"/>
      <c r="B222" s="2292"/>
      <c r="C222" s="2293"/>
      <c r="D222" s="2293"/>
      <c r="E222" s="2293"/>
      <c r="F222" s="2293"/>
      <c r="G222" s="2293"/>
      <c r="H222" s="2293"/>
      <c r="I222" s="2293"/>
      <c r="J222" s="2293"/>
      <c r="K222" s="2293"/>
      <c r="L222" s="2293"/>
      <c r="M222" s="2293"/>
      <c r="N222" s="2293"/>
      <c r="O222" s="2293"/>
      <c r="P222" s="2293"/>
      <c r="Q222" s="2293"/>
      <c r="R222" s="2293"/>
      <c r="S222" s="2293"/>
      <c r="T222" s="2293"/>
      <c r="U222" s="2293"/>
      <c r="V222" s="2293"/>
      <c r="W222" s="2293"/>
      <c r="X222" s="2293"/>
      <c r="Y222" s="2293"/>
      <c r="Z222" s="2293"/>
      <c r="AA222" s="2293"/>
      <c r="AB222" s="2293"/>
      <c r="AC222" s="2293"/>
      <c r="AD222" s="2293"/>
      <c r="AE222" s="2293"/>
      <c r="AF222" s="2293"/>
      <c r="AG222" s="2293"/>
      <c r="AH222" s="2293"/>
      <c r="AI222" s="2293"/>
      <c r="AJ222" s="2293"/>
      <c r="AK222" s="2293"/>
      <c r="AL222" s="2293"/>
      <c r="AM222" s="2293"/>
      <c r="AN222" s="2293"/>
      <c r="AO222" s="2293"/>
      <c r="AP222" s="2293"/>
      <c r="AQ222" s="2293"/>
      <c r="AR222" s="2293"/>
      <c r="AS222" s="2293"/>
      <c r="AT222" s="2293"/>
      <c r="AU222" s="2293"/>
      <c r="AV222" s="2293"/>
      <c r="AW222" s="2293"/>
      <c r="AX222" s="2293"/>
      <c r="AY222" s="2293"/>
      <c r="AZ222" s="2293"/>
      <c r="BA222" s="2293"/>
      <c r="BB222" s="2293"/>
      <c r="BC222" s="2293"/>
      <c r="BD222" s="2294"/>
      <c r="BE222" s="1194"/>
    </row>
    <row r="223" spans="1:57" ht="15.75" customHeight="1">
      <c r="A223" s="1190"/>
      <c r="B223" s="2295" t="s">
        <v>2292</v>
      </c>
      <c r="C223" s="2296"/>
      <c r="D223" s="2296"/>
      <c r="E223" s="2296"/>
      <c r="F223" s="2296"/>
      <c r="G223" s="2296"/>
      <c r="H223" s="2296"/>
      <c r="I223" s="2296"/>
      <c r="J223" s="2296"/>
      <c r="K223" s="2296"/>
      <c r="L223" s="2296"/>
      <c r="M223" s="2296"/>
      <c r="N223" s="2296"/>
      <c r="O223" s="2296"/>
      <c r="P223" s="2296"/>
      <c r="Q223" s="2296"/>
      <c r="R223" s="2296"/>
      <c r="S223" s="2296"/>
      <c r="T223" s="2296"/>
      <c r="U223" s="2296"/>
      <c r="V223" s="2296"/>
      <c r="W223" s="2296"/>
      <c r="X223" s="2296"/>
      <c r="Y223" s="2296"/>
      <c r="Z223" s="2296"/>
      <c r="AA223" s="2296"/>
      <c r="AB223" s="2296"/>
      <c r="AC223" s="2296"/>
      <c r="AD223" s="2296"/>
      <c r="AE223" s="2296"/>
      <c r="AF223" s="2296"/>
      <c r="AG223" s="2296"/>
      <c r="AH223" s="2296"/>
      <c r="AI223" s="2296"/>
      <c r="AJ223" s="2296"/>
      <c r="AK223" s="2296"/>
      <c r="AL223" s="2296"/>
      <c r="AM223" s="2296"/>
      <c r="AN223" s="2296"/>
      <c r="AO223" s="2296"/>
      <c r="AP223" s="2296"/>
      <c r="AQ223" s="2296"/>
      <c r="AR223" s="2296"/>
      <c r="AS223" s="2296"/>
      <c r="AT223" s="2296"/>
      <c r="AU223" s="2296"/>
      <c r="AV223" s="2296"/>
      <c r="AW223" s="2296"/>
      <c r="AX223" s="2296"/>
      <c r="AY223" s="2296"/>
      <c r="AZ223" s="2296"/>
      <c r="BA223" s="2296"/>
      <c r="BB223" s="2296"/>
      <c r="BC223" s="2296"/>
      <c r="BD223" s="2297"/>
      <c r="BE223" s="1194"/>
    </row>
    <row r="224" spans="1:57" ht="15.75" customHeight="1">
      <c r="A224" s="1190"/>
      <c r="B224" s="2295" t="s">
        <v>2291</v>
      </c>
      <c r="C224" s="2296"/>
      <c r="D224" s="2296"/>
      <c r="E224" s="2296"/>
      <c r="F224" s="2296"/>
      <c r="G224" s="2296"/>
      <c r="H224" s="2296"/>
      <c r="I224" s="2296"/>
      <c r="J224" s="2296"/>
      <c r="K224" s="2296"/>
      <c r="L224" s="2296"/>
      <c r="M224" s="2296"/>
      <c r="N224" s="2296"/>
      <c r="O224" s="2296"/>
      <c r="P224" s="2296"/>
      <c r="Q224" s="2296"/>
      <c r="R224" s="2296"/>
      <c r="S224" s="2296"/>
      <c r="T224" s="2296"/>
      <c r="U224" s="2296"/>
      <c r="V224" s="2296"/>
      <c r="W224" s="2296"/>
      <c r="X224" s="2296"/>
      <c r="Y224" s="2296"/>
      <c r="Z224" s="2296"/>
      <c r="AA224" s="2296"/>
      <c r="AB224" s="2296"/>
      <c r="AC224" s="2296"/>
      <c r="AD224" s="2296"/>
      <c r="AE224" s="2296"/>
      <c r="AF224" s="2296"/>
      <c r="AG224" s="2296"/>
      <c r="AH224" s="2296"/>
      <c r="AI224" s="2296"/>
      <c r="AJ224" s="2296"/>
      <c r="AK224" s="2296"/>
      <c r="AL224" s="2296"/>
      <c r="AM224" s="2296"/>
      <c r="AN224" s="2296"/>
      <c r="AO224" s="2296"/>
      <c r="AP224" s="2296"/>
      <c r="AQ224" s="2296"/>
      <c r="AR224" s="2296"/>
      <c r="AS224" s="2296"/>
      <c r="AT224" s="2296"/>
      <c r="AU224" s="2296"/>
      <c r="AV224" s="2296"/>
      <c r="AW224" s="2296"/>
      <c r="AX224" s="2296"/>
      <c r="AY224" s="2296"/>
      <c r="AZ224" s="2296"/>
      <c r="BA224" s="2296"/>
      <c r="BB224" s="2296"/>
      <c r="BC224" s="2296"/>
      <c r="BD224" s="22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8" t="s">
        <v>2290</v>
      </c>
      <c r="C226" s="2188"/>
      <c r="D226" s="2188"/>
      <c r="E226" s="2188"/>
      <c r="F226" s="2188"/>
      <c r="G226" s="2188"/>
      <c r="H226" s="2188"/>
      <c r="I226" s="2188"/>
      <c r="J226" s="2188"/>
      <c r="K226" s="2188"/>
      <c r="L226" s="2188"/>
      <c r="M226" s="2188"/>
      <c r="N226" s="2188"/>
      <c r="O226" s="2188"/>
      <c r="P226" s="2188"/>
      <c r="Q226" s="2188"/>
      <c r="R226" s="2188"/>
      <c r="S226" s="2188"/>
      <c r="T226" s="2188"/>
      <c r="U226" s="2188"/>
      <c r="V226" s="2188"/>
      <c r="W226" s="2188"/>
      <c r="X226" s="2188"/>
      <c r="Y226" s="2188"/>
      <c r="Z226" s="2188"/>
      <c r="AA226" s="2188"/>
      <c r="AB226" s="2188"/>
      <c r="AC226" s="2188"/>
      <c r="AD226" s="2188"/>
      <c r="AE226" s="2188"/>
      <c r="AF226" s="2188"/>
      <c r="AG226" s="2188"/>
      <c r="AH226" s="2188"/>
      <c r="AI226" s="2188"/>
      <c r="AJ226" s="2188"/>
      <c r="AK226" s="2188"/>
      <c r="AL226" s="2188"/>
      <c r="AM226" s="2188"/>
      <c r="AN226" s="2188"/>
      <c r="AO226" s="2188"/>
      <c r="AP226" s="2188"/>
      <c r="AQ226" s="2188"/>
      <c r="AR226" s="2188"/>
      <c r="AS226" s="2188"/>
      <c r="AT226" s="2188"/>
      <c r="AU226" s="2188"/>
      <c r="AV226" s="2188"/>
      <c r="AW226" s="2188"/>
      <c r="AX226" s="2188"/>
      <c r="AY226" s="2188"/>
      <c r="AZ226" s="2188"/>
      <c r="BA226" s="2188"/>
      <c r="BB226" s="2188"/>
      <c r="BC226" s="2188"/>
      <c r="BD226" s="22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0" t="s">
        <v>2288</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8" t="s">
        <v>2287</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2318"/>
      <c r="AX232" s="2318"/>
      <c r="AY232" s="2318"/>
      <c r="AZ232" s="2318"/>
      <c r="BA232" s="1190"/>
      <c r="BB232" s="1190"/>
      <c r="BC232" s="1190"/>
      <c r="BD232" s="1194"/>
      <c r="BE232" s="1194"/>
    </row>
    <row r="233" spans="1:57" ht="15.75" customHeight="1">
      <c r="A233" s="1190"/>
      <c r="B233" s="1189"/>
      <c r="C233" s="1190"/>
      <c r="D233" s="1190"/>
      <c r="E233" s="1190"/>
      <c r="F233" s="1190"/>
      <c r="G233" s="1190"/>
      <c r="H233" s="2318"/>
      <c r="I233" s="2318"/>
      <c r="J233" s="2318"/>
      <c r="K233" s="2318"/>
      <c r="L233" s="2318"/>
      <c r="M233" s="2318"/>
      <c r="N233" s="2318"/>
      <c r="O233" s="2318"/>
      <c r="P233" s="2318"/>
      <c r="Q233" s="2318"/>
      <c r="R233" s="2318"/>
      <c r="S233" s="2318"/>
      <c r="T233" s="2318"/>
      <c r="U233" s="2318"/>
      <c r="V233" s="2318"/>
      <c r="W233" s="2318"/>
      <c r="X233" s="2318"/>
      <c r="Y233" s="2318"/>
      <c r="Z233" s="2318"/>
      <c r="AA233" s="2318"/>
      <c r="AB233" s="2318"/>
      <c r="AC233" s="2318"/>
      <c r="AD233" s="2318"/>
      <c r="AE233" s="2318"/>
      <c r="AF233" s="2318"/>
      <c r="AG233" s="2318"/>
      <c r="AH233" s="2318"/>
      <c r="AI233" s="2318"/>
      <c r="AJ233" s="2318"/>
      <c r="AK233" s="2318"/>
      <c r="AL233" s="2318"/>
      <c r="AM233" s="2318"/>
      <c r="AN233" s="2318"/>
      <c r="AO233" s="2318"/>
      <c r="AP233" s="2318"/>
      <c r="AQ233" s="2318"/>
      <c r="AR233" s="2318"/>
      <c r="AS233" s="2318"/>
      <c r="AT233" s="2318"/>
      <c r="AU233" s="2318"/>
      <c r="AV233" s="2318"/>
      <c r="AW233" s="2318"/>
      <c r="AX233" s="2318"/>
      <c r="AY233" s="2318"/>
      <c r="AZ233" s="2318"/>
      <c r="BA233" s="1190"/>
      <c r="BB233" s="1190"/>
      <c r="BC233" s="1190"/>
      <c r="BD233" s="1194"/>
      <c r="BE233" s="1194"/>
    </row>
    <row r="234" spans="1:57" ht="15.75" customHeight="1">
      <c r="A234" s="1190"/>
      <c r="B234" s="1189"/>
      <c r="C234" s="1190"/>
      <c r="D234" s="1190"/>
      <c r="E234" s="1190"/>
      <c r="F234" s="1190"/>
      <c r="G234" s="1190"/>
      <c r="H234" s="2318"/>
      <c r="I234" s="2318"/>
      <c r="J234" s="2318"/>
      <c r="K234" s="2318"/>
      <c r="L234" s="2318"/>
      <c r="M234" s="2318"/>
      <c r="N234" s="2318"/>
      <c r="O234" s="2318"/>
      <c r="P234" s="2318"/>
      <c r="Q234" s="2318"/>
      <c r="R234" s="2318"/>
      <c r="S234" s="2318"/>
      <c r="T234" s="2318"/>
      <c r="U234" s="2318"/>
      <c r="V234" s="2318"/>
      <c r="W234" s="2318"/>
      <c r="X234" s="2318"/>
      <c r="Y234" s="2318"/>
      <c r="Z234" s="2318"/>
      <c r="AA234" s="2318"/>
      <c r="AB234" s="2318"/>
      <c r="AC234" s="2318"/>
      <c r="AD234" s="2318"/>
      <c r="AE234" s="2318"/>
      <c r="AF234" s="2318"/>
      <c r="AG234" s="2318"/>
      <c r="AH234" s="2318"/>
      <c r="AI234" s="2318"/>
      <c r="AJ234" s="2318"/>
      <c r="AK234" s="2318"/>
      <c r="AL234" s="2318"/>
      <c r="AM234" s="2318"/>
      <c r="AN234" s="2318"/>
      <c r="AO234" s="2318"/>
      <c r="AP234" s="2318"/>
      <c r="AQ234" s="2318"/>
      <c r="AR234" s="2318"/>
      <c r="AS234" s="2318"/>
      <c r="AT234" s="2318"/>
      <c r="AU234" s="2318"/>
      <c r="AV234" s="2318"/>
      <c r="AW234" s="2318"/>
      <c r="AX234" s="2318"/>
      <c r="AY234" s="2318"/>
      <c r="AZ234" s="2318"/>
      <c r="BA234" s="1190"/>
      <c r="BB234" s="1190"/>
      <c r="BC234" s="1190"/>
      <c r="BD234" s="1194"/>
      <c r="BE234" s="1194"/>
    </row>
    <row r="235" spans="1:57" ht="15.75" customHeight="1">
      <c r="A235" s="1190"/>
      <c r="B235" s="1189"/>
      <c r="C235" s="1190"/>
      <c r="D235" s="1190"/>
      <c r="E235" s="1190"/>
      <c r="F235" s="1190"/>
      <c r="G235" s="1190"/>
      <c r="H235" s="2318"/>
      <c r="I235" s="2318"/>
      <c r="J235" s="2318"/>
      <c r="K235" s="2318"/>
      <c r="L235" s="2318"/>
      <c r="M235" s="2318"/>
      <c r="N235" s="2318"/>
      <c r="O235" s="2318"/>
      <c r="P235" s="2318"/>
      <c r="Q235" s="2318"/>
      <c r="R235" s="2318"/>
      <c r="S235" s="2318"/>
      <c r="T235" s="2318"/>
      <c r="U235" s="2318"/>
      <c r="V235" s="2318"/>
      <c r="W235" s="2318"/>
      <c r="X235" s="2318"/>
      <c r="Y235" s="2318"/>
      <c r="Z235" s="2318"/>
      <c r="AA235" s="2318"/>
      <c r="AB235" s="2318"/>
      <c r="AC235" s="2318"/>
      <c r="AD235" s="2318"/>
      <c r="AE235" s="2318"/>
      <c r="AF235" s="2318"/>
      <c r="AG235" s="2318"/>
      <c r="AH235" s="2318"/>
      <c r="AI235" s="2318"/>
      <c r="AJ235" s="2318"/>
      <c r="AK235" s="2318"/>
      <c r="AL235" s="2318"/>
      <c r="AM235" s="2318"/>
      <c r="AN235" s="2318"/>
      <c r="AO235" s="2318"/>
      <c r="AP235" s="2318"/>
      <c r="AQ235" s="2318"/>
      <c r="AR235" s="2318"/>
      <c r="AS235" s="2318"/>
      <c r="AT235" s="2318"/>
      <c r="AU235" s="2318"/>
      <c r="AV235" s="2318"/>
      <c r="AW235" s="2318"/>
      <c r="AX235" s="2318"/>
      <c r="AY235" s="2318"/>
      <c r="AZ235" s="231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9" t="s">
        <v>2286</v>
      </c>
      <c r="I237" s="2319"/>
      <c r="J237" s="2319"/>
      <c r="K237" s="2319"/>
      <c r="L237" s="2319"/>
      <c r="M237" s="2319"/>
      <c r="N237" s="2319"/>
      <c r="O237" s="2319"/>
      <c r="P237" s="2319"/>
      <c r="Q237" s="2319"/>
      <c r="R237" s="2319"/>
      <c r="S237" s="2319"/>
      <c r="T237" s="2319"/>
      <c r="U237" s="2319"/>
      <c r="V237" s="2319"/>
      <c r="W237" s="2319"/>
      <c r="X237" s="2319"/>
      <c r="Y237" s="2319"/>
      <c r="Z237" s="2319"/>
      <c r="AA237" s="2319"/>
      <c r="AB237" s="2319"/>
      <c r="AC237" s="2319"/>
      <c r="AD237" s="2319"/>
      <c r="AE237" s="2319"/>
      <c r="AF237" s="2319"/>
      <c r="AG237" s="2319"/>
      <c r="AH237" s="2319"/>
      <c r="AI237" s="2319"/>
      <c r="AJ237" s="2319"/>
      <c r="AK237" s="2319"/>
      <c r="AL237" s="2319"/>
      <c r="AM237" s="2319"/>
      <c r="AN237" s="2319"/>
      <c r="AO237" s="2319"/>
      <c r="AP237" s="2319"/>
      <c r="AQ237" s="2319"/>
      <c r="AR237" s="2319"/>
      <c r="AS237" s="2319"/>
      <c r="AT237" s="2319"/>
      <c r="AU237" s="2319"/>
      <c r="AV237" s="231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9" t="s">
        <v>2285</v>
      </c>
      <c r="I239" s="2309"/>
      <c r="J239" s="2309"/>
      <c r="K239" s="2309"/>
      <c r="L239" s="1239"/>
      <c r="M239" s="1239"/>
      <c r="N239" s="1239"/>
      <c r="O239" s="1239"/>
      <c r="P239" s="1239"/>
      <c r="Q239" s="1239"/>
      <c r="R239" s="1239"/>
      <c r="S239" s="2320"/>
      <c r="T239" s="2321"/>
      <c r="U239" s="2321"/>
      <c r="V239" s="2321"/>
      <c r="W239" s="2321"/>
      <c r="X239" s="2321"/>
      <c r="Y239" s="2321"/>
      <c r="Z239" s="2321"/>
      <c r="AA239" s="2321"/>
      <c r="AB239" s="2321"/>
      <c r="AC239" s="2321"/>
      <c r="AD239" s="2321"/>
      <c r="AE239" s="2321"/>
      <c r="AF239" s="2321"/>
      <c r="AG239" s="2321"/>
      <c r="AH239" s="2321"/>
      <c r="AI239" s="2321"/>
      <c r="AJ239" s="232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9" t="s">
        <v>2284</v>
      </c>
      <c r="I241" s="2309"/>
      <c r="J241" s="2309"/>
      <c r="K241" s="1241"/>
      <c r="L241" s="1239"/>
      <c r="M241" s="1239"/>
      <c r="N241" s="1239"/>
      <c r="O241" s="1239"/>
      <c r="P241" s="1239"/>
      <c r="Q241" s="1239"/>
      <c r="R241" s="1239"/>
      <c r="S241" s="2310"/>
      <c r="T241" s="2311"/>
      <c r="U241" s="2311"/>
      <c r="V241" s="2311"/>
      <c r="W241" s="2311"/>
      <c r="X241" s="2311"/>
      <c r="Y241" s="2311"/>
      <c r="Z241" s="2311"/>
      <c r="AA241" s="2311"/>
      <c r="AB241" s="2311"/>
      <c r="AC241" s="2311"/>
      <c r="AD241" s="2311"/>
      <c r="AE241" s="2311"/>
      <c r="AF241" s="2311"/>
      <c r="AG241" s="2311"/>
      <c r="AH241" s="2311"/>
      <c r="AI241" s="2311"/>
      <c r="AJ241" s="231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9" t="s">
        <v>442</v>
      </c>
      <c r="I243" s="2309"/>
      <c r="J243" s="1241"/>
      <c r="K243" s="1241"/>
      <c r="L243" s="1239"/>
      <c r="M243" s="1239"/>
      <c r="N243" s="1239"/>
      <c r="O243" s="1239"/>
      <c r="P243" s="1239"/>
      <c r="Q243" s="1239"/>
      <c r="R243" s="1239"/>
      <c r="S243" s="2310"/>
      <c r="T243" s="2311"/>
      <c r="U243" s="2311"/>
      <c r="V243" s="2311"/>
      <c r="W243" s="2311"/>
      <c r="X243" s="2311"/>
      <c r="Y243" s="2311"/>
      <c r="Z243" s="2311"/>
      <c r="AA243" s="2311"/>
      <c r="AB243" s="2311"/>
      <c r="AC243" s="2311"/>
      <c r="AD243" s="2311"/>
      <c r="AE243" s="2311"/>
      <c r="AF243" s="2311"/>
      <c r="AG243" s="2311"/>
      <c r="AH243" s="2311"/>
      <c r="AI243" s="2311"/>
      <c r="AJ243" s="231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3" t="s">
        <v>2283</v>
      </c>
      <c r="I245" s="2313"/>
      <c r="J245" s="2313"/>
      <c r="K245" s="2313"/>
      <c r="L245" s="2313"/>
      <c r="M245" s="2313"/>
      <c r="N245" s="2313"/>
      <c r="O245" s="2313"/>
      <c r="P245" s="1239"/>
      <c r="Q245" s="1239"/>
      <c r="R245" s="1239"/>
      <c r="S245" s="2310"/>
      <c r="T245" s="2311"/>
      <c r="U245" s="2311"/>
      <c r="V245" s="2311"/>
      <c r="W245" s="2311"/>
      <c r="X245" s="2311"/>
      <c r="Y245" s="2311"/>
      <c r="Z245" s="2311"/>
      <c r="AA245" s="2311"/>
      <c r="AB245" s="2311"/>
      <c r="AC245" s="2311"/>
      <c r="AD245" s="2311"/>
      <c r="AE245" s="2311"/>
      <c r="AF245" s="2311"/>
      <c r="AG245" s="2311"/>
      <c r="AH245" s="2311"/>
      <c r="AI245" s="2311"/>
      <c r="AJ245" s="231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4" t="s">
        <v>2282</v>
      </c>
      <c r="I247" s="2314"/>
      <c r="J247" s="1239"/>
      <c r="K247" s="1239"/>
      <c r="L247" s="1239"/>
      <c r="M247" s="1239"/>
      <c r="N247" s="1239"/>
      <c r="O247" s="1239"/>
      <c r="P247" s="1239"/>
      <c r="Q247" s="1239"/>
      <c r="R247" s="1239"/>
      <c r="S247" s="2315"/>
      <c r="T247" s="2316"/>
      <c r="U247" s="2316"/>
      <c r="V247" s="2316"/>
      <c r="W247" s="2316"/>
      <c r="X247" s="2316"/>
      <c r="Y247" s="2316"/>
      <c r="Z247" s="2316"/>
      <c r="AA247" s="2316"/>
      <c r="AB247" s="2316"/>
      <c r="AC247" s="2316"/>
      <c r="AD247" s="2316"/>
      <c r="AE247" s="2316"/>
      <c r="AF247" s="2316"/>
      <c r="AG247" s="2316"/>
      <c r="AH247" s="2316"/>
      <c r="AI247" s="2316"/>
      <c r="AJ247" s="231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47" sqref="AB47:AF4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4" t="s">
        <v>1281</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68877904</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5" customHeight="1">
      <c r="B12" s="2350" t="s">
        <v>498</v>
      </c>
      <c r="C12" s="1287"/>
      <c r="D12" s="1287"/>
      <c r="E12" s="1287"/>
      <c r="F12" s="1287"/>
      <c r="G12" s="1287"/>
      <c r="H12" s="1287"/>
      <c r="I12" s="1287"/>
      <c r="J12" s="1287"/>
      <c r="K12" s="1287"/>
      <c r="L12" s="1287"/>
      <c r="M12" s="1287"/>
      <c r="N12" s="1287"/>
      <c r="O12" s="1287"/>
      <c r="P12" s="1287"/>
      <c r="Q12" s="1287"/>
      <c r="R12" s="1287"/>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5" customHeight="1">
      <c r="B13" s="435"/>
      <c r="C13" s="2352" t="s">
        <v>499</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5" customHeight="1">
      <c r="B14" s="435"/>
      <c r="C14" s="2352" t="s">
        <v>500</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5" customHeight="1">
      <c r="B15" s="435"/>
      <c r="C15" s="2352" t="s">
        <v>501</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5" customHeight="1">
      <c r="B16" s="435"/>
      <c r="C16" s="2352" t="s">
        <v>806</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5" customHeight="1">
      <c r="B17" s="435"/>
      <c r="C17" s="2352" t="s">
        <v>502</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5" customHeight="1">
      <c r="A18"/>
      <c r="B18" s="1150"/>
      <c r="C18" s="1852" t="s">
        <v>961</v>
      </c>
      <c r="D18" s="1852"/>
      <c r="E18" s="1852"/>
      <c r="F18" s="1852"/>
      <c r="G18" s="1852"/>
      <c r="H18" s="1852"/>
      <c r="I18" s="1852"/>
      <c r="J18" s="1852"/>
      <c r="K18" s="1852"/>
      <c r="L18" s="1852"/>
      <c r="M18" s="1852"/>
      <c r="N18" s="1852"/>
      <c r="O18" s="1852"/>
      <c r="P18" s="1852"/>
      <c r="Q18" s="1852"/>
      <c r="R18" s="1852"/>
      <c r="S18" s="1853"/>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5" customHeight="1">
      <c r="B19" s="1150"/>
      <c r="C19" s="1852" t="s">
        <v>961</v>
      </c>
      <c r="D19" s="1852"/>
      <c r="E19" s="1852"/>
      <c r="F19" s="1852"/>
      <c r="G19" s="1852"/>
      <c r="H19" s="1852"/>
      <c r="I19" s="1852"/>
      <c r="J19" s="1852"/>
      <c r="K19" s="1852"/>
      <c r="L19" s="1852"/>
      <c r="M19" s="1852"/>
      <c r="N19" s="1852"/>
      <c r="O19" s="1852"/>
      <c r="P19" s="1852"/>
      <c r="Q19" s="1852"/>
      <c r="R19" s="1852"/>
      <c r="S19" s="1853"/>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5" customHeight="1">
      <c r="B20" s="2335" t="s">
        <v>503</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5" customHeight="1">
      <c r="B21" s="2335" t="s">
        <v>1264</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5" customHeight="1">
      <c r="B22" s="2335" t="s">
        <v>504</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35" t="s">
        <v>505</v>
      </c>
      <c r="C23" s="2336"/>
      <c r="D23" s="2336"/>
      <c r="E23" s="2336"/>
      <c r="F23" s="2336"/>
      <c r="G23" s="2336"/>
      <c r="H23" s="2336"/>
      <c r="I23" s="2336"/>
      <c r="J23" s="2336"/>
      <c r="K23" s="2336"/>
      <c r="L23" s="2336"/>
      <c r="M23" s="2336"/>
      <c r="N23" s="2336"/>
      <c r="O23" s="2336"/>
      <c r="P23" s="2336"/>
      <c r="Q23" s="2336"/>
      <c r="R23" s="2336"/>
      <c r="S23" s="2337"/>
      <c r="T23" s="2328">
        <f>T11+T22</f>
        <v>68877904</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5" customHeight="1">
      <c r="B24" s="2335" t="s">
        <v>962</v>
      </c>
      <c r="C24" s="2336"/>
      <c r="D24" s="2336"/>
      <c r="E24" s="2336"/>
      <c r="F24" s="2336"/>
      <c r="G24" s="2336"/>
      <c r="H24" s="2336"/>
      <c r="I24" s="2336"/>
      <c r="J24" s="2336"/>
      <c r="K24" s="2336"/>
      <c r="L24" s="2336"/>
      <c r="M24" s="2336"/>
      <c r="N24" s="2336"/>
      <c r="O24" s="2336"/>
      <c r="P24" s="2336"/>
      <c r="Q24" s="2336"/>
      <c r="R24" s="2336"/>
      <c r="S24" s="2337"/>
      <c r="T24" s="2330">
        <f>Application!AJ1053</f>
        <v>115228626.8</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5" customHeight="1">
      <c r="B25" s="2339" t="s">
        <v>1265</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5" t="s">
        <v>506</v>
      </c>
      <c r="C26" s="2336"/>
      <c r="D26" s="2336"/>
      <c r="E26" s="2336"/>
      <c r="F26" s="2336"/>
      <c r="G26" s="2336"/>
      <c r="H26" s="2336"/>
      <c r="I26" s="2336"/>
      <c r="J26" s="2336"/>
      <c r="K26" s="2336"/>
      <c r="L26" s="2336"/>
      <c r="M26" s="2336"/>
      <c r="N26" s="2336"/>
      <c r="O26" s="2336"/>
      <c r="P26" s="2336"/>
      <c r="Q26" s="2336"/>
      <c r="R26" s="2336"/>
      <c r="S26" s="2337"/>
      <c r="T26" s="2328">
        <f>T23*T25</f>
        <v>68877904</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Application!$AG$445</f>
        <v>1</v>
      </c>
      <c r="U27" s="2349"/>
      <c r="V27" s="2349"/>
      <c r="W27" s="2349"/>
      <c r="X27" s="2349"/>
      <c r="Y27" s="2348">
        <f>Application!$AG$445</f>
        <v>1</v>
      </c>
      <c r="Z27" s="2349"/>
      <c r="AA27" s="2349"/>
      <c r="AB27" s="2349"/>
      <c r="AC27" s="2349"/>
      <c r="AD27" s="2348">
        <f>Application!$AG$445</f>
        <v>1</v>
      </c>
      <c r="AE27" s="2349"/>
      <c r="AF27" s="2349"/>
      <c r="AG27" s="2349"/>
      <c r="AH27" s="2349"/>
      <c r="AI27" s="2348">
        <f>Application!$AG$445</f>
        <v>1</v>
      </c>
      <c r="AJ27" s="2349"/>
      <c r="AK27" s="2349"/>
      <c r="AL27" s="2349"/>
      <c r="AM27" s="2349"/>
    </row>
    <row r="28" spans="1:40" ht="12.95" customHeight="1">
      <c r="A28" s="404"/>
      <c r="B28" s="2335" t="s">
        <v>507</v>
      </c>
      <c r="C28" s="2336"/>
      <c r="D28" s="2336"/>
      <c r="E28" s="2336"/>
      <c r="F28" s="2336"/>
      <c r="G28" s="2336"/>
      <c r="H28" s="2336"/>
      <c r="I28" s="2336"/>
      <c r="J28" s="2336"/>
      <c r="K28" s="2336"/>
      <c r="L28" s="2336"/>
      <c r="M28" s="2336"/>
      <c r="N28" s="2336"/>
      <c r="O28" s="2336"/>
      <c r="P28" s="2336"/>
      <c r="Q28" s="2336"/>
      <c r="R28" s="2336"/>
      <c r="S28" s="2337"/>
      <c r="T28" s="2328">
        <f>IF(ISERROR((T26*T27)),0,(T26*T27))</f>
        <v>68877904</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5" customHeight="1">
      <c r="B29" s="2335" t="s">
        <v>524</v>
      </c>
      <c r="C29" s="2336"/>
      <c r="D29" s="2336"/>
      <c r="E29" s="2336"/>
      <c r="F29" s="2336"/>
      <c r="G29" s="2336"/>
      <c r="H29" s="2336"/>
      <c r="I29" s="2336"/>
      <c r="J29" s="2336"/>
      <c r="K29" s="2336"/>
      <c r="L29" s="2336"/>
      <c r="M29" s="2336"/>
      <c r="N29" s="2336"/>
      <c r="O29" s="2336"/>
      <c r="P29" s="2336"/>
      <c r="Q29" s="2336"/>
      <c r="R29" s="2336"/>
      <c r="S29" s="2337"/>
      <c r="T29" s="2330">
        <f>T28+Y28+AD28+AI28</f>
        <v>68877904</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5" customHeight="1">
      <c r="B30" s="2338" t="s">
        <v>1267</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5" customHeight="1">
      <c r="B31" s="2338" t="s">
        <v>1266</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76" t="s">
        <v>369</v>
      </c>
      <c r="AE35" s="2376"/>
      <c r="AF35" s="2376"/>
      <c r="AG35" s="2376"/>
      <c r="AH35" s="2376"/>
    </row>
    <row r="36" spans="1:76" ht="12.95" customHeight="1">
      <c r="B36" s="407"/>
      <c r="X36" s="412"/>
      <c r="Y36" s="2356"/>
      <c r="Z36" s="2356"/>
      <c r="AA36" s="2356"/>
      <c r="AB36" s="2356"/>
      <c r="AC36" s="2356"/>
      <c r="AD36" s="2376"/>
      <c r="AE36" s="2376"/>
      <c r="AF36" s="2376"/>
      <c r="AG36" s="2376"/>
      <c r="AH36" s="237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5" customHeight="1">
      <c r="A38" s="404"/>
      <c r="B38" s="2335" t="s">
        <v>507</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68877904</v>
      </c>
      <c r="Z38" s="2329"/>
      <c r="AA38" s="2329"/>
      <c r="AB38" s="2329"/>
      <c r="AC38" s="2329"/>
      <c r="AD38" s="2329">
        <f>IF(T24&gt;=(T23+Y23+AD23+AI23),AD28+AI28,0)</f>
        <v>0</v>
      </c>
      <c r="AE38" s="2329"/>
      <c r="AF38" s="2329"/>
      <c r="AG38" s="2329"/>
      <c r="AH38" s="2329"/>
    </row>
    <row r="39" spans="1:76" ht="12.95" customHeight="1">
      <c r="B39" s="2335" t="s">
        <v>1692</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5" customHeight="1">
      <c r="A40" s="404"/>
      <c r="B40" s="2335" t="s">
        <v>643</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2755116</v>
      </c>
      <c r="Z40" s="2329"/>
      <c r="AA40" s="2329"/>
      <c r="AB40" s="2329"/>
      <c r="AC40" s="2329"/>
      <c r="AD40" s="2328">
        <f>ROUND(AD38*AD39,0)</f>
        <v>0</v>
      </c>
      <c r="AE40" s="2329"/>
      <c r="AF40" s="2329"/>
      <c r="AG40" s="2329"/>
      <c r="AH40" s="2329"/>
    </row>
    <row r="41" spans="1:76" ht="12.95" customHeight="1">
      <c r="B41" s="2335" t="s">
        <v>644</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2755116</v>
      </c>
      <c r="Z41" s="2331"/>
      <c r="AA41" s="2331"/>
      <c r="AB41" s="2331"/>
      <c r="AC41" s="2331"/>
      <c r="AD41" s="2331"/>
      <c r="AE41" s="2331"/>
      <c r="AF41" s="2331"/>
      <c r="AG41" s="2331"/>
      <c r="AH41" s="2328"/>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3" t="s">
        <v>1277</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73054148</v>
      </c>
      <c r="AC47" s="2346"/>
      <c r="AD47" s="2346"/>
      <c r="AE47" s="2346"/>
      <c r="AF47" s="2347"/>
    </row>
    <row r="48" spans="1:76" ht="12.95" customHeight="1">
      <c r="D48" s="404" t="s">
        <v>21</v>
      </c>
      <c r="AB48" s="2345">
        <f>Application!AO639-MAX(IF('Sources and Uses Budget'!B15="",0,'Sources and Uses Budget'!B15),IF(Application!AG394="",0,Application!AG394))</f>
        <v>32095594</v>
      </c>
      <c r="AC48" s="2346"/>
      <c r="AD48" s="2346"/>
      <c r="AE48" s="2346"/>
      <c r="AF48" s="2347"/>
    </row>
    <row r="49" spans="1:76" ht="12.95" customHeight="1">
      <c r="D49" s="404" t="s">
        <v>91</v>
      </c>
      <c r="AB49" s="2345">
        <f>AB47-AB48</f>
        <v>40958554</v>
      </c>
      <c r="AC49" s="2346"/>
      <c r="AD49" s="2346"/>
      <c r="AE49" s="2346"/>
      <c r="AF49" s="2347"/>
    </row>
    <row r="50" spans="1:76" ht="12.95" customHeight="1">
      <c r="D50" s="404" t="s">
        <v>682</v>
      </c>
      <c r="AA50" s="415"/>
      <c r="AB50" s="2372">
        <v>0.85</v>
      </c>
      <c r="AC50" s="2373"/>
      <c r="AD50" s="2373"/>
      <c r="AE50" s="2373"/>
      <c r="AF50" s="2374"/>
    </row>
    <row r="51" spans="1:76" s="417" customFormat="1" ht="12.95" customHeight="1">
      <c r="A51" s="402"/>
      <c r="B51" s="402"/>
      <c r="C51" s="402"/>
      <c r="D51" s="402"/>
      <c r="E51" s="2375" t="s">
        <v>2612</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48186534</v>
      </c>
      <c r="AC54" s="2346"/>
      <c r="AD54" s="2346"/>
      <c r="AE54" s="2346"/>
      <c r="AF54" s="2347"/>
    </row>
    <row r="55" spans="1:76" ht="12.95" customHeight="1">
      <c r="D55" s="404" t="s">
        <v>333</v>
      </c>
      <c r="AB55" s="2345">
        <f>(AB54/10)</f>
        <v>4818653.4000000004</v>
      </c>
      <c r="AC55" s="2346"/>
      <c r="AD55" s="2346"/>
      <c r="AE55" s="2346"/>
      <c r="AF55" s="2347"/>
    </row>
    <row r="56" spans="1:76" ht="12.95" customHeight="1">
      <c r="D56" s="404" t="s">
        <v>757</v>
      </c>
      <c r="AB56" s="2345">
        <f>ROUND((IF((Y41&lt;AB55),Y41,AB55)),0)</f>
        <v>2755116</v>
      </c>
      <c r="AC56" s="2346"/>
      <c r="AD56" s="2346"/>
      <c r="AE56" s="2346"/>
      <c r="AF56" s="2347"/>
    </row>
    <row r="57" spans="1:76" ht="12.95" customHeight="1">
      <c r="D57" s="404" t="s">
        <v>756</v>
      </c>
      <c r="AB57" s="2345">
        <f>ROUND((10*AB56*AB50),0)</f>
        <v>23418486</v>
      </c>
      <c r="AC57" s="2346"/>
      <c r="AD57" s="2346"/>
      <c r="AE57" s="2346"/>
      <c r="AF57" s="2347"/>
    </row>
    <row r="58" spans="1:76" ht="12.95" customHeight="1">
      <c r="D58" s="404"/>
      <c r="AB58" s="423"/>
      <c r="AC58" s="423"/>
      <c r="AD58" s="423"/>
      <c r="AE58" s="423"/>
      <c r="AF58" s="423"/>
    </row>
    <row r="59" spans="1:76" ht="12.95" customHeight="1">
      <c r="D59" s="404" t="s">
        <v>755</v>
      </c>
      <c r="AB59" s="2368">
        <f>AB49-AB57</f>
        <v>17540068</v>
      </c>
      <c r="AC59" s="2368"/>
      <c r="AD59" s="2368"/>
      <c r="AE59" s="2368"/>
      <c r="AF59" s="2368"/>
    </row>
    <row r="60" spans="1:76" ht="12.95" customHeight="1">
      <c r="D60" s="404"/>
      <c r="AB60" s="423"/>
      <c r="AC60" s="423"/>
      <c r="AD60" s="423"/>
      <c r="AE60" s="423"/>
      <c r="AF60" s="423"/>
    </row>
    <row r="61" spans="1:76" s="204" customFormat="1" ht="12.9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5" customHeight="1" thickTop="1"/>
    <row r="63" spans="1:76" ht="12.95" customHeight="1">
      <c r="A63" s="404" t="s">
        <v>590</v>
      </c>
      <c r="C63" s="205" t="s">
        <v>1249</v>
      </c>
      <c r="Y63" s="2369" t="s">
        <v>985</v>
      </c>
      <c r="Z63" s="2369"/>
      <c r="AA63" s="2369"/>
      <c r="AB63" s="2369"/>
      <c r="AC63" s="2369"/>
      <c r="AD63" s="2369" t="s">
        <v>369</v>
      </c>
      <c r="AE63" s="2369"/>
      <c r="AF63" s="2369"/>
      <c r="AG63" s="2369"/>
      <c r="AH63" s="236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68877904</v>
      </c>
      <c r="Z64" s="2370"/>
      <c r="AA64" s="2370"/>
      <c r="AB64" s="2370"/>
      <c r="AC64" s="2371"/>
      <c r="AD64" s="2330">
        <f>IF(AND(OR(Application!D211="At-Risk",Application!D211="At-Risk and Special Needs"),Application!M358="yes"),AD28+AI28,0)</f>
        <v>0</v>
      </c>
      <c r="AE64" s="2370"/>
      <c r="AF64" s="2370"/>
      <c r="AG64" s="2370"/>
      <c r="AH64" s="2371"/>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System'!B13="Yes"),0.13,0))</f>
        <v>0</v>
      </c>
      <c r="AE67" s="2383"/>
      <c r="AF67" s="2383"/>
      <c r="AG67" s="2383"/>
      <c r="AH67" s="2383"/>
    </row>
    <row r="68" spans="1:36" ht="12.95" customHeight="1">
      <c r="C68" s="404"/>
      <c r="D68" s="205" t="s">
        <v>2225</v>
      </c>
      <c r="Y68" s="2329">
        <f>ROUND(Y64*Y67,0)</f>
        <v>20663371</v>
      </c>
      <c r="Z68" s="2384"/>
      <c r="AA68" s="2384"/>
      <c r="AB68" s="2384"/>
      <c r="AC68" s="2384"/>
      <c r="AD68" s="2329">
        <f>ROUND(AD64*AD67,0)</f>
        <v>0</v>
      </c>
      <c r="AE68" s="2384"/>
      <c r="AF68" s="2384"/>
      <c r="AG68" s="2384"/>
      <c r="AH68" s="2384"/>
    </row>
    <row r="69" spans="1:36" ht="12.95" customHeight="1">
      <c r="C69" s="404"/>
      <c r="D69" s="205" t="s">
        <v>2226</v>
      </c>
      <c r="Y69" s="2329">
        <f>IF(OR(Application!Z205="State Farmworker Credit",Application!Z205="$500M (Farmworker Housing)"),Y68+AD68,MIN(Y68+AD68,200000*(Application!G753+Application!O777)))</f>
        <v>20663371</v>
      </c>
      <c r="Z69" s="2329"/>
      <c r="AA69" s="2329"/>
      <c r="AB69" s="2329"/>
      <c r="AC69" s="2329"/>
      <c r="AD69" s="2329"/>
      <c r="AE69" s="2329"/>
      <c r="AF69" s="2329"/>
      <c r="AG69" s="2329"/>
      <c r="AH69" s="2329"/>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2">
        <v>0.85</v>
      </c>
      <c r="AC72" s="2373"/>
      <c r="AD72" s="2373"/>
      <c r="AE72" s="2373"/>
      <c r="AF72" s="2374"/>
    </row>
    <row r="73" spans="1:36" ht="12.95" customHeight="1">
      <c r="A73" s="404"/>
      <c r="C73" s="404"/>
      <c r="D73" s="404"/>
      <c r="E73" s="2385" t="s">
        <v>1252</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6" ht="12.9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6" ht="12.9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78">
        <f>ROUND(IF(ISERROR((AB59/AB72)),0,(AB59/AB72)),0)</f>
        <v>20635374</v>
      </c>
      <c r="AC77" s="2378"/>
      <c r="AD77" s="2378"/>
      <c r="AE77" s="2378"/>
      <c r="AF77" s="2378"/>
    </row>
    <row r="78" spans="1:36" ht="12.95" customHeight="1">
      <c r="C78" s="404"/>
      <c r="D78" s="205" t="s">
        <v>1254</v>
      </c>
      <c r="AB78" s="2379">
        <f>ROUNDUP(MIN(Y69,AB77),0)</f>
        <v>20635374</v>
      </c>
      <c r="AC78" s="2380"/>
      <c r="AD78" s="2380"/>
      <c r="AE78" s="2380"/>
      <c r="AF78" s="2381"/>
    </row>
    <row r="79" spans="1:36" ht="12.95" customHeight="1">
      <c r="C79" s="404"/>
      <c r="D79" s="205" t="s">
        <v>1255</v>
      </c>
      <c r="AB79" s="2382">
        <f>AB78*AB72</f>
        <v>17540067.899999999</v>
      </c>
      <c r="AC79" s="2382"/>
      <c r="AD79" s="2382"/>
      <c r="AE79" s="2382"/>
      <c r="AF79" s="2382"/>
    </row>
    <row r="80" spans="1:36" ht="12.95" customHeight="1">
      <c r="C80" s="404"/>
      <c r="D80" s="404"/>
      <c r="AB80" s="425"/>
      <c r="AC80" s="425"/>
      <c r="AD80" s="425"/>
      <c r="AE80" s="425"/>
      <c r="AF80" s="425"/>
    </row>
    <row r="81" spans="1:78" ht="12.95" customHeight="1">
      <c r="D81" s="404" t="s">
        <v>755</v>
      </c>
      <c r="AB81" s="2368">
        <f>AB49-(AB57+AB79)</f>
        <v>0.10000000149011612</v>
      </c>
      <c r="AC81" s="2368"/>
      <c r="AD81" s="2368"/>
      <c r="AE81" s="2368"/>
      <c r="AF81" s="2368"/>
    </row>
    <row r="82" spans="1:78" ht="12.95" customHeight="1">
      <c r="F82" s="522"/>
      <c r="J82" s="522" t="str">
        <f>IF(AB81&gt;0,"FUNDING GAP MUST NOT EXCEED ZERO","")</f>
        <v>FUNDING GAP MUST NOT EXCEED ZERO</v>
      </c>
    </row>
    <row r="83" spans="1:78" ht="12.95" customHeight="1">
      <c r="D83" s="523"/>
    </row>
    <row r="84" spans="1:78" ht="12.9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5" customHeight="1" thickTop="1"/>
    <row r="86" spans="1:78" ht="12.95" customHeight="1">
      <c r="A86" s="404"/>
      <c r="C86" s="205"/>
    </row>
    <row r="87" spans="1:78" ht="12.95" customHeight="1">
      <c r="D87" s="205"/>
      <c r="AB87" s="2334"/>
      <c r="AC87" s="2334"/>
      <c r="AD87" s="2334"/>
      <c r="AE87" s="2334"/>
      <c r="AF87" s="2334"/>
    </row>
    <row r="88" spans="1:78" ht="12.95"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2" workbookViewId="0">
      <selection activeCell="H791" sqref="H7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6" t="s">
        <v>1301</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2"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1306</v>
      </c>
      <c r="AF7" s="2457"/>
      <c r="AG7" s="2457"/>
      <c r="AH7" s="2457"/>
      <c r="AI7" s="2457"/>
      <c r="AJ7" s="2457"/>
      <c r="AK7" s="245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0" t="s">
        <v>592</v>
      </c>
      <c r="C13" s="261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8"/>
      <c r="AH13" s="2618"/>
      <c r="AI13" s="2618"/>
      <c r="AJ13" s="261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0" t="s">
        <v>592</v>
      </c>
      <c r="C16" s="2610"/>
      <c r="D16" s="547"/>
      <c r="E16" s="2602" t="s">
        <v>1308</v>
      </c>
      <c r="F16" s="2603"/>
      <c r="G16" s="2603"/>
      <c r="H16" s="2603"/>
      <c r="I16" s="2603"/>
      <c r="J16" s="2603"/>
      <c r="K16" s="2603"/>
      <c r="L16" s="2603"/>
      <c r="M16" s="2603"/>
      <c r="N16" s="2603"/>
      <c r="O16" s="2603"/>
      <c r="P16" s="2603"/>
      <c r="Q16" s="2603"/>
      <c r="R16" s="2603"/>
      <c r="S16" s="2603"/>
      <c r="T16" s="2603"/>
      <c r="U16" s="2603"/>
      <c r="V16" s="2603"/>
      <c r="W16" s="2603"/>
      <c r="X16" s="2603"/>
      <c r="Y16" s="2603"/>
      <c r="Z16" s="2603"/>
      <c r="AA16" s="2603"/>
      <c r="AB16" s="2603"/>
      <c r="AC16" s="2603"/>
      <c r="AD16" s="2603"/>
      <c r="AE16" s="2603"/>
      <c r="AF16" s="2603"/>
      <c r="AG16" s="2603"/>
      <c r="AH16" s="2603"/>
      <c r="AI16" s="2603"/>
      <c r="AJ16" s="2604"/>
      <c r="AK16" s="540"/>
      <c r="AL16" s="540"/>
      <c r="AM16" s="540"/>
      <c r="AN16" s="535"/>
      <c r="AO16" s="550">
        <f>IF($B25="yes",20,0)</f>
        <v>0</v>
      </c>
      <c r="AP16" s="14"/>
    </row>
    <row r="17" spans="1:42" s="536" customFormat="1" ht="12.75" customHeight="1">
      <c r="A17" s="540"/>
      <c r="B17" s="540"/>
      <c r="C17" s="540"/>
      <c r="D17" s="551"/>
      <c r="E17" s="2605"/>
      <c r="F17" s="2606"/>
      <c r="G17" s="2606"/>
      <c r="H17" s="2606"/>
      <c r="I17" s="2606"/>
      <c r="J17" s="2606"/>
      <c r="K17" s="2606"/>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c r="AH17" s="2606"/>
      <c r="AI17" s="2606"/>
      <c r="AJ17" s="2607"/>
      <c r="AK17" s="540"/>
      <c r="AL17" s="540"/>
      <c r="AM17" s="540"/>
      <c r="AN17" s="535"/>
      <c r="AO17" s="550">
        <f>IF($B28="yes",20,0)</f>
        <v>0</v>
      </c>
    </row>
    <row r="18" spans="1:42" s="536" customFormat="1" ht="12.75" customHeight="1">
      <c r="A18" s="540"/>
      <c r="B18" s="540"/>
      <c r="C18" s="540"/>
      <c r="D18" s="551"/>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6"/>
      <c r="F20" s="2627"/>
      <c r="G20" s="2627"/>
      <c r="H20" s="2627"/>
      <c r="I20" s="2627"/>
      <c r="J20" s="2627"/>
      <c r="K20" s="2627"/>
      <c r="L20" s="2627"/>
      <c r="M20" s="2627"/>
      <c r="N20" s="2627"/>
      <c r="O20" s="2627"/>
      <c r="P20" s="2627"/>
      <c r="Q20" s="2627"/>
      <c r="R20" s="2627"/>
      <c r="S20" s="2627"/>
      <c r="T20" s="2627"/>
      <c r="U20" s="2627"/>
      <c r="V20" s="2627"/>
      <c r="W20" s="2627"/>
      <c r="X20" s="2627"/>
      <c r="Y20" s="2627"/>
      <c r="Z20" s="2627"/>
      <c r="AA20" s="2627"/>
      <c r="AB20" s="2627"/>
      <c r="AC20" s="2627"/>
      <c r="AD20" s="2627"/>
      <c r="AE20" s="2627"/>
      <c r="AF20" s="2627"/>
      <c r="AG20" s="2627"/>
      <c r="AH20" s="2627"/>
      <c r="AI20" s="2627"/>
      <c r="AJ20" s="262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0" t="s">
        <v>592</v>
      </c>
      <c r="C22" s="2610"/>
      <c r="D22" s="547"/>
      <c r="E22" s="2620" t="s">
        <v>1311</v>
      </c>
      <c r="F22" s="2621"/>
      <c r="G22" s="2621"/>
      <c r="H22" s="2621"/>
      <c r="I22" s="2621"/>
      <c r="J22" s="2621"/>
      <c r="K22" s="2621"/>
      <c r="L22" s="2621"/>
      <c r="M22" s="2621"/>
      <c r="N22" s="2621"/>
      <c r="O22" s="2621"/>
      <c r="P22" s="2621"/>
      <c r="Q22" s="2621"/>
      <c r="R22" s="2621"/>
      <c r="S22" s="2621"/>
      <c r="T22" s="2621"/>
      <c r="U22" s="2621"/>
      <c r="V22" s="2621"/>
      <c r="W22" s="2621"/>
      <c r="X22" s="2621"/>
      <c r="Y22" s="2621"/>
      <c r="Z22" s="2621"/>
      <c r="AA22" s="2621"/>
      <c r="AB22" s="2621"/>
      <c r="AC22" s="2621"/>
      <c r="AD22" s="2621"/>
      <c r="AE22" s="2621"/>
      <c r="AF22" s="2621"/>
      <c r="AG22" s="2621"/>
      <c r="AH22" s="2621"/>
      <c r="AI22" s="2621"/>
      <c r="AJ22" s="2622"/>
      <c r="AK22" s="540"/>
      <c r="AL22" s="540"/>
      <c r="AM22" s="540"/>
      <c r="AN22" s="535"/>
      <c r="AO22" s="550">
        <f>IF($B40="yes",14,0)</f>
        <v>0</v>
      </c>
    </row>
    <row r="23" spans="1:42" s="536" customFormat="1" ht="12.75" customHeight="1">
      <c r="A23" s="540"/>
      <c r="B23" s="540"/>
      <c r="C23" s="540"/>
      <c r="D23" s="550"/>
      <c r="E23" s="2623"/>
      <c r="F23" s="2624"/>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0" t="s">
        <v>592</v>
      </c>
      <c r="C25" s="2610"/>
      <c r="D25" s="547"/>
      <c r="E25" s="2537" t="s">
        <v>2034</v>
      </c>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9"/>
      <c r="AK25" s="540"/>
      <c r="AL25" s="540"/>
      <c r="AM25" s="540"/>
      <c r="AN25" s="535"/>
      <c r="AO25" s="550">
        <f>IF($B45="yes",6,0)</f>
        <v>0</v>
      </c>
    </row>
    <row r="26" spans="1:42" s="536" customFormat="1" ht="12.75" customHeight="1">
      <c r="A26" s="540"/>
      <c r="B26" s="540"/>
      <c r="C26" s="540"/>
      <c r="D26" s="550"/>
      <c r="E26" s="2562"/>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0" t="s">
        <v>592</v>
      </c>
      <c r="C28" s="2610"/>
      <c r="D28" s="547"/>
      <c r="E28" s="2639" t="s">
        <v>2249</v>
      </c>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0" t="s">
        <v>592</v>
      </c>
      <c r="C33" s="2610"/>
      <c r="D33" s="547"/>
      <c r="E33" s="2620" t="s">
        <v>2251</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50"/>
    </row>
    <row r="34" spans="1:41" s="536" customFormat="1" ht="12.75" customHeight="1">
      <c r="A34" s="540"/>
      <c r="B34" s="540"/>
      <c r="C34" s="540"/>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0" t="s">
        <v>592</v>
      </c>
      <c r="C36" s="2610"/>
      <c r="D36" s="547"/>
      <c r="E36" s="2537" t="s">
        <v>2252</v>
      </c>
      <c r="F36" s="2538"/>
      <c r="G36" s="2538"/>
      <c r="H36" s="2538"/>
      <c r="I36" s="2538"/>
      <c r="J36" s="2538"/>
      <c r="K36" s="2538"/>
      <c r="L36" s="2538"/>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9"/>
      <c r="AK36" s="540"/>
      <c r="AL36" s="540"/>
      <c r="AM36" s="540"/>
      <c r="AN36" s="535"/>
    </row>
    <row r="37" spans="1:41" s="536" customFormat="1" ht="12.75" customHeight="1">
      <c r="A37" s="540"/>
      <c r="B37" s="540"/>
      <c r="C37" s="540"/>
      <c r="E37" s="2540"/>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2"/>
      <c r="AK37" s="540"/>
      <c r="AL37" s="540"/>
      <c r="AM37" s="540"/>
      <c r="AN37" s="535"/>
    </row>
    <row r="38" spans="1:41" s="536" customFormat="1" ht="12.75" customHeight="1">
      <c r="A38" s="540"/>
      <c r="B38" s="540"/>
      <c r="C38" s="540"/>
      <c r="E38" s="2562"/>
      <c r="F38" s="2563"/>
      <c r="G38" s="2563"/>
      <c r="H38" s="2563"/>
      <c r="I38" s="2563"/>
      <c r="J38" s="2563"/>
      <c r="K38" s="2563"/>
      <c r="L38" s="2563"/>
      <c r="M38" s="2563"/>
      <c r="N38" s="2563"/>
      <c r="O38" s="2563"/>
      <c r="P38" s="2563"/>
      <c r="Q38" s="2563"/>
      <c r="R38" s="2563"/>
      <c r="S38" s="2563"/>
      <c r="T38" s="2563"/>
      <c r="U38" s="2563"/>
      <c r="V38" s="2563"/>
      <c r="W38" s="2563"/>
      <c r="X38" s="2563"/>
      <c r="Y38" s="2563"/>
      <c r="Z38" s="2563"/>
      <c r="AA38" s="2563"/>
      <c r="AB38" s="2563"/>
      <c r="AC38" s="2563"/>
      <c r="AD38" s="2563"/>
      <c r="AE38" s="2563"/>
      <c r="AF38" s="2563"/>
      <c r="AG38" s="2563"/>
      <c r="AH38" s="2563"/>
      <c r="AI38" s="2563"/>
      <c r="AJ38" s="256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0" t="s">
        <v>592</v>
      </c>
      <c r="C40" s="2610"/>
      <c r="D40" s="547"/>
      <c r="E40" s="2537" t="s">
        <v>2250</v>
      </c>
      <c r="F40" s="2538"/>
      <c r="G40" s="2538"/>
      <c r="H40" s="2538"/>
      <c r="I40" s="2538"/>
      <c r="J40" s="2538"/>
      <c r="K40" s="2538"/>
      <c r="L40" s="2538"/>
      <c r="M40" s="2538"/>
      <c r="N40" s="2538"/>
      <c r="O40" s="2538"/>
      <c r="P40" s="2538"/>
      <c r="Q40" s="2538"/>
      <c r="R40" s="2538"/>
      <c r="S40" s="2538"/>
      <c r="T40" s="2538"/>
      <c r="U40" s="2538"/>
      <c r="V40" s="2538"/>
      <c r="W40" s="2538"/>
      <c r="X40" s="2538"/>
      <c r="Y40" s="2538"/>
      <c r="Z40" s="2538"/>
      <c r="AA40" s="2538"/>
      <c r="AB40" s="2538"/>
      <c r="AC40" s="2538"/>
      <c r="AD40" s="2538"/>
      <c r="AE40" s="2538"/>
      <c r="AF40" s="2538"/>
      <c r="AG40" s="2538"/>
      <c r="AH40" s="2538"/>
      <c r="AI40" s="2538"/>
      <c r="AJ40" s="2539"/>
      <c r="AK40" s="540"/>
      <c r="AL40" s="540"/>
      <c r="AM40" s="540"/>
      <c r="AN40" s="535"/>
    </row>
    <row r="41" spans="1:41" s="536" customFormat="1" ht="12.75" customHeight="1">
      <c r="A41" s="540"/>
      <c r="B41" s="540"/>
      <c r="C41" s="540"/>
      <c r="E41" s="2562"/>
      <c r="F41" s="2563"/>
      <c r="G41" s="2563"/>
      <c r="H41" s="2563"/>
      <c r="I41" s="2563"/>
      <c r="J41" s="2563"/>
      <c r="K41" s="2563"/>
      <c r="L41" s="2563"/>
      <c r="M41" s="2563"/>
      <c r="N41" s="2563"/>
      <c r="O41" s="2563"/>
      <c r="P41" s="2563"/>
      <c r="Q41" s="2563"/>
      <c r="R41" s="2563"/>
      <c r="S41" s="2563"/>
      <c r="T41" s="2563"/>
      <c r="U41" s="2563"/>
      <c r="V41" s="2563"/>
      <c r="W41" s="2563"/>
      <c r="X41" s="2563"/>
      <c r="Y41" s="2563"/>
      <c r="Z41" s="2563"/>
      <c r="AA41" s="2563"/>
      <c r="AB41" s="2563"/>
      <c r="AC41" s="2563"/>
      <c r="AD41" s="2563"/>
      <c r="AE41" s="2563"/>
      <c r="AF41" s="2563"/>
      <c r="AG41" s="2563"/>
      <c r="AH41" s="2563"/>
      <c r="AI41" s="2563"/>
      <c r="AJ41" s="256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0" t="s">
        <v>592</v>
      </c>
      <c r="C45" s="2610"/>
      <c r="D45" s="1142"/>
      <c r="E45" s="2537" t="s">
        <v>2009</v>
      </c>
      <c r="F45" s="2538"/>
      <c r="G45" s="2538"/>
      <c r="H45" s="2538"/>
      <c r="I45" s="2538"/>
      <c r="J45" s="2538"/>
      <c r="K45" s="2538"/>
      <c r="L45" s="2538"/>
      <c r="M45" s="2538"/>
      <c r="N45" s="2538"/>
      <c r="O45" s="2538"/>
      <c r="P45" s="2538"/>
      <c r="Q45" s="2538"/>
      <c r="R45" s="2538"/>
      <c r="S45" s="2538"/>
      <c r="T45" s="2538"/>
      <c r="U45" s="2538"/>
      <c r="V45" s="2538"/>
      <c r="W45" s="2538"/>
      <c r="X45" s="2538"/>
      <c r="Y45" s="2538"/>
      <c r="Z45" s="2538"/>
      <c r="AA45" s="2538"/>
      <c r="AB45" s="2538"/>
      <c r="AC45" s="2538"/>
      <c r="AD45" s="2538"/>
      <c r="AE45" s="2538"/>
      <c r="AF45" s="2538"/>
      <c r="AG45" s="2538"/>
      <c r="AH45" s="2538"/>
      <c r="AI45" s="2538"/>
      <c r="AJ45" s="2539"/>
      <c r="AK45" s="1142"/>
      <c r="AL45" s="540"/>
      <c r="AM45" s="540"/>
      <c r="AN45" s="535"/>
    </row>
    <row r="46" spans="1:41" s="536" customFormat="1" ht="12.75" customHeight="1">
      <c r="A46" s="540"/>
      <c r="B46" s="540"/>
      <c r="C46" s="540"/>
      <c r="E46" s="2540"/>
      <c r="F46" s="2541"/>
      <c r="G46" s="2541"/>
      <c r="H46" s="2541"/>
      <c r="I46" s="2541"/>
      <c r="J46" s="2541"/>
      <c r="K46" s="2541"/>
      <c r="L46" s="2541"/>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2"/>
      <c r="AK46" s="540"/>
      <c r="AL46" s="540"/>
      <c r="AM46" s="540"/>
      <c r="AN46" s="535"/>
    </row>
    <row r="47" spans="1:41" s="536" customFormat="1" ht="12.75" customHeight="1">
      <c r="A47" s="540"/>
      <c r="D47" s="547"/>
      <c r="E47" s="2562"/>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0" t="s">
        <v>592</v>
      </c>
      <c r="C52" s="2610"/>
      <c r="D52" s="540"/>
      <c r="E52" s="2537" t="s">
        <v>2014</v>
      </c>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9"/>
      <c r="AK52" s="540"/>
      <c r="AL52" s="540"/>
      <c r="AM52" s="540"/>
      <c r="AN52" s="535"/>
      <c r="AO52" s="559"/>
    </row>
    <row r="53" spans="1:50" s="536" customFormat="1" ht="12.75" customHeight="1">
      <c r="A53" s="540"/>
      <c r="D53" s="547"/>
      <c r="E53" s="2540"/>
      <c r="F53" s="2541"/>
      <c r="G53" s="2541"/>
      <c r="H53" s="2541"/>
      <c r="I53" s="2541"/>
      <c r="J53" s="2541"/>
      <c r="K53" s="2541"/>
      <c r="L53" s="2541"/>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2"/>
      <c r="AK53" s="540"/>
      <c r="AL53" s="540"/>
      <c r="AM53" s="540"/>
      <c r="AN53" s="535"/>
      <c r="AO53" s="559"/>
    </row>
    <row r="54" spans="1:50" s="536" customFormat="1" ht="12.75" customHeight="1">
      <c r="A54" s="540"/>
      <c r="D54" s="540"/>
      <c r="E54" s="2562"/>
      <c r="F54" s="2563"/>
      <c r="G54" s="2563"/>
      <c r="H54" s="2563"/>
      <c r="I54" s="2563"/>
      <c r="J54" s="2563"/>
      <c r="K54" s="2563"/>
      <c r="L54" s="2563"/>
      <c r="M54" s="2563"/>
      <c r="N54" s="2563"/>
      <c r="O54" s="2563"/>
      <c r="P54" s="2563"/>
      <c r="Q54" s="2563"/>
      <c r="R54" s="2563"/>
      <c r="S54" s="2563"/>
      <c r="T54" s="2563"/>
      <c r="U54" s="2563"/>
      <c r="V54" s="2563"/>
      <c r="W54" s="2563"/>
      <c r="X54" s="2563"/>
      <c r="Y54" s="2563"/>
      <c r="Z54" s="2563"/>
      <c r="AA54" s="2563"/>
      <c r="AB54" s="2563"/>
      <c r="AC54" s="2563"/>
      <c r="AD54" s="2563"/>
      <c r="AE54" s="2563"/>
      <c r="AF54" s="2563"/>
      <c r="AG54" s="2563"/>
      <c r="AH54" s="2563"/>
      <c r="AI54" s="2563"/>
      <c r="AJ54" s="256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0" t="s">
        <v>592</v>
      </c>
      <c r="C56" s="2610"/>
      <c r="D56" s="540"/>
      <c r="E56" s="2636" t="s">
        <v>2015</v>
      </c>
      <c r="F56" s="2637"/>
      <c r="G56" s="2637"/>
      <c r="H56" s="2637"/>
      <c r="I56" s="2637"/>
      <c r="J56" s="2637"/>
      <c r="K56" s="2637"/>
      <c r="L56" s="2637"/>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0" t="s">
        <v>592</v>
      </c>
      <c r="C58" s="2610"/>
      <c r="D58" s="540"/>
      <c r="E58" s="2537" t="s">
        <v>2016</v>
      </c>
      <c r="F58" s="2538"/>
      <c r="G58" s="2538"/>
      <c r="H58" s="2538"/>
      <c r="I58" s="2538"/>
      <c r="J58" s="2538"/>
      <c r="K58" s="2538"/>
      <c r="L58" s="2538"/>
      <c r="M58" s="2538"/>
      <c r="N58" s="2538"/>
      <c r="O58" s="2538"/>
      <c r="P58" s="2538"/>
      <c r="Q58" s="2538"/>
      <c r="R58" s="2538"/>
      <c r="S58" s="2538"/>
      <c r="T58" s="2538"/>
      <c r="U58" s="2538"/>
      <c r="V58" s="2538"/>
      <c r="W58" s="2538"/>
      <c r="X58" s="2538"/>
      <c r="Y58" s="2538"/>
      <c r="Z58" s="2538"/>
      <c r="AA58" s="2538"/>
      <c r="AB58" s="2538"/>
      <c r="AC58" s="2538"/>
      <c r="AD58" s="2538"/>
      <c r="AE58" s="2538"/>
      <c r="AF58" s="2538"/>
      <c r="AG58" s="2538"/>
      <c r="AH58" s="2538"/>
      <c r="AI58" s="2538"/>
      <c r="AJ58" s="2539"/>
      <c r="AK58" s="540"/>
      <c r="AL58" s="540"/>
      <c r="AM58" s="540"/>
      <c r="AN58" s="535"/>
    </row>
    <row r="59" spans="1:50" s="536" customFormat="1" ht="12.75" customHeight="1">
      <c r="A59" s="540"/>
      <c r="B59" s="547"/>
      <c r="C59" s="547"/>
      <c r="D59" s="547"/>
      <c r="E59" s="2562"/>
      <c r="F59" s="2563"/>
      <c r="G59" s="2563"/>
      <c r="H59" s="2563"/>
      <c r="I59" s="2563"/>
      <c r="J59" s="2563"/>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3">
        <f>AO39</f>
        <v>0</v>
      </c>
      <c r="AL62" s="2584"/>
      <c r="AM62" s="258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7" t="s">
        <v>1315</v>
      </c>
      <c r="AF65" s="2457"/>
      <c r="AG65" s="2457"/>
      <c r="AH65" s="2457"/>
      <c r="AI65" s="2457"/>
      <c r="AJ65" s="2457"/>
      <c r="AK65" s="245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0" t="s">
        <v>592</v>
      </c>
      <c r="C68" s="2610"/>
      <c r="D68" s="547" t="s">
        <v>1316</v>
      </c>
      <c r="E68" s="2602" t="s">
        <v>2017</v>
      </c>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4"/>
      <c r="AK68" s="543"/>
      <c r="AL68" s="540"/>
      <c r="AM68" s="540"/>
      <c r="AN68" s="535"/>
      <c r="AO68" s="550">
        <f>IF($B68="yes",10,0)</f>
        <v>0</v>
      </c>
    </row>
    <row r="69" spans="1:42" s="536" customFormat="1" ht="12.75" customHeight="1">
      <c r="A69" s="538"/>
      <c r="B69" s="540"/>
      <c r="C69" s="540"/>
      <c r="D69" s="551"/>
      <c r="E69" s="2605"/>
      <c r="F69" s="2606"/>
      <c r="G69" s="2606"/>
      <c r="H69" s="2606"/>
      <c r="I69" s="2606"/>
      <c r="J69" s="2606"/>
      <c r="K69" s="2606"/>
      <c r="L69" s="2606"/>
      <c r="M69" s="2606"/>
      <c r="N69" s="2606"/>
      <c r="O69" s="2606"/>
      <c r="P69" s="2606"/>
      <c r="Q69" s="2606"/>
      <c r="R69" s="2606"/>
      <c r="S69" s="2606"/>
      <c r="T69" s="2606"/>
      <c r="U69" s="2606"/>
      <c r="V69" s="2606"/>
      <c r="W69" s="2606"/>
      <c r="X69" s="2606"/>
      <c r="Y69" s="2606"/>
      <c r="Z69" s="2606"/>
      <c r="AA69" s="2606"/>
      <c r="AB69" s="2606"/>
      <c r="AC69" s="2606"/>
      <c r="AD69" s="2606"/>
      <c r="AE69" s="2606"/>
      <c r="AF69" s="2606"/>
      <c r="AG69" s="2606"/>
      <c r="AH69" s="2606"/>
      <c r="AI69" s="2606"/>
      <c r="AJ69" s="2607"/>
      <c r="AK69" s="543"/>
      <c r="AL69" s="540"/>
      <c r="AM69" s="540"/>
      <c r="AN69" s="535"/>
      <c r="AO69" s="550">
        <f>IF($B74="yes",10,0)</f>
        <v>0</v>
      </c>
    </row>
    <row r="70" spans="1:42" s="536" customFormat="1" ht="12.75" customHeight="1">
      <c r="A70" s="538"/>
      <c r="B70" s="540"/>
      <c r="C70" s="540"/>
      <c r="D70" s="551"/>
      <c r="E70" s="2605"/>
      <c r="F70" s="2606"/>
      <c r="G70" s="2606"/>
      <c r="H70" s="2606"/>
      <c r="I70" s="2606"/>
      <c r="J70" s="2606"/>
      <c r="K70" s="2606"/>
      <c r="L70" s="2606"/>
      <c r="M70" s="2606"/>
      <c r="N70" s="2606"/>
      <c r="O70" s="2606"/>
      <c r="P70" s="2606"/>
      <c r="Q70" s="2606"/>
      <c r="R70" s="2606"/>
      <c r="S70" s="2606"/>
      <c r="T70" s="2606"/>
      <c r="U70" s="2606"/>
      <c r="V70" s="2606"/>
      <c r="W70" s="2606"/>
      <c r="X70" s="2606"/>
      <c r="Y70" s="2606"/>
      <c r="Z70" s="2606"/>
      <c r="AA70" s="2606"/>
      <c r="AB70" s="2606"/>
      <c r="AC70" s="2606"/>
      <c r="AD70" s="2606"/>
      <c r="AE70" s="2606"/>
      <c r="AF70" s="2606"/>
      <c r="AG70" s="2606"/>
      <c r="AH70" s="2606"/>
      <c r="AI70" s="2606"/>
      <c r="AJ70" s="2607"/>
      <c r="AK70" s="543"/>
      <c r="AL70" s="540"/>
      <c r="AM70" s="540"/>
      <c r="AN70" s="535"/>
      <c r="AO70" s="550">
        <f>IF($B81="yes",10,0)</f>
        <v>10</v>
      </c>
    </row>
    <row r="71" spans="1:42" s="536" customFormat="1" ht="12.75" customHeight="1">
      <c r="A71" s="538"/>
      <c r="B71" s="540"/>
      <c r="C71" s="540"/>
      <c r="D71" s="551"/>
      <c r="E71" s="2605"/>
      <c r="F71" s="2606"/>
      <c r="G71" s="2606"/>
      <c r="H71" s="2606"/>
      <c r="I71" s="2606"/>
      <c r="J71" s="2606"/>
      <c r="K71" s="2606"/>
      <c r="L71" s="2606"/>
      <c r="M71" s="2606"/>
      <c r="N71" s="2606"/>
      <c r="O71" s="2606"/>
      <c r="P71" s="2606"/>
      <c r="Q71" s="2606"/>
      <c r="R71" s="2606"/>
      <c r="S71" s="2606"/>
      <c r="T71" s="2606"/>
      <c r="U71" s="2606"/>
      <c r="V71" s="2606"/>
      <c r="W71" s="2606"/>
      <c r="X71" s="2606"/>
      <c r="Y71" s="2606"/>
      <c r="Z71" s="2606"/>
      <c r="AA71" s="2606"/>
      <c r="AB71" s="2606"/>
      <c r="AC71" s="2606"/>
      <c r="AD71" s="2606"/>
      <c r="AE71" s="2606"/>
      <c r="AF71" s="2606"/>
      <c r="AG71" s="2606"/>
      <c r="AH71" s="2606"/>
      <c r="AI71" s="2606"/>
      <c r="AJ71" s="2607"/>
      <c r="AK71" s="543"/>
      <c r="AL71" s="540"/>
      <c r="AM71" s="540"/>
      <c r="AN71" s="535"/>
      <c r="AO71" s="536">
        <f>IF(SUM(AO68:AO70)&gt;10,10,(SUM(AO68:AO70)))</f>
        <v>10</v>
      </c>
      <c r="AP71" s="574" t="s">
        <v>1317</v>
      </c>
    </row>
    <row r="72" spans="1:42" s="536" customFormat="1" ht="12.75" customHeight="1">
      <c r="A72" s="538"/>
      <c r="B72" s="540"/>
      <c r="C72" s="540"/>
      <c r="D72" s="551"/>
      <c r="E72" s="2632"/>
      <c r="F72" s="2633"/>
      <c r="G72" s="2633"/>
      <c r="H72" s="2633"/>
      <c r="I72" s="2633"/>
      <c r="J72" s="2633"/>
      <c r="K72" s="2633"/>
      <c r="L72" s="2633"/>
      <c r="M72" s="2633"/>
      <c r="N72" s="2633"/>
      <c r="O72" s="2633"/>
      <c r="P72" s="2633"/>
      <c r="Q72" s="2633"/>
      <c r="R72" s="2633"/>
      <c r="S72" s="2633"/>
      <c r="T72" s="2633"/>
      <c r="U72" s="2633"/>
      <c r="V72" s="2633"/>
      <c r="W72" s="2633"/>
      <c r="X72" s="2633"/>
      <c r="Y72" s="2633"/>
      <c r="Z72" s="2633"/>
      <c r="AA72" s="2633"/>
      <c r="AB72" s="2633"/>
      <c r="AC72" s="2633"/>
      <c r="AD72" s="2633"/>
      <c r="AE72" s="2633"/>
      <c r="AF72" s="2633"/>
      <c r="AG72" s="2633"/>
      <c r="AH72" s="2633"/>
      <c r="AI72" s="2633"/>
      <c r="AJ72" s="263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0" t="s">
        <v>592</v>
      </c>
      <c r="C74" s="261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5" t="s">
        <v>592</v>
      </c>
      <c r="F75" s="261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0" t="s">
        <v>592</v>
      </c>
      <c r="F76" s="263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0" t="s">
        <v>592</v>
      </c>
      <c r="F77" s="263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5" t="s">
        <v>592</v>
      </c>
      <c r="F79" s="261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0" t="s">
        <v>546</v>
      </c>
      <c r="C81" s="2610"/>
      <c r="D81" s="547" t="s">
        <v>1321</v>
      </c>
      <c r="E81" s="2537" t="s">
        <v>1741</v>
      </c>
      <c r="F81" s="2538"/>
      <c r="G81" s="2538"/>
      <c r="H81" s="2538"/>
      <c r="I81" s="2538"/>
      <c r="J81" s="2538"/>
      <c r="K81" s="2538"/>
      <c r="L81" s="2538"/>
      <c r="M81" s="2538"/>
      <c r="N81" s="2538"/>
      <c r="O81" s="2538"/>
      <c r="P81" s="2538"/>
      <c r="Q81" s="2538"/>
      <c r="R81" s="2538"/>
      <c r="S81" s="2538"/>
      <c r="T81" s="2538"/>
      <c r="U81" s="2538"/>
      <c r="V81" s="2538"/>
      <c r="W81" s="2538"/>
      <c r="X81" s="2538"/>
      <c r="Y81" s="2538"/>
      <c r="Z81" s="2538"/>
      <c r="AA81" s="2538"/>
      <c r="AB81" s="2538"/>
      <c r="AC81" s="2538"/>
      <c r="AD81" s="2538"/>
      <c r="AE81" s="2538"/>
      <c r="AF81" s="2538"/>
      <c r="AG81" s="2538"/>
      <c r="AH81" s="2538"/>
      <c r="AI81" s="2538"/>
      <c r="AJ81" s="2539"/>
      <c r="AK81" s="543"/>
      <c r="AL81" s="540"/>
      <c r="AM81" s="540"/>
      <c r="AN81" s="535"/>
    </row>
    <row r="82" spans="1:43" s="536" customFormat="1" ht="12.75" customHeight="1">
      <c r="A82" s="538"/>
      <c r="B82" s="540"/>
      <c r="C82" s="540"/>
      <c r="D82" s="550"/>
      <c r="E82" s="2562"/>
      <c r="F82" s="2563"/>
      <c r="G82" s="2563"/>
      <c r="H82" s="2563"/>
      <c r="I82" s="2563"/>
      <c r="J82" s="2563"/>
      <c r="K82" s="2563"/>
      <c r="L82" s="2563"/>
      <c r="M82" s="2563"/>
      <c r="N82" s="2563"/>
      <c r="O82" s="2563"/>
      <c r="P82" s="2563"/>
      <c r="Q82" s="2563"/>
      <c r="R82" s="2563"/>
      <c r="S82" s="2563"/>
      <c r="T82" s="2563"/>
      <c r="U82" s="2563"/>
      <c r="V82" s="2563"/>
      <c r="W82" s="2563"/>
      <c r="X82" s="2563"/>
      <c r="Y82" s="2563"/>
      <c r="Z82" s="2563"/>
      <c r="AA82" s="2563"/>
      <c r="AB82" s="2563"/>
      <c r="AC82" s="2563"/>
      <c r="AD82" s="2563"/>
      <c r="AE82" s="2563"/>
      <c r="AF82" s="2563"/>
      <c r="AG82" s="2563"/>
      <c r="AH82" s="2563"/>
      <c r="AI82" s="2563"/>
      <c r="AJ82" s="256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3">
        <f>IF(AK62&gt;0,0,AO71)</f>
        <v>10</v>
      </c>
      <c r="AL84" s="2584"/>
      <c r="AM84" s="258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7" t="s">
        <v>1306</v>
      </c>
      <c r="AF87" s="2457"/>
      <c r="AG87" s="2457"/>
      <c r="AH87" s="2457"/>
      <c r="AI87" s="2457"/>
      <c r="AJ87" s="2457"/>
      <c r="AK87" s="245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0" t="s">
        <v>592</v>
      </c>
      <c r="C90" s="2610"/>
      <c r="D90" s="547" t="s">
        <v>1316</v>
      </c>
      <c r="E90" s="2602" t="s">
        <v>1326</v>
      </c>
      <c r="F90" s="2603"/>
      <c r="G90" s="2603"/>
      <c r="H90" s="2603"/>
      <c r="I90" s="2603"/>
      <c r="J90" s="2603"/>
      <c r="K90" s="2603"/>
      <c r="L90" s="2603"/>
      <c r="M90" s="2603"/>
      <c r="N90" s="2603"/>
      <c r="O90" s="2603"/>
      <c r="P90" s="2603"/>
      <c r="Q90" s="2603"/>
      <c r="R90" s="2603"/>
      <c r="S90" s="2603"/>
      <c r="T90" s="2603"/>
      <c r="U90" s="2603"/>
      <c r="V90" s="2603"/>
      <c r="W90" s="2603"/>
      <c r="X90" s="2603"/>
      <c r="Y90" s="2603"/>
      <c r="Z90" s="2603"/>
      <c r="AA90" s="2603"/>
      <c r="AB90" s="2603"/>
      <c r="AC90" s="2603"/>
      <c r="AD90" s="2603"/>
      <c r="AE90" s="2603"/>
      <c r="AF90" s="2603"/>
      <c r="AG90" s="2603"/>
      <c r="AH90" s="2603"/>
      <c r="AI90" s="2603"/>
      <c r="AJ90" s="2604"/>
      <c r="AK90" s="543"/>
      <c r="AL90" s="540"/>
      <c r="AM90" s="540"/>
      <c r="AN90" s="535"/>
    </row>
    <row r="91" spans="1:43" s="536" customFormat="1" ht="12.75" customHeight="1">
      <c r="A91" s="538"/>
      <c r="B91" s="539"/>
      <c r="C91" s="539"/>
      <c r="D91" s="539"/>
      <c r="E91" s="2605"/>
      <c r="F91" s="2606"/>
      <c r="G91" s="2606"/>
      <c r="H91" s="2606"/>
      <c r="I91" s="2606"/>
      <c r="J91" s="2606"/>
      <c r="K91" s="2606"/>
      <c r="L91" s="2606"/>
      <c r="M91" s="2606"/>
      <c r="N91" s="2606"/>
      <c r="O91" s="2606"/>
      <c r="P91" s="2606"/>
      <c r="Q91" s="2606"/>
      <c r="R91" s="2606"/>
      <c r="S91" s="2606"/>
      <c r="T91" s="2606"/>
      <c r="U91" s="2606"/>
      <c r="V91" s="2606"/>
      <c r="W91" s="2606"/>
      <c r="X91" s="2606"/>
      <c r="Y91" s="2606"/>
      <c r="Z91" s="2606"/>
      <c r="AA91" s="2606"/>
      <c r="AB91" s="2606"/>
      <c r="AC91" s="2606"/>
      <c r="AD91" s="2606"/>
      <c r="AE91" s="2606"/>
      <c r="AF91" s="2606"/>
      <c r="AG91" s="2606"/>
      <c r="AH91" s="2606"/>
      <c r="AI91" s="2606"/>
      <c r="AJ91" s="260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8">
        <f>Application!AC753</f>
        <v>0.5927152317880795</v>
      </c>
      <c r="F93" s="2599"/>
      <c r="G93" s="2599"/>
      <c r="H93" s="259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9">
        <f>0.6-ROUNDUP(E93,2)</f>
        <v>0</v>
      </c>
      <c r="F94" s="2404"/>
      <c r="G94" s="2404"/>
      <c r="H94" s="240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4">
        <f>IF(E94*200&gt;20,20,E94*200)</f>
        <v>0</v>
      </c>
      <c r="F95" s="2615"/>
      <c r="G95" s="2615"/>
      <c r="H95" s="261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0" t="s">
        <v>546</v>
      </c>
      <c r="C98" s="2610"/>
      <c r="D98" s="547" t="s">
        <v>1318</v>
      </c>
      <c r="E98" s="2602" t="s">
        <v>1726</v>
      </c>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4"/>
      <c r="AK98" s="543"/>
      <c r="AL98" s="540"/>
      <c r="AM98" s="540"/>
      <c r="AN98" s="535"/>
    </row>
    <row r="99" spans="1:47" s="536" customFormat="1" ht="12.75" customHeight="1">
      <c r="A99" s="538"/>
      <c r="B99" s="539"/>
      <c r="C99" s="539"/>
      <c r="D99" s="539"/>
      <c r="E99" s="2605"/>
      <c r="F99" s="2606"/>
      <c r="G99" s="2606"/>
      <c r="H99" s="2606"/>
      <c r="I99" s="2606"/>
      <c r="J99" s="2606"/>
      <c r="K99" s="2606"/>
      <c r="L99" s="2606"/>
      <c r="M99" s="2606"/>
      <c r="N99" s="2606"/>
      <c r="O99" s="2606"/>
      <c r="P99" s="2606"/>
      <c r="Q99" s="2606"/>
      <c r="R99" s="2606"/>
      <c r="S99" s="2606"/>
      <c r="T99" s="2606"/>
      <c r="U99" s="2606"/>
      <c r="V99" s="2606"/>
      <c r="W99" s="2606"/>
      <c r="X99" s="2606"/>
      <c r="Y99" s="2606"/>
      <c r="Z99" s="2606"/>
      <c r="AA99" s="2606"/>
      <c r="AB99" s="2606"/>
      <c r="AC99" s="2606"/>
      <c r="AD99" s="2606"/>
      <c r="AE99" s="2606"/>
      <c r="AF99" s="2606"/>
      <c r="AG99" s="2606"/>
      <c r="AH99" s="2606"/>
      <c r="AI99" s="2606"/>
      <c r="AJ99" s="2607"/>
      <c r="AK99" s="543"/>
      <c r="AL99" s="540"/>
      <c r="AM99" s="540"/>
      <c r="AN99" s="535"/>
    </row>
    <row r="100" spans="1:47" s="536" customFormat="1" ht="12.75" customHeight="1">
      <c r="A100" s="538"/>
      <c r="B100" s="539"/>
      <c r="C100" s="539"/>
      <c r="D100" s="539"/>
      <c r="E100" s="2605"/>
      <c r="F100" s="2606"/>
      <c r="G100" s="2606"/>
      <c r="H100" s="2606"/>
      <c r="I100" s="2606"/>
      <c r="J100" s="2606"/>
      <c r="K100" s="2606"/>
      <c r="L100" s="2606"/>
      <c r="M100" s="2606"/>
      <c r="N100" s="2606"/>
      <c r="O100" s="2606"/>
      <c r="P100" s="2606"/>
      <c r="Q100" s="2606"/>
      <c r="R100" s="2606"/>
      <c r="S100" s="2606"/>
      <c r="T100" s="2606"/>
      <c r="U100" s="2606"/>
      <c r="V100" s="2606"/>
      <c r="W100" s="2606"/>
      <c r="X100" s="2606"/>
      <c r="Y100" s="2606"/>
      <c r="Z100" s="2606"/>
      <c r="AA100" s="2606"/>
      <c r="AB100" s="2606"/>
      <c r="AC100" s="2606"/>
      <c r="AD100" s="2606"/>
      <c r="AE100" s="2606"/>
      <c r="AF100" s="2606"/>
      <c r="AG100" s="2606"/>
      <c r="AH100" s="2606"/>
      <c r="AI100" s="2606"/>
      <c r="AJ100" s="2607"/>
      <c r="AK100" s="543"/>
      <c r="AL100" s="540"/>
      <c r="AM100" s="540"/>
      <c r="AN100" s="535"/>
    </row>
    <row r="101" spans="1:47" s="536" customFormat="1" ht="12.75" customHeight="1">
      <c r="A101" s="538"/>
      <c r="B101" s="539"/>
      <c r="C101" s="539"/>
      <c r="D101" s="539"/>
      <c r="E101" s="2605"/>
      <c r="F101" s="2606"/>
      <c r="G101" s="2606"/>
      <c r="H101" s="2606"/>
      <c r="I101" s="2606"/>
      <c r="J101" s="2606"/>
      <c r="K101" s="2606"/>
      <c r="L101" s="2606"/>
      <c r="M101" s="2606"/>
      <c r="N101" s="2606"/>
      <c r="O101" s="2606"/>
      <c r="P101" s="2606"/>
      <c r="Q101" s="2606"/>
      <c r="R101" s="2606"/>
      <c r="S101" s="2606"/>
      <c r="T101" s="2606"/>
      <c r="U101" s="2606"/>
      <c r="V101" s="2606"/>
      <c r="W101" s="2606"/>
      <c r="X101" s="2606"/>
      <c r="Y101" s="2606"/>
      <c r="Z101" s="2606"/>
      <c r="AA101" s="2606"/>
      <c r="AB101" s="2606"/>
      <c r="AC101" s="2606"/>
      <c r="AD101" s="2606"/>
      <c r="AE101" s="2606"/>
      <c r="AF101" s="2606"/>
      <c r="AG101" s="2606"/>
      <c r="AH101" s="2606"/>
      <c r="AI101" s="2606"/>
      <c r="AJ101" s="260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8">
        <f>Application!AC753</f>
        <v>0.5927152317880795</v>
      </c>
      <c r="F103" s="2599"/>
      <c r="G103" s="2599"/>
      <c r="H103" s="259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8">
        <f ca="1">SUMIF(Application!AC718:AG752,0.2,Application!G718:J752)/Application!G753+SUMIF(Application!AC718:AG752,0.25,Application!G718:J752)/Application!G753+SUMIF(Application!AC718:AG752,0.3,Application!G718:J752)/Application!G753</f>
        <v>0.15231788079470199</v>
      </c>
      <c r="F104" s="2599"/>
      <c r="G104" s="2599"/>
      <c r="H104" s="259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8">
        <f ca="1">SUMIF(Application!AC718:AG752,0.35,Application!G718:J752)/Application!G753+SUMIF(Application!AC718:AG752,0.4,Application!G718:J752)/Application!G753+SUMIF(Application!AC718:AG752,0.45,Application!G718:J752)/Application!G753+SUMIF(Application!AC718:AG752,0.5,Application!G718:J752)/Application!G753</f>
        <v>0.10596026490066225</v>
      </c>
      <c r="F105" s="2599"/>
      <c r="G105" s="2599"/>
      <c r="H105" s="259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6">
        <f ca="1">IF(AND(E103&lt;=0.6,OR(AND(E104&gt;=0.1,E105&gt;=0.1),AND(E104&gt;0.1,(E104+E105)&gt;=0.2))),20,0)</f>
        <v>20</v>
      </c>
      <c r="F106" s="2597"/>
      <c r="G106" s="2597"/>
      <c r="H106" s="259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3">
        <f ca="1">MAX(AP95,AP106)</f>
        <v>20</v>
      </c>
      <c r="AL109" s="2584"/>
      <c r="AM109" s="258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7" t="s">
        <v>1315</v>
      </c>
      <c r="AF112" s="2457"/>
      <c r="AG112" s="2457"/>
      <c r="AH112" s="2457"/>
      <c r="AI112" s="2457"/>
      <c r="AJ112" s="2457"/>
      <c r="AK112" s="2457"/>
      <c r="AL112" s="540"/>
      <c r="AM112" s="540"/>
      <c r="AN112" s="535"/>
      <c r="AO112" s="536" t="str">
        <f>Application!B718</f>
        <v>1 Bedroom</v>
      </c>
      <c r="AQ112" s="536">
        <f>Application!O718</f>
        <v>696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1169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1395</v>
      </c>
    </row>
    <row r="115" spans="1:52" s="536" customFormat="1" ht="12.75" customHeight="1">
      <c r="A115" s="540"/>
      <c r="B115" s="2610" t="s">
        <v>546</v>
      </c>
      <c r="C115" s="2610"/>
      <c r="D115" s="547" t="s">
        <v>1316</v>
      </c>
      <c r="E115" s="2602" t="s">
        <v>1858</v>
      </c>
      <c r="F115" s="2603"/>
      <c r="G115" s="2603"/>
      <c r="H115" s="2603"/>
      <c r="I115" s="2603"/>
      <c r="J115" s="2603"/>
      <c r="K115" s="2603"/>
      <c r="L115" s="2603"/>
      <c r="M115" s="2603"/>
      <c r="N115" s="2603"/>
      <c r="O115" s="2603"/>
      <c r="P115" s="2603"/>
      <c r="Q115" s="2603"/>
      <c r="R115" s="2603"/>
      <c r="S115" s="2603"/>
      <c r="T115" s="2603"/>
      <c r="U115" s="2603"/>
      <c r="V115" s="2603"/>
      <c r="W115" s="2603"/>
      <c r="X115" s="2603"/>
      <c r="Y115" s="2603"/>
      <c r="Z115" s="2603"/>
      <c r="AA115" s="2603"/>
      <c r="AB115" s="2603"/>
      <c r="AC115" s="2603"/>
      <c r="AD115" s="2603"/>
      <c r="AE115" s="2603"/>
      <c r="AF115" s="2603"/>
      <c r="AG115" s="2603"/>
      <c r="AH115" s="2603"/>
      <c r="AI115" s="2603"/>
      <c r="AJ115" s="2604"/>
      <c r="AK115" s="540"/>
      <c r="AL115" s="540"/>
      <c r="AM115" s="540"/>
      <c r="AN115" s="535"/>
      <c r="AO115" s="536" t="str">
        <f>Application!B721</f>
        <v>2 Bedrooms</v>
      </c>
      <c r="AQ115" s="536">
        <f>Application!O721</f>
        <v>837</v>
      </c>
      <c r="AU115" s="536" t="s">
        <v>1841</v>
      </c>
      <c r="AV115" s="595" t="s">
        <v>1842</v>
      </c>
      <c r="AW115" s="536" t="s">
        <v>1843</v>
      </c>
    </row>
    <row r="116" spans="1:52" s="536" customFormat="1" ht="12.75" customHeight="1">
      <c r="A116" s="540"/>
      <c r="B116" s="539"/>
      <c r="C116" s="539"/>
      <c r="D116" s="539"/>
      <c r="E116" s="2605"/>
      <c r="F116" s="2606"/>
      <c r="G116" s="2606"/>
      <c r="H116" s="2606"/>
      <c r="I116" s="2606"/>
      <c r="J116" s="2606"/>
      <c r="K116" s="2606"/>
      <c r="L116" s="2606"/>
      <c r="M116" s="2606"/>
      <c r="N116" s="2606"/>
      <c r="O116" s="2606"/>
      <c r="P116" s="2606"/>
      <c r="Q116" s="2606"/>
      <c r="R116" s="2606"/>
      <c r="S116" s="2606"/>
      <c r="T116" s="2606"/>
      <c r="U116" s="2606"/>
      <c r="V116" s="2606"/>
      <c r="W116" s="2606"/>
      <c r="X116" s="2606"/>
      <c r="Y116" s="2606"/>
      <c r="Z116" s="2606"/>
      <c r="AA116" s="2606"/>
      <c r="AB116" s="2606"/>
      <c r="AC116" s="2606"/>
      <c r="AD116" s="2606"/>
      <c r="AE116" s="2606"/>
      <c r="AF116" s="2606"/>
      <c r="AG116" s="2606"/>
      <c r="AH116" s="2606"/>
      <c r="AI116" s="2606"/>
      <c r="AJ116" s="2607"/>
      <c r="AK116" s="540"/>
      <c r="AL116" s="540"/>
      <c r="AM116" s="540"/>
      <c r="AN116" s="535"/>
      <c r="AO116" s="536" t="str">
        <f>Application!B722</f>
        <v>2 Bedrooms</v>
      </c>
      <c r="AQ116" s="536">
        <f>Application!O722</f>
        <v>1404</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5"/>
      <c r="F117" s="2606"/>
      <c r="G117" s="2606"/>
      <c r="H117" s="2606"/>
      <c r="I117" s="2606"/>
      <c r="J117" s="2606"/>
      <c r="K117" s="2606"/>
      <c r="L117" s="2606"/>
      <c r="M117" s="2606"/>
      <c r="N117" s="2606"/>
      <c r="O117" s="2606"/>
      <c r="P117" s="2606"/>
      <c r="Q117" s="2606"/>
      <c r="R117" s="2606"/>
      <c r="S117" s="2606"/>
      <c r="T117" s="2606"/>
      <c r="U117" s="2606"/>
      <c r="V117" s="2606"/>
      <c r="W117" s="2606"/>
      <c r="X117" s="2606"/>
      <c r="Y117" s="2606"/>
      <c r="Z117" s="2606"/>
      <c r="AA117" s="2606"/>
      <c r="AB117" s="2606"/>
      <c r="AC117" s="2606"/>
      <c r="AD117" s="2606"/>
      <c r="AE117" s="2606"/>
      <c r="AF117" s="2606"/>
      <c r="AG117" s="2606"/>
      <c r="AH117" s="2606"/>
      <c r="AI117" s="2606"/>
      <c r="AJ117" s="2607"/>
      <c r="AK117" s="540"/>
      <c r="AL117" s="540"/>
      <c r="AM117" s="540"/>
      <c r="AN117" s="535"/>
      <c r="AO117" s="536" t="str">
        <f>Application!B723</f>
        <v>2 Bedrooms</v>
      </c>
      <c r="AQ117" s="536">
        <f>Application!O723</f>
        <v>1687</v>
      </c>
      <c r="AU117" s="856" t="str">
        <f>J124</f>
        <v>1-bedroom</v>
      </c>
      <c r="AV117" s="536">
        <f t="array" ref="AV117">SUM(IF(Application!B718:F752="1 Bedroom",Application!G718:J752))</f>
        <v>42</v>
      </c>
      <c r="AW117" s="1011">
        <f>AV117/AV122</f>
        <v>0.27814569536423839</v>
      </c>
    </row>
    <row r="118" spans="1:52" s="536" customFormat="1" ht="12.75" customHeight="1">
      <c r="A118" s="540"/>
      <c r="B118" s="539"/>
      <c r="C118" s="539"/>
      <c r="D118" s="539"/>
      <c r="E118" s="2605"/>
      <c r="F118" s="2606"/>
      <c r="G118" s="2606"/>
      <c r="H118" s="2606"/>
      <c r="I118" s="2606"/>
      <c r="J118" s="2606"/>
      <c r="K118" s="2606"/>
      <c r="L118" s="2606"/>
      <c r="M118" s="2606"/>
      <c r="N118" s="2606"/>
      <c r="O118" s="2606"/>
      <c r="P118" s="2606"/>
      <c r="Q118" s="2606"/>
      <c r="R118" s="2606"/>
      <c r="S118" s="2606"/>
      <c r="T118" s="2606"/>
      <c r="U118" s="2606"/>
      <c r="V118" s="2606"/>
      <c r="W118" s="2606"/>
      <c r="X118" s="2606"/>
      <c r="Y118" s="2606"/>
      <c r="Z118" s="2606"/>
      <c r="AA118" s="2606"/>
      <c r="AB118" s="2606"/>
      <c r="AC118" s="2606"/>
      <c r="AD118" s="2606"/>
      <c r="AE118" s="2606"/>
      <c r="AF118" s="2606"/>
      <c r="AG118" s="2606"/>
      <c r="AH118" s="2606"/>
      <c r="AI118" s="2606"/>
      <c r="AJ118" s="2607"/>
      <c r="AK118" s="540"/>
      <c r="AL118" s="540"/>
      <c r="AM118" s="540"/>
      <c r="AN118" s="535"/>
      <c r="AO118" s="536" t="str">
        <f>Application!B724</f>
        <v>3 Bedrooms</v>
      </c>
      <c r="AQ118" s="536">
        <f>Application!O724</f>
        <v>970</v>
      </c>
      <c r="AU118" s="856" t="str">
        <f>O124</f>
        <v>2-bedroom</v>
      </c>
      <c r="AV118" s="536">
        <f t="array" ref="AV118">SUM(IF(Application!B718:F752="2 Bedrooms",Application!G718:J752))</f>
        <v>70</v>
      </c>
      <c r="AW118" s="1011">
        <f>AV118/AV122</f>
        <v>0.46357615894039733</v>
      </c>
    </row>
    <row r="119" spans="1:52" s="536" customFormat="1" ht="12.75" customHeight="1">
      <c r="A119" s="540"/>
      <c r="B119" s="539"/>
      <c r="C119" s="539"/>
      <c r="D119" s="539"/>
      <c r="E119" s="2605"/>
      <c r="F119" s="2606"/>
      <c r="G119" s="2606"/>
      <c r="H119" s="2606"/>
      <c r="I119" s="2606"/>
      <c r="J119" s="2606"/>
      <c r="K119" s="2606"/>
      <c r="L119" s="2606"/>
      <c r="M119" s="2606"/>
      <c r="N119" s="2606"/>
      <c r="O119" s="2606"/>
      <c r="P119" s="2606"/>
      <c r="Q119" s="2606"/>
      <c r="R119" s="2606"/>
      <c r="S119" s="2606"/>
      <c r="T119" s="2606"/>
      <c r="U119" s="2606"/>
      <c r="V119" s="2606"/>
      <c r="W119" s="2606"/>
      <c r="X119" s="2606"/>
      <c r="Y119" s="2606"/>
      <c r="Z119" s="2606"/>
      <c r="AA119" s="2606"/>
      <c r="AB119" s="2606"/>
      <c r="AC119" s="2606"/>
      <c r="AD119" s="2606"/>
      <c r="AE119" s="2606"/>
      <c r="AF119" s="2606"/>
      <c r="AG119" s="2606"/>
      <c r="AH119" s="2606"/>
      <c r="AI119" s="2606"/>
      <c r="AJ119" s="2607"/>
      <c r="AK119" s="540"/>
      <c r="AL119" s="540"/>
      <c r="AM119" s="540"/>
      <c r="AN119" s="535"/>
      <c r="AO119" s="536" t="str">
        <f>Application!B725</f>
        <v>3 Bedrooms</v>
      </c>
      <c r="AQ119" s="536">
        <f>Application!O725</f>
        <v>1624</v>
      </c>
      <c r="AU119" s="856" t="str">
        <f>T124</f>
        <v>3-bedroom</v>
      </c>
      <c r="AV119" s="536">
        <f t="array" ref="AV119">SUM(IF(Application!B718:F752="3 Bedrooms",Application!G718:J752))</f>
        <v>39</v>
      </c>
      <c r="AW119" s="1011">
        <f>AV119/AV122</f>
        <v>0.25827814569536423</v>
      </c>
    </row>
    <row r="120" spans="1:52" s="536" customFormat="1" ht="12.75" customHeight="1">
      <c r="A120" s="540"/>
      <c r="B120" s="539"/>
      <c r="C120" s="539"/>
      <c r="D120" s="539"/>
      <c r="E120" s="2605"/>
      <c r="F120" s="2606"/>
      <c r="G120" s="2606"/>
      <c r="H120" s="2606"/>
      <c r="I120" s="2606"/>
      <c r="J120" s="2606"/>
      <c r="K120" s="2606"/>
      <c r="L120" s="2606"/>
      <c r="M120" s="2606"/>
      <c r="N120" s="2606"/>
      <c r="O120" s="2606"/>
      <c r="P120" s="2606"/>
      <c r="Q120" s="2606"/>
      <c r="R120" s="2606"/>
      <c r="S120" s="2606"/>
      <c r="T120" s="2606"/>
      <c r="U120" s="2606"/>
      <c r="V120" s="2606"/>
      <c r="W120" s="2606"/>
      <c r="X120" s="2606"/>
      <c r="Y120" s="2606"/>
      <c r="Z120" s="2606"/>
      <c r="AA120" s="2606"/>
      <c r="AB120" s="2606"/>
      <c r="AC120" s="2606"/>
      <c r="AD120" s="2606"/>
      <c r="AE120" s="2606"/>
      <c r="AF120" s="2606"/>
      <c r="AG120" s="2606"/>
      <c r="AH120" s="2606"/>
      <c r="AI120" s="2606"/>
      <c r="AJ120" s="2607"/>
      <c r="AK120" s="540"/>
      <c r="AL120" s="540"/>
      <c r="AM120" s="540"/>
      <c r="AN120" s="535"/>
      <c r="AO120" s="536" t="str">
        <f>Application!B726</f>
        <v>3 Bedrooms</v>
      </c>
      <c r="AQ120" s="536">
        <f>Application!O726</f>
        <v>1952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5"/>
      <c r="F121" s="2606"/>
      <c r="G121" s="2606"/>
      <c r="H121" s="2606"/>
      <c r="I121" s="2606"/>
      <c r="J121" s="2606"/>
      <c r="K121" s="2606"/>
      <c r="L121" s="2606"/>
      <c r="M121" s="2606"/>
      <c r="N121" s="2606"/>
      <c r="O121" s="2606"/>
      <c r="P121" s="2606"/>
      <c r="Q121" s="2606"/>
      <c r="R121" s="2606"/>
      <c r="S121" s="2606"/>
      <c r="T121" s="2606"/>
      <c r="U121" s="2606"/>
      <c r="V121" s="2606"/>
      <c r="W121" s="2606"/>
      <c r="X121" s="2606"/>
      <c r="Y121" s="2606"/>
      <c r="Z121" s="2606"/>
      <c r="AA121" s="2606"/>
      <c r="AB121" s="2606"/>
      <c r="AC121" s="2606"/>
      <c r="AD121" s="2606"/>
      <c r="AE121" s="2606"/>
      <c r="AF121" s="2606"/>
      <c r="AG121" s="2606"/>
      <c r="AH121" s="2606"/>
      <c r="AI121" s="2606"/>
      <c r="AJ121" s="2607"/>
      <c r="AK121" s="540"/>
      <c r="AL121" s="540"/>
      <c r="AM121" s="540"/>
      <c r="AN121" s="535"/>
      <c r="AO121" s="536" t="str">
        <f>Application!B727</f>
        <v>1 Bedroom</v>
      </c>
      <c r="AQ121" s="536">
        <f>Application!O727</f>
        <v>1395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5"/>
      <c r="F122" s="2606"/>
      <c r="G122" s="2606"/>
      <c r="H122" s="2606"/>
      <c r="I122" s="2606"/>
      <c r="J122" s="2606"/>
      <c r="K122" s="2606"/>
      <c r="L122" s="2606"/>
      <c r="M122" s="2606"/>
      <c r="N122" s="2606"/>
      <c r="O122" s="2606"/>
      <c r="P122" s="2606"/>
      <c r="Q122" s="2606"/>
      <c r="R122" s="2606"/>
      <c r="S122" s="2606"/>
      <c r="T122" s="2606"/>
      <c r="U122" s="2606"/>
      <c r="V122" s="2606"/>
      <c r="W122" s="2606"/>
      <c r="X122" s="2606"/>
      <c r="Y122" s="2606"/>
      <c r="Z122" s="2606"/>
      <c r="AA122" s="2606"/>
      <c r="AB122" s="2606"/>
      <c r="AC122" s="2606"/>
      <c r="AD122" s="2606"/>
      <c r="AE122" s="2606"/>
      <c r="AF122" s="2606"/>
      <c r="AG122" s="2606"/>
      <c r="AH122" s="2606"/>
      <c r="AI122" s="2606"/>
      <c r="AJ122" s="2607"/>
      <c r="AK122" s="540"/>
      <c r="AL122" s="540"/>
      <c r="AM122" s="540"/>
      <c r="AN122" s="535"/>
      <c r="AO122" s="536" t="str">
        <f>Application!B728</f>
        <v>2 Bedrooms</v>
      </c>
      <c r="AQ122" s="536">
        <f>Application!O728</f>
        <v>1705</v>
      </c>
      <c r="AV122" s="536">
        <f>SUM(AV116:AV121)</f>
        <v>151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2100</v>
      </c>
    </row>
    <row r="124" spans="1:52" s="536" customFormat="1" ht="12.75" customHeight="1">
      <c r="A124" s="540"/>
      <c r="B124" s="539"/>
      <c r="C124" s="540"/>
      <c r="D124" s="540"/>
      <c r="E124" s="2598" t="s">
        <v>1589</v>
      </c>
      <c r="F124" s="2599"/>
      <c r="G124" s="2599"/>
      <c r="H124" s="2599"/>
      <c r="I124" s="577"/>
      <c r="J124" s="2599" t="s">
        <v>1632</v>
      </c>
      <c r="K124" s="2599"/>
      <c r="L124" s="2599"/>
      <c r="M124" s="2599"/>
      <c r="N124" s="577"/>
      <c r="O124" s="2599" t="s">
        <v>1633</v>
      </c>
      <c r="P124" s="2599"/>
      <c r="Q124" s="2599"/>
      <c r="R124" s="2599"/>
      <c r="S124" s="577"/>
      <c r="T124" s="2599" t="s">
        <v>1335</v>
      </c>
      <c r="U124" s="2599"/>
      <c r="V124" s="2599"/>
      <c r="W124" s="2599"/>
      <c r="X124" s="577"/>
      <c r="Y124" s="2599" t="s">
        <v>1634</v>
      </c>
      <c r="Z124" s="2599"/>
      <c r="AA124" s="2599"/>
      <c r="AB124" s="2599"/>
      <c r="AC124" s="577"/>
      <c r="AD124" s="2599" t="s">
        <v>1635</v>
      </c>
      <c r="AE124" s="2599"/>
      <c r="AF124" s="2599"/>
      <c r="AG124" s="259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0"/>
      <c r="F127" s="2601"/>
      <c r="G127" s="2601"/>
      <c r="H127" s="2601"/>
      <c r="I127" s="864"/>
      <c r="J127" s="2601">
        <v>1875</v>
      </c>
      <c r="K127" s="2601"/>
      <c r="L127" s="2601"/>
      <c r="M127" s="2601"/>
      <c r="N127" s="864"/>
      <c r="O127" s="2601">
        <v>1985</v>
      </c>
      <c r="P127" s="2601"/>
      <c r="Q127" s="2601"/>
      <c r="R127" s="2601"/>
      <c r="S127" s="864"/>
      <c r="T127" s="2601">
        <v>2900</v>
      </c>
      <c r="U127" s="2601"/>
      <c r="V127" s="2601"/>
      <c r="W127" s="2601"/>
      <c r="X127" s="864"/>
      <c r="Y127" s="2601"/>
      <c r="Z127" s="2601"/>
      <c r="AA127" s="2601"/>
      <c r="AB127" s="2601"/>
      <c r="AC127" s="864"/>
      <c r="AD127" s="2601"/>
      <c r="AE127" s="2601"/>
      <c r="AF127" s="2601"/>
      <c r="AG127" s="260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8">
        <f>Application!DX670</f>
        <v>0</v>
      </c>
      <c r="F130" s="2609"/>
      <c r="G130" s="2609"/>
      <c r="H130" s="2609"/>
      <c r="I130" s="864"/>
      <c r="J130" s="2609">
        <f>Application!EC670</f>
        <v>1218.3095238095239</v>
      </c>
      <c r="K130" s="2609"/>
      <c r="L130" s="2609"/>
      <c r="M130" s="2609"/>
      <c r="N130" s="864"/>
      <c r="O130" s="2609">
        <f>Application!EH670</f>
        <v>1545.7571428571428</v>
      </c>
      <c r="P130" s="2609"/>
      <c r="Q130" s="2609"/>
      <c r="R130" s="2609"/>
      <c r="S130" s="868"/>
      <c r="T130" s="2609">
        <f>Application!EM670</f>
        <v>1897.3333333333333</v>
      </c>
      <c r="U130" s="2609"/>
      <c r="V130" s="2609"/>
      <c r="W130" s="2609"/>
      <c r="X130" s="868"/>
      <c r="Y130" s="2609">
        <f>Application!ER670</f>
        <v>0</v>
      </c>
      <c r="Z130" s="2609"/>
      <c r="AA130" s="2609"/>
      <c r="AB130" s="2609"/>
      <c r="AC130" s="868"/>
      <c r="AD130" s="2609">
        <f>Application!EW670</f>
        <v>0</v>
      </c>
      <c r="AE130" s="2609"/>
      <c r="AF130" s="2609"/>
      <c r="AG130" s="260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3" t="e">
        <f>(E127-E130)/E127</f>
        <v>#DIV/0!</v>
      </c>
      <c r="F133" s="2404"/>
      <c r="G133" s="2404"/>
      <c r="H133" s="2405"/>
      <c r="I133" s="577"/>
      <c r="J133" s="2403">
        <f>(J127-J130)/J127</f>
        <v>0.35023492063492062</v>
      </c>
      <c r="K133" s="2404"/>
      <c r="L133" s="2404"/>
      <c r="M133" s="2405"/>
      <c r="N133" s="577"/>
      <c r="O133" s="2403">
        <f>(O127-O130)/O127</f>
        <v>0.2212810363440087</v>
      </c>
      <c r="P133" s="2404"/>
      <c r="Q133" s="2404"/>
      <c r="R133" s="2405"/>
      <c r="S133" s="577"/>
      <c r="T133" s="2403">
        <f>(T127-T130)/T127</f>
        <v>0.34574712643678163</v>
      </c>
      <c r="U133" s="2404"/>
      <c r="V133" s="2404"/>
      <c r="W133" s="2405"/>
      <c r="X133" s="577"/>
      <c r="Y133" s="2403" t="e">
        <f>(Y127-Y130)/Y127</f>
        <v>#DIV/0!</v>
      </c>
      <c r="Z133" s="2404"/>
      <c r="AA133" s="2404"/>
      <c r="AB133" s="2405"/>
      <c r="AC133" s="577"/>
      <c r="AD133" s="2403" t="e">
        <f>(AD127-AD130)/AD127</f>
        <v>#DIV/0!</v>
      </c>
      <c r="AE133" s="2404"/>
      <c r="AF133" s="2404"/>
      <c r="AG133" s="240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1" t="e">
        <f>IF(((E133-0.1)*AW116)&gt;0,((E133-0.1)*AW116),0)</f>
        <v>#DIV/0!</v>
      </c>
      <c r="F136" s="2612"/>
      <c r="G136" s="2612"/>
      <c r="H136" s="2613"/>
      <c r="I136" s="577"/>
      <c r="J136" s="2611">
        <f>IF(((J133-0.1)*AW117)&gt;0,((J133-0.1)*AW117),0)</f>
        <v>6.9601766004414992E-2</v>
      </c>
      <c r="K136" s="2612"/>
      <c r="L136" s="2612"/>
      <c r="M136" s="2613"/>
      <c r="N136" s="577"/>
      <c r="O136" s="2611">
        <f>IF(((O133-0.1)*AW118)&gt;0,((O133-0.1)*AW118),0)</f>
        <v>5.6222996980666282E-2</v>
      </c>
      <c r="P136" s="2612"/>
      <c r="Q136" s="2612"/>
      <c r="R136" s="2613"/>
      <c r="S136" s="577"/>
      <c r="T136" s="2611">
        <f>IF(((T133-0.1)*AW119)&gt;0,((T133-0.1)*AW119),0)</f>
        <v>6.3471112126056176E-2</v>
      </c>
      <c r="U136" s="2612"/>
      <c r="V136" s="2612"/>
      <c r="W136" s="2613"/>
      <c r="X136" s="577"/>
      <c r="Y136" s="2611" t="e">
        <f>IF(((Y133-0.1)*AW120)&gt;0,((Y133-0.1)*AW120),0)</f>
        <v>#DIV/0!</v>
      </c>
      <c r="Z136" s="2612"/>
      <c r="AA136" s="2612"/>
      <c r="AB136" s="2613"/>
      <c r="AC136" s="577"/>
      <c r="AD136" s="2611" t="e">
        <f>IF(((AD133-0.1)*AW121)&gt;0,((AD133-0.1)*AW121),0)</f>
        <v>#DIV/0!</v>
      </c>
      <c r="AE136" s="2612"/>
      <c r="AF136" s="2612"/>
      <c r="AG136" s="261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3">
        <f>ROUNDDOWN(SUMIF(E136:AG136,"&gt;0"),2)</f>
        <v>0.18</v>
      </c>
      <c r="F138" s="2404"/>
      <c r="G138" s="2404"/>
      <c r="H138" s="240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3">
        <f>IF((E138*100)&gt;10,10,E138*100)</f>
        <v>10</v>
      </c>
      <c r="F139" s="2584"/>
      <c r="G139" s="2584"/>
      <c r="H139" s="258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3">
        <f>E139</f>
        <v>10</v>
      </c>
      <c r="AL143" s="2584"/>
      <c r="AM143" s="258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7" t="s">
        <v>1315</v>
      </c>
      <c r="AF146" s="2457"/>
      <c r="AG146" s="2457"/>
      <c r="AH146" s="2457"/>
      <c r="AI146" s="2457"/>
      <c r="AJ146" s="2457"/>
      <c r="AK146" s="245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7" t="s">
        <v>1339</v>
      </c>
      <c r="AG148" s="2517"/>
      <c r="AH148" s="2517"/>
      <c r="AI148" s="2517"/>
      <c r="AJ148" s="2517"/>
      <c r="AK148" s="2517"/>
      <c r="AL148" s="251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7" t="s">
        <v>2635</v>
      </c>
      <c r="C150" s="2587"/>
      <c r="D150" s="2587"/>
      <c r="E150" s="2587"/>
      <c r="F150" s="2587"/>
      <c r="G150" s="2587"/>
      <c r="H150" s="2587"/>
      <c r="I150" s="2587"/>
      <c r="J150" s="2587"/>
      <c r="K150" s="2587"/>
      <c r="L150" s="2587"/>
      <c r="M150" s="2587"/>
      <c r="N150" s="2587"/>
      <c r="O150" s="2587"/>
      <c r="P150" s="2587"/>
      <c r="Q150" s="2587"/>
      <c r="R150" s="2587"/>
      <c r="S150" s="2587"/>
      <c r="T150" s="2587"/>
      <c r="U150" s="2587"/>
      <c r="V150" s="2587"/>
      <c r="W150" s="2587"/>
      <c r="X150" s="2587"/>
      <c r="Y150" s="2587"/>
      <c r="Z150" s="2587"/>
      <c r="AA150" s="2587"/>
      <c r="AB150" s="2587"/>
      <c r="AC150" s="258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88" t="s">
        <v>1342</v>
      </c>
      <c r="C153" s="2588"/>
      <c r="D153" s="2588"/>
      <c r="E153" s="2588"/>
      <c r="F153" s="2588"/>
      <c r="G153" s="2588"/>
      <c r="H153" s="2588"/>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88"/>
      <c r="AD153" s="2588"/>
      <c r="AE153" s="2588"/>
      <c r="AF153" s="2588"/>
      <c r="AG153" s="2588"/>
      <c r="AH153" s="2588"/>
      <c r="AI153" s="258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89" t="s">
        <v>592</v>
      </c>
      <c r="AC155" s="238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88" t="s">
        <v>1344</v>
      </c>
      <c r="C158" s="2588"/>
      <c r="D158" s="2588"/>
      <c r="E158" s="2588"/>
      <c r="F158" s="2588"/>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8"/>
      <c r="AG158" s="2588"/>
      <c r="AH158" s="2588"/>
      <c r="AI158" s="2588"/>
      <c r="AJ158" s="258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6" t="s">
        <v>2476</v>
      </c>
      <c r="C161" s="2386"/>
      <c r="D161" s="2386"/>
      <c r="E161" s="2386"/>
      <c r="F161" s="2386"/>
      <c r="G161" s="2386"/>
      <c r="H161" s="2386"/>
      <c r="I161" s="2386"/>
      <c r="J161" s="2386"/>
      <c r="K161" s="2386"/>
      <c r="L161" s="2386"/>
      <c r="M161" s="2386"/>
      <c r="N161" s="2386"/>
      <c r="O161" s="2386"/>
      <c r="P161" s="2386"/>
      <c r="Q161" s="2386"/>
      <c r="R161" s="2386"/>
      <c r="S161" s="2386"/>
      <c r="T161" s="2386"/>
      <c r="U161" s="2386"/>
      <c r="V161" s="2386"/>
      <c r="W161" s="2386"/>
      <c r="X161" s="2386"/>
      <c r="Y161" s="2386"/>
      <c r="Z161" s="2386"/>
      <c r="AA161" s="2386"/>
      <c r="AB161" s="2386"/>
      <c r="AC161" s="2386"/>
      <c r="AD161" s="2386"/>
      <c r="AE161" s="2386"/>
      <c r="AF161" s="2386"/>
      <c r="AG161" s="2386"/>
      <c r="AH161" s="2386"/>
      <c r="AI161" s="2386"/>
      <c r="AJ161" s="2386"/>
      <c r="AK161" s="1180"/>
      <c r="AM161" s="539"/>
      <c r="AN161" s="535"/>
      <c r="AO161" s="476"/>
      <c r="AP161" s="489"/>
    </row>
    <row r="162" spans="1:42" s="536" customFormat="1" ht="12.75" customHeight="1">
      <c r="B162" s="2386"/>
      <c r="C162" s="2386"/>
      <c r="D162" s="2386"/>
      <c r="E162" s="2386"/>
      <c r="F162" s="2386"/>
      <c r="G162" s="2386"/>
      <c r="H162" s="2386"/>
      <c r="I162" s="2386"/>
      <c r="J162" s="2386"/>
      <c r="K162" s="2386"/>
      <c r="L162" s="2386"/>
      <c r="M162" s="2386"/>
      <c r="N162" s="2386"/>
      <c r="O162" s="2386"/>
      <c r="P162" s="2386"/>
      <c r="Q162" s="2386"/>
      <c r="R162" s="2386"/>
      <c r="S162" s="2386"/>
      <c r="T162" s="2386"/>
      <c r="U162" s="2386"/>
      <c r="V162" s="2386"/>
      <c r="W162" s="2386"/>
      <c r="X162" s="2386"/>
      <c r="Y162" s="2386"/>
      <c r="Z162" s="2386"/>
      <c r="AA162" s="2386"/>
      <c r="AB162" s="2386"/>
      <c r="AC162" s="2386"/>
      <c r="AD162" s="2386"/>
      <c r="AE162" s="2386"/>
      <c r="AF162" s="2386"/>
      <c r="AG162" s="2386"/>
      <c r="AH162" s="2386"/>
      <c r="AI162" s="2386"/>
      <c r="AJ162" s="2386"/>
      <c r="AK162" s="1180"/>
      <c r="AM162" s="539"/>
      <c r="AN162" s="535"/>
      <c r="AO162" s="476"/>
      <c r="AP162" s="489"/>
    </row>
    <row r="163" spans="1:42" s="536" customFormat="1" ht="12.75" customHeight="1">
      <c r="C163" s="2387" t="s">
        <v>2477</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2387"/>
      <c r="AB163" s="2387"/>
      <c r="AC163" s="2387"/>
      <c r="AD163" s="2387"/>
      <c r="AE163" s="2387"/>
      <c r="AF163" s="2387"/>
      <c r="AG163" s="2387"/>
      <c r="AH163" s="2387"/>
      <c r="AI163" s="2387"/>
      <c r="AJ163" s="2387"/>
      <c r="AK163" s="1180"/>
      <c r="AM163" s="539"/>
      <c r="AN163" s="535"/>
      <c r="AO163" s="476"/>
      <c r="AP163" s="489"/>
    </row>
    <row r="164" spans="1:42" s="536" customFormat="1" ht="12.75" customHeight="1">
      <c r="B164" s="1180"/>
      <c r="C164" s="2388" t="s">
        <v>2475</v>
      </c>
      <c r="D164" s="2388"/>
      <c r="E164" s="2388"/>
      <c r="F164" s="2388"/>
      <c r="G164" s="2388"/>
      <c r="H164" s="2388"/>
      <c r="I164" s="2388"/>
      <c r="J164" s="2388"/>
      <c r="K164" s="2388"/>
      <c r="L164" s="2388"/>
      <c r="M164" s="2388"/>
      <c r="N164" s="2388"/>
      <c r="O164" s="2388"/>
      <c r="P164" s="2388"/>
      <c r="Q164" s="2388"/>
      <c r="R164" s="2388"/>
      <c r="S164" s="2388"/>
      <c r="T164" s="2388"/>
      <c r="U164" s="2388"/>
      <c r="V164" s="2388"/>
      <c r="W164" s="2388"/>
      <c r="X164" s="2388"/>
      <c r="Y164" s="2388"/>
      <c r="Z164" s="2388"/>
      <c r="AA164" s="1170"/>
      <c r="AB164" s="1170"/>
      <c r="AC164" s="1170"/>
      <c r="AD164" s="1170"/>
      <c r="AE164" s="1170"/>
      <c r="AF164" s="1170"/>
      <c r="AG164" s="1170"/>
      <c r="AH164" s="1170"/>
      <c r="AJ164" s="2389" t="s">
        <v>592</v>
      </c>
      <c r="AK164" s="238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7" t="s">
        <v>1353</v>
      </c>
      <c r="AG168" s="2517"/>
      <c r="AH168" s="2517"/>
      <c r="AI168" s="2517"/>
      <c r="AJ168" s="2517"/>
      <c r="AK168" s="2517"/>
      <c r="AL168" s="251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8" t="s">
        <v>1351</v>
      </c>
      <c r="D170" s="2588"/>
      <c r="E170" s="2588"/>
      <c r="F170" s="2588"/>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8"/>
      <c r="AG170" s="2588"/>
      <c r="AH170" s="2588"/>
      <c r="AI170" s="258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9" t="s">
        <v>592</v>
      </c>
      <c r="AG172" s="238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88" t="s">
        <v>1344</v>
      </c>
      <c r="D174" s="2588"/>
      <c r="E174" s="2588"/>
      <c r="F174" s="2588"/>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89" t="str">
        <f>Application!AA335</f>
        <v>Danco Property Management</v>
      </c>
      <c r="D178" s="2589"/>
      <c r="E178" s="2589"/>
      <c r="F178" s="2589"/>
      <c r="G178" s="2589"/>
      <c r="H178" s="2589"/>
      <c r="I178" s="2589"/>
      <c r="J178" s="2589"/>
      <c r="K178" s="2589"/>
      <c r="L178" s="2589"/>
      <c r="M178" s="2589"/>
      <c r="N178" s="2589"/>
      <c r="O178" s="2589"/>
      <c r="P178" s="2589"/>
      <c r="Q178" s="2589"/>
      <c r="R178" s="2589"/>
      <c r="S178" s="2589"/>
      <c r="T178" s="2589"/>
      <c r="U178" s="2589"/>
      <c r="V178" s="2589"/>
      <c r="W178" s="2589"/>
      <c r="X178" s="2589"/>
      <c r="Y178" s="2589"/>
      <c r="Z178" s="2589"/>
      <c r="AA178" s="2589"/>
      <c r="AB178" s="2589"/>
      <c r="AC178" s="2589"/>
      <c r="AD178" s="258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3">
        <f>$AJ$166+$AJ$180</f>
        <v>10</v>
      </c>
      <c r="AL183" s="2584"/>
      <c r="AM183" s="258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7" t="s">
        <v>1315</v>
      </c>
      <c r="AF186" s="2457"/>
      <c r="AG186" s="2457"/>
      <c r="AH186" s="2457"/>
      <c r="AI186" s="2457"/>
      <c r="AJ186" s="2457"/>
      <c r="AK186" s="245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6" t="s">
        <v>1042</v>
      </c>
      <c r="C188" s="2586"/>
      <c r="D188" s="2586"/>
      <c r="E188" s="2586"/>
      <c r="F188" s="2586"/>
      <c r="G188" s="2586"/>
      <c r="H188" s="2586"/>
      <c r="I188" s="2586"/>
      <c r="J188" s="2586"/>
      <c r="K188" s="2586"/>
      <c r="L188" s="2586"/>
      <c r="M188" s="2586"/>
      <c r="N188" s="2586"/>
      <c r="O188" s="2586"/>
      <c r="P188" s="2586"/>
      <c r="Q188" s="2586"/>
      <c r="R188" s="2586"/>
      <c r="S188" s="2586"/>
      <c r="T188" s="2586"/>
      <c r="U188" s="2586"/>
      <c r="V188" s="2586"/>
      <c r="W188" s="2586"/>
      <c r="X188" s="2586"/>
      <c r="Y188" s="2586"/>
      <c r="Z188" s="2586"/>
      <c r="AA188" s="2586"/>
      <c r="AB188" s="2586"/>
      <c r="AC188" s="2586"/>
      <c r="AD188" s="536"/>
      <c r="AE188" s="536"/>
      <c r="AF188" s="2517" t="s">
        <v>1364</v>
      </c>
      <c r="AG188" s="2517"/>
      <c r="AH188" s="2517"/>
      <c r="AI188" s="2517"/>
      <c r="AJ188" s="2517"/>
      <c r="AK188" s="2517"/>
      <c r="AL188" s="2517"/>
      <c r="AN188" s="597"/>
      <c r="AP188" s="550" t="s">
        <v>1044</v>
      </c>
      <c r="AQ188" s="550">
        <v>10</v>
      </c>
    </row>
    <row r="189" spans="1:73" s="550" customFormat="1" ht="12.75" customHeight="1">
      <c r="A189" s="536"/>
      <c r="B189" s="2388" t="s">
        <v>1727</v>
      </c>
      <c r="C189" s="2388"/>
      <c r="D189" s="2388"/>
      <c r="E189" s="2388"/>
      <c r="F189" s="2388"/>
      <c r="G189" s="2388"/>
      <c r="H189" s="2388"/>
      <c r="I189" s="2388"/>
      <c r="J189" s="2388"/>
      <c r="K189" s="2388"/>
      <c r="L189" s="2388"/>
      <c r="M189" s="2388"/>
      <c r="N189" s="2388"/>
      <c r="O189" s="2388"/>
      <c r="P189" s="2388"/>
      <c r="Q189" s="2388"/>
      <c r="R189" s="2388"/>
      <c r="S189" s="2388"/>
      <c r="T189" s="2587" t="s">
        <v>592</v>
      </c>
      <c r="U189" s="2587"/>
      <c r="V189" s="2587"/>
      <c r="W189" s="2587"/>
      <c r="X189" s="2587"/>
      <c r="Y189" s="2587"/>
      <c r="Z189" s="2587"/>
      <c r="AA189" s="2587"/>
      <c r="AB189" s="2587"/>
      <c r="AC189" s="258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4">
        <f>IF(AK84&gt;0,VLOOKUP($B$188,AP185:AQ191,2,FALSE),0)</f>
        <v>10</v>
      </c>
      <c r="AL191" s="2425"/>
      <c r="AM191" s="242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7" t="s">
        <v>1373</v>
      </c>
      <c r="AF194" s="2457"/>
      <c r="AG194" s="2457"/>
      <c r="AH194" s="2457"/>
      <c r="AI194" s="2457"/>
      <c r="AJ194" s="2457"/>
      <c r="AK194" s="245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0" t="s">
        <v>2710</v>
      </c>
      <c r="C199" s="2580"/>
      <c r="D199" s="2580"/>
      <c r="E199" s="2580"/>
      <c r="F199" s="2580"/>
      <c r="G199" s="2580"/>
      <c r="H199" s="2580"/>
      <c r="I199" s="2580"/>
      <c r="J199" s="2580"/>
      <c r="K199" s="2580"/>
      <c r="L199" s="2580"/>
      <c r="M199" s="2580"/>
      <c r="N199" s="2580"/>
      <c r="O199" s="2580"/>
      <c r="P199" s="2580"/>
      <c r="Q199" s="2580"/>
      <c r="R199" s="2580"/>
      <c r="S199" s="2580"/>
      <c r="T199" s="2580"/>
      <c r="U199" s="2580"/>
      <c r="V199" s="2580"/>
      <c r="W199" s="2580"/>
      <c r="X199" s="2580"/>
      <c r="Y199" s="2580"/>
      <c r="Z199" s="2580"/>
      <c r="AA199" s="2580"/>
      <c r="AB199" s="2580"/>
      <c r="AC199" s="846"/>
      <c r="AD199" s="2570">
        <f>+[1]Application!AO629</f>
        <v>1850000</v>
      </c>
      <c r="AE199" s="2570"/>
      <c r="AF199" s="2570"/>
      <c r="AG199" s="2570"/>
      <c r="AH199" s="2570"/>
      <c r="AI199" s="2570"/>
      <c r="AJ199" s="2570"/>
      <c r="AK199" s="610"/>
    </row>
    <row r="200" spans="1:40">
      <c r="A200" s="605"/>
      <c r="B200" s="2580" t="s">
        <v>2711</v>
      </c>
      <c r="C200" s="2580"/>
      <c r="D200" s="2580"/>
      <c r="E200" s="2580"/>
      <c r="F200" s="2580"/>
      <c r="G200" s="2580"/>
      <c r="H200" s="2580"/>
      <c r="I200" s="2580"/>
      <c r="J200" s="2580"/>
      <c r="K200" s="2580"/>
      <c r="L200" s="2580"/>
      <c r="M200" s="2580"/>
      <c r="N200" s="2580"/>
      <c r="O200" s="2580"/>
      <c r="P200" s="2580"/>
      <c r="Q200" s="2580"/>
      <c r="R200" s="2580"/>
      <c r="S200" s="2580"/>
      <c r="T200" s="2580"/>
      <c r="U200" s="2580"/>
      <c r="V200" s="2580"/>
      <c r="W200" s="2580"/>
      <c r="X200" s="2580"/>
      <c r="Y200" s="2580"/>
      <c r="Z200" s="2580"/>
      <c r="AA200" s="2580"/>
      <c r="AB200" s="2580"/>
      <c r="AC200" s="846"/>
      <c r="AD200" s="2570">
        <f>+[1]Application!AM557</f>
        <v>4500000</v>
      </c>
      <c r="AE200" s="2570"/>
      <c r="AF200" s="2570"/>
      <c r="AG200" s="2570"/>
      <c r="AH200" s="2570"/>
      <c r="AI200" s="2570"/>
      <c r="AJ200" s="2570"/>
      <c r="AK200" s="610"/>
    </row>
    <row r="201" spans="1:40">
      <c r="A201" s="605"/>
      <c r="B201" s="2580"/>
      <c r="C201" s="2580"/>
      <c r="D201" s="2580"/>
      <c r="E201" s="2580"/>
      <c r="F201" s="2580"/>
      <c r="G201" s="2580"/>
      <c r="H201" s="2580"/>
      <c r="I201" s="2580"/>
      <c r="J201" s="2580"/>
      <c r="K201" s="2580"/>
      <c r="L201" s="2580"/>
      <c r="M201" s="2580"/>
      <c r="N201" s="2580"/>
      <c r="O201" s="2580"/>
      <c r="P201" s="2580"/>
      <c r="Q201" s="2580"/>
      <c r="R201" s="2580"/>
      <c r="S201" s="2580"/>
      <c r="T201" s="2580"/>
      <c r="U201" s="2580"/>
      <c r="V201" s="2580"/>
      <c r="W201" s="2580"/>
      <c r="X201" s="2580"/>
      <c r="Y201" s="2580"/>
      <c r="Z201" s="2580"/>
      <c r="AA201" s="2580"/>
      <c r="AB201" s="2580"/>
      <c r="AC201" s="846"/>
      <c r="AD201" s="2570"/>
      <c r="AE201" s="2570"/>
      <c r="AF201" s="2570"/>
      <c r="AG201" s="2570"/>
      <c r="AH201" s="2570"/>
      <c r="AI201" s="2570"/>
      <c r="AJ201" s="2570"/>
      <c r="AK201" s="610"/>
    </row>
    <row r="202" spans="1:40">
      <c r="A202" s="605"/>
      <c r="B202" s="2580"/>
      <c r="C202" s="2580"/>
      <c r="D202" s="2580"/>
      <c r="E202" s="2580"/>
      <c r="F202" s="2580"/>
      <c r="G202" s="2580"/>
      <c r="H202" s="2580"/>
      <c r="I202" s="2580"/>
      <c r="J202" s="2580"/>
      <c r="K202" s="2580"/>
      <c r="L202" s="2580"/>
      <c r="M202" s="2580"/>
      <c r="N202" s="2580"/>
      <c r="O202" s="2580"/>
      <c r="P202" s="2580"/>
      <c r="Q202" s="2580"/>
      <c r="R202" s="2580"/>
      <c r="S202" s="2580"/>
      <c r="T202" s="2580"/>
      <c r="U202" s="2580"/>
      <c r="V202" s="2580"/>
      <c r="W202" s="2580"/>
      <c r="X202" s="2580"/>
      <c r="Y202" s="2580"/>
      <c r="Z202" s="2580"/>
      <c r="AA202" s="2580"/>
      <c r="AB202" s="2580"/>
      <c r="AC202" s="846"/>
      <c r="AD202" s="2570"/>
      <c r="AE202" s="2570"/>
      <c r="AF202" s="2570"/>
      <c r="AG202" s="2570"/>
      <c r="AH202" s="2570"/>
      <c r="AI202" s="2570"/>
      <c r="AJ202" s="2570"/>
      <c r="AK202" s="610"/>
    </row>
    <row r="203" spans="1:40">
      <c r="A203" s="605"/>
      <c r="B203" s="2580"/>
      <c r="C203" s="2580"/>
      <c r="D203" s="2580"/>
      <c r="E203" s="2580"/>
      <c r="F203" s="2580"/>
      <c r="G203" s="2580"/>
      <c r="H203" s="2580"/>
      <c r="I203" s="2580"/>
      <c r="J203" s="2580"/>
      <c r="K203" s="2580"/>
      <c r="L203" s="2580"/>
      <c r="M203" s="2580"/>
      <c r="N203" s="2580"/>
      <c r="O203" s="2580"/>
      <c r="P203" s="2580"/>
      <c r="Q203" s="2580"/>
      <c r="R203" s="2580"/>
      <c r="S203" s="2580"/>
      <c r="T203" s="2580"/>
      <c r="U203" s="2580"/>
      <c r="V203" s="2580"/>
      <c r="W203" s="2580"/>
      <c r="X203" s="2580"/>
      <c r="Y203" s="2580"/>
      <c r="Z203" s="2580"/>
      <c r="AA203" s="2580"/>
      <c r="AB203" s="2580"/>
      <c r="AC203" s="846"/>
      <c r="AD203" s="2570"/>
      <c r="AE203" s="2570"/>
      <c r="AF203" s="2570"/>
      <c r="AG203" s="2570"/>
      <c r="AH203" s="2570"/>
      <c r="AI203" s="2570"/>
      <c r="AJ203" s="2570"/>
      <c r="AK203" s="610"/>
    </row>
    <row r="204" spans="1:40">
      <c r="A204" s="605"/>
      <c r="B204" s="2580"/>
      <c r="C204" s="2580"/>
      <c r="D204" s="2580"/>
      <c r="E204" s="2580"/>
      <c r="F204" s="2580"/>
      <c r="G204" s="2580"/>
      <c r="H204" s="2580"/>
      <c r="I204" s="2580"/>
      <c r="J204" s="2580"/>
      <c r="K204" s="2580"/>
      <c r="L204" s="2580"/>
      <c r="M204" s="2580"/>
      <c r="N204" s="2580"/>
      <c r="O204" s="2580"/>
      <c r="P204" s="2580"/>
      <c r="Q204" s="2580"/>
      <c r="R204" s="2580"/>
      <c r="S204" s="2580"/>
      <c r="T204" s="2580"/>
      <c r="U204" s="2580"/>
      <c r="V204" s="2580"/>
      <c r="W204" s="2580"/>
      <c r="X204" s="2580"/>
      <c r="Y204" s="2580"/>
      <c r="Z204" s="2580"/>
      <c r="AA204" s="2580"/>
      <c r="AB204" s="2580"/>
      <c r="AC204" s="846"/>
      <c r="AD204" s="2570"/>
      <c r="AE204" s="2570"/>
      <c r="AF204" s="2570"/>
      <c r="AG204" s="2570"/>
      <c r="AH204" s="2570"/>
      <c r="AI204" s="2570"/>
      <c r="AJ204" s="2570"/>
      <c r="AK204" s="610"/>
    </row>
    <row r="205" spans="1:40">
      <c r="A205" s="605"/>
      <c r="B205" s="2580"/>
      <c r="C205" s="2580"/>
      <c r="D205" s="2580"/>
      <c r="E205" s="2580"/>
      <c r="F205" s="2580"/>
      <c r="G205" s="2580"/>
      <c r="H205" s="2580"/>
      <c r="I205" s="2580"/>
      <c r="J205" s="2580"/>
      <c r="K205" s="2580"/>
      <c r="L205" s="2580"/>
      <c r="M205" s="2580"/>
      <c r="N205" s="2580"/>
      <c r="O205" s="2580"/>
      <c r="P205" s="2580"/>
      <c r="Q205" s="2580"/>
      <c r="R205" s="2580"/>
      <c r="S205" s="2580"/>
      <c r="T205" s="2580"/>
      <c r="U205" s="2580"/>
      <c r="V205" s="2580"/>
      <c r="W205" s="2580"/>
      <c r="X205" s="2580"/>
      <c r="Y205" s="2580"/>
      <c r="Z205" s="2580"/>
      <c r="AA205" s="2580"/>
      <c r="AB205" s="2580"/>
      <c r="AC205" s="846"/>
      <c r="AD205" s="2570"/>
      <c r="AE205" s="2570"/>
      <c r="AF205" s="2570"/>
      <c r="AG205" s="2570"/>
      <c r="AH205" s="2570"/>
      <c r="AI205" s="2570"/>
      <c r="AJ205" s="2570"/>
      <c r="AK205" s="610"/>
    </row>
    <row r="206" spans="1:40">
      <c r="A206" s="605"/>
      <c r="B206" s="2580"/>
      <c r="C206" s="2580"/>
      <c r="D206" s="2580"/>
      <c r="E206" s="2580"/>
      <c r="F206" s="2580"/>
      <c r="G206" s="2580"/>
      <c r="H206" s="2580"/>
      <c r="I206" s="2580"/>
      <c r="J206" s="2580"/>
      <c r="K206" s="2580"/>
      <c r="L206" s="2580"/>
      <c r="M206" s="2580"/>
      <c r="N206" s="2580"/>
      <c r="O206" s="2580"/>
      <c r="P206" s="2580"/>
      <c r="Q206" s="2580"/>
      <c r="R206" s="2580"/>
      <c r="S206" s="2580"/>
      <c r="T206" s="2580"/>
      <c r="U206" s="2580"/>
      <c r="V206" s="2580"/>
      <c r="W206" s="2580"/>
      <c r="X206" s="2580"/>
      <c r="Y206" s="2580"/>
      <c r="Z206" s="2580"/>
      <c r="AA206" s="2580"/>
      <c r="AB206" s="2580"/>
      <c r="AC206" s="846"/>
      <c r="AD206" s="2570"/>
      <c r="AE206" s="2570"/>
      <c r="AF206" s="2570"/>
      <c r="AG206" s="2570"/>
      <c r="AH206" s="2570"/>
      <c r="AI206" s="2570"/>
      <c r="AJ206" s="2570"/>
      <c r="AK206" s="610"/>
    </row>
    <row r="207" spans="1:40">
      <c r="A207" s="605"/>
      <c r="B207" s="2580"/>
      <c r="C207" s="2580"/>
      <c r="D207" s="2580"/>
      <c r="E207" s="2580"/>
      <c r="F207" s="2580"/>
      <c r="G207" s="2580"/>
      <c r="H207" s="2580"/>
      <c r="I207" s="2580"/>
      <c r="J207" s="2580"/>
      <c r="K207" s="2580"/>
      <c r="L207" s="2580"/>
      <c r="M207" s="2580"/>
      <c r="N207" s="2580"/>
      <c r="O207" s="2580"/>
      <c r="P207" s="2580"/>
      <c r="Q207" s="2580"/>
      <c r="R207" s="2580"/>
      <c r="S207" s="2580"/>
      <c r="T207" s="2580"/>
      <c r="U207" s="2580"/>
      <c r="V207" s="2580"/>
      <c r="W207" s="2580"/>
      <c r="X207" s="2580"/>
      <c r="Y207" s="2580"/>
      <c r="Z207" s="2580"/>
      <c r="AA207" s="2580"/>
      <c r="AB207" s="2580"/>
      <c r="AC207" s="846"/>
      <c r="AD207" s="2570"/>
      <c r="AE207" s="2570"/>
      <c r="AF207" s="2570"/>
      <c r="AG207" s="2570"/>
      <c r="AH207" s="2570"/>
      <c r="AI207" s="2570"/>
      <c r="AJ207" s="2570"/>
      <c r="AK207" s="610"/>
    </row>
    <row r="208" spans="1:40">
      <c r="A208" s="605"/>
      <c r="B208" s="2580"/>
      <c r="C208" s="2580"/>
      <c r="D208" s="2580"/>
      <c r="E208" s="2580"/>
      <c r="F208" s="2580"/>
      <c r="G208" s="2580"/>
      <c r="H208" s="2580"/>
      <c r="I208" s="2580"/>
      <c r="J208" s="2580"/>
      <c r="K208" s="2580"/>
      <c r="L208" s="2580"/>
      <c r="M208" s="2580"/>
      <c r="N208" s="2580"/>
      <c r="O208" s="2580"/>
      <c r="P208" s="2580"/>
      <c r="Q208" s="2580"/>
      <c r="R208" s="2580"/>
      <c r="S208" s="2580"/>
      <c r="T208" s="2580"/>
      <c r="U208" s="2580"/>
      <c r="V208" s="2580"/>
      <c r="W208" s="2580"/>
      <c r="X208" s="2580"/>
      <c r="Y208" s="2580"/>
      <c r="Z208" s="2580"/>
      <c r="AA208" s="2580"/>
      <c r="AB208" s="2580"/>
      <c r="AC208" s="846"/>
      <c r="AD208" s="2570"/>
      <c r="AE208" s="2570"/>
      <c r="AF208" s="2570"/>
      <c r="AG208" s="2570"/>
      <c r="AH208" s="2570"/>
      <c r="AI208" s="2570"/>
      <c r="AJ208" s="2570"/>
      <c r="AK208" s="610"/>
    </row>
    <row r="209" spans="1:37">
      <c r="A209" s="605"/>
      <c r="B209" s="2595" t="s">
        <v>1628</v>
      </c>
      <c r="C209" s="2595"/>
      <c r="D209" s="2595"/>
      <c r="E209" s="2595"/>
      <c r="F209" s="2595"/>
      <c r="G209" s="2595"/>
      <c r="H209" s="2595"/>
      <c r="I209" s="2595"/>
      <c r="J209" s="2595"/>
      <c r="K209" s="2595"/>
      <c r="L209" s="2595"/>
      <c r="M209" s="2595"/>
      <c r="N209" s="2595"/>
      <c r="O209" s="2595"/>
      <c r="P209" s="2595"/>
      <c r="Q209" s="2595"/>
      <c r="R209" s="2595"/>
      <c r="S209" s="2595"/>
      <c r="T209" s="2595"/>
      <c r="U209" s="2595"/>
      <c r="V209" s="2595"/>
      <c r="W209" s="2595"/>
      <c r="X209" s="2595"/>
      <c r="Y209" s="2595"/>
      <c r="Z209" s="2595"/>
      <c r="AA209" s="2595"/>
      <c r="AB209" s="2595"/>
      <c r="AC209" s="536"/>
      <c r="AD209" s="2568">
        <f>AB260</f>
        <v>0</v>
      </c>
      <c r="AE209" s="2568"/>
      <c r="AF209" s="2568"/>
      <c r="AG209" s="2568"/>
      <c r="AH209" s="2568"/>
      <c r="AI209" s="2568"/>
      <c r="AJ209" s="2568"/>
      <c r="AK209" s="610"/>
    </row>
    <row r="210" spans="1:37">
      <c r="A210" s="605"/>
      <c r="B210" s="2442" t="s">
        <v>1591</v>
      </c>
      <c r="C210" s="2442"/>
      <c r="D210" s="2442"/>
      <c r="E210" s="2442"/>
      <c r="F210" s="2442"/>
      <c r="G210" s="2442"/>
      <c r="H210" s="2442"/>
      <c r="I210" s="2442"/>
      <c r="J210" s="2442"/>
      <c r="K210" s="2442"/>
      <c r="L210" s="2442"/>
      <c r="M210" s="2442"/>
      <c r="N210" s="2442"/>
      <c r="O210" s="2442"/>
      <c r="P210" s="2442"/>
      <c r="Q210" s="2442"/>
      <c r="R210" s="2442"/>
      <c r="S210" s="2442"/>
      <c r="T210" s="2442"/>
      <c r="U210" s="2442"/>
      <c r="V210" s="2442"/>
      <c r="W210" s="2442"/>
      <c r="X210" s="2442"/>
      <c r="Y210" s="2442"/>
      <c r="Z210" s="2442"/>
      <c r="AA210" s="2442"/>
      <c r="AB210" s="2442"/>
      <c r="AC210" s="846"/>
      <c r="AD210" s="2569">
        <f>'Sources and Uses Budget'!B15</f>
        <v>0</v>
      </c>
      <c r="AE210" s="2569"/>
      <c r="AF210" s="2569"/>
      <c r="AG210" s="2569"/>
      <c r="AH210" s="2569"/>
      <c r="AI210" s="2569"/>
      <c r="AJ210" s="256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4">
        <f>SUM(AD199:AJ209)-AD210</f>
        <v>6350000</v>
      </c>
      <c r="AE211" s="2574"/>
      <c r="AF211" s="2574"/>
      <c r="AG211" s="2574"/>
      <c r="AH211" s="2574"/>
      <c r="AI211" s="2574"/>
      <c r="AJ211" s="257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3" t="s">
        <v>1608</v>
      </c>
      <c r="J222" s="2593"/>
      <c r="K222" s="2593"/>
      <c r="L222" s="536"/>
      <c r="M222" s="536"/>
      <c r="N222" s="536"/>
      <c r="O222" s="536"/>
      <c r="P222" s="536"/>
      <c r="Q222" s="536"/>
      <c r="R222" s="536"/>
      <c r="S222" s="536"/>
      <c r="T222" s="2408" t="s">
        <v>1602</v>
      </c>
      <c r="U222" s="2408"/>
      <c r="V222" s="2408"/>
      <c r="W222" s="2408"/>
      <c r="X222" s="2408"/>
      <c r="Y222" s="2408"/>
      <c r="Z222" s="849"/>
      <c r="AA222" s="489"/>
      <c r="AB222" s="2590" t="s">
        <v>1603</v>
      </c>
      <c r="AC222" s="2590"/>
      <c r="AD222" s="2590"/>
      <c r="AE222" s="2590"/>
      <c r="AF222" s="2590"/>
      <c r="AG222" s="2590"/>
      <c r="AH222" s="827"/>
      <c r="AI222" s="827"/>
      <c r="AJ222" s="827"/>
      <c r="AK222" s="610"/>
    </row>
    <row r="223" spans="1:37">
      <c r="A223" s="605"/>
      <c r="B223" s="2591" t="s">
        <v>1588</v>
      </c>
      <c r="C223" s="2591"/>
      <c r="D223" s="2591"/>
      <c r="E223" s="2591"/>
      <c r="F223" s="2591"/>
      <c r="G223" s="2591"/>
      <c r="I223" s="2592" t="s">
        <v>1609</v>
      </c>
      <c r="J223" s="2592"/>
      <c r="K223" s="2592"/>
      <c r="L223" s="1008"/>
      <c r="N223" s="2443" t="s">
        <v>1604</v>
      </c>
      <c r="O223" s="2443"/>
      <c r="P223" s="2443"/>
      <c r="Q223" s="2443"/>
      <c r="R223" s="2443"/>
      <c r="T223" s="2443" t="s">
        <v>1605</v>
      </c>
      <c r="U223" s="2443"/>
      <c r="V223" s="2443"/>
      <c r="W223" s="2443"/>
      <c r="X223" s="2443"/>
      <c r="Y223" s="2443"/>
      <c r="Z223" s="850"/>
      <c r="AA223" s="489"/>
      <c r="AB223" s="2458" t="s">
        <v>1606</v>
      </c>
      <c r="AC223" s="2458"/>
      <c r="AD223" s="2458"/>
      <c r="AE223" s="2458"/>
      <c r="AF223" s="2458"/>
      <c r="AG223" s="2458"/>
      <c r="AH223" s="827"/>
      <c r="AI223" s="827"/>
      <c r="AJ223" s="827"/>
      <c r="AK223" s="610"/>
    </row>
    <row r="224" spans="1:37">
      <c r="A224" s="605"/>
      <c r="B224" s="2459" t="s">
        <v>1185</v>
      </c>
      <c r="C224" s="2459"/>
      <c r="D224" s="2459"/>
      <c r="E224" s="2459"/>
      <c r="F224" s="2459"/>
      <c r="G224" s="2459"/>
      <c r="H224" s="852"/>
      <c r="I224" s="2412"/>
      <c r="J224" s="2412"/>
      <c r="K224" s="2412"/>
      <c r="L224" s="1008"/>
      <c r="N224" s="2410"/>
      <c r="O224" s="2410"/>
      <c r="P224" s="2410"/>
      <c r="Q224" s="2410"/>
      <c r="R224" s="2410"/>
      <c r="T224" s="2409"/>
      <c r="U224" s="2409"/>
      <c r="V224" s="2409"/>
      <c r="W224" s="2409"/>
      <c r="X224" s="2409"/>
      <c r="Y224" s="2409"/>
      <c r="Z224" s="851"/>
      <c r="AA224" s="851"/>
      <c r="AB224" s="2407">
        <f t="shared" ref="AB224:AB233" si="0">MAX(($T224-$N224)*$I224*12,0)</f>
        <v>0</v>
      </c>
      <c r="AC224" s="2407"/>
      <c r="AD224" s="2407"/>
      <c r="AE224" s="2407"/>
      <c r="AF224" s="2407"/>
      <c r="AG224" s="2407"/>
      <c r="AH224" s="827"/>
      <c r="AI224" s="827"/>
      <c r="AJ224" s="827"/>
      <c r="AK224" s="610"/>
    </row>
    <row r="225" spans="1:37">
      <c r="A225" s="605"/>
      <c r="B225" s="2459" t="s">
        <v>1185</v>
      </c>
      <c r="C225" s="2459"/>
      <c r="D225" s="2459"/>
      <c r="E225" s="2459"/>
      <c r="F225" s="2459"/>
      <c r="G225" s="2459"/>
      <c r="I225" s="2412"/>
      <c r="J225" s="2412"/>
      <c r="K225" s="2412"/>
      <c r="L225" s="1008"/>
      <c r="N225" s="2410"/>
      <c r="O225" s="2410"/>
      <c r="P225" s="2410"/>
      <c r="Q225" s="2410"/>
      <c r="R225" s="2410"/>
      <c r="T225" s="2409"/>
      <c r="U225" s="2409"/>
      <c r="V225" s="2409"/>
      <c r="W225" s="2409"/>
      <c r="X225" s="2409"/>
      <c r="Y225" s="2409"/>
      <c r="Z225" s="851"/>
      <c r="AA225" s="851"/>
      <c r="AB225" s="2407">
        <f t="shared" si="0"/>
        <v>0</v>
      </c>
      <c r="AC225" s="2407"/>
      <c r="AD225" s="2407"/>
      <c r="AE225" s="2407"/>
      <c r="AF225" s="2407"/>
      <c r="AG225" s="2407"/>
      <c r="AH225" s="827"/>
      <c r="AI225" s="827"/>
      <c r="AJ225" s="827"/>
      <c r="AK225" s="610"/>
    </row>
    <row r="226" spans="1:37">
      <c r="A226" s="605"/>
      <c r="B226" s="2459" t="s">
        <v>1185</v>
      </c>
      <c r="C226" s="2459"/>
      <c r="D226" s="2459"/>
      <c r="E226" s="2459"/>
      <c r="F226" s="2459"/>
      <c r="G226" s="2459"/>
      <c r="I226" s="2412"/>
      <c r="J226" s="2412"/>
      <c r="K226" s="2412"/>
      <c r="L226" s="1008"/>
      <c r="N226" s="2410"/>
      <c r="O226" s="2410"/>
      <c r="P226" s="2410"/>
      <c r="Q226" s="2410"/>
      <c r="R226" s="2410"/>
      <c r="T226" s="2409"/>
      <c r="U226" s="2409"/>
      <c r="V226" s="2409"/>
      <c r="W226" s="2409"/>
      <c r="X226" s="2409"/>
      <c r="Y226" s="2409"/>
      <c r="Z226" s="851"/>
      <c r="AA226" s="851"/>
      <c r="AB226" s="2407">
        <f t="shared" si="0"/>
        <v>0</v>
      </c>
      <c r="AC226" s="2407"/>
      <c r="AD226" s="2407"/>
      <c r="AE226" s="2407"/>
      <c r="AF226" s="2407"/>
      <c r="AG226" s="2407"/>
      <c r="AH226" s="827"/>
      <c r="AI226" s="827"/>
      <c r="AJ226" s="827"/>
      <c r="AK226" s="610"/>
    </row>
    <row r="227" spans="1:37">
      <c r="A227" s="605"/>
      <c r="B227" s="2459" t="s">
        <v>1185</v>
      </c>
      <c r="C227" s="2459"/>
      <c r="D227" s="2459"/>
      <c r="E227" s="2459"/>
      <c r="F227" s="2459"/>
      <c r="G227" s="2459"/>
      <c r="I227" s="2412"/>
      <c r="J227" s="2412"/>
      <c r="K227" s="2412"/>
      <c r="L227" s="1008"/>
      <c r="N227" s="2410"/>
      <c r="O227" s="2410"/>
      <c r="P227" s="2410"/>
      <c r="Q227" s="2410"/>
      <c r="R227" s="2410"/>
      <c r="T227" s="2409"/>
      <c r="U227" s="2409"/>
      <c r="V227" s="2409"/>
      <c r="W227" s="2409"/>
      <c r="X227" s="2409"/>
      <c r="Y227" s="2409"/>
      <c r="Z227" s="851"/>
      <c r="AA227" s="851"/>
      <c r="AB227" s="2407">
        <f t="shared" si="0"/>
        <v>0</v>
      </c>
      <c r="AC227" s="2407"/>
      <c r="AD227" s="2407"/>
      <c r="AE227" s="2407"/>
      <c r="AF227" s="2407"/>
      <c r="AG227" s="2407"/>
      <c r="AH227" s="827"/>
      <c r="AI227" s="827"/>
      <c r="AJ227" s="827"/>
      <c r="AK227" s="610"/>
    </row>
    <row r="228" spans="1:37">
      <c r="A228" s="605"/>
      <c r="B228" s="2459" t="s">
        <v>1185</v>
      </c>
      <c r="C228" s="2459"/>
      <c r="D228" s="2459"/>
      <c r="E228" s="2459"/>
      <c r="F228" s="2459"/>
      <c r="G228" s="2459"/>
      <c r="I228" s="2412"/>
      <c r="J228" s="2412"/>
      <c r="K228" s="2412"/>
      <c r="L228" s="1015"/>
      <c r="N228" s="2410"/>
      <c r="O228" s="2410"/>
      <c r="P228" s="2410"/>
      <c r="Q228" s="2410"/>
      <c r="R228" s="2410"/>
      <c r="T228" s="2409"/>
      <c r="U228" s="2409"/>
      <c r="V228" s="2409"/>
      <c r="W228" s="2409"/>
      <c r="X228" s="2409"/>
      <c r="Y228" s="2409"/>
      <c r="Z228" s="851"/>
      <c r="AA228" s="851"/>
      <c r="AB228" s="2407">
        <f t="shared" si="0"/>
        <v>0</v>
      </c>
      <c r="AC228" s="2407"/>
      <c r="AD228" s="2407"/>
      <c r="AE228" s="2407"/>
      <c r="AF228" s="2407"/>
      <c r="AG228" s="2407"/>
      <c r="AH228" s="827"/>
      <c r="AI228" s="827"/>
      <c r="AJ228" s="827"/>
      <c r="AK228" s="610"/>
    </row>
    <row r="229" spans="1:37">
      <c r="A229" s="605"/>
      <c r="B229" s="2459" t="s">
        <v>1185</v>
      </c>
      <c r="C229" s="2459"/>
      <c r="D229" s="2459"/>
      <c r="E229" s="2459"/>
      <c r="F229" s="2459"/>
      <c r="G229" s="2459"/>
      <c r="I229" s="2412"/>
      <c r="J229" s="2412"/>
      <c r="K229" s="2412"/>
      <c r="L229" s="1015"/>
      <c r="N229" s="2410"/>
      <c r="O229" s="2410"/>
      <c r="P229" s="2410"/>
      <c r="Q229" s="2410"/>
      <c r="R229" s="2410"/>
      <c r="T229" s="2409"/>
      <c r="U229" s="2409"/>
      <c r="V229" s="2409"/>
      <c r="W229" s="2409"/>
      <c r="X229" s="2409"/>
      <c r="Y229" s="2409"/>
      <c r="Z229" s="851"/>
      <c r="AA229" s="851"/>
      <c r="AB229" s="2407">
        <f t="shared" si="0"/>
        <v>0</v>
      </c>
      <c r="AC229" s="2407"/>
      <c r="AD229" s="2407"/>
      <c r="AE229" s="2407"/>
      <c r="AF229" s="2407"/>
      <c r="AG229" s="2407"/>
      <c r="AH229" s="827"/>
      <c r="AI229" s="827"/>
      <c r="AJ229" s="827"/>
      <c r="AK229" s="610"/>
    </row>
    <row r="230" spans="1:37">
      <c r="A230" s="605"/>
      <c r="B230" s="2459" t="s">
        <v>1185</v>
      </c>
      <c r="C230" s="2459"/>
      <c r="D230" s="2459"/>
      <c r="E230" s="2459"/>
      <c r="F230" s="2459"/>
      <c r="G230" s="2459"/>
      <c r="I230" s="2412"/>
      <c r="J230" s="2412"/>
      <c r="K230" s="2412"/>
      <c r="L230" s="1015"/>
      <c r="N230" s="2410"/>
      <c r="O230" s="2410"/>
      <c r="P230" s="2410"/>
      <c r="Q230" s="2410"/>
      <c r="R230" s="2410"/>
      <c r="T230" s="2409"/>
      <c r="U230" s="2409"/>
      <c r="V230" s="2409"/>
      <c r="W230" s="2409"/>
      <c r="X230" s="2409"/>
      <c r="Y230" s="2409"/>
      <c r="Z230" s="851"/>
      <c r="AA230" s="851"/>
      <c r="AB230" s="2407">
        <f t="shared" si="0"/>
        <v>0</v>
      </c>
      <c r="AC230" s="2407"/>
      <c r="AD230" s="2407"/>
      <c r="AE230" s="2407"/>
      <c r="AF230" s="2407"/>
      <c r="AG230" s="2407"/>
      <c r="AH230" s="827"/>
      <c r="AI230" s="827"/>
      <c r="AJ230" s="827"/>
      <c r="AK230" s="610"/>
    </row>
    <row r="231" spans="1:37">
      <c r="A231" s="605"/>
      <c r="B231" s="2459" t="s">
        <v>1185</v>
      </c>
      <c r="C231" s="2459"/>
      <c r="D231" s="2459"/>
      <c r="E231" s="2459"/>
      <c r="F231" s="2459"/>
      <c r="G231" s="2459"/>
      <c r="I231" s="2412"/>
      <c r="J231" s="2412"/>
      <c r="K231" s="2412"/>
      <c r="L231" s="1015"/>
      <c r="N231" s="2410"/>
      <c r="O231" s="2410"/>
      <c r="P231" s="2410"/>
      <c r="Q231" s="2410"/>
      <c r="R231" s="2410"/>
      <c r="T231" s="2409"/>
      <c r="U231" s="2409"/>
      <c r="V231" s="2409"/>
      <c r="W231" s="2409"/>
      <c r="X231" s="2409"/>
      <c r="Y231" s="2409"/>
      <c r="Z231" s="851"/>
      <c r="AA231" s="851"/>
      <c r="AB231" s="2407">
        <f t="shared" si="0"/>
        <v>0</v>
      </c>
      <c r="AC231" s="2407"/>
      <c r="AD231" s="2407"/>
      <c r="AE231" s="2407"/>
      <c r="AF231" s="2407"/>
      <c r="AG231" s="2407"/>
      <c r="AH231" s="827"/>
      <c r="AI231" s="827"/>
      <c r="AJ231" s="827"/>
      <c r="AK231" s="610"/>
    </row>
    <row r="232" spans="1:37">
      <c r="A232" s="605"/>
      <c r="B232" s="2459" t="s">
        <v>1185</v>
      </c>
      <c r="C232" s="2459"/>
      <c r="D232" s="2459"/>
      <c r="E232" s="2459"/>
      <c r="F232" s="2459"/>
      <c r="G232" s="2459"/>
      <c r="I232" s="2412"/>
      <c r="J232" s="2412"/>
      <c r="K232" s="2412"/>
      <c r="L232" s="1015"/>
      <c r="N232" s="2410"/>
      <c r="O232" s="2410"/>
      <c r="P232" s="2410"/>
      <c r="Q232" s="2410"/>
      <c r="R232" s="2410"/>
      <c r="T232" s="2409"/>
      <c r="U232" s="2409"/>
      <c r="V232" s="2409"/>
      <c r="W232" s="2409"/>
      <c r="X232" s="2409"/>
      <c r="Y232" s="2409"/>
      <c r="Z232" s="851"/>
      <c r="AA232" s="851"/>
      <c r="AB232" s="2407">
        <f t="shared" si="0"/>
        <v>0</v>
      </c>
      <c r="AC232" s="2407"/>
      <c r="AD232" s="2407"/>
      <c r="AE232" s="2407"/>
      <c r="AF232" s="2407"/>
      <c r="AG232" s="2407"/>
      <c r="AH232" s="827"/>
      <c r="AI232" s="827"/>
      <c r="AJ232" s="827"/>
      <c r="AK232" s="610"/>
    </row>
    <row r="233" spans="1:37">
      <c r="A233" s="605"/>
      <c r="B233" s="2459" t="s">
        <v>1185</v>
      </c>
      <c r="C233" s="2459"/>
      <c r="D233" s="2459"/>
      <c r="E233" s="2459"/>
      <c r="F233" s="2459"/>
      <c r="G233" s="2459"/>
      <c r="I233" s="2594"/>
      <c r="J233" s="2594"/>
      <c r="K233" s="2594"/>
      <c r="L233" s="1015"/>
      <c r="N233" s="2410"/>
      <c r="O233" s="2410"/>
      <c r="P233" s="2410"/>
      <c r="Q233" s="2410"/>
      <c r="R233" s="2410"/>
      <c r="T233" s="2409"/>
      <c r="U233" s="2409"/>
      <c r="V233" s="2409"/>
      <c r="W233" s="2409"/>
      <c r="X233" s="2409"/>
      <c r="Y233" s="2409"/>
      <c r="Z233" s="851"/>
      <c r="AA233" s="851"/>
      <c r="AB233" s="2413">
        <f t="shared" si="0"/>
        <v>0</v>
      </c>
      <c r="AC233" s="2413"/>
      <c r="AD233" s="2413"/>
      <c r="AE233" s="2413"/>
      <c r="AF233" s="2413"/>
      <c r="AG233" s="24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7">
        <f>SUM(AB224:AB233)</f>
        <v>0</v>
      </c>
      <c r="AC234" s="2407"/>
      <c r="AD234" s="2407"/>
      <c r="AE234" s="2407"/>
      <c r="AF234" s="2407"/>
      <c r="AG234" s="240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4"/>
      <c r="AC240" s="2444"/>
      <c r="AD240" s="2444"/>
      <c r="AE240" s="2444"/>
      <c r="AF240" s="2444"/>
      <c r="AG240" s="244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4"/>
      <c r="AC243" s="2444"/>
      <c r="AD243" s="2444"/>
      <c r="AE243" s="2444"/>
      <c r="AF243" s="2444"/>
      <c r="AG243" s="244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6"/>
      <c r="AC244" s="2406"/>
      <c r="AD244" s="2406"/>
      <c r="AE244" s="2406"/>
      <c r="AF244" s="2406"/>
      <c r="AG244" s="240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4">
        <f>IFERROR(AB243/AB244,0)</f>
        <v>0</v>
      </c>
      <c r="AC245" s="2414"/>
      <c r="AD245" s="2414"/>
      <c r="AE245" s="2414"/>
      <c r="AF245" s="2414"/>
      <c r="AG245" s="241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3">
        <f>MAX(AB240,AB245)</f>
        <v>0</v>
      </c>
      <c r="AC247" s="2413"/>
      <c r="AD247" s="2413"/>
      <c r="AE247" s="2413"/>
      <c r="AF247" s="2413"/>
      <c r="AG247" s="24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7">
        <f>AB234+AB247</f>
        <v>0</v>
      </c>
      <c r="AC250" s="2407"/>
      <c r="AD250" s="2407"/>
      <c r="AE250" s="2407"/>
      <c r="AF250" s="2407"/>
      <c r="AG250" s="240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8">
        <v>0.05</v>
      </c>
      <c r="AC251" s="2578"/>
      <c r="AD251" s="2578"/>
      <c r="AE251" s="2578"/>
      <c r="AF251" s="2578"/>
      <c r="AG251" s="257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9">
        <f>AB250-(AB250*AB251)</f>
        <v>0</v>
      </c>
      <c r="AC252" s="2579"/>
      <c r="AD252" s="2579"/>
      <c r="AE252" s="2579"/>
      <c r="AF252" s="2579"/>
      <c r="AG252" s="257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7">
        <f>AB252/AB258</f>
        <v>0</v>
      </c>
      <c r="AC254" s="2407"/>
      <c r="AD254" s="2407"/>
      <c r="AE254" s="2407"/>
      <c r="AF254" s="2407"/>
      <c r="AG254" s="240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0">
        <v>15</v>
      </c>
      <c r="AC256" s="2590"/>
      <c r="AD256" s="2590"/>
      <c r="AE256" s="2590"/>
      <c r="AF256" s="2590"/>
      <c r="AG256" s="259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1">
        <v>0.04</v>
      </c>
      <c r="AC257" s="2581"/>
      <c r="AD257" s="2581"/>
      <c r="AE257" s="2581"/>
      <c r="AF257" s="2581"/>
      <c r="AG257" s="258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2">
        <v>1.1499999999999999</v>
      </c>
      <c r="AC258" s="2582"/>
      <c r="AD258" s="2582"/>
      <c r="AE258" s="2582"/>
      <c r="AF258" s="2582"/>
      <c r="AG258" s="258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1">
        <f>PV(AB257/12,AB256*12,-AB254/12, ,0)</f>
        <v>0</v>
      </c>
      <c r="AC260" s="2572"/>
      <c r="AD260" s="2572"/>
      <c r="AE260" s="2572"/>
      <c r="AF260" s="2572"/>
      <c r="AG260" s="257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5">
        <f>IFERROR(('Sources and Uses Budget'!D105/'Sources and Uses Budget'!B105),0)</f>
        <v>0</v>
      </c>
      <c r="AC266" s="2576"/>
      <c r="AD266" s="2576"/>
      <c r="AE266" s="2576"/>
      <c r="AF266" s="2576"/>
      <c r="AG266" s="257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1">
        <f>AD211*(1-AB266)</f>
        <v>6350000</v>
      </c>
      <c r="AH268" s="2421"/>
      <c r="AI268" s="2421"/>
      <c r="AJ268" s="2421"/>
      <c r="AK268" s="242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1">
        <f>'Sources and Uses Budget'!C105</f>
        <v>73054148</v>
      </c>
      <c r="AH269" s="2421"/>
      <c r="AI269" s="2421"/>
      <c r="AJ269" s="2421"/>
      <c r="AK269" s="242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7">
        <f>ROUNDDOWN(IF(AND(C292="Yes",AK84=10),((AG268*2)/AG269),AG268/AG269),2)</f>
        <v>0.17</v>
      </c>
      <c r="AH270" s="2567"/>
      <c r="AI270" s="2567"/>
      <c r="AJ270" s="2567"/>
      <c r="AK270" s="256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6">
        <f>IFERROR(IF(AG270=0,0,IF((AG270*100)&gt;8,8,(AG270*100))),0)</f>
        <v>8</v>
      </c>
      <c r="AL273" s="2556"/>
      <c r="AM273" s="2557"/>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8" t="s">
        <v>546</v>
      </c>
      <c r="D278" s="2438"/>
      <c r="E278" s="547"/>
      <c r="F278" s="2390" t="s">
        <v>2025</v>
      </c>
      <c r="G278" s="2391"/>
      <c r="H278" s="2391"/>
      <c r="I278" s="2391"/>
      <c r="J278" s="2391"/>
      <c r="K278" s="2391"/>
      <c r="L278" s="2391"/>
      <c r="M278" s="2391"/>
      <c r="N278" s="2391"/>
      <c r="O278" s="2391"/>
      <c r="P278" s="2391"/>
      <c r="Q278" s="2391"/>
      <c r="R278" s="2391"/>
      <c r="S278" s="2391"/>
      <c r="T278" s="2391"/>
      <c r="U278" s="2391"/>
      <c r="V278" s="2391"/>
      <c r="W278" s="2391"/>
      <c r="X278" s="2391"/>
      <c r="Y278" s="2391"/>
      <c r="Z278" s="2391"/>
      <c r="AA278" s="2391"/>
      <c r="AB278" s="2391"/>
      <c r="AC278" s="2391"/>
      <c r="AD278" s="2392"/>
      <c r="AE278" s="550"/>
      <c r="AF278" s="635"/>
      <c r="AG278" s="2565" t="s">
        <v>1364</v>
      </c>
      <c r="AH278" s="2565"/>
      <c r="AI278" s="2565"/>
      <c r="AJ278" s="2565"/>
      <c r="AK278" s="550"/>
      <c r="AL278" s="550"/>
      <c r="AM278" s="550"/>
      <c r="AO278" s="550"/>
    </row>
    <row r="279" spans="1:52" ht="13.7" customHeight="1">
      <c r="A279" s="550"/>
      <c r="B279" s="596"/>
      <c r="C279" s="636"/>
      <c r="D279" s="550"/>
      <c r="E279" s="547"/>
      <c r="F279" s="2393"/>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50"/>
      <c r="AF279" s="635"/>
      <c r="AG279" s="635"/>
      <c r="AH279" s="635"/>
      <c r="AI279" s="635"/>
      <c r="AJ279" s="550"/>
      <c r="AK279" s="550"/>
      <c r="AL279" s="550"/>
      <c r="AM279" s="550"/>
      <c r="AO279" s="550"/>
    </row>
    <row r="280" spans="1:52">
      <c r="A280" s="550"/>
      <c r="B280" s="596"/>
      <c r="C280" s="636"/>
      <c r="D280" s="550"/>
      <c r="E280" s="547"/>
      <c r="F280" s="2393"/>
      <c r="G280" s="2394"/>
      <c r="H280" s="2394"/>
      <c r="I280" s="2394"/>
      <c r="J280" s="2394"/>
      <c r="K280" s="2394"/>
      <c r="L280" s="2394"/>
      <c r="M280" s="2394"/>
      <c r="N280" s="2394"/>
      <c r="O280" s="2394"/>
      <c r="P280" s="2394"/>
      <c r="Q280" s="2394"/>
      <c r="R280" s="2394"/>
      <c r="S280" s="2394"/>
      <c r="T280" s="2394"/>
      <c r="U280" s="2394"/>
      <c r="V280" s="2394"/>
      <c r="W280" s="2394"/>
      <c r="X280" s="2394"/>
      <c r="Y280" s="2394"/>
      <c r="Z280" s="2394"/>
      <c r="AA280" s="2394"/>
      <c r="AB280" s="2394"/>
      <c r="AC280" s="2394"/>
      <c r="AD280" s="2395"/>
      <c r="AE280" s="550"/>
      <c r="AF280" s="635"/>
      <c r="AG280" s="635"/>
      <c r="AH280" s="635"/>
      <c r="AI280" s="635"/>
      <c r="AJ280" s="550"/>
      <c r="AK280" s="550"/>
      <c r="AL280" s="550"/>
      <c r="AM280" s="550"/>
      <c r="AO280" s="550"/>
      <c r="AP280" s="637"/>
    </row>
    <row r="281" spans="1:52">
      <c r="A281" s="550"/>
      <c r="B281" s="596"/>
      <c r="C281" s="636"/>
      <c r="D281" s="550"/>
      <c r="E281" s="547"/>
      <c r="F281" s="2393"/>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5"/>
      <c r="AE281" s="550"/>
      <c r="AF281" s="635"/>
      <c r="AG281" s="635"/>
      <c r="AH281" s="635"/>
      <c r="AI281" s="635"/>
      <c r="AJ281" s="550"/>
      <c r="AK281" s="550"/>
      <c r="AL281" s="550"/>
      <c r="AM281" s="550"/>
      <c r="AO281" s="550"/>
      <c r="AP281" s="637"/>
    </row>
    <row r="282" spans="1:52" ht="13.7" customHeight="1">
      <c r="A282" s="550"/>
      <c r="B282" s="596"/>
      <c r="C282" s="2566"/>
      <c r="D282" s="2566"/>
      <c r="E282" s="547"/>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50"/>
      <c r="AF282" s="635"/>
      <c r="AG282" s="2565"/>
      <c r="AH282" s="2565"/>
      <c r="AI282" s="2565"/>
      <c r="AJ282" s="256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6">
        <f>IF($C$278="yes",10,0)</f>
        <v>10</v>
      </c>
      <c r="AL285" s="2556"/>
      <c r="AM285" s="2557"/>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4" t="s">
        <v>1383</v>
      </c>
      <c r="B292" s="1644"/>
      <c r="C292" s="2389" t="s">
        <v>546</v>
      </c>
      <c r="D292" s="2438"/>
      <c r="E292" s="547"/>
      <c r="F292" s="2558" t="s">
        <v>1384</v>
      </c>
      <c r="G292" s="2559"/>
      <c r="H292" s="2559"/>
      <c r="I292" s="2559"/>
      <c r="J292" s="2559"/>
      <c r="K292" s="2559"/>
      <c r="L292" s="2559"/>
      <c r="M292" s="2559"/>
      <c r="N292" s="2559"/>
      <c r="O292" s="2559"/>
      <c r="P292" s="2559"/>
      <c r="Q292" s="2559"/>
      <c r="R292" s="2559"/>
      <c r="S292" s="2559"/>
      <c r="T292" s="2559"/>
      <c r="U292" s="2559"/>
      <c r="V292" s="2559"/>
      <c r="W292" s="2559"/>
      <c r="X292" s="2559"/>
      <c r="Y292" s="2559"/>
      <c r="Z292" s="2559"/>
      <c r="AA292" s="2559"/>
      <c r="AB292" s="2559"/>
      <c r="AC292" s="2559"/>
      <c r="AD292" s="2560"/>
      <c r="AE292" s="642"/>
      <c r="AF292" s="550"/>
      <c r="AG292" s="2561" t="s">
        <v>2018</v>
      </c>
      <c r="AH292" s="2561"/>
      <c r="AI292" s="2561"/>
      <c r="AJ292" s="2561"/>
      <c r="AK292" s="2561"/>
      <c r="AL292" s="550"/>
      <c r="AM292" s="550"/>
      <c r="AN292" s="73"/>
      <c r="AO292" s="14"/>
      <c r="AP292" s="30"/>
      <c r="AS292" s="570"/>
      <c r="AT292" s="570"/>
      <c r="AU292" s="570"/>
      <c r="AV292" s="32"/>
      <c r="AW292" s="32"/>
    </row>
    <row r="293" spans="1:49">
      <c r="A293" s="640"/>
      <c r="B293" s="596"/>
      <c r="F293" s="2416"/>
      <c r="G293" s="2417"/>
      <c r="H293" s="2417"/>
      <c r="I293" s="2417"/>
      <c r="J293" s="2417"/>
      <c r="K293" s="2417"/>
      <c r="L293" s="2417"/>
      <c r="M293" s="2417"/>
      <c r="N293" s="2417"/>
      <c r="O293" s="2417"/>
      <c r="P293" s="2417"/>
      <c r="Q293" s="2417"/>
      <c r="R293" s="2417"/>
      <c r="S293" s="2417"/>
      <c r="T293" s="2417"/>
      <c r="U293" s="2417"/>
      <c r="V293" s="2417"/>
      <c r="W293" s="2417"/>
      <c r="X293" s="2417"/>
      <c r="Y293" s="2417"/>
      <c r="Z293" s="2417"/>
      <c r="AA293" s="2417"/>
      <c r="AB293" s="2417"/>
      <c r="AC293" s="2417"/>
      <c r="AD293" s="241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6"/>
      <c r="G294" s="2417"/>
      <c r="H294" s="2417"/>
      <c r="I294" s="2417"/>
      <c r="J294" s="2417"/>
      <c r="K294" s="2417"/>
      <c r="L294" s="2417"/>
      <c r="M294" s="2417"/>
      <c r="N294" s="2417"/>
      <c r="O294" s="2417"/>
      <c r="P294" s="2417"/>
      <c r="Q294" s="2417"/>
      <c r="R294" s="2417"/>
      <c r="S294" s="2417"/>
      <c r="T294" s="2417"/>
      <c r="U294" s="2417"/>
      <c r="V294" s="2417"/>
      <c r="W294" s="2417"/>
      <c r="X294" s="2417"/>
      <c r="Y294" s="2417"/>
      <c r="Z294" s="2417"/>
      <c r="AA294" s="2417"/>
      <c r="AB294" s="2417"/>
      <c r="AC294" s="2417"/>
      <c r="AD294" s="241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6" t="s">
        <v>2026</v>
      </c>
      <c r="G295" s="2417"/>
      <c r="H295" s="2417"/>
      <c r="I295" s="2417"/>
      <c r="J295" s="2417"/>
      <c r="K295" s="2417"/>
      <c r="L295" s="2417"/>
      <c r="M295" s="2417"/>
      <c r="N295" s="2417"/>
      <c r="O295" s="2417"/>
      <c r="P295" s="2417"/>
      <c r="Q295" s="2417"/>
      <c r="R295" s="2417"/>
      <c r="S295" s="2417"/>
      <c r="T295" s="2417"/>
      <c r="U295" s="2417"/>
      <c r="V295" s="2417"/>
      <c r="W295" s="2417"/>
      <c r="X295" s="2417"/>
      <c r="Y295" s="2417"/>
      <c r="Z295" s="2417"/>
      <c r="AA295" s="2417"/>
      <c r="AB295" s="2417"/>
      <c r="AC295" s="2417"/>
      <c r="AD295" s="241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6"/>
      <c r="G296" s="2417"/>
      <c r="H296" s="2417"/>
      <c r="I296" s="2417"/>
      <c r="J296" s="2417"/>
      <c r="K296" s="2417"/>
      <c r="L296" s="2417"/>
      <c r="M296" s="2417"/>
      <c r="N296" s="2417"/>
      <c r="O296" s="2417"/>
      <c r="P296" s="2417"/>
      <c r="Q296" s="2417"/>
      <c r="R296" s="2417"/>
      <c r="S296" s="2417"/>
      <c r="T296" s="2417"/>
      <c r="U296" s="2417"/>
      <c r="V296" s="2417"/>
      <c r="W296" s="2417"/>
      <c r="X296" s="2417"/>
      <c r="Y296" s="2417"/>
      <c r="Z296" s="2417"/>
      <c r="AA296" s="2417"/>
      <c r="AB296" s="2417"/>
      <c r="AC296" s="2417"/>
      <c r="AD296" s="241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6" t="s">
        <v>1385</v>
      </c>
      <c r="G297" s="2417"/>
      <c r="H297" s="2417"/>
      <c r="I297" s="2417"/>
      <c r="J297" s="2417"/>
      <c r="K297" s="2417"/>
      <c r="L297" s="2417"/>
      <c r="M297" s="2417"/>
      <c r="N297" s="2417"/>
      <c r="O297" s="2417"/>
      <c r="P297" s="2417"/>
      <c r="Q297" s="2417"/>
      <c r="R297" s="2417"/>
      <c r="S297" s="2417"/>
      <c r="T297" s="2417"/>
      <c r="U297" s="2417"/>
      <c r="V297" s="2417"/>
      <c r="W297" s="2417"/>
      <c r="X297" s="2417"/>
      <c r="Y297" s="2417"/>
      <c r="Z297" s="2417"/>
      <c r="AA297" s="2417"/>
      <c r="AB297" s="2417"/>
      <c r="AC297" s="2417"/>
      <c r="AD297" s="241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6"/>
      <c r="G298" s="2417"/>
      <c r="H298" s="2417"/>
      <c r="I298" s="2417"/>
      <c r="J298" s="2417"/>
      <c r="K298" s="2417"/>
      <c r="L298" s="2417"/>
      <c r="M298" s="2417"/>
      <c r="N298" s="2417"/>
      <c r="O298" s="2417"/>
      <c r="P298" s="2417"/>
      <c r="Q298" s="2417"/>
      <c r="R298" s="2417"/>
      <c r="S298" s="2417"/>
      <c r="T298" s="2417"/>
      <c r="U298" s="2417"/>
      <c r="V298" s="2417"/>
      <c r="W298" s="2417"/>
      <c r="X298" s="2417"/>
      <c r="Y298" s="2417"/>
      <c r="Z298" s="2417"/>
      <c r="AA298" s="2417"/>
      <c r="AB298" s="2417"/>
      <c r="AC298" s="2417"/>
      <c r="AD298" s="241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6" t="s">
        <v>1386</v>
      </c>
      <c r="G299" s="2417"/>
      <c r="H299" s="2417"/>
      <c r="I299" s="2417"/>
      <c r="J299" s="2417"/>
      <c r="K299" s="2417"/>
      <c r="L299" s="2417"/>
      <c r="M299" s="2417"/>
      <c r="N299" s="2417"/>
      <c r="O299" s="2417"/>
      <c r="P299" s="2417"/>
      <c r="Q299" s="2417"/>
      <c r="R299" s="2417"/>
      <c r="S299" s="2417"/>
      <c r="T299" s="2417"/>
      <c r="U299" s="2417"/>
      <c r="V299" s="2417"/>
      <c r="W299" s="2417"/>
      <c r="X299" s="2417"/>
      <c r="Y299" s="2417"/>
      <c r="Z299" s="2417"/>
      <c r="AA299" s="2417"/>
      <c r="AB299" s="2417"/>
      <c r="AC299" s="2417"/>
      <c r="AD299" s="241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9"/>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c r="AA300" s="2420"/>
      <c r="AB300" s="2420"/>
      <c r="AC300" s="2420"/>
      <c r="AD300" s="255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4" t="s">
        <v>1387</v>
      </c>
      <c r="B302" s="1644"/>
      <c r="C302" s="2438" t="s">
        <v>592</v>
      </c>
      <c r="D302" s="2438"/>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0" t="s">
        <v>2020</v>
      </c>
      <c r="G303" s="2541"/>
      <c r="H303" s="2541"/>
      <c r="I303" s="2541"/>
      <c r="J303" s="2541"/>
      <c r="K303" s="2541"/>
      <c r="L303" s="2541"/>
      <c r="M303" s="2541"/>
      <c r="N303" s="2541"/>
      <c r="O303" s="2541"/>
      <c r="P303" s="2541"/>
      <c r="Q303" s="2541"/>
      <c r="R303" s="2541"/>
      <c r="S303" s="2541"/>
      <c r="T303" s="2541"/>
      <c r="U303" s="2541"/>
      <c r="V303" s="2541"/>
      <c r="W303" s="2541"/>
      <c r="X303" s="2541"/>
      <c r="Y303" s="2541"/>
      <c r="Z303" s="2541"/>
      <c r="AA303" s="2541"/>
      <c r="AB303" s="2541"/>
      <c r="AC303" s="2541"/>
      <c r="AD303" s="2542"/>
      <c r="AE303" s="551"/>
      <c r="AF303" s="551"/>
      <c r="AG303" s="551"/>
      <c r="AH303" s="551"/>
      <c r="AI303" s="551"/>
      <c r="AJ303" s="550"/>
      <c r="AK303" s="550"/>
      <c r="AL303" s="550"/>
      <c r="AM303" s="550"/>
      <c r="AR303" s="648"/>
    </row>
    <row r="304" spans="1:49" ht="15" customHeight="1">
      <c r="A304" s="550"/>
      <c r="B304" s="551"/>
      <c r="C304" s="550"/>
      <c r="D304" s="551"/>
      <c r="E304" s="550"/>
      <c r="F304" s="2540"/>
      <c r="G304" s="2541"/>
      <c r="H304" s="2541"/>
      <c r="I304" s="2541"/>
      <c r="J304" s="2541"/>
      <c r="K304" s="2541"/>
      <c r="L304" s="2541"/>
      <c r="M304" s="2541"/>
      <c r="N304" s="2541"/>
      <c r="O304" s="2541"/>
      <c r="P304" s="2541"/>
      <c r="Q304" s="2541"/>
      <c r="R304" s="2541"/>
      <c r="S304" s="2541"/>
      <c r="T304" s="2541"/>
      <c r="U304" s="2541"/>
      <c r="V304" s="2541"/>
      <c r="W304" s="2541"/>
      <c r="X304" s="2541"/>
      <c r="Y304" s="2541"/>
      <c r="Z304" s="2541"/>
      <c r="AA304" s="2541"/>
      <c r="AB304" s="2541"/>
      <c r="AC304" s="2541"/>
      <c r="AD304" s="2542"/>
      <c r="AE304" s="551"/>
      <c r="AF304" s="551"/>
      <c r="AG304" s="551"/>
      <c r="AH304" s="551"/>
      <c r="AI304" s="551"/>
      <c r="AJ304" s="550"/>
      <c r="AK304" s="550"/>
      <c r="AL304" s="550"/>
      <c r="AM304" s="550"/>
      <c r="AR304" s="648"/>
    </row>
    <row r="305" spans="1:44">
      <c r="A305" s="550"/>
      <c r="B305" s="551"/>
      <c r="C305" s="550"/>
      <c r="D305" s="551"/>
      <c r="E305" s="550"/>
      <c r="F305" s="2540"/>
      <c r="G305" s="2541"/>
      <c r="H305" s="2541"/>
      <c r="I305" s="2541"/>
      <c r="J305" s="2541"/>
      <c r="K305" s="2541"/>
      <c r="L305" s="2541"/>
      <c r="M305" s="2541"/>
      <c r="N305" s="2541"/>
      <c r="O305" s="2541"/>
      <c r="P305" s="2541"/>
      <c r="Q305" s="2541"/>
      <c r="R305" s="2541"/>
      <c r="S305" s="2541"/>
      <c r="T305" s="2541"/>
      <c r="U305" s="2541"/>
      <c r="V305" s="2541"/>
      <c r="W305" s="2541"/>
      <c r="X305" s="2541"/>
      <c r="Y305" s="2541"/>
      <c r="Z305" s="2541"/>
      <c r="AA305" s="2541"/>
      <c r="AB305" s="2541"/>
      <c r="AC305" s="2541"/>
      <c r="AD305" s="254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2"/>
      <c r="G306" s="2563"/>
      <c r="H306" s="2563"/>
      <c r="I306" s="2563"/>
      <c r="J306" s="2563"/>
      <c r="K306" s="2563"/>
      <c r="L306" s="2563"/>
      <c r="M306" s="2563"/>
      <c r="N306" s="2563"/>
      <c r="O306" s="2563"/>
      <c r="P306" s="2563"/>
      <c r="Q306" s="2563"/>
      <c r="R306" s="2563"/>
      <c r="S306" s="2563"/>
      <c r="T306" s="2563"/>
      <c r="U306" s="2563"/>
      <c r="V306" s="2563"/>
      <c r="W306" s="2563"/>
      <c r="X306" s="2563"/>
      <c r="Y306" s="2563"/>
      <c r="Z306" s="2563"/>
      <c r="AA306" s="2563"/>
      <c r="AB306" s="2563"/>
      <c r="AC306" s="2563"/>
      <c r="AD306" s="256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4" t="s">
        <v>1390</v>
      </c>
      <c r="B310" s="1644"/>
      <c r="C310" s="2438" t="s">
        <v>592</v>
      </c>
      <c r="D310" s="243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6" t="s">
        <v>2027</v>
      </c>
      <c r="G311" s="2417"/>
      <c r="H311" s="2417"/>
      <c r="I311" s="2417"/>
      <c r="J311" s="2417"/>
      <c r="K311" s="2417"/>
      <c r="L311" s="2417"/>
      <c r="M311" s="2417"/>
      <c r="N311" s="2417"/>
      <c r="O311" s="2417"/>
      <c r="P311" s="2417"/>
      <c r="Q311" s="2417"/>
      <c r="R311" s="2417"/>
      <c r="S311" s="2417"/>
      <c r="T311" s="2417"/>
      <c r="U311" s="2417"/>
      <c r="V311" s="2417"/>
      <c r="W311" s="2417"/>
      <c r="X311" s="2417"/>
      <c r="Y311" s="2417"/>
      <c r="Z311" s="2417"/>
      <c r="AA311" s="2417"/>
      <c r="AB311" s="2417"/>
      <c r="AC311" s="2417"/>
      <c r="AD311" s="2418"/>
      <c r="AE311" s="551"/>
      <c r="AF311" s="551"/>
      <c r="AG311" s="539"/>
      <c r="AH311" s="551"/>
      <c r="AI311" s="551"/>
      <c r="AJ311" s="550"/>
      <c r="AK311" s="550"/>
      <c r="AL311" s="550"/>
      <c r="AM311" s="550"/>
      <c r="AN311" s="73"/>
      <c r="AO311" s="14"/>
      <c r="AP311" s="557" t="s">
        <v>1185</v>
      </c>
    </row>
    <row r="312" spans="1:44" hidden="1">
      <c r="F312" s="2416"/>
      <c r="G312" s="2417"/>
      <c r="H312" s="2417"/>
      <c r="I312" s="2417"/>
      <c r="J312" s="2417"/>
      <c r="K312" s="2417"/>
      <c r="L312" s="2417"/>
      <c r="M312" s="2417"/>
      <c r="N312" s="2417"/>
      <c r="O312" s="2417"/>
      <c r="P312" s="2417"/>
      <c r="Q312" s="2417"/>
      <c r="R312" s="2417"/>
      <c r="S312" s="2417"/>
      <c r="T312" s="2417"/>
      <c r="U312" s="2417"/>
      <c r="V312" s="2417"/>
      <c r="W312" s="2417"/>
      <c r="X312" s="2417"/>
      <c r="Y312" s="2417"/>
      <c r="Z312" s="2417"/>
      <c r="AA312" s="2417"/>
      <c r="AB312" s="2417"/>
      <c r="AC312" s="2417"/>
      <c r="AD312" s="2418"/>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3" t="s">
        <v>1185</v>
      </c>
      <c r="G316" s="2544"/>
      <c r="H316" s="2544"/>
      <c r="I316" s="2544"/>
      <c r="J316" s="2544"/>
      <c r="K316" s="2544"/>
      <c r="L316" s="2544"/>
      <c r="M316" s="2544"/>
      <c r="N316" s="2544"/>
      <c r="O316" s="2544"/>
      <c r="P316" s="2544"/>
      <c r="Q316" s="2544"/>
      <c r="R316" s="2544"/>
      <c r="S316" s="2544"/>
      <c r="T316" s="2544"/>
      <c r="U316" s="2544"/>
      <c r="V316" s="2544"/>
      <c r="W316" s="2544"/>
      <c r="X316" s="2544"/>
      <c r="Y316" s="2544"/>
      <c r="Z316" s="2544"/>
      <c r="AA316" s="2544"/>
      <c r="AB316" s="2544"/>
      <c r="AC316" s="2544"/>
      <c r="AD316" s="2545"/>
      <c r="AE316" s="642"/>
      <c r="AF316" s="642"/>
      <c r="AG316" s="642"/>
      <c r="AH316" s="642"/>
      <c r="AI316" s="642"/>
      <c r="AJ316" s="642"/>
      <c r="AK316" s="642"/>
      <c r="AL316" s="550"/>
      <c r="AM316" s="550"/>
      <c r="AN316" s="73"/>
      <c r="AO316" s="14"/>
      <c r="AP316" s="30"/>
    </row>
    <row r="317" spans="1:44" hidden="1">
      <c r="A317" s="550"/>
      <c r="B317" s="551"/>
      <c r="C317" s="730"/>
      <c r="D317" s="730"/>
      <c r="E317" s="547"/>
      <c r="F317" s="2543"/>
      <c r="G317" s="2544"/>
      <c r="H317" s="2544"/>
      <c r="I317" s="2544"/>
      <c r="J317" s="2544"/>
      <c r="K317" s="2544"/>
      <c r="L317" s="2544"/>
      <c r="M317" s="2544"/>
      <c r="N317" s="2544"/>
      <c r="O317" s="2544"/>
      <c r="P317" s="2544"/>
      <c r="Q317" s="2544"/>
      <c r="R317" s="2544"/>
      <c r="S317" s="2544"/>
      <c r="T317" s="2544"/>
      <c r="U317" s="2544"/>
      <c r="V317" s="2544"/>
      <c r="W317" s="2544"/>
      <c r="X317" s="2544"/>
      <c r="Y317" s="2544"/>
      <c r="Z317" s="2544"/>
      <c r="AA317" s="2544"/>
      <c r="AB317" s="2544"/>
      <c r="AC317" s="2544"/>
      <c r="AD317" s="2545"/>
      <c r="AE317" s="551"/>
      <c r="AF317" s="551"/>
      <c r="AG317" s="539"/>
      <c r="AH317" s="551"/>
      <c r="AI317" s="551"/>
      <c r="AJ317" s="550"/>
      <c r="AK317" s="550"/>
      <c r="AL317" s="550"/>
      <c r="AM317" s="550"/>
      <c r="AN317" s="73"/>
      <c r="AO317" s="14"/>
      <c r="AP317" s="30"/>
    </row>
    <row r="318" spans="1:44" hidden="1">
      <c r="A318" s="550"/>
      <c r="B318" s="551"/>
      <c r="C318" s="730"/>
      <c r="D318" s="730"/>
      <c r="E318" s="547"/>
      <c r="F318" s="2543"/>
      <c r="G318" s="2544"/>
      <c r="H318" s="2544"/>
      <c r="I318" s="2544"/>
      <c r="J318" s="2544"/>
      <c r="K318" s="2544"/>
      <c r="L318" s="2544"/>
      <c r="M318" s="2544"/>
      <c r="N318" s="2544"/>
      <c r="O318" s="2544"/>
      <c r="P318" s="2544"/>
      <c r="Q318" s="2544"/>
      <c r="R318" s="2544"/>
      <c r="S318" s="2544"/>
      <c r="T318" s="2544"/>
      <c r="U318" s="2544"/>
      <c r="V318" s="2544"/>
      <c r="W318" s="2544"/>
      <c r="X318" s="2544"/>
      <c r="Y318" s="2544"/>
      <c r="Z318" s="2544"/>
      <c r="AA318" s="2544"/>
      <c r="AB318" s="2544"/>
      <c r="AC318" s="2544"/>
      <c r="AD318" s="2545"/>
      <c r="AE318" s="551"/>
      <c r="AF318" s="551"/>
      <c r="AG318" s="539"/>
      <c r="AH318" s="551"/>
      <c r="AI318" s="551"/>
      <c r="AJ318" s="550"/>
      <c r="AK318" s="550"/>
      <c r="AL318" s="550"/>
      <c r="AM318" s="550"/>
      <c r="AN318" s="73"/>
      <c r="AO318" s="14"/>
      <c r="AP318" s="30"/>
    </row>
    <row r="319" spans="1:44" hidden="1">
      <c r="A319" s="550"/>
      <c r="B319" s="551"/>
      <c r="C319" s="730"/>
      <c r="D319" s="730"/>
      <c r="E319" s="547"/>
      <c r="F319" s="2543"/>
      <c r="G319" s="2544"/>
      <c r="H319" s="2544"/>
      <c r="I319" s="2544"/>
      <c r="J319" s="2544"/>
      <c r="K319" s="2544"/>
      <c r="L319" s="2544"/>
      <c r="M319" s="2544"/>
      <c r="N319" s="2544"/>
      <c r="O319" s="2544"/>
      <c r="P319" s="2544"/>
      <c r="Q319" s="2544"/>
      <c r="R319" s="2544"/>
      <c r="S319" s="2544"/>
      <c r="T319" s="2544"/>
      <c r="U319" s="2544"/>
      <c r="V319" s="2544"/>
      <c r="W319" s="2544"/>
      <c r="X319" s="2544"/>
      <c r="Y319" s="2544"/>
      <c r="Z319" s="2544"/>
      <c r="AA319" s="2544"/>
      <c r="AB319" s="2544"/>
      <c r="AC319" s="2544"/>
      <c r="AD319" s="2545"/>
      <c r="AE319" s="551"/>
      <c r="AF319" s="551"/>
      <c r="AG319" s="539"/>
      <c r="AH319" s="551"/>
      <c r="AI319" s="551"/>
      <c r="AJ319" s="550"/>
      <c r="AK319" s="550"/>
      <c r="AL319" s="550"/>
      <c r="AM319" s="550"/>
      <c r="AN319" s="73"/>
      <c r="AO319" s="14"/>
      <c r="AP319" s="30"/>
    </row>
    <row r="320" spans="1:44" hidden="1">
      <c r="A320" s="550"/>
      <c r="B320" s="551"/>
      <c r="C320" s="730"/>
      <c r="D320" s="730"/>
      <c r="E320" s="547"/>
      <c r="F320" s="2546"/>
      <c r="G320" s="2547"/>
      <c r="H320" s="2547"/>
      <c r="I320" s="2547"/>
      <c r="J320" s="2547"/>
      <c r="K320" s="2547"/>
      <c r="L320" s="2547"/>
      <c r="M320" s="2547"/>
      <c r="N320" s="2547"/>
      <c r="O320" s="2547"/>
      <c r="P320" s="2547"/>
      <c r="Q320" s="2547"/>
      <c r="R320" s="2547"/>
      <c r="S320" s="2547"/>
      <c r="T320" s="2547"/>
      <c r="U320" s="2547"/>
      <c r="V320" s="2547"/>
      <c r="W320" s="2547"/>
      <c r="X320" s="2547"/>
      <c r="Y320" s="2547"/>
      <c r="Z320" s="2547"/>
      <c r="AA320" s="2547"/>
      <c r="AB320" s="2547"/>
      <c r="AC320" s="2547"/>
      <c r="AD320" s="254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49" t="s">
        <v>1185</v>
      </c>
      <c r="J324" s="2549"/>
      <c r="K324" s="2549"/>
      <c r="L324" s="2549"/>
      <c r="M324" s="2549"/>
      <c r="N324" s="2549"/>
      <c r="O324" s="2549"/>
      <c r="P324" s="2549"/>
      <c r="Q324" s="2549"/>
      <c r="R324" s="2549"/>
      <c r="S324" s="2549"/>
      <c r="T324" s="2549"/>
      <c r="U324" s="2549"/>
      <c r="V324" s="2549"/>
      <c r="W324" s="2549"/>
      <c r="X324" s="2549"/>
      <c r="Y324" s="2549"/>
      <c r="Z324" s="2549"/>
      <c r="AA324" s="2549"/>
      <c r="AB324" s="2549"/>
      <c r="AC324" s="2549"/>
      <c r="AD324" s="255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49"/>
      <c r="J325" s="2549"/>
      <c r="K325" s="2549"/>
      <c r="L325" s="2549"/>
      <c r="M325" s="2549"/>
      <c r="N325" s="2549"/>
      <c r="O325" s="2549"/>
      <c r="P325" s="2549"/>
      <c r="Q325" s="2549"/>
      <c r="R325" s="2549"/>
      <c r="S325" s="2549"/>
      <c r="T325" s="2549"/>
      <c r="U325" s="2549"/>
      <c r="V325" s="2549"/>
      <c r="W325" s="2549"/>
      <c r="X325" s="2549"/>
      <c r="Y325" s="2549"/>
      <c r="Z325" s="2549"/>
      <c r="AA325" s="2549"/>
      <c r="AB325" s="2549"/>
      <c r="AC325" s="2549"/>
      <c r="AD325" s="255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49"/>
      <c r="J326" s="2549"/>
      <c r="K326" s="2549"/>
      <c r="L326" s="2549"/>
      <c r="M326" s="2549"/>
      <c r="N326" s="2549"/>
      <c r="O326" s="2549"/>
      <c r="P326" s="2549"/>
      <c r="Q326" s="2549"/>
      <c r="R326" s="2549"/>
      <c r="S326" s="2549"/>
      <c r="T326" s="2549"/>
      <c r="U326" s="2549"/>
      <c r="V326" s="2549"/>
      <c r="W326" s="2549"/>
      <c r="X326" s="2549"/>
      <c r="Y326" s="2549"/>
      <c r="Z326" s="2549"/>
      <c r="AA326" s="2549"/>
      <c r="AB326" s="2549"/>
      <c r="AC326" s="2549"/>
      <c r="AD326" s="255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1"/>
      <c r="J327" s="2551"/>
      <c r="K327" s="2551"/>
      <c r="L327" s="2551"/>
      <c r="M327" s="2551"/>
      <c r="N327" s="2551"/>
      <c r="O327" s="2551"/>
      <c r="P327" s="2551"/>
      <c r="Q327" s="2551"/>
      <c r="R327" s="2551"/>
      <c r="S327" s="2551"/>
      <c r="T327" s="2551"/>
      <c r="U327" s="2551"/>
      <c r="V327" s="2551"/>
      <c r="W327" s="2551"/>
      <c r="X327" s="2551"/>
      <c r="Y327" s="2551"/>
      <c r="Z327" s="2551"/>
      <c r="AA327" s="2551"/>
      <c r="AB327" s="2551"/>
      <c r="AC327" s="2551"/>
      <c r="AD327" s="255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49" t="s">
        <v>1185</v>
      </c>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1"/>
      <c r="J331" s="2551"/>
      <c r="K331" s="2551"/>
      <c r="L331" s="2551"/>
      <c r="M331" s="2551"/>
      <c r="N331" s="2551"/>
      <c r="O331" s="2551"/>
      <c r="P331" s="2551"/>
      <c r="Q331" s="2551"/>
      <c r="R331" s="2551"/>
      <c r="S331" s="2551"/>
      <c r="T331" s="2551"/>
      <c r="U331" s="2551"/>
      <c r="V331" s="2551"/>
      <c r="W331" s="2551"/>
      <c r="X331" s="2551"/>
      <c r="Y331" s="2551"/>
      <c r="Z331" s="2551"/>
      <c r="AA331" s="2551"/>
      <c r="AB331" s="2551"/>
      <c r="AC331" s="2551"/>
      <c r="AD331" s="255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4" t="s">
        <v>1393</v>
      </c>
      <c r="B333" s="1644"/>
      <c r="C333" s="2438" t="s">
        <v>592</v>
      </c>
      <c r="D333" s="2438"/>
      <c r="E333" s="547"/>
      <c r="F333" s="2537" t="s">
        <v>2028</v>
      </c>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0"/>
      <c r="G334" s="2541"/>
      <c r="H334" s="2541"/>
      <c r="I334" s="2541"/>
      <c r="J334" s="2541"/>
      <c r="K334" s="2541"/>
      <c r="L334" s="2541"/>
      <c r="M334" s="2541"/>
      <c r="N334" s="2541"/>
      <c r="O334" s="2541"/>
      <c r="P334" s="2541"/>
      <c r="Q334" s="2541"/>
      <c r="R334" s="2541"/>
      <c r="S334" s="2541"/>
      <c r="T334" s="2541"/>
      <c r="U334" s="2541"/>
      <c r="V334" s="2541"/>
      <c r="W334" s="2541"/>
      <c r="X334" s="2541"/>
      <c r="Y334" s="2541"/>
      <c r="Z334" s="2541"/>
      <c r="AA334" s="2541"/>
      <c r="AB334" s="2541"/>
      <c r="AC334" s="2541"/>
      <c r="AD334" s="2542"/>
      <c r="AE334" s="551"/>
      <c r="AF334" s="551"/>
      <c r="AG334" s="551"/>
      <c r="AH334" s="551"/>
      <c r="AI334" s="551"/>
      <c r="AJ334" s="550"/>
      <c r="AK334" s="550"/>
      <c r="AL334" s="550"/>
      <c r="AM334" s="550"/>
      <c r="AN334" s="73"/>
      <c r="AO334" s="14"/>
    </row>
    <row r="335" spans="1:42" ht="15" hidden="1" customHeight="1">
      <c r="A335" s="550"/>
      <c r="B335" s="551"/>
      <c r="C335" s="551"/>
      <c r="D335" s="551"/>
      <c r="E335" s="551"/>
      <c r="F335" s="2540"/>
      <c r="G335" s="2541"/>
      <c r="H335" s="2541"/>
      <c r="I335" s="2541"/>
      <c r="J335" s="2541"/>
      <c r="K335" s="2541"/>
      <c r="L335" s="2541"/>
      <c r="M335" s="2541"/>
      <c r="N335" s="2541"/>
      <c r="O335" s="2541"/>
      <c r="P335" s="2541"/>
      <c r="Q335" s="2541"/>
      <c r="R335" s="2541"/>
      <c r="S335" s="2541"/>
      <c r="T335" s="2541"/>
      <c r="U335" s="2541"/>
      <c r="V335" s="2541"/>
      <c r="W335" s="2541"/>
      <c r="X335" s="2541"/>
      <c r="Y335" s="2541"/>
      <c r="Z335" s="2541"/>
      <c r="AA335" s="2541"/>
      <c r="AB335" s="2541"/>
      <c r="AC335" s="2541"/>
      <c r="AD335" s="254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4">
        <f>IF(NOT(OR(Application!M355="Yes",Application!M356="Yes")),0,AP295)</f>
        <v>10</v>
      </c>
      <c r="AL338" s="2425"/>
      <c r="AM338" s="242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7" t="s">
        <v>1315</v>
      </c>
      <c r="AF341" s="2457"/>
      <c r="AG341" s="2457"/>
      <c r="AH341" s="2457"/>
      <c r="AI341" s="2457"/>
      <c r="AJ341" s="2457"/>
      <c r="AK341" s="245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3" t="s">
        <v>1455</v>
      </c>
      <c r="D343" s="2433"/>
      <c r="E343" s="2433"/>
      <c r="F343" s="2433"/>
      <c r="G343" s="2433"/>
      <c r="H343" s="2433"/>
      <c r="I343" s="2433"/>
      <c r="J343" s="2433"/>
      <c r="K343" s="2433"/>
      <c r="L343" s="2433"/>
      <c r="M343" s="2433"/>
      <c r="N343" s="2433"/>
      <c r="O343" s="2433"/>
      <c r="P343" s="2433"/>
      <c r="Q343" s="2433"/>
      <c r="R343" s="2433"/>
      <c r="S343" s="2433"/>
      <c r="T343" s="2433"/>
      <c r="U343" s="2433"/>
      <c r="V343" s="2433"/>
      <c r="W343" s="2433"/>
      <c r="X343" s="2433"/>
      <c r="Y343" s="2433"/>
      <c r="Z343" s="2433"/>
      <c r="AA343" s="2433"/>
      <c r="AB343" s="2433"/>
      <c r="AC343" s="2433"/>
      <c r="AD343" s="2433"/>
      <c r="AE343" s="2433"/>
      <c r="AF343" s="2433"/>
      <c r="AG343" s="2433"/>
      <c r="AH343" s="2433"/>
      <c r="AI343" s="2433"/>
      <c r="AJ343" s="2433"/>
      <c r="AK343" s="603"/>
      <c r="AL343" s="603"/>
      <c r="AM343" s="603"/>
      <c r="AN343" s="597"/>
    </row>
    <row r="344" spans="1:44" s="550" customFormat="1" ht="12.75" customHeight="1">
      <c r="A344" s="603"/>
      <c r="B344" s="611"/>
      <c r="C344" s="2433"/>
      <c r="D344" s="2433"/>
      <c r="E344" s="2433"/>
      <c r="F344" s="2433"/>
      <c r="G344" s="2433"/>
      <c r="H344" s="2433"/>
      <c r="I344" s="2433"/>
      <c r="J344" s="2433"/>
      <c r="K344" s="2433"/>
      <c r="L344" s="2433"/>
      <c r="M344" s="2433"/>
      <c r="N344" s="2433"/>
      <c r="O344" s="2433"/>
      <c r="P344" s="2433"/>
      <c r="Q344" s="2433"/>
      <c r="R344" s="2433"/>
      <c r="S344" s="2433"/>
      <c r="T344" s="2433"/>
      <c r="U344" s="2433"/>
      <c r="V344" s="2433"/>
      <c r="W344" s="2433"/>
      <c r="X344" s="2433"/>
      <c r="Y344" s="2433"/>
      <c r="Z344" s="2433"/>
      <c r="AA344" s="2433"/>
      <c r="AB344" s="2433"/>
      <c r="AC344" s="2433"/>
      <c r="AD344" s="2433"/>
      <c r="AE344" s="2433"/>
      <c r="AF344" s="2433"/>
      <c r="AG344" s="2433"/>
      <c r="AH344" s="2433"/>
      <c r="AI344" s="2433"/>
      <c r="AJ344" s="2433"/>
      <c r="AK344" s="603"/>
      <c r="AL344" s="603"/>
      <c r="AM344" s="603"/>
      <c r="AN344" s="597"/>
    </row>
    <row r="345" spans="1:44" s="550" customFormat="1" ht="12.75" customHeight="1">
      <c r="A345" s="603"/>
      <c r="B345" s="611"/>
      <c r="C345" s="2433"/>
      <c r="D345" s="2433"/>
      <c r="E345" s="2433"/>
      <c r="F345" s="2433"/>
      <c r="G345" s="2433"/>
      <c r="H345" s="2433"/>
      <c r="I345" s="2433"/>
      <c r="J345" s="2433"/>
      <c r="K345" s="2433"/>
      <c r="L345" s="2433"/>
      <c r="M345" s="2433"/>
      <c r="N345" s="2433"/>
      <c r="O345" s="2433"/>
      <c r="P345" s="2433"/>
      <c r="Q345" s="2433"/>
      <c r="R345" s="2433"/>
      <c r="S345" s="2433"/>
      <c r="T345" s="2433"/>
      <c r="U345" s="2433"/>
      <c r="V345" s="2433"/>
      <c r="W345" s="2433"/>
      <c r="X345" s="2433"/>
      <c r="Y345" s="2433"/>
      <c r="Z345" s="2433"/>
      <c r="AA345" s="2433"/>
      <c r="AB345" s="2433"/>
      <c r="AC345" s="2433"/>
      <c r="AD345" s="2433"/>
      <c r="AE345" s="2433"/>
      <c r="AF345" s="2433"/>
      <c r="AG345" s="2433"/>
      <c r="AH345" s="2433"/>
      <c r="AI345" s="2433"/>
      <c r="AJ345" s="2433"/>
      <c r="AK345" s="603"/>
      <c r="AL345" s="603"/>
      <c r="AM345" s="603"/>
      <c r="AN345" s="597"/>
      <c r="AQ345" s="570"/>
    </row>
    <row r="346" spans="1:44" s="550" customFormat="1" ht="12.75" customHeight="1">
      <c r="A346" s="603"/>
      <c r="B346" s="611"/>
      <c r="C346" s="2433"/>
      <c r="D346" s="2433"/>
      <c r="E346" s="2433"/>
      <c r="F346" s="2433"/>
      <c r="G346" s="2433"/>
      <c r="H346" s="2433"/>
      <c r="I346" s="2433"/>
      <c r="J346" s="2433"/>
      <c r="K346" s="2433"/>
      <c r="L346" s="2433"/>
      <c r="M346" s="2433"/>
      <c r="N346" s="2433"/>
      <c r="O346" s="2433"/>
      <c r="P346" s="2433"/>
      <c r="Q346" s="2433"/>
      <c r="R346" s="2433"/>
      <c r="S346" s="2433"/>
      <c r="T346" s="2433"/>
      <c r="U346" s="2433"/>
      <c r="V346" s="2433"/>
      <c r="W346" s="2433"/>
      <c r="X346" s="2433"/>
      <c r="Y346" s="2433"/>
      <c r="Z346" s="2433"/>
      <c r="AA346" s="2433"/>
      <c r="AB346" s="2433"/>
      <c r="AC346" s="2433"/>
      <c r="AD346" s="2433"/>
      <c r="AE346" s="2433"/>
      <c r="AF346" s="2433"/>
      <c r="AG346" s="2433"/>
      <c r="AH346" s="2433"/>
      <c r="AI346" s="2433"/>
      <c r="AJ346" s="2433"/>
      <c r="AK346" s="603"/>
      <c r="AL346" s="603"/>
      <c r="AM346" s="603"/>
      <c r="AN346" s="597"/>
      <c r="AQ346" s="570"/>
    </row>
    <row r="347" spans="1:44" s="550" customFormat="1" ht="12.4" customHeight="1">
      <c r="A347" s="603"/>
      <c r="B347" s="611"/>
      <c r="C347" s="2433"/>
      <c r="D347" s="2433"/>
      <c r="E347" s="2433"/>
      <c r="F347" s="2433"/>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3"/>
      <c r="AE347" s="2433"/>
      <c r="AF347" s="2433"/>
      <c r="AG347" s="2433"/>
      <c r="AH347" s="2433"/>
      <c r="AI347" s="2433"/>
      <c r="AJ347" s="2433"/>
      <c r="AK347" s="603"/>
      <c r="AL347" s="603"/>
      <c r="AM347" s="603"/>
      <c r="AN347" s="597"/>
      <c r="AQ347" s="570"/>
      <c r="AR347" s="570"/>
    </row>
    <row r="348" spans="1:44" s="550" customFormat="1" ht="45.75" customHeight="1">
      <c r="A348" s="603"/>
      <c r="B348" s="611"/>
      <c r="C348" s="2433" t="s">
        <v>2093</v>
      </c>
      <c r="D348" s="2433"/>
      <c r="E348" s="2433"/>
      <c r="F348" s="2433"/>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3"/>
      <c r="AE348" s="2433"/>
      <c r="AF348" s="2433"/>
      <c r="AG348" s="2433"/>
      <c r="AH348" s="2433"/>
      <c r="AI348" s="2433"/>
      <c r="AJ348" s="243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3" t="s">
        <v>2208</v>
      </c>
      <c r="D350" s="2433"/>
      <c r="E350" s="2433"/>
      <c r="F350" s="2433"/>
      <c r="G350" s="2433"/>
      <c r="H350" s="2433"/>
      <c r="I350" s="2433"/>
      <c r="J350" s="2433"/>
      <c r="K350" s="2433"/>
      <c r="L350" s="2433"/>
      <c r="M350" s="2433"/>
      <c r="N350" s="2433"/>
      <c r="O350" s="2433"/>
      <c r="P350" s="2433"/>
      <c r="Q350" s="2433"/>
      <c r="R350" s="2433"/>
      <c r="S350" s="2433"/>
      <c r="T350" s="2433"/>
      <c r="U350" s="2433"/>
      <c r="V350" s="2433"/>
      <c r="W350" s="2433"/>
      <c r="X350" s="2433"/>
      <c r="Y350" s="2433"/>
      <c r="Z350" s="2433"/>
      <c r="AA350" s="2433"/>
      <c r="AB350" s="2433"/>
      <c r="AC350" s="2433"/>
      <c r="AD350" s="2433"/>
      <c r="AE350" s="2433"/>
      <c r="AF350" s="2433"/>
      <c r="AG350" s="2433"/>
      <c r="AH350" s="2433"/>
      <c r="AI350" s="2433"/>
      <c r="AJ350" s="2433"/>
      <c r="AK350" s="603"/>
      <c r="AL350" s="603"/>
      <c r="AM350" s="603"/>
      <c r="AN350" s="597"/>
      <c r="AQ350" s="570"/>
      <c r="AR350" s="570"/>
    </row>
    <row r="351" spans="1:44" s="550" customFormat="1" ht="30" customHeight="1">
      <c r="A351" s="603"/>
      <c r="B351" s="611"/>
      <c r="C351" s="2433"/>
      <c r="D351" s="2433"/>
      <c r="E351" s="2433"/>
      <c r="F351" s="2433"/>
      <c r="G351" s="2433"/>
      <c r="H351" s="2433"/>
      <c r="I351" s="2433"/>
      <c r="J351" s="2433"/>
      <c r="K351" s="2433"/>
      <c r="L351" s="2433"/>
      <c r="M351" s="2433"/>
      <c r="N351" s="2433"/>
      <c r="O351" s="2433"/>
      <c r="P351" s="2433"/>
      <c r="Q351" s="2433"/>
      <c r="R351" s="2433"/>
      <c r="S351" s="2433"/>
      <c r="T351" s="2433"/>
      <c r="U351" s="2433"/>
      <c r="V351" s="2433"/>
      <c r="W351" s="2433"/>
      <c r="X351" s="2433"/>
      <c r="Y351" s="2433"/>
      <c r="Z351" s="2433"/>
      <c r="AA351" s="2433"/>
      <c r="AB351" s="2433"/>
      <c r="AC351" s="2433"/>
      <c r="AD351" s="2433"/>
      <c r="AE351" s="2433"/>
      <c r="AF351" s="2433"/>
      <c r="AG351" s="2433"/>
      <c r="AH351" s="2433"/>
      <c r="AI351" s="2433"/>
      <c r="AJ351" s="2433"/>
      <c r="AK351" s="603"/>
      <c r="AL351" s="603"/>
      <c r="AM351" s="603"/>
      <c r="AN351" s="597"/>
      <c r="AR351" s="570"/>
    </row>
    <row r="352" spans="1:44" s="550" customFormat="1" ht="12.75" customHeight="1">
      <c r="A352" s="603"/>
      <c r="B352" s="611"/>
      <c r="C352" s="2433"/>
      <c r="D352" s="2433"/>
      <c r="E352" s="2433"/>
      <c r="F352" s="2433"/>
      <c r="G352" s="2433"/>
      <c r="H352" s="2433"/>
      <c r="I352" s="2433"/>
      <c r="J352" s="2433"/>
      <c r="K352" s="2433"/>
      <c r="L352" s="2433"/>
      <c r="M352" s="2433"/>
      <c r="N352" s="2433"/>
      <c r="O352" s="2433"/>
      <c r="P352" s="2433"/>
      <c r="Q352" s="2433"/>
      <c r="R352" s="2433"/>
      <c r="S352" s="2433"/>
      <c r="T352" s="2433"/>
      <c r="U352" s="2433"/>
      <c r="V352" s="2433"/>
      <c r="W352" s="2433"/>
      <c r="X352" s="2433"/>
      <c r="Y352" s="2433"/>
      <c r="Z352" s="2433"/>
      <c r="AA352" s="2433"/>
      <c r="AB352" s="2433"/>
      <c r="AC352" s="2433"/>
      <c r="AD352" s="2433"/>
      <c r="AE352" s="2433"/>
      <c r="AF352" s="2433"/>
      <c r="AG352" s="2433"/>
      <c r="AH352" s="2433"/>
      <c r="AI352" s="2433"/>
      <c r="AJ352" s="2433"/>
      <c r="AK352" s="603"/>
      <c r="AL352" s="603"/>
      <c r="AM352" s="603"/>
      <c r="AN352" s="597"/>
      <c r="AR352" s="570"/>
    </row>
    <row r="353" spans="1:46" s="550" customFormat="1" ht="12.75" customHeight="1">
      <c r="A353" s="603"/>
      <c r="B353" s="611"/>
      <c r="C353" s="2433" t="s">
        <v>1456</v>
      </c>
      <c r="D353" s="2433"/>
      <c r="E353" s="2433"/>
      <c r="F353" s="2433"/>
      <c r="G353" s="2433"/>
      <c r="H353" s="2433"/>
      <c r="I353" s="2433"/>
      <c r="J353" s="2433"/>
      <c r="K353" s="2433"/>
      <c r="L353" s="2433"/>
      <c r="M353" s="2433"/>
      <c r="N353" s="2433"/>
      <c r="O353" s="2433"/>
      <c r="P353" s="2433"/>
      <c r="Q353" s="2433"/>
      <c r="R353" s="2433"/>
      <c r="S353" s="2433"/>
      <c r="T353" s="2433"/>
      <c r="U353" s="2433"/>
      <c r="V353" s="2433"/>
      <c r="W353" s="2433"/>
      <c r="X353" s="2433"/>
      <c r="Y353" s="2433"/>
      <c r="Z353" s="2433"/>
      <c r="AA353" s="2433"/>
      <c r="AB353" s="2433"/>
      <c r="AC353" s="2433"/>
      <c r="AD353" s="2433"/>
      <c r="AE353" s="2433"/>
      <c r="AF353" s="2433"/>
      <c r="AG353" s="2433"/>
      <c r="AH353" s="2433"/>
      <c r="AI353" s="2433"/>
      <c r="AJ353" s="2433"/>
      <c r="AK353" s="603"/>
      <c r="AL353" s="603"/>
      <c r="AM353" s="603"/>
      <c r="AN353" s="597"/>
      <c r="AQ353" s="570"/>
      <c r="AR353" s="570"/>
    </row>
    <row r="354" spans="1:46" s="550" customFormat="1" ht="12.75" customHeight="1">
      <c r="A354" s="603"/>
      <c r="B354" s="611"/>
      <c r="C354" s="2433"/>
      <c r="D354" s="2433"/>
      <c r="E354" s="2433"/>
      <c r="F354" s="2433"/>
      <c r="G354" s="2433"/>
      <c r="H354" s="2433"/>
      <c r="I354" s="2433"/>
      <c r="J354" s="2433"/>
      <c r="K354" s="2433"/>
      <c r="L354" s="2433"/>
      <c r="M354" s="2433"/>
      <c r="N354" s="2433"/>
      <c r="O354" s="2433"/>
      <c r="P354" s="2433"/>
      <c r="Q354" s="2433"/>
      <c r="R354" s="2433"/>
      <c r="S354" s="2433"/>
      <c r="T354" s="2433"/>
      <c r="U354" s="2433"/>
      <c r="V354" s="2433"/>
      <c r="W354" s="2433"/>
      <c r="X354" s="2433"/>
      <c r="Y354" s="2433"/>
      <c r="Z354" s="2433"/>
      <c r="AA354" s="2433"/>
      <c r="AB354" s="2433"/>
      <c r="AC354" s="2433"/>
      <c r="AD354" s="2433"/>
      <c r="AE354" s="2433"/>
      <c r="AF354" s="2433"/>
      <c r="AG354" s="2433"/>
      <c r="AH354" s="2433"/>
      <c r="AI354" s="2433"/>
      <c r="AJ354" s="2433"/>
      <c r="AK354" s="603"/>
      <c r="AL354" s="603"/>
      <c r="AM354" s="603"/>
      <c r="AN354" s="597"/>
      <c r="AQ354" s="570"/>
      <c r="AR354" s="570"/>
    </row>
    <row r="355" spans="1:46" s="550" customFormat="1" ht="13.15" customHeight="1">
      <c r="A355" s="603"/>
      <c r="B355" s="611"/>
      <c r="C355" s="2433"/>
      <c r="D355" s="2433"/>
      <c r="E355" s="2433"/>
      <c r="F355" s="2433"/>
      <c r="G355" s="2433"/>
      <c r="H355" s="2433"/>
      <c r="I355" s="2433"/>
      <c r="J355" s="2433"/>
      <c r="K355" s="2433"/>
      <c r="L355" s="2433"/>
      <c r="M355" s="2433"/>
      <c r="N355" s="2433"/>
      <c r="O355" s="2433"/>
      <c r="P355" s="2433"/>
      <c r="Q355" s="2433"/>
      <c r="R355" s="2433"/>
      <c r="S355" s="2433"/>
      <c r="T355" s="2433"/>
      <c r="U355" s="2433"/>
      <c r="V355" s="2433"/>
      <c r="W355" s="2433"/>
      <c r="X355" s="2433"/>
      <c r="Y355" s="2433"/>
      <c r="Z355" s="2433"/>
      <c r="AA355" s="2433"/>
      <c r="AB355" s="2433"/>
      <c r="AC355" s="2433"/>
      <c r="AD355" s="2433"/>
      <c r="AE355" s="2433"/>
      <c r="AF355" s="2433"/>
      <c r="AG355" s="2433"/>
      <c r="AH355" s="2433"/>
      <c r="AI355" s="2433"/>
      <c r="AJ355" s="2433"/>
      <c r="AK355" s="603"/>
      <c r="AL355" s="603"/>
      <c r="AM355" s="603"/>
      <c r="AN355" s="597"/>
      <c r="AQ355" s="570"/>
      <c r="AR355" s="570"/>
    </row>
    <row r="356" spans="1:46" s="550" customFormat="1" ht="12.75" customHeight="1">
      <c r="A356" s="603"/>
      <c r="B356" s="611"/>
      <c r="C356" s="2433"/>
      <c r="D356" s="2433"/>
      <c r="E356" s="2433"/>
      <c r="F356" s="2433"/>
      <c r="G356" s="2433"/>
      <c r="H356" s="2433"/>
      <c r="I356" s="2433"/>
      <c r="J356" s="2433"/>
      <c r="K356" s="2433"/>
      <c r="L356" s="2433"/>
      <c r="M356" s="2433"/>
      <c r="N356" s="2433"/>
      <c r="O356" s="2433"/>
      <c r="P356" s="2433"/>
      <c r="Q356" s="2433"/>
      <c r="R356" s="2433"/>
      <c r="S356" s="2433"/>
      <c r="T356" s="2433"/>
      <c r="U356" s="2433"/>
      <c r="V356" s="2433"/>
      <c r="W356" s="2433"/>
      <c r="X356" s="2433"/>
      <c r="Y356" s="2433"/>
      <c r="Z356" s="2433"/>
      <c r="AA356" s="2433"/>
      <c r="AB356" s="2433"/>
      <c r="AC356" s="2433"/>
      <c r="AD356" s="2433"/>
      <c r="AE356" s="2433"/>
      <c r="AF356" s="2433"/>
      <c r="AG356" s="2433"/>
      <c r="AH356" s="2433"/>
      <c r="AI356" s="2433"/>
      <c r="AJ356" s="2433"/>
      <c r="AK356" s="603"/>
      <c r="AL356" s="603"/>
      <c r="AM356" s="603"/>
      <c r="AN356" s="597"/>
      <c r="AO356" s="694"/>
      <c r="AP356" s="694"/>
      <c r="AQ356" s="570"/>
    </row>
    <row r="357" spans="1:46" s="550" customFormat="1" ht="11.85" customHeight="1">
      <c r="A357" s="603"/>
      <c r="B357" s="611"/>
      <c r="C357" s="2433"/>
      <c r="D357" s="2433"/>
      <c r="E357" s="2433"/>
      <c r="F357" s="2433"/>
      <c r="G357" s="2433"/>
      <c r="H357" s="2433"/>
      <c r="I357" s="2433"/>
      <c r="J357" s="2433"/>
      <c r="K357" s="2433"/>
      <c r="L357" s="2433"/>
      <c r="M357" s="2433"/>
      <c r="N357" s="2433"/>
      <c r="O357" s="2433"/>
      <c r="P357" s="2433"/>
      <c r="Q357" s="2433"/>
      <c r="R357" s="2433"/>
      <c r="S357" s="2433"/>
      <c r="T357" s="2433"/>
      <c r="U357" s="2433"/>
      <c r="V357" s="2433"/>
      <c r="W357" s="2433"/>
      <c r="X357" s="2433"/>
      <c r="Y357" s="2433"/>
      <c r="Z357" s="2433"/>
      <c r="AA357" s="2433"/>
      <c r="AB357" s="2433"/>
      <c r="AC357" s="2433"/>
      <c r="AD357" s="2433"/>
      <c r="AE357" s="2433"/>
      <c r="AF357" s="2433"/>
      <c r="AG357" s="2433"/>
      <c r="AH357" s="2433"/>
      <c r="AI357" s="2433"/>
      <c r="AJ357" s="2433"/>
      <c r="AK357" s="603"/>
      <c r="AL357" s="603"/>
      <c r="AM357" s="603"/>
      <c r="AN357" s="597"/>
      <c r="AO357" s="695" t="s">
        <v>112</v>
      </c>
      <c r="AP357" s="696">
        <f>IF(C381="Yes",5,0)</f>
        <v>0</v>
      </c>
      <c r="AS357" s="539" t="s">
        <v>1457</v>
      </c>
    </row>
    <row r="358" spans="1:46" s="550" customFormat="1" ht="12.75" customHeight="1">
      <c r="A358" s="603"/>
      <c r="B358" s="611"/>
      <c r="C358" s="2433"/>
      <c r="D358" s="2433"/>
      <c r="E358" s="2433"/>
      <c r="F358" s="2433"/>
      <c r="G358" s="2433"/>
      <c r="H358" s="2433"/>
      <c r="I358" s="2433"/>
      <c r="J358" s="2433"/>
      <c r="K358" s="2433"/>
      <c r="L358" s="2433"/>
      <c r="M358" s="2433"/>
      <c r="N358" s="2433"/>
      <c r="O358" s="2433"/>
      <c r="P358" s="2433"/>
      <c r="Q358" s="2433"/>
      <c r="R358" s="2433"/>
      <c r="S358" s="2433"/>
      <c r="T358" s="2433"/>
      <c r="U358" s="2433"/>
      <c r="V358" s="2433"/>
      <c r="W358" s="2433"/>
      <c r="X358" s="2433"/>
      <c r="Y358" s="2433"/>
      <c r="Z358" s="2433"/>
      <c r="AA358" s="2433"/>
      <c r="AB358" s="2433"/>
      <c r="AC358" s="2433"/>
      <c r="AD358" s="2433"/>
      <c r="AE358" s="2433"/>
      <c r="AF358" s="2433"/>
      <c r="AG358" s="2433"/>
      <c r="AH358" s="2433"/>
      <c r="AI358" s="2433"/>
      <c r="AJ358" s="2433"/>
      <c r="AK358" s="603"/>
      <c r="AL358" s="603"/>
      <c r="AM358" s="603"/>
      <c r="AN358" s="597"/>
      <c r="AO358" s="695" t="s">
        <v>113</v>
      </c>
      <c r="AP358" s="696">
        <f>IF(C389="Yes",5,0)</f>
        <v>0</v>
      </c>
      <c r="AS358" s="2399">
        <f>IF(Application!D211="Non-Targeted",(SUM(AQ366+AQ375)),AS362)</f>
        <v>12</v>
      </c>
      <c r="AT358" s="2399"/>
    </row>
    <row r="359" spans="1:46" s="550" customFormat="1" ht="12.75" customHeight="1">
      <c r="A359" s="603"/>
      <c r="B359" s="611"/>
      <c r="C359" s="2433"/>
      <c r="D359" s="2433"/>
      <c r="E359" s="2433"/>
      <c r="F359" s="2433"/>
      <c r="G359" s="2433"/>
      <c r="H359" s="2433"/>
      <c r="I359" s="2433"/>
      <c r="J359" s="2433"/>
      <c r="K359" s="2433"/>
      <c r="L359" s="2433"/>
      <c r="M359" s="2433"/>
      <c r="N359" s="2433"/>
      <c r="O359" s="2433"/>
      <c r="P359" s="2433"/>
      <c r="Q359" s="2433"/>
      <c r="R359" s="2433"/>
      <c r="S359" s="2433"/>
      <c r="T359" s="2433"/>
      <c r="U359" s="2433"/>
      <c r="V359" s="2433"/>
      <c r="W359" s="2433"/>
      <c r="X359" s="2433"/>
      <c r="Y359" s="2433"/>
      <c r="Z359" s="2433"/>
      <c r="AA359" s="2433"/>
      <c r="AB359" s="2433"/>
      <c r="AC359" s="2433"/>
      <c r="AD359" s="2433"/>
      <c r="AE359" s="2433"/>
      <c r="AF359" s="2433"/>
      <c r="AG359" s="2433"/>
      <c r="AH359" s="2433"/>
      <c r="AI359" s="2433"/>
      <c r="AJ359" s="2433"/>
      <c r="AK359" s="603"/>
      <c r="AL359" s="603"/>
      <c r="AM359" s="603"/>
      <c r="AN359" s="597"/>
      <c r="AO359" s="695" t="s">
        <v>119</v>
      </c>
      <c r="AP359" s="696">
        <f>IF(C397="Yes",7,0)</f>
        <v>7</v>
      </c>
      <c r="AS359" s="539" t="s">
        <v>1458</v>
      </c>
    </row>
    <row r="360" spans="1:46" s="550" customFormat="1" ht="12.75" customHeight="1">
      <c r="A360" s="603"/>
      <c r="B360" s="611"/>
      <c r="C360" s="2433"/>
      <c r="D360" s="2433"/>
      <c r="E360" s="2433"/>
      <c r="F360" s="2433"/>
      <c r="G360" s="2433"/>
      <c r="H360" s="2433"/>
      <c r="I360" s="2433"/>
      <c r="J360" s="2433"/>
      <c r="K360" s="2433"/>
      <c r="L360" s="2433"/>
      <c r="M360" s="2433"/>
      <c r="N360" s="2433"/>
      <c r="O360" s="2433"/>
      <c r="P360" s="2433"/>
      <c r="Q360" s="2433"/>
      <c r="R360" s="2433"/>
      <c r="S360" s="2433"/>
      <c r="T360" s="2433"/>
      <c r="U360" s="2433"/>
      <c r="V360" s="2433"/>
      <c r="W360" s="2433"/>
      <c r="X360" s="2433"/>
      <c r="Y360" s="2433"/>
      <c r="Z360" s="2433"/>
      <c r="AA360" s="2433"/>
      <c r="AB360" s="2433"/>
      <c r="AC360" s="2433"/>
      <c r="AD360" s="2433"/>
      <c r="AE360" s="2433"/>
      <c r="AF360" s="2433"/>
      <c r="AG360" s="2433"/>
      <c r="AH360" s="2433"/>
      <c r="AI360" s="2433"/>
      <c r="AJ360" s="2433"/>
      <c r="AK360" s="603"/>
      <c r="AL360" s="603"/>
      <c r="AM360" s="603"/>
      <c r="AN360" s="597"/>
      <c r="AO360" s="597"/>
      <c r="AP360" s="696">
        <f>IF(C399="Yes",5,0)</f>
        <v>0</v>
      </c>
      <c r="AS360" s="2399">
        <f>IF(AND(AQ366&gt;0,AQ375&gt;0),(AQ366+AQ375)/2,0)</f>
        <v>0</v>
      </c>
      <c r="AT360" s="2399"/>
    </row>
    <row r="361" spans="1:46" s="550" customFormat="1" ht="12.75" customHeight="1">
      <c r="A361" s="603"/>
      <c r="B361" s="611"/>
      <c r="C361" s="2433"/>
      <c r="D361" s="2433"/>
      <c r="E361" s="2433"/>
      <c r="F361" s="2433"/>
      <c r="G361" s="2433"/>
      <c r="H361" s="2433"/>
      <c r="I361" s="2433"/>
      <c r="J361" s="2433"/>
      <c r="K361" s="2433"/>
      <c r="L361" s="2433"/>
      <c r="M361" s="2433"/>
      <c r="N361" s="2433"/>
      <c r="O361" s="2433"/>
      <c r="P361" s="2433"/>
      <c r="Q361" s="2433"/>
      <c r="R361" s="2433"/>
      <c r="S361" s="2433"/>
      <c r="T361" s="2433"/>
      <c r="U361" s="2433"/>
      <c r="V361" s="2433"/>
      <c r="W361" s="2433"/>
      <c r="X361" s="2433"/>
      <c r="Y361" s="2433"/>
      <c r="Z361" s="2433"/>
      <c r="AA361" s="2433"/>
      <c r="AB361" s="2433"/>
      <c r="AC361" s="2433"/>
      <c r="AD361" s="2433"/>
      <c r="AE361" s="2433"/>
      <c r="AF361" s="2433"/>
      <c r="AG361" s="2433"/>
      <c r="AH361" s="2433"/>
      <c r="AI361" s="2433"/>
      <c r="AJ361" s="2433"/>
      <c r="AK361" s="603"/>
      <c r="AL361" s="603"/>
      <c r="AM361" s="603"/>
      <c r="AN361" s="597"/>
      <c r="AO361" s="695" t="s">
        <v>582</v>
      </c>
      <c r="AP361" s="696">
        <f>IF(C407="Yes",5,0)</f>
        <v>5</v>
      </c>
      <c r="AS361" s="539" t="s">
        <v>1879</v>
      </c>
    </row>
    <row r="362" spans="1:46" s="550" customFormat="1" ht="12.75" customHeight="1">
      <c r="A362" s="603"/>
      <c r="B362" s="611"/>
      <c r="C362" s="2527" t="s">
        <v>2232</v>
      </c>
      <c r="D362" s="2527"/>
      <c r="E362" s="2527"/>
      <c r="F362" s="2527"/>
      <c r="G362" s="2527"/>
      <c r="H362" s="2527"/>
      <c r="I362" s="2527"/>
      <c r="J362" s="2527"/>
      <c r="K362" s="2527"/>
      <c r="L362" s="2527"/>
      <c r="M362" s="2527"/>
      <c r="N362" s="2527"/>
      <c r="O362" s="2527"/>
      <c r="P362" s="2527"/>
      <c r="Q362" s="2527"/>
      <c r="R362" s="2527"/>
      <c r="S362" s="2527"/>
      <c r="T362" s="2527"/>
      <c r="U362" s="2527"/>
      <c r="V362" s="2527"/>
      <c r="W362" s="2527"/>
      <c r="X362" s="2527"/>
      <c r="Y362" s="2527"/>
      <c r="Z362" s="2527"/>
      <c r="AA362" s="2527"/>
      <c r="AB362" s="2527"/>
      <c r="AC362" s="2527"/>
      <c r="AD362" s="2527"/>
      <c r="AE362" s="2527"/>
      <c r="AF362" s="2527"/>
      <c r="AG362" s="2527"/>
      <c r="AH362" s="2527"/>
      <c r="AI362" s="2527"/>
      <c r="AJ362" s="2527"/>
      <c r="AK362" s="603"/>
      <c r="AL362" s="603"/>
      <c r="AM362" s="603"/>
      <c r="AN362" s="597"/>
      <c r="AO362" s="597"/>
      <c r="AP362" s="696">
        <f>IF(C409="Yes",3,0)</f>
        <v>0</v>
      </c>
      <c r="AS362" s="2399">
        <f>IF(AQ366=0,AQ375,AQ366)</f>
        <v>12</v>
      </c>
      <c r="AT362" s="2399"/>
    </row>
    <row r="363" spans="1:46" s="550" customFormat="1" ht="12.75" customHeight="1">
      <c r="A363" s="603"/>
      <c r="B363" s="611"/>
      <c r="C363" s="2527"/>
      <c r="D363" s="2527"/>
      <c r="E363" s="2527"/>
      <c r="F363" s="2527"/>
      <c r="G363" s="2527"/>
      <c r="H363" s="2527"/>
      <c r="I363" s="2527"/>
      <c r="J363" s="2527"/>
      <c r="K363" s="2527"/>
      <c r="L363" s="2527"/>
      <c r="M363" s="2527"/>
      <c r="N363" s="2527"/>
      <c r="O363" s="2527"/>
      <c r="P363" s="2527"/>
      <c r="Q363" s="2527"/>
      <c r="R363" s="2527"/>
      <c r="S363" s="2527"/>
      <c r="T363" s="2527"/>
      <c r="U363" s="2527"/>
      <c r="V363" s="2527"/>
      <c r="W363" s="2527"/>
      <c r="X363" s="2527"/>
      <c r="Y363" s="2527"/>
      <c r="Z363" s="2527"/>
      <c r="AA363" s="2527"/>
      <c r="AB363" s="2527"/>
      <c r="AC363" s="2527"/>
      <c r="AD363" s="2527"/>
      <c r="AE363" s="2527"/>
      <c r="AF363" s="2527"/>
      <c r="AG363" s="2527"/>
      <c r="AH363" s="2527"/>
      <c r="AI363" s="2527"/>
      <c r="AJ363" s="2527"/>
      <c r="AK363" s="603"/>
      <c r="AL363" s="603"/>
      <c r="AM363" s="603"/>
      <c r="AN363" s="597"/>
      <c r="AO363" s="695" t="s">
        <v>764</v>
      </c>
      <c r="AP363" s="696">
        <f>IF(C412="Yes",5,0)</f>
        <v>0</v>
      </c>
    </row>
    <row r="364" spans="1:46" s="550" customFormat="1" ht="12.75" customHeight="1">
      <c r="A364" s="603"/>
      <c r="B364" s="611"/>
      <c r="C364" s="2527"/>
      <c r="D364" s="2527"/>
      <c r="E364" s="2527"/>
      <c r="F364" s="2527"/>
      <c r="G364" s="2527"/>
      <c r="H364" s="2527"/>
      <c r="I364" s="2527"/>
      <c r="J364" s="2527"/>
      <c r="K364" s="2527"/>
      <c r="L364" s="2527"/>
      <c r="M364" s="2527"/>
      <c r="N364" s="2527"/>
      <c r="O364" s="2527"/>
      <c r="P364" s="2527"/>
      <c r="Q364" s="2527"/>
      <c r="R364" s="2527"/>
      <c r="S364" s="2527"/>
      <c r="T364" s="2527"/>
      <c r="U364" s="2527"/>
      <c r="V364" s="2527"/>
      <c r="W364" s="2527"/>
      <c r="X364" s="2527"/>
      <c r="Y364" s="2527"/>
      <c r="Z364" s="2527"/>
      <c r="AA364" s="2527"/>
      <c r="AB364" s="2527"/>
      <c r="AC364" s="2527"/>
      <c r="AD364" s="2527"/>
      <c r="AE364" s="2527"/>
      <c r="AF364" s="2527"/>
      <c r="AG364" s="2527"/>
      <c r="AH364" s="2527"/>
      <c r="AI364" s="2527"/>
      <c r="AJ364" s="2527"/>
      <c r="AK364" s="603"/>
      <c r="AL364" s="603"/>
      <c r="AM364" s="603"/>
      <c r="AN364" s="597"/>
      <c r="AO364" s="695" t="s">
        <v>585</v>
      </c>
      <c r="AP364" s="696">
        <f>IF(C421="Yes",5,0)</f>
        <v>0</v>
      </c>
    </row>
    <row r="365" spans="1:46" s="550" customFormat="1" ht="11.85" customHeight="1">
      <c r="A365" s="603"/>
      <c r="B365" s="611"/>
      <c r="C365" s="2527"/>
      <c r="D365" s="2527"/>
      <c r="E365" s="2527"/>
      <c r="F365" s="2527"/>
      <c r="G365" s="2527"/>
      <c r="H365" s="2527"/>
      <c r="I365" s="2527"/>
      <c r="J365" s="2527"/>
      <c r="K365" s="2527"/>
      <c r="L365" s="2527"/>
      <c r="M365" s="2527"/>
      <c r="N365" s="2527"/>
      <c r="O365" s="2527"/>
      <c r="P365" s="2527"/>
      <c r="Q365" s="2527"/>
      <c r="R365" s="2527"/>
      <c r="S365" s="2527"/>
      <c r="T365" s="2527"/>
      <c r="U365" s="2527"/>
      <c r="V365" s="2527"/>
      <c r="W365" s="2527"/>
      <c r="X365" s="2527"/>
      <c r="Y365" s="2527"/>
      <c r="Z365" s="2527"/>
      <c r="AA365" s="2527"/>
      <c r="AB365" s="2527"/>
      <c r="AC365" s="2527"/>
      <c r="AD365" s="2527"/>
      <c r="AE365" s="2527"/>
      <c r="AF365" s="2527"/>
      <c r="AG365" s="2527"/>
      <c r="AH365" s="2527"/>
      <c r="AI365" s="2527"/>
      <c r="AJ365" s="2527"/>
      <c r="AK365" s="603"/>
      <c r="AL365" s="603"/>
      <c r="AM365" s="603"/>
      <c r="AN365" s="597"/>
      <c r="AO365" s="697"/>
      <c r="AP365" s="698">
        <f>IF(C423="Yes",3,0)</f>
        <v>0</v>
      </c>
    </row>
    <row r="366" spans="1:46" s="550" customFormat="1" ht="12.4" customHeight="1">
      <c r="A366" s="603"/>
      <c r="B366" s="611"/>
      <c r="C366" s="2527"/>
      <c r="D366" s="2527"/>
      <c r="E366" s="2527"/>
      <c r="F366" s="2527"/>
      <c r="G366" s="2527"/>
      <c r="H366" s="2527"/>
      <c r="I366" s="2527"/>
      <c r="J366" s="2527"/>
      <c r="K366" s="2527"/>
      <c r="L366" s="2527"/>
      <c r="M366" s="2527"/>
      <c r="N366" s="2527"/>
      <c r="O366" s="2527"/>
      <c r="P366" s="2527"/>
      <c r="Q366" s="2527"/>
      <c r="R366" s="2527"/>
      <c r="S366" s="2527"/>
      <c r="T366" s="2527"/>
      <c r="U366" s="2527"/>
      <c r="V366" s="2527"/>
      <c r="W366" s="2527"/>
      <c r="X366" s="2527"/>
      <c r="Y366" s="2527"/>
      <c r="Z366" s="2527"/>
      <c r="AA366" s="2527"/>
      <c r="AB366" s="2527"/>
      <c r="AC366" s="2527"/>
      <c r="AD366" s="2527"/>
      <c r="AE366" s="2527"/>
      <c r="AF366" s="2527"/>
      <c r="AG366" s="2527"/>
      <c r="AH366" s="2527"/>
      <c r="AI366" s="2527"/>
      <c r="AJ366" s="2527"/>
      <c r="AK366" s="603"/>
      <c r="AL366" s="603"/>
      <c r="AM366" s="603"/>
      <c r="AN366" s="597"/>
      <c r="AO366" s="699" t="s">
        <v>227</v>
      </c>
      <c r="AP366" s="700">
        <f>SUM(AP357:AP365)</f>
        <v>12</v>
      </c>
      <c r="AQ366" s="2436">
        <f>IF(AP366&gt;0,AP366,0)</f>
        <v>12</v>
      </c>
      <c r="AR366" s="2436"/>
    </row>
    <row r="367" spans="1:46" s="550" customFormat="1" ht="12.75" customHeight="1">
      <c r="A367" s="603"/>
      <c r="B367" s="611"/>
      <c r="C367" s="2527"/>
      <c r="D367" s="2527"/>
      <c r="E367" s="2527"/>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2527"/>
      <c r="AH367" s="2527"/>
      <c r="AI367" s="2527"/>
      <c r="AJ367" s="252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3" t="s">
        <v>1459</v>
      </c>
      <c r="D369" s="2433"/>
      <c r="E369" s="2433"/>
      <c r="F369" s="2433"/>
      <c r="G369" s="2433"/>
      <c r="H369" s="2433"/>
      <c r="I369" s="2433"/>
      <c r="J369" s="2433"/>
      <c r="K369" s="2433"/>
      <c r="L369" s="2433"/>
      <c r="M369" s="2433"/>
      <c r="N369" s="2433"/>
      <c r="O369" s="2433"/>
      <c r="P369" s="2433"/>
      <c r="Q369" s="2433"/>
      <c r="R369" s="2433"/>
      <c r="S369" s="2433"/>
      <c r="T369" s="2433"/>
      <c r="U369" s="2433"/>
      <c r="V369" s="2433"/>
      <c r="W369" s="2433"/>
      <c r="X369" s="2433"/>
      <c r="Y369" s="2433"/>
      <c r="Z369" s="2433"/>
      <c r="AA369" s="2433"/>
      <c r="AB369" s="2433"/>
      <c r="AC369" s="2433"/>
      <c r="AD369" s="2433"/>
      <c r="AE369" s="2433"/>
      <c r="AF369" s="2433"/>
      <c r="AG369" s="2433"/>
      <c r="AH369" s="2433"/>
      <c r="AI369" s="2433"/>
      <c r="AJ369" s="2433"/>
      <c r="AK369" s="603"/>
      <c r="AL369" s="603"/>
      <c r="AM369" s="603"/>
      <c r="AN369" s="597"/>
      <c r="AO369" s="695" t="s">
        <v>457</v>
      </c>
      <c r="AP369" s="696">
        <f>IF(C442="Yes",5,0)</f>
        <v>0</v>
      </c>
    </row>
    <row r="370" spans="1:81" s="550" customFormat="1" ht="12.75" customHeight="1">
      <c r="A370" s="603"/>
      <c r="B370" s="611"/>
      <c r="C370" s="2433"/>
      <c r="D370" s="2433"/>
      <c r="E370" s="2433"/>
      <c r="F370" s="2433"/>
      <c r="G370" s="2433"/>
      <c r="H370" s="2433"/>
      <c r="I370" s="2433"/>
      <c r="J370" s="2433"/>
      <c r="K370" s="2433"/>
      <c r="L370" s="2433"/>
      <c r="M370" s="2433"/>
      <c r="N370" s="2433"/>
      <c r="O370" s="2433"/>
      <c r="P370" s="2433"/>
      <c r="Q370" s="2433"/>
      <c r="R370" s="2433"/>
      <c r="S370" s="2433"/>
      <c r="T370" s="2433"/>
      <c r="U370" s="2433"/>
      <c r="V370" s="2433"/>
      <c r="W370" s="2433"/>
      <c r="X370" s="2433"/>
      <c r="Y370" s="2433"/>
      <c r="Z370" s="2433"/>
      <c r="AA370" s="2433"/>
      <c r="AB370" s="2433"/>
      <c r="AC370" s="2433"/>
      <c r="AD370" s="2433"/>
      <c r="AE370" s="2433"/>
      <c r="AF370" s="2433"/>
      <c r="AG370" s="2433"/>
      <c r="AH370" s="2433"/>
      <c r="AI370" s="2433"/>
      <c r="AJ370" s="2433"/>
      <c r="AK370" s="603"/>
      <c r="AL370" s="603"/>
      <c r="AM370" s="603"/>
      <c r="AN370" s="597"/>
      <c r="AO370" s="695" t="s">
        <v>462</v>
      </c>
      <c r="AP370" s="696">
        <f>IF(C449="Yes",5,0)</f>
        <v>0</v>
      </c>
    </row>
    <row r="371" spans="1:81" s="550" customFormat="1" ht="68.099999999999994" customHeight="1">
      <c r="A371" s="603"/>
      <c r="B371" s="611"/>
      <c r="C371" s="2433"/>
      <c r="D371" s="2433"/>
      <c r="E371" s="2433"/>
      <c r="F371" s="2433"/>
      <c r="G371" s="2433"/>
      <c r="H371" s="2433"/>
      <c r="I371" s="2433"/>
      <c r="J371" s="2433"/>
      <c r="K371" s="2433"/>
      <c r="L371" s="2433"/>
      <c r="M371" s="2433"/>
      <c r="N371" s="2433"/>
      <c r="O371" s="2433"/>
      <c r="P371" s="2433"/>
      <c r="Q371" s="2433"/>
      <c r="R371" s="2433"/>
      <c r="S371" s="2433"/>
      <c r="T371" s="2433"/>
      <c r="U371" s="2433"/>
      <c r="V371" s="2433"/>
      <c r="W371" s="2433"/>
      <c r="X371" s="2433"/>
      <c r="Y371" s="2433"/>
      <c r="Z371" s="2433"/>
      <c r="AA371" s="2433"/>
      <c r="AB371" s="2433"/>
      <c r="AC371" s="2433"/>
      <c r="AD371" s="2433"/>
      <c r="AE371" s="2433"/>
      <c r="AF371" s="2433"/>
      <c r="AG371" s="2433"/>
      <c r="AH371" s="2433"/>
      <c r="AI371" s="2433"/>
      <c r="AJ371" s="243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4">
        <f>Application!DU802-U374</f>
        <v>280</v>
      </c>
      <c r="V373" s="2434"/>
      <c r="W373" s="243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5">
        <f>IF(Application!D211="SRO",Application!DU755,Application!AG756)</f>
        <v>19</v>
      </c>
      <c r="V374" s="2435"/>
      <c r="W374" s="243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6">
        <f>IF(AP375&gt;0,AP375,0)</f>
        <v>0</v>
      </c>
      <c r="AR375" s="243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7" t="s">
        <v>1461</v>
      </c>
      <c r="G377" s="2427"/>
      <c r="H377" s="2427"/>
      <c r="I377" s="2427"/>
      <c r="J377" s="2427"/>
      <c r="K377" s="2427"/>
      <c r="L377" s="2427"/>
      <c r="M377" s="2427"/>
      <c r="N377" s="2427"/>
      <c r="O377" s="2427"/>
      <c r="P377" s="2427"/>
      <c r="Q377" s="2427"/>
      <c r="R377" s="2427"/>
      <c r="S377" s="2427"/>
      <c r="T377" s="2427"/>
      <c r="U377" s="2427"/>
      <c r="V377" s="2427"/>
      <c r="W377" s="2427"/>
      <c r="X377" s="2427"/>
      <c r="Y377" s="2427"/>
      <c r="Z377" s="2427"/>
      <c r="AA377" s="2427"/>
      <c r="AB377" s="2427"/>
      <c r="AC377" s="2427"/>
      <c r="AD377" s="2427"/>
      <c r="AE377" s="2427"/>
      <c r="AF377" s="242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8"/>
      <c r="G378" s="2428"/>
      <c r="H378" s="2428"/>
      <c r="I378" s="2428"/>
      <c r="J378" s="2428"/>
      <c r="K378" s="2428"/>
      <c r="L378" s="2428"/>
      <c r="M378" s="2428"/>
      <c r="N378" s="2428"/>
      <c r="O378" s="2428"/>
      <c r="P378" s="2428"/>
      <c r="Q378" s="2428"/>
      <c r="R378" s="2428"/>
      <c r="S378" s="2428"/>
      <c r="T378" s="2428"/>
      <c r="U378" s="2428"/>
      <c r="V378" s="2428"/>
      <c r="W378" s="2428"/>
      <c r="X378" s="2428"/>
      <c r="Y378" s="2428"/>
      <c r="Z378" s="2428"/>
      <c r="AA378" s="2428"/>
      <c r="AB378" s="2428"/>
      <c r="AC378" s="2428"/>
      <c r="AD378" s="2428"/>
      <c r="AE378" s="2428"/>
      <c r="AF378" s="242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8"/>
      <c r="G379" s="2428"/>
      <c r="H379" s="2428"/>
      <c r="I379" s="2428"/>
      <c r="J379" s="2428"/>
      <c r="K379" s="2428"/>
      <c r="L379" s="2428"/>
      <c r="M379" s="2428"/>
      <c r="N379" s="2428"/>
      <c r="O379" s="2428"/>
      <c r="P379" s="2428"/>
      <c r="Q379" s="2428"/>
      <c r="R379" s="2428"/>
      <c r="S379" s="2428"/>
      <c r="T379" s="2428"/>
      <c r="U379" s="2428"/>
      <c r="V379" s="2428"/>
      <c r="W379" s="2428"/>
      <c r="X379" s="2428"/>
      <c r="Y379" s="2428"/>
      <c r="Z379" s="2428"/>
      <c r="AA379" s="2428"/>
      <c r="AB379" s="2428"/>
      <c r="AC379" s="2428"/>
      <c r="AD379" s="2428"/>
      <c r="AE379" s="2428"/>
      <c r="AF379" s="242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8"/>
      <c r="G380" s="2428"/>
      <c r="H380" s="2428"/>
      <c r="I380" s="2428"/>
      <c r="J380" s="2428"/>
      <c r="K380" s="2428"/>
      <c r="L380" s="2428"/>
      <c r="M380" s="2428"/>
      <c r="N380" s="2428"/>
      <c r="O380" s="2428"/>
      <c r="P380" s="2428"/>
      <c r="Q380" s="2428"/>
      <c r="R380" s="2428"/>
      <c r="S380" s="2428"/>
      <c r="T380" s="2428"/>
      <c r="U380" s="2428"/>
      <c r="V380" s="2428"/>
      <c r="W380" s="2428"/>
      <c r="X380" s="2428"/>
      <c r="Y380" s="2428"/>
      <c r="Z380" s="2428"/>
      <c r="AA380" s="2428"/>
      <c r="AB380" s="2428"/>
      <c r="AC380" s="2428"/>
      <c r="AD380" s="2428"/>
      <c r="AE380" s="2428"/>
      <c r="AF380" s="242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7" t="s">
        <v>592</v>
      </c>
      <c r="D381" s="243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9" t="s">
        <v>1463</v>
      </c>
      <c r="AG381" s="2439"/>
      <c r="AH381" s="2439"/>
      <c r="AI381" s="2439"/>
      <c r="AJ381" s="2439"/>
      <c r="AK381" s="2439"/>
      <c r="AL381" s="244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7" t="s">
        <v>1464</v>
      </c>
      <c r="G384" s="2427"/>
      <c r="H384" s="2427"/>
      <c r="I384" s="2427"/>
      <c r="J384" s="2427"/>
      <c r="K384" s="2427"/>
      <c r="L384" s="2427"/>
      <c r="M384" s="2427"/>
      <c r="N384" s="2427"/>
      <c r="O384" s="2427"/>
      <c r="P384" s="2427"/>
      <c r="Q384" s="2427"/>
      <c r="R384" s="2427"/>
      <c r="S384" s="2427"/>
      <c r="T384" s="2427"/>
      <c r="U384" s="2427"/>
      <c r="V384" s="2427"/>
      <c r="W384" s="2427"/>
      <c r="X384" s="2427"/>
      <c r="Y384" s="2427"/>
      <c r="Z384" s="2427"/>
      <c r="AA384" s="2427"/>
      <c r="AB384" s="2427"/>
      <c r="AC384" s="2427"/>
      <c r="AD384" s="2427"/>
      <c r="AE384" s="2427"/>
      <c r="AF384" s="242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8"/>
      <c r="G385" s="2428"/>
      <c r="H385" s="2428"/>
      <c r="I385" s="2428"/>
      <c r="J385" s="2428"/>
      <c r="K385" s="2428"/>
      <c r="L385" s="2428"/>
      <c r="M385" s="2428"/>
      <c r="N385" s="2428"/>
      <c r="O385" s="2428"/>
      <c r="P385" s="2428"/>
      <c r="Q385" s="2428"/>
      <c r="R385" s="2428"/>
      <c r="S385" s="2428"/>
      <c r="T385" s="2428"/>
      <c r="U385" s="2428"/>
      <c r="V385" s="2428"/>
      <c r="W385" s="2428"/>
      <c r="X385" s="2428"/>
      <c r="Y385" s="2428"/>
      <c r="Z385" s="2428"/>
      <c r="AA385" s="2428"/>
      <c r="AB385" s="2428"/>
      <c r="AC385" s="2428"/>
      <c r="AD385" s="2428"/>
      <c r="AE385" s="2428"/>
      <c r="AF385" s="242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8"/>
      <c r="G386" s="2428"/>
      <c r="H386" s="2428"/>
      <c r="I386" s="2428"/>
      <c r="J386" s="2428"/>
      <c r="K386" s="2428"/>
      <c r="L386" s="2428"/>
      <c r="M386" s="2428"/>
      <c r="N386" s="2428"/>
      <c r="O386" s="2428"/>
      <c r="P386" s="2428"/>
      <c r="Q386" s="2428"/>
      <c r="R386" s="2428"/>
      <c r="S386" s="2428"/>
      <c r="T386" s="2428"/>
      <c r="U386" s="2428"/>
      <c r="V386" s="2428"/>
      <c r="W386" s="2428"/>
      <c r="X386" s="2428"/>
      <c r="Y386" s="2428"/>
      <c r="Z386" s="2428"/>
      <c r="AA386" s="2428"/>
      <c r="AB386" s="2428"/>
      <c r="AC386" s="2428"/>
      <c r="AD386" s="2428"/>
      <c r="AE386" s="2428"/>
      <c r="AF386" s="242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8"/>
      <c r="G387" s="2428"/>
      <c r="H387" s="2428"/>
      <c r="I387" s="2428"/>
      <c r="J387" s="2428"/>
      <c r="K387" s="2428"/>
      <c r="L387" s="2428"/>
      <c r="M387" s="2428"/>
      <c r="N387" s="2428"/>
      <c r="O387" s="2428"/>
      <c r="P387" s="2428"/>
      <c r="Q387" s="2428"/>
      <c r="R387" s="2428"/>
      <c r="S387" s="2428"/>
      <c r="T387" s="2428"/>
      <c r="U387" s="2428"/>
      <c r="V387" s="2428"/>
      <c r="W387" s="2428"/>
      <c r="X387" s="2428"/>
      <c r="Y387" s="2428"/>
      <c r="Z387" s="2428"/>
      <c r="AA387" s="2428"/>
      <c r="AB387" s="2428"/>
      <c r="AC387" s="2428"/>
      <c r="AD387" s="2428"/>
      <c r="AE387" s="2428"/>
      <c r="AF387" s="242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8"/>
      <c r="G388" s="2428"/>
      <c r="H388" s="2428"/>
      <c r="I388" s="2428"/>
      <c r="J388" s="2428"/>
      <c r="K388" s="2428"/>
      <c r="L388" s="2428"/>
      <c r="M388" s="2428"/>
      <c r="N388" s="2428"/>
      <c r="O388" s="2428"/>
      <c r="P388" s="2428"/>
      <c r="Q388" s="2428"/>
      <c r="R388" s="2428"/>
      <c r="S388" s="2428"/>
      <c r="T388" s="2428"/>
      <c r="U388" s="2428"/>
      <c r="V388" s="2428"/>
      <c r="W388" s="2428"/>
      <c r="X388" s="2428"/>
      <c r="Y388" s="2428"/>
      <c r="Z388" s="2428"/>
      <c r="AA388" s="2428"/>
      <c r="AB388" s="2428"/>
      <c r="AC388" s="2428"/>
      <c r="AD388" s="2428"/>
      <c r="AE388" s="2428"/>
      <c r="AF388" s="2428"/>
      <c r="AL388" s="732"/>
      <c r="AN388" s="597"/>
      <c r="BS388" s="30"/>
      <c r="BT388" s="30"/>
      <c r="BU388" s="14"/>
      <c r="BV388" s="14"/>
      <c r="BW388" s="14"/>
      <c r="BX388" s="14"/>
      <c r="BY388" s="14"/>
      <c r="BZ388" s="14"/>
      <c r="CA388" s="14"/>
      <c r="CB388" s="14"/>
      <c r="CC388" s="14"/>
    </row>
    <row r="389" spans="1:81" s="550" customFormat="1" ht="12.75" customHeight="1">
      <c r="A389" s="536"/>
      <c r="B389" s="14"/>
      <c r="C389" s="2437" t="s">
        <v>592</v>
      </c>
      <c r="D389" s="243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9" t="s">
        <v>1463</v>
      </c>
      <c r="AG389" s="2439"/>
      <c r="AH389" s="2439"/>
      <c r="AI389" s="2439"/>
      <c r="AJ389" s="2439"/>
      <c r="AK389" s="2439"/>
      <c r="AL389" s="244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7" t="s">
        <v>1466</v>
      </c>
      <c r="G392" s="2427"/>
      <c r="H392" s="2427"/>
      <c r="I392" s="2427"/>
      <c r="J392" s="2427"/>
      <c r="K392" s="2427"/>
      <c r="L392" s="2427"/>
      <c r="M392" s="2427"/>
      <c r="N392" s="2427"/>
      <c r="O392" s="2427"/>
      <c r="P392" s="2427"/>
      <c r="Q392" s="2427"/>
      <c r="R392" s="2427"/>
      <c r="S392" s="2427"/>
      <c r="T392" s="2427"/>
      <c r="U392" s="2427"/>
      <c r="V392" s="2427"/>
      <c r="W392" s="2427"/>
      <c r="X392" s="2427"/>
      <c r="Y392" s="2427"/>
      <c r="Z392" s="2427"/>
      <c r="AA392" s="2427"/>
      <c r="AB392" s="2427"/>
      <c r="AC392" s="2427"/>
      <c r="AD392" s="2427"/>
      <c r="AE392" s="2427"/>
      <c r="AF392" s="242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8"/>
      <c r="G393" s="2428"/>
      <c r="H393" s="2428"/>
      <c r="I393" s="2428"/>
      <c r="J393" s="2428"/>
      <c r="K393" s="2428"/>
      <c r="L393" s="2428"/>
      <c r="M393" s="2428"/>
      <c r="N393" s="2428"/>
      <c r="O393" s="2428"/>
      <c r="P393" s="2428"/>
      <c r="Q393" s="2428"/>
      <c r="R393" s="2428"/>
      <c r="S393" s="2428"/>
      <c r="T393" s="2428"/>
      <c r="U393" s="2428"/>
      <c r="V393" s="2428"/>
      <c r="W393" s="2428"/>
      <c r="X393" s="2428"/>
      <c r="Y393" s="2428"/>
      <c r="Z393" s="2428"/>
      <c r="AA393" s="2428"/>
      <c r="AB393" s="2428"/>
      <c r="AC393" s="2428"/>
      <c r="AD393" s="2428"/>
      <c r="AE393" s="2428"/>
      <c r="AF393" s="242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8"/>
      <c r="G394" s="2428"/>
      <c r="H394" s="2428"/>
      <c r="I394" s="2428"/>
      <c r="J394" s="2428"/>
      <c r="K394" s="2428"/>
      <c r="L394" s="2428"/>
      <c r="M394" s="2428"/>
      <c r="N394" s="2428"/>
      <c r="O394" s="2428"/>
      <c r="P394" s="2428"/>
      <c r="Q394" s="2428"/>
      <c r="R394" s="2428"/>
      <c r="S394" s="2428"/>
      <c r="T394" s="2428"/>
      <c r="U394" s="2428"/>
      <c r="V394" s="2428"/>
      <c r="W394" s="2428"/>
      <c r="X394" s="2428"/>
      <c r="Y394" s="2428"/>
      <c r="Z394" s="2428"/>
      <c r="AA394" s="2428"/>
      <c r="AB394" s="2428"/>
      <c r="AC394" s="2428"/>
      <c r="AD394" s="2428"/>
      <c r="AE394" s="2428"/>
      <c r="AF394" s="242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8"/>
      <c r="G395" s="2428"/>
      <c r="H395" s="2428"/>
      <c r="I395" s="2428"/>
      <c r="J395" s="2428"/>
      <c r="K395" s="2428"/>
      <c r="L395" s="2428"/>
      <c r="M395" s="2428"/>
      <c r="N395" s="2428"/>
      <c r="O395" s="2428"/>
      <c r="P395" s="2428"/>
      <c r="Q395" s="2428"/>
      <c r="R395" s="2428"/>
      <c r="S395" s="2428"/>
      <c r="T395" s="2428"/>
      <c r="U395" s="2428"/>
      <c r="V395" s="2428"/>
      <c r="W395" s="2428"/>
      <c r="X395" s="2428"/>
      <c r="Y395" s="2428"/>
      <c r="Z395" s="2428"/>
      <c r="AA395" s="2428"/>
      <c r="AB395" s="2428"/>
      <c r="AC395" s="2428"/>
      <c r="AD395" s="2428"/>
      <c r="AE395" s="2428"/>
      <c r="AF395" s="242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8"/>
      <c r="G396" s="2428"/>
      <c r="H396" s="2428"/>
      <c r="I396" s="2428"/>
      <c r="J396" s="2428"/>
      <c r="K396" s="2428"/>
      <c r="L396" s="2428"/>
      <c r="M396" s="2428"/>
      <c r="N396" s="2428"/>
      <c r="O396" s="2428"/>
      <c r="P396" s="2428"/>
      <c r="Q396" s="2428"/>
      <c r="R396" s="2428"/>
      <c r="S396" s="2428"/>
      <c r="T396" s="2428"/>
      <c r="U396" s="2428"/>
      <c r="V396" s="2428"/>
      <c r="W396" s="2428"/>
      <c r="X396" s="2428"/>
      <c r="Y396" s="2428"/>
      <c r="Z396" s="2428"/>
      <c r="AA396" s="2428"/>
      <c r="AB396" s="2428"/>
      <c r="AC396" s="2428"/>
      <c r="AD396" s="2428"/>
      <c r="AE396" s="2428"/>
      <c r="AF396" s="242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7" t="s">
        <v>546</v>
      </c>
      <c r="D397" s="243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9" t="s">
        <v>1468</v>
      </c>
      <c r="AG397" s="2439"/>
      <c r="AH397" s="2439"/>
      <c r="AI397" s="2439"/>
      <c r="AJ397" s="2439"/>
      <c r="AK397" s="2439"/>
      <c r="AL397" s="244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7" t="s">
        <v>592</v>
      </c>
      <c r="D399" s="243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9" t="s">
        <v>1463</v>
      </c>
      <c r="AG399" s="2439"/>
      <c r="AH399" s="2439"/>
      <c r="AI399" s="2439"/>
      <c r="AJ399" s="2439"/>
      <c r="AK399" s="2439"/>
      <c r="AL399" s="244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7" t="s">
        <v>1472</v>
      </c>
      <c r="G403" s="2427"/>
      <c r="H403" s="2427"/>
      <c r="I403" s="2427"/>
      <c r="J403" s="2427"/>
      <c r="K403" s="2427"/>
      <c r="L403" s="2427"/>
      <c r="M403" s="2427"/>
      <c r="N403" s="2427"/>
      <c r="O403" s="2427"/>
      <c r="P403" s="2427"/>
      <c r="Q403" s="2427"/>
      <c r="R403" s="2427"/>
      <c r="S403" s="2427"/>
      <c r="T403" s="2427"/>
      <c r="U403" s="2427"/>
      <c r="V403" s="2427"/>
      <c r="W403" s="2427"/>
      <c r="X403" s="2427"/>
      <c r="Y403" s="2427"/>
      <c r="Z403" s="2427"/>
      <c r="AA403" s="2427"/>
      <c r="AB403" s="2427"/>
      <c r="AC403" s="2427"/>
      <c r="AD403" s="2427"/>
      <c r="AE403" s="2427"/>
      <c r="AF403" s="242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8"/>
      <c r="G404" s="2428"/>
      <c r="H404" s="2428"/>
      <c r="I404" s="2428"/>
      <c r="J404" s="2428"/>
      <c r="K404" s="2428"/>
      <c r="L404" s="2428"/>
      <c r="M404" s="2428"/>
      <c r="N404" s="2428"/>
      <c r="O404" s="2428"/>
      <c r="P404" s="2428"/>
      <c r="Q404" s="2428"/>
      <c r="R404" s="2428"/>
      <c r="S404" s="2428"/>
      <c r="T404" s="2428"/>
      <c r="U404" s="2428"/>
      <c r="V404" s="2428"/>
      <c r="W404" s="2428"/>
      <c r="X404" s="2428"/>
      <c r="Y404" s="2428"/>
      <c r="Z404" s="2428"/>
      <c r="AA404" s="2428"/>
      <c r="AB404" s="2428"/>
      <c r="AC404" s="2428"/>
      <c r="AD404" s="2428"/>
      <c r="AE404" s="2428"/>
      <c r="AF404" s="242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8"/>
      <c r="G405" s="2428"/>
      <c r="H405" s="2428"/>
      <c r="I405" s="2428"/>
      <c r="J405" s="2428"/>
      <c r="K405" s="2428"/>
      <c r="L405" s="2428"/>
      <c r="M405" s="2428"/>
      <c r="N405" s="2428"/>
      <c r="O405" s="2428"/>
      <c r="P405" s="2428"/>
      <c r="Q405" s="2428"/>
      <c r="R405" s="2428"/>
      <c r="S405" s="2428"/>
      <c r="T405" s="2428"/>
      <c r="U405" s="2428"/>
      <c r="V405" s="2428"/>
      <c r="W405" s="2428"/>
      <c r="X405" s="2428"/>
      <c r="Y405" s="2428"/>
      <c r="Z405" s="2428"/>
      <c r="AA405" s="2428"/>
      <c r="AB405" s="2428"/>
      <c r="AC405" s="2428"/>
      <c r="AD405" s="2428"/>
      <c r="AE405" s="2428"/>
      <c r="AF405" s="242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8"/>
      <c r="G406" s="2428"/>
      <c r="H406" s="2428"/>
      <c r="I406" s="2428"/>
      <c r="J406" s="2428"/>
      <c r="K406" s="2428"/>
      <c r="L406" s="2428"/>
      <c r="M406" s="2428"/>
      <c r="N406" s="2428"/>
      <c r="O406" s="2428"/>
      <c r="P406" s="2428"/>
      <c r="Q406" s="2428"/>
      <c r="R406" s="2428"/>
      <c r="S406" s="2428"/>
      <c r="T406" s="2428"/>
      <c r="U406" s="2428"/>
      <c r="V406" s="2428"/>
      <c r="W406" s="2428"/>
      <c r="X406" s="2428"/>
      <c r="Y406" s="2428"/>
      <c r="Z406" s="2428"/>
      <c r="AA406" s="2428"/>
      <c r="AB406" s="2428"/>
      <c r="AC406" s="2428"/>
      <c r="AD406" s="2428"/>
      <c r="AE406" s="2428"/>
      <c r="AF406" s="242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7" t="s">
        <v>546</v>
      </c>
      <c r="D407" s="243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9" t="s">
        <v>1463</v>
      </c>
      <c r="AG407" s="2439"/>
      <c r="AH407" s="2439"/>
      <c r="AI407" s="2439"/>
      <c r="AJ407" s="2439"/>
      <c r="AK407" s="2439"/>
      <c r="AL407" s="244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7" t="s">
        <v>592</v>
      </c>
      <c r="D409" s="243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9" t="s">
        <v>1475</v>
      </c>
      <c r="AG409" s="2439"/>
      <c r="AH409" s="2439"/>
      <c r="AI409" s="2439"/>
      <c r="AJ409" s="2439"/>
      <c r="AK409" s="2439"/>
      <c r="AL409" s="244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7" t="s">
        <v>592</v>
      </c>
      <c r="D412" s="2438"/>
      <c r="E412" s="715" t="s">
        <v>1476</v>
      </c>
      <c r="F412" s="2427" t="s">
        <v>1477</v>
      </c>
      <c r="G412" s="2427"/>
      <c r="H412" s="2427"/>
      <c r="I412" s="2427"/>
      <c r="J412" s="2427"/>
      <c r="K412" s="2427"/>
      <c r="L412" s="2427"/>
      <c r="M412" s="2427"/>
      <c r="N412" s="2427"/>
      <c r="O412" s="2427"/>
      <c r="P412" s="2427"/>
      <c r="Q412" s="2427"/>
      <c r="R412" s="2427"/>
      <c r="S412" s="2427"/>
      <c r="T412" s="2427"/>
      <c r="U412" s="2427"/>
      <c r="V412" s="2427"/>
      <c r="W412" s="2427"/>
      <c r="X412" s="2427"/>
      <c r="Y412" s="2427"/>
      <c r="Z412" s="2427"/>
      <c r="AA412" s="2427"/>
      <c r="AB412" s="2427"/>
      <c r="AC412" s="2427"/>
      <c r="AD412" s="2427"/>
      <c r="AE412" s="242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8"/>
      <c r="G413" s="2428"/>
      <c r="H413" s="2428"/>
      <c r="I413" s="2428"/>
      <c r="J413" s="2428"/>
      <c r="K413" s="2428"/>
      <c r="L413" s="2428"/>
      <c r="M413" s="2428"/>
      <c r="N413" s="2428"/>
      <c r="O413" s="2428"/>
      <c r="P413" s="2428"/>
      <c r="Q413" s="2428"/>
      <c r="R413" s="2428"/>
      <c r="S413" s="2428"/>
      <c r="T413" s="2428"/>
      <c r="U413" s="2428"/>
      <c r="V413" s="2428"/>
      <c r="W413" s="2428"/>
      <c r="X413" s="2428"/>
      <c r="Y413" s="2428"/>
      <c r="Z413" s="2428"/>
      <c r="AA413" s="2428"/>
      <c r="AB413" s="2428"/>
      <c r="AC413" s="2428"/>
      <c r="AD413" s="2428"/>
      <c r="AE413" s="2428"/>
      <c r="AF413" s="2517" t="s">
        <v>1463</v>
      </c>
      <c r="AG413" s="2517"/>
      <c r="AH413" s="2517"/>
      <c r="AI413" s="2517"/>
      <c r="AJ413" s="2517"/>
      <c r="AK413" s="2517"/>
      <c r="AL413" s="2526"/>
      <c r="AM413" s="570"/>
      <c r="AN413" s="597"/>
      <c r="BS413" s="570"/>
      <c r="BT413" s="570"/>
      <c r="BY413" s="570"/>
      <c r="BZ413" s="570"/>
      <c r="CA413" s="570"/>
      <c r="CB413" s="570"/>
      <c r="CC413" s="570"/>
    </row>
    <row r="414" spans="1:81" s="550" customFormat="1" ht="12.75" customHeight="1">
      <c r="A414" s="536"/>
      <c r="B414" s="14"/>
      <c r="C414" s="731"/>
      <c r="D414" s="14"/>
      <c r="E414" s="691"/>
      <c r="F414" s="2428"/>
      <c r="G414" s="2428"/>
      <c r="H414" s="2428"/>
      <c r="I414" s="2428"/>
      <c r="J414" s="2428"/>
      <c r="K414" s="2428"/>
      <c r="L414" s="2428"/>
      <c r="M414" s="2428"/>
      <c r="N414" s="2428"/>
      <c r="O414" s="2428"/>
      <c r="P414" s="2428"/>
      <c r="Q414" s="2428"/>
      <c r="R414" s="2428"/>
      <c r="S414" s="2428"/>
      <c r="T414" s="2428"/>
      <c r="U414" s="2428"/>
      <c r="V414" s="2428"/>
      <c r="W414" s="2428"/>
      <c r="X414" s="2428"/>
      <c r="Y414" s="2428"/>
      <c r="Z414" s="2428"/>
      <c r="AA414" s="2428"/>
      <c r="AB414" s="2428"/>
      <c r="AC414" s="2428"/>
      <c r="AD414" s="2428"/>
      <c r="AE414" s="242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9"/>
      <c r="G415" s="2429"/>
      <c r="H415" s="2429"/>
      <c r="I415" s="2429"/>
      <c r="J415" s="2429"/>
      <c r="K415" s="2429"/>
      <c r="L415" s="2429"/>
      <c r="M415" s="2429"/>
      <c r="N415" s="2429"/>
      <c r="O415" s="2429"/>
      <c r="P415" s="2429"/>
      <c r="Q415" s="2429"/>
      <c r="R415" s="2429"/>
      <c r="S415" s="2429"/>
      <c r="T415" s="2429"/>
      <c r="U415" s="2429"/>
      <c r="V415" s="2429"/>
      <c r="W415" s="2429"/>
      <c r="X415" s="2429"/>
      <c r="Y415" s="2429"/>
      <c r="Z415" s="2429"/>
      <c r="AA415" s="2429"/>
      <c r="AB415" s="2429"/>
      <c r="AC415" s="2429"/>
      <c r="AD415" s="2429"/>
      <c r="AE415" s="242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7" t="s">
        <v>1479</v>
      </c>
      <c r="G417" s="2427"/>
      <c r="H417" s="2427"/>
      <c r="I417" s="2427"/>
      <c r="J417" s="2427"/>
      <c r="K417" s="2427"/>
      <c r="L417" s="2427"/>
      <c r="M417" s="2427"/>
      <c r="N417" s="2427"/>
      <c r="O417" s="2427"/>
      <c r="P417" s="2427"/>
      <c r="Q417" s="2427"/>
      <c r="R417" s="2427"/>
      <c r="S417" s="2427"/>
      <c r="T417" s="2427"/>
      <c r="U417" s="2427"/>
      <c r="V417" s="2427"/>
      <c r="W417" s="2427"/>
      <c r="X417" s="2427"/>
      <c r="Y417" s="2427"/>
      <c r="Z417" s="2427"/>
      <c r="AA417" s="2427"/>
      <c r="AB417" s="2427"/>
      <c r="AC417" s="2427"/>
      <c r="AD417" s="2427"/>
      <c r="AE417" s="2427"/>
      <c r="AF417" s="747"/>
      <c r="AG417" s="747"/>
      <c r="AH417" s="747"/>
      <c r="AI417" s="747"/>
      <c r="AJ417" s="747"/>
      <c r="AK417" s="747"/>
      <c r="AL417" s="748"/>
      <c r="AM417" s="570"/>
    </row>
    <row r="418" spans="1:55">
      <c r="A418" s="536"/>
      <c r="C418" s="731"/>
      <c r="E418" s="691"/>
      <c r="F418" s="2428"/>
      <c r="G418" s="2428"/>
      <c r="H418" s="2428"/>
      <c r="I418" s="2428"/>
      <c r="J418" s="2428"/>
      <c r="K418" s="2428"/>
      <c r="L418" s="2428"/>
      <c r="M418" s="2428"/>
      <c r="N418" s="2428"/>
      <c r="O418" s="2428"/>
      <c r="P418" s="2428"/>
      <c r="Q418" s="2428"/>
      <c r="R418" s="2428"/>
      <c r="S418" s="2428"/>
      <c r="T418" s="2428"/>
      <c r="U418" s="2428"/>
      <c r="V418" s="2428"/>
      <c r="W418" s="2428"/>
      <c r="X418" s="2428"/>
      <c r="Y418" s="2428"/>
      <c r="Z418" s="2428"/>
      <c r="AA418" s="2428"/>
      <c r="AB418" s="2428"/>
      <c r="AC418" s="2428"/>
      <c r="AD418" s="2428"/>
      <c r="AE418" s="2428"/>
      <c r="AF418" s="539"/>
      <c r="AG418" s="536"/>
      <c r="AH418" s="550"/>
      <c r="AI418" s="550"/>
      <c r="AJ418" s="550"/>
      <c r="AK418" s="550"/>
      <c r="AL418" s="732"/>
      <c r="AM418" s="570"/>
    </row>
    <row r="419" spans="1:55" s="550" customFormat="1" ht="12.75" customHeight="1">
      <c r="A419" s="536"/>
      <c r="B419" s="14"/>
      <c r="C419" s="731"/>
      <c r="D419" s="14"/>
      <c r="E419" s="691"/>
      <c r="F419" s="2428"/>
      <c r="G419" s="2428"/>
      <c r="H419" s="2428"/>
      <c r="I419" s="2428"/>
      <c r="J419" s="2428"/>
      <c r="K419" s="2428"/>
      <c r="L419" s="2428"/>
      <c r="M419" s="2428"/>
      <c r="N419" s="2428"/>
      <c r="O419" s="2428"/>
      <c r="P419" s="2428"/>
      <c r="Q419" s="2428"/>
      <c r="R419" s="2428"/>
      <c r="S419" s="2428"/>
      <c r="T419" s="2428"/>
      <c r="U419" s="2428"/>
      <c r="V419" s="2428"/>
      <c r="W419" s="2428"/>
      <c r="X419" s="2428"/>
      <c r="Y419" s="2428"/>
      <c r="Z419" s="2428"/>
      <c r="AA419" s="2428"/>
      <c r="AB419" s="2428"/>
      <c r="AC419" s="2428"/>
      <c r="AD419" s="2428"/>
      <c r="AE419" s="2428"/>
      <c r="AL419" s="732"/>
      <c r="AM419" s="570"/>
      <c r="AN419" s="597"/>
    </row>
    <row r="420" spans="1:55" s="550" customFormat="1" ht="12.75" customHeight="1">
      <c r="A420" s="536"/>
      <c r="B420" s="14"/>
      <c r="C420" s="739"/>
      <c r="F420" s="2428"/>
      <c r="G420" s="2428"/>
      <c r="H420" s="2428"/>
      <c r="I420" s="2428"/>
      <c r="J420" s="2428"/>
      <c r="K420" s="2428"/>
      <c r="L420" s="2428"/>
      <c r="M420" s="2428"/>
      <c r="N420" s="2428"/>
      <c r="O420" s="2428"/>
      <c r="P420" s="2428"/>
      <c r="Q420" s="2428"/>
      <c r="R420" s="2428"/>
      <c r="S420" s="2428"/>
      <c r="T420" s="2428"/>
      <c r="U420" s="2428"/>
      <c r="V420" s="2428"/>
      <c r="W420" s="2428"/>
      <c r="X420" s="2428"/>
      <c r="Y420" s="2428"/>
      <c r="Z420" s="2428"/>
      <c r="AA420" s="2428"/>
      <c r="AB420" s="2428"/>
      <c r="AC420" s="2428"/>
      <c r="AD420" s="2428"/>
      <c r="AE420" s="2428"/>
      <c r="AL420" s="732"/>
      <c r="AM420" s="570"/>
      <c r="AN420" s="597"/>
    </row>
    <row r="421" spans="1:55" s="550" customFormat="1" ht="12.75" customHeight="1">
      <c r="A421" s="536"/>
      <c r="B421" s="14"/>
      <c r="C421" s="2437" t="s">
        <v>592</v>
      </c>
      <c r="D421" s="243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7" t="s">
        <v>1463</v>
      </c>
      <c r="AG421" s="2517"/>
      <c r="AH421" s="2517"/>
      <c r="AI421" s="2517"/>
      <c r="AJ421" s="2517"/>
      <c r="AK421" s="2517"/>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437" t="s">
        <v>592</v>
      </c>
      <c r="D423" s="243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7" t="s">
        <v>1475</v>
      </c>
      <c r="AG423" s="2517"/>
      <c r="AH423" s="2517"/>
      <c r="AI423" s="2517"/>
      <c r="AJ423" s="2517"/>
      <c r="AK423" s="2517"/>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7" t="s">
        <v>1483</v>
      </c>
      <c r="G427" s="2427"/>
      <c r="H427" s="2427"/>
      <c r="I427" s="2427"/>
      <c r="J427" s="2427"/>
      <c r="K427" s="2427"/>
      <c r="L427" s="2427"/>
      <c r="M427" s="2427"/>
      <c r="N427" s="2427"/>
      <c r="O427" s="2427"/>
      <c r="P427" s="2427"/>
      <c r="Q427" s="2427"/>
      <c r="R427" s="2427"/>
      <c r="S427" s="2427"/>
      <c r="T427" s="2427"/>
      <c r="U427" s="2427"/>
      <c r="V427" s="2427"/>
      <c r="W427" s="2427"/>
      <c r="X427" s="2427"/>
      <c r="Y427" s="2427"/>
      <c r="Z427" s="2427"/>
      <c r="AA427" s="2427"/>
      <c r="AB427" s="2427"/>
      <c r="AC427" s="2427"/>
      <c r="AD427" s="2427"/>
      <c r="AE427" s="2427"/>
      <c r="AF427" s="714"/>
      <c r="AG427" s="714"/>
      <c r="AH427" s="714"/>
      <c r="AI427" s="714"/>
      <c r="AJ427" s="714"/>
      <c r="AK427" s="714"/>
      <c r="AL427" s="745"/>
      <c r="AM427" s="570"/>
      <c r="AN427" s="597"/>
    </row>
    <row r="428" spans="1:55" s="550" customFormat="1" ht="12.75" customHeight="1">
      <c r="A428" s="536"/>
      <c r="B428" s="14"/>
      <c r="C428" s="731"/>
      <c r="D428" s="14"/>
      <c r="E428" s="691"/>
      <c r="F428" s="2428"/>
      <c r="G428" s="2428"/>
      <c r="H428" s="2428"/>
      <c r="I428" s="2428"/>
      <c r="J428" s="2428"/>
      <c r="K428" s="2428"/>
      <c r="L428" s="2428"/>
      <c r="M428" s="2428"/>
      <c r="N428" s="2428"/>
      <c r="O428" s="2428"/>
      <c r="P428" s="2428"/>
      <c r="Q428" s="2428"/>
      <c r="R428" s="2428"/>
      <c r="S428" s="2428"/>
      <c r="T428" s="2428"/>
      <c r="U428" s="2428"/>
      <c r="V428" s="2428"/>
      <c r="W428" s="2428"/>
      <c r="X428" s="2428"/>
      <c r="Y428" s="2428"/>
      <c r="Z428" s="2428"/>
      <c r="AA428" s="2428"/>
      <c r="AB428" s="2428"/>
      <c r="AC428" s="2428"/>
      <c r="AD428" s="2428"/>
      <c r="AE428" s="2428"/>
      <c r="AF428" s="539"/>
      <c r="AG428" s="536"/>
      <c r="AL428" s="732"/>
      <c r="AM428" s="570"/>
      <c r="AN428" s="597"/>
    </row>
    <row r="429" spans="1:55" s="550" customFormat="1" ht="12.4" customHeight="1">
      <c r="A429" s="536"/>
      <c r="B429" s="14"/>
      <c r="C429" s="731"/>
      <c r="D429" s="14"/>
      <c r="E429" s="691"/>
      <c r="F429" s="2428"/>
      <c r="G429" s="2428"/>
      <c r="H429" s="2428"/>
      <c r="I429" s="2428"/>
      <c r="J429" s="2428"/>
      <c r="K429" s="2428"/>
      <c r="L429" s="2428"/>
      <c r="M429" s="2428"/>
      <c r="N429" s="2428"/>
      <c r="O429" s="2428"/>
      <c r="P429" s="2428"/>
      <c r="Q429" s="2428"/>
      <c r="R429" s="2428"/>
      <c r="S429" s="2428"/>
      <c r="T429" s="2428"/>
      <c r="U429" s="2428"/>
      <c r="V429" s="2428"/>
      <c r="W429" s="2428"/>
      <c r="X429" s="2428"/>
      <c r="Y429" s="2428"/>
      <c r="Z429" s="2428"/>
      <c r="AA429" s="2428"/>
      <c r="AB429" s="2428"/>
      <c r="AC429" s="2428"/>
      <c r="AD429" s="2428"/>
      <c r="AE429" s="2428"/>
      <c r="AL429" s="732"/>
      <c r="AM429" s="570"/>
      <c r="AN429" s="597"/>
    </row>
    <row r="430" spans="1:55" s="550" customFormat="1" ht="12.75" customHeight="1">
      <c r="A430" s="536"/>
      <c r="B430" s="14"/>
      <c r="C430" s="2437" t="s">
        <v>592</v>
      </c>
      <c r="D430" s="243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7" t="s">
        <v>1463</v>
      </c>
      <c r="AG430" s="2517"/>
      <c r="AH430" s="2517"/>
      <c r="AI430" s="2517"/>
      <c r="AJ430" s="2517"/>
      <c r="AK430" s="2517"/>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7" t="s">
        <v>1486</v>
      </c>
      <c r="G433" s="2427"/>
      <c r="H433" s="2427"/>
      <c r="I433" s="2427"/>
      <c r="J433" s="2427"/>
      <c r="K433" s="2427"/>
      <c r="L433" s="2427"/>
      <c r="M433" s="2427"/>
      <c r="N433" s="2427"/>
      <c r="O433" s="2427"/>
      <c r="P433" s="2427"/>
      <c r="Q433" s="2427"/>
      <c r="R433" s="2427"/>
      <c r="S433" s="2427"/>
      <c r="T433" s="2427"/>
      <c r="U433" s="2427"/>
      <c r="V433" s="2427"/>
      <c r="W433" s="2427"/>
      <c r="X433" s="2427"/>
      <c r="Y433" s="2427"/>
      <c r="Z433" s="2427"/>
      <c r="AA433" s="2427"/>
      <c r="AB433" s="2427"/>
      <c r="AC433" s="2427"/>
      <c r="AD433" s="2427"/>
      <c r="AE433" s="2427"/>
      <c r="AF433" s="747"/>
      <c r="AG433" s="747"/>
      <c r="AH433" s="747"/>
      <c r="AI433" s="747"/>
      <c r="AJ433" s="747"/>
      <c r="AK433" s="747"/>
      <c r="AL433" s="748"/>
      <c r="AM433" s="570"/>
      <c r="AO433" s="550"/>
      <c r="AP433" s="550"/>
      <c r="BD433" s="14"/>
      <c r="BE433" s="14"/>
      <c r="BF433" s="14"/>
      <c r="BG433" s="14"/>
      <c r="BH433" s="14"/>
    </row>
    <row r="434" spans="1:60">
      <c r="A434" s="536"/>
      <c r="C434" s="731"/>
      <c r="E434" s="691"/>
      <c r="F434" s="2428"/>
      <c r="G434" s="2428"/>
      <c r="H434" s="2428"/>
      <c r="I434" s="2428"/>
      <c r="J434" s="2428"/>
      <c r="K434" s="2428"/>
      <c r="L434" s="2428"/>
      <c r="M434" s="2428"/>
      <c r="N434" s="2428"/>
      <c r="O434" s="2428"/>
      <c r="P434" s="2428"/>
      <c r="Q434" s="2428"/>
      <c r="R434" s="2428"/>
      <c r="S434" s="2428"/>
      <c r="T434" s="2428"/>
      <c r="U434" s="2428"/>
      <c r="V434" s="2428"/>
      <c r="W434" s="2428"/>
      <c r="X434" s="2428"/>
      <c r="Y434" s="2428"/>
      <c r="Z434" s="2428"/>
      <c r="AA434" s="2428"/>
      <c r="AB434" s="2428"/>
      <c r="AC434" s="2428"/>
      <c r="AD434" s="2428"/>
      <c r="AE434" s="2428"/>
      <c r="AF434" s="594"/>
      <c r="AG434" s="594"/>
      <c r="AH434" s="594"/>
      <c r="AI434" s="594"/>
      <c r="AJ434" s="594"/>
      <c r="AK434" s="594"/>
      <c r="AL434" s="750"/>
      <c r="AM434" s="570"/>
      <c r="AO434" s="550"/>
      <c r="AP434" s="550"/>
    </row>
    <row r="435" spans="1:60" s="550" customFormat="1" ht="12.75" customHeight="1">
      <c r="A435" s="536"/>
      <c r="B435" s="14"/>
      <c r="C435" s="731"/>
      <c r="D435" s="14"/>
      <c r="E435" s="691"/>
      <c r="F435" s="2428"/>
      <c r="G435" s="2428"/>
      <c r="H435" s="2428"/>
      <c r="I435" s="2428"/>
      <c r="J435" s="2428"/>
      <c r="K435" s="2428"/>
      <c r="L435" s="2428"/>
      <c r="M435" s="2428"/>
      <c r="N435" s="2428"/>
      <c r="O435" s="2428"/>
      <c r="P435" s="2428"/>
      <c r="Q435" s="2428"/>
      <c r="R435" s="2428"/>
      <c r="S435" s="2428"/>
      <c r="T435" s="2428"/>
      <c r="U435" s="2428"/>
      <c r="V435" s="2428"/>
      <c r="W435" s="2428"/>
      <c r="X435" s="2428"/>
      <c r="Y435" s="2428"/>
      <c r="Z435" s="2428"/>
      <c r="AA435" s="2428"/>
      <c r="AB435" s="2428"/>
      <c r="AC435" s="2428"/>
      <c r="AD435" s="2428"/>
      <c r="AE435" s="2428"/>
      <c r="AF435" s="594"/>
      <c r="AG435" s="594"/>
      <c r="AH435" s="594"/>
      <c r="AI435" s="594"/>
      <c r="AJ435" s="594"/>
      <c r="AK435" s="594"/>
      <c r="AL435" s="750"/>
      <c r="AM435" s="570"/>
      <c r="AN435" s="597"/>
    </row>
    <row r="436" spans="1:60" s="550" customFormat="1" ht="12.75" customHeight="1">
      <c r="A436" s="536"/>
      <c r="B436" s="14"/>
      <c r="C436" s="751"/>
      <c r="D436" s="730"/>
      <c r="E436" s="719"/>
      <c r="F436" s="2428"/>
      <c r="G436" s="2428"/>
      <c r="H436" s="2428"/>
      <c r="I436" s="2428"/>
      <c r="J436" s="2428"/>
      <c r="K436" s="2428"/>
      <c r="L436" s="2428"/>
      <c r="M436" s="2428"/>
      <c r="N436" s="2428"/>
      <c r="O436" s="2428"/>
      <c r="P436" s="2428"/>
      <c r="Q436" s="2428"/>
      <c r="R436" s="2428"/>
      <c r="S436" s="2428"/>
      <c r="T436" s="2428"/>
      <c r="U436" s="2428"/>
      <c r="V436" s="2428"/>
      <c r="W436" s="2428"/>
      <c r="X436" s="2428"/>
      <c r="Y436" s="2428"/>
      <c r="Z436" s="2428"/>
      <c r="AA436" s="2428"/>
      <c r="AB436" s="2428"/>
      <c r="AC436" s="2428"/>
      <c r="AD436" s="2428"/>
      <c r="AE436" s="242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8"/>
      <c r="G437" s="2428"/>
      <c r="H437" s="2428"/>
      <c r="I437" s="2428"/>
      <c r="J437" s="2428"/>
      <c r="K437" s="2428"/>
      <c r="L437" s="2428"/>
      <c r="M437" s="2428"/>
      <c r="N437" s="2428"/>
      <c r="O437" s="2428"/>
      <c r="P437" s="2428"/>
      <c r="Q437" s="2428"/>
      <c r="R437" s="2428"/>
      <c r="S437" s="2428"/>
      <c r="T437" s="2428"/>
      <c r="U437" s="2428"/>
      <c r="V437" s="2428"/>
      <c r="W437" s="2428"/>
      <c r="X437" s="2428"/>
      <c r="Y437" s="2428"/>
      <c r="Z437" s="2428"/>
      <c r="AA437" s="2428"/>
      <c r="AB437" s="2428"/>
      <c r="AC437" s="2428"/>
      <c r="AD437" s="2428"/>
      <c r="AE437" s="2428"/>
      <c r="AF437" s="594"/>
      <c r="AG437" s="594"/>
      <c r="AH437" s="594"/>
      <c r="AI437" s="594"/>
      <c r="AJ437" s="594"/>
      <c r="AK437" s="594"/>
      <c r="AL437" s="750"/>
      <c r="AM437" s="570"/>
      <c r="AN437" s="597"/>
    </row>
    <row r="438" spans="1:60" s="550" customFormat="1" ht="12.75" customHeight="1">
      <c r="A438" s="536"/>
      <c r="B438" s="14"/>
      <c r="C438" s="751"/>
      <c r="D438" s="730"/>
      <c r="E438" s="719"/>
      <c r="F438" s="2428"/>
      <c r="G438" s="2428"/>
      <c r="H438" s="2428"/>
      <c r="I438" s="2428"/>
      <c r="J438" s="2428"/>
      <c r="K438" s="2428"/>
      <c r="L438" s="2428"/>
      <c r="M438" s="2428"/>
      <c r="N438" s="2428"/>
      <c r="O438" s="2428"/>
      <c r="P438" s="2428"/>
      <c r="Q438" s="2428"/>
      <c r="R438" s="2428"/>
      <c r="S438" s="2428"/>
      <c r="T438" s="2428"/>
      <c r="U438" s="2428"/>
      <c r="V438" s="2428"/>
      <c r="W438" s="2428"/>
      <c r="X438" s="2428"/>
      <c r="Y438" s="2428"/>
      <c r="Z438" s="2428"/>
      <c r="AA438" s="2428"/>
      <c r="AB438" s="2428"/>
      <c r="AC438" s="2428"/>
      <c r="AD438" s="2428"/>
      <c r="AE438" s="2428"/>
      <c r="AF438" s="594"/>
      <c r="AG438" s="594"/>
      <c r="AH438" s="594"/>
      <c r="AI438" s="594"/>
      <c r="AJ438" s="594"/>
      <c r="AK438" s="594"/>
      <c r="AL438" s="750"/>
      <c r="AM438" s="570"/>
      <c r="AN438" s="597"/>
    </row>
    <row r="439" spans="1:60" s="550" customFormat="1" ht="12.75" customHeight="1">
      <c r="A439" s="536"/>
      <c r="B439" s="14"/>
      <c r="C439" s="751"/>
      <c r="D439" s="730"/>
      <c r="E439" s="719"/>
      <c r="F439" s="2428"/>
      <c r="G439" s="2428"/>
      <c r="H439" s="2428"/>
      <c r="I439" s="2428"/>
      <c r="J439" s="2428"/>
      <c r="K439" s="2428"/>
      <c r="L439" s="2428"/>
      <c r="M439" s="2428"/>
      <c r="N439" s="2428"/>
      <c r="O439" s="2428"/>
      <c r="P439" s="2428"/>
      <c r="Q439" s="2428"/>
      <c r="R439" s="2428"/>
      <c r="S439" s="2428"/>
      <c r="T439" s="2428"/>
      <c r="U439" s="2428"/>
      <c r="V439" s="2428"/>
      <c r="W439" s="2428"/>
      <c r="X439" s="2428"/>
      <c r="Y439" s="2428"/>
      <c r="Z439" s="2428"/>
      <c r="AA439" s="2428"/>
      <c r="AB439" s="2428"/>
      <c r="AC439" s="2428"/>
      <c r="AD439" s="2428"/>
      <c r="AE439" s="2428"/>
      <c r="AF439" s="594"/>
      <c r="AG439" s="594"/>
      <c r="AH439" s="594"/>
      <c r="AI439" s="594"/>
      <c r="AJ439" s="594"/>
      <c r="AK439" s="594"/>
      <c r="AL439" s="750"/>
      <c r="AM439" s="570"/>
      <c r="AN439" s="597"/>
    </row>
    <row r="440" spans="1:60" s="550" customFormat="1" ht="12.75" customHeight="1">
      <c r="A440" s="536"/>
      <c r="B440" s="14"/>
      <c r="C440" s="751"/>
      <c r="D440" s="730"/>
      <c r="E440" s="719"/>
      <c r="F440" s="2428"/>
      <c r="G440" s="2428"/>
      <c r="H440" s="2428"/>
      <c r="I440" s="2428"/>
      <c r="J440" s="2428"/>
      <c r="K440" s="2428"/>
      <c r="L440" s="2428"/>
      <c r="M440" s="2428"/>
      <c r="N440" s="2428"/>
      <c r="O440" s="2428"/>
      <c r="P440" s="2428"/>
      <c r="Q440" s="2428"/>
      <c r="R440" s="2428"/>
      <c r="S440" s="2428"/>
      <c r="T440" s="2428"/>
      <c r="U440" s="2428"/>
      <c r="V440" s="2428"/>
      <c r="W440" s="2428"/>
      <c r="X440" s="2428"/>
      <c r="Y440" s="2428"/>
      <c r="Z440" s="2428"/>
      <c r="AA440" s="2428"/>
      <c r="AB440" s="2428"/>
      <c r="AC440" s="2428"/>
      <c r="AD440" s="2428"/>
      <c r="AE440" s="2428"/>
      <c r="AF440" s="594"/>
      <c r="AG440" s="594"/>
      <c r="AH440" s="594"/>
      <c r="AI440" s="594"/>
      <c r="AJ440" s="594"/>
      <c r="AK440" s="594"/>
      <c r="AL440" s="750"/>
      <c r="AM440" s="570"/>
      <c r="AN440" s="597"/>
    </row>
    <row r="441" spans="1:60" s="550" customFormat="1" ht="17.25" customHeight="1">
      <c r="A441" s="536"/>
      <c r="B441" s="14"/>
      <c r="C441" s="751"/>
      <c r="D441" s="730"/>
      <c r="E441" s="719"/>
      <c r="F441" s="2428"/>
      <c r="G441" s="2428"/>
      <c r="H441" s="2428"/>
      <c r="I441" s="2428"/>
      <c r="J441" s="2428"/>
      <c r="K441" s="2428"/>
      <c r="L441" s="2428"/>
      <c r="M441" s="2428"/>
      <c r="N441" s="2428"/>
      <c r="O441" s="2428"/>
      <c r="P441" s="2428"/>
      <c r="Q441" s="2428"/>
      <c r="R441" s="2428"/>
      <c r="S441" s="2428"/>
      <c r="T441" s="2428"/>
      <c r="U441" s="2428"/>
      <c r="V441" s="2428"/>
      <c r="W441" s="2428"/>
      <c r="X441" s="2428"/>
      <c r="Y441" s="2428"/>
      <c r="Z441" s="2428"/>
      <c r="AA441" s="2428"/>
      <c r="AB441" s="2428"/>
      <c r="AC441" s="2428"/>
      <c r="AD441" s="2428"/>
      <c r="AE441" s="2428"/>
      <c r="AL441" s="732"/>
      <c r="AM441" s="570"/>
      <c r="AN441" s="597"/>
    </row>
    <row r="442" spans="1:60" s="550" customFormat="1" ht="12.75" customHeight="1">
      <c r="A442" s="536"/>
      <c r="B442" s="14"/>
      <c r="C442" s="2437" t="s">
        <v>592</v>
      </c>
      <c r="D442" s="243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7" t="s">
        <v>1463</v>
      </c>
      <c r="AG442" s="2517"/>
      <c r="AH442" s="2517"/>
      <c r="AI442" s="2517"/>
      <c r="AJ442" s="2517"/>
      <c r="AK442" s="2517"/>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7" t="s">
        <v>1489</v>
      </c>
      <c r="G445" s="2427"/>
      <c r="H445" s="2427"/>
      <c r="I445" s="2427"/>
      <c r="J445" s="2427"/>
      <c r="K445" s="2427"/>
      <c r="L445" s="2427"/>
      <c r="M445" s="2427"/>
      <c r="N445" s="2427"/>
      <c r="O445" s="2427"/>
      <c r="P445" s="2427"/>
      <c r="Q445" s="2427"/>
      <c r="R445" s="2427"/>
      <c r="S445" s="2427"/>
      <c r="T445" s="2427"/>
      <c r="U445" s="2427"/>
      <c r="V445" s="2427"/>
      <c r="W445" s="2427"/>
      <c r="X445" s="2427"/>
      <c r="Y445" s="2427"/>
      <c r="Z445" s="2427"/>
      <c r="AA445" s="2427"/>
      <c r="AB445" s="2427"/>
      <c r="AC445" s="2427"/>
      <c r="AD445" s="2427"/>
      <c r="AE445" s="2427"/>
      <c r="AF445" s="714"/>
      <c r="AG445" s="714"/>
      <c r="AH445" s="714"/>
      <c r="AI445" s="714"/>
      <c r="AJ445" s="714"/>
      <c r="AK445" s="714"/>
      <c r="AL445" s="745"/>
      <c r="AM445" s="570"/>
      <c r="AN445" s="597"/>
    </row>
    <row r="446" spans="1:60" s="550" customFormat="1" ht="12.75" customHeight="1">
      <c r="A446" s="536"/>
      <c r="B446" s="14"/>
      <c r="C446" s="751"/>
      <c r="D446" s="730"/>
      <c r="E446" s="719"/>
      <c r="F446" s="2428"/>
      <c r="G446" s="2428"/>
      <c r="H446" s="2428"/>
      <c r="I446" s="2428"/>
      <c r="J446" s="2428"/>
      <c r="K446" s="2428"/>
      <c r="L446" s="2428"/>
      <c r="M446" s="2428"/>
      <c r="N446" s="2428"/>
      <c r="O446" s="2428"/>
      <c r="P446" s="2428"/>
      <c r="Q446" s="2428"/>
      <c r="R446" s="2428"/>
      <c r="S446" s="2428"/>
      <c r="T446" s="2428"/>
      <c r="U446" s="2428"/>
      <c r="V446" s="2428"/>
      <c r="W446" s="2428"/>
      <c r="X446" s="2428"/>
      <c r="Y446" s="2428"/>
      <c r="Z446" s="2428"/>
      <c r="AA446" s="2428"/>
      <c r="AB446" s="2428"/>
      <c r="AC446" s="2428"/>
      <c r="AD446" s="2428"/>
      <c r="AE446" s="2428"/>
      <c r="AF446" s="591"/>
      <c r="AG446" s="591"/>
      <c r="AH446" s="591"/>
      <c r="AI446" s="591"/>
      <c r="AJ446" s="591"/>
      <c r="AK446" s="591"/>
      <c r="AL446" s="720"/>
      <c r="AM446" s="570"/>
      <c r="AN446" s="597"/>
    </row>
    <row r="447" spans="1:60" s="550" customFormat="1" ht="12.75" customHeight="1">
      <c r="A447" s="536"/>
      <c r="B447" s="14"/>
      <c r="C447" s="751"/>
      <c r="D447" s="730"/>
      <c r="E447" s="719"/>
      <c r="F447" s="2428"/>
      <c r="G447" s="2428"/>
      <c r="H447" s="2428"/>
      <c r="I447" s="2428"/>
      <c r="J447" s="2428"/>
      <c r="K447" s="2428"/>
      <c r="L447" s="2428"/>
      <c r="M447" s="2428"/>
      <c r="N447" s="2428"/>
      <c r="O447" s="2428"/>
      <c r="P447" s="2428"/>
      <c r="Q447" s="2428"/>
      <c r="R447" s="2428"/>
      <c r="S447" s="2428"/>
      <c r="T447" s="2428"/>
      <c r="U447" s="2428"/>
      <c r="V447" s="2428"/>
      <c r="W447" s="2428"/>
      <c r="X447" s="2428"/>
      <c r="Y447" s="2428"/>
      <c r="Z447" s="2428"/>
      <c r="AA447" s="2428"/>
      <c r="AB447" s="2428"/>
      <c r="AC447" s="2428"/>
      <c r="AD447" s="2428"/>
      <c r="AE447" s="2428"/>
      <c r="AF447" s="591"/>
      <c r="AG447" s="591"/>
      <c r="AH447" s="591"/>
      <c r="AI447" s="591"/>
      <c r="AJ447" s="591"/>
      <c r="AK447" s="591"/>
      <c r="AL447" s="720"/>
      <c r="AM447" s="570"/>
      <c r="AN447" s="597"/>
    </row>
    <row r="448" spans="1:60" s="550" customFormat="1" ht="12.75" customHeight="1">
      <c r="A448" s="536"/>
      <c r="B448" s="14"/>
      <c r="C448" s="751"/>
      <c r="D448" s="730"/>
      <c r="E448" s="719"/>
      <c r="F448" s="2428"/>
      <c r="G448" s="2428"/>
      <c r="H448" s="2428"/>
      <c r="I448" s="2428"/>
      <c r="J448" s="2428"/>
      <c r="K448" s="2428"/>
      <c r="L448" s="2428"/>
      <c r="M448" s="2428"/>
      <c r="N448" s="2428"/>
      <c r="O448" s="2428"/>
      <c r="P448" s="2428"/>
      <c r="Q448" s="2428"/>
      <c r="R448" s="2428"/>
      <c r="S448" s="2428"/>
      <c r="T448" s="2428"/>
      <c r="U448" s="2428"/>
      <c r="V448" s="2428"/>
      <c r="W448" s="2428"/>
      <c r="X448" s="2428"/>
      <c r="Y448" s="2428"/>
      <c r="Z448" s="2428"/>
      <c r="AA448" s="2428"/>
      <c r="AB448" s="2428"/>
      <c r="AC448" s="2428"/>
      <c r="AD448" s="2428"/>
      <c r="AE448" s="2428"/>
      <c r="AL448" s="732"/>
      <c r="AM448" s="570"/>
      <c r="AN448" s="597"/>
    </row>
    <row r="449" spans="1:40" s="550" customFormat="1" ht="12.75" customHeight="1">
      <c r="A449" s="536"/>
      <c r="B449" s="14"/>
      <c r="C449" s="2437" t="s">
        <v>592</v>
      </c>
      <c r="D449" s="243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7" t="s">
        <v>1463</v>
      </c>
      <c r="AG449" s="2517"/>
      <c r="AH449" s="2517"/>
      <c r="AI449" s="2517"/>
      <c r="AJ449" s="2517"/>
      <c r="AK449" s="2517"/>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3" t="s">
        <v>592</v>
      </c>
      <c r="D453" s="2554"/>
      <c r="E453" s="715" t="s">
        <v>1498</v>
      </c>
      <c r="F453" s="2427" t="s">
        <v>1499</v>
      </c>
      <c r="G453" s="2427"/>
      <c r="H453" s="2427"/>
      <c r="I453" s="2427"/>
      <c r="J453" s="2427"/>
      <c r="K453" s="2427"/>
      <c r="L453" s="2427"/>
      <c r="M453" s="2427"/>
      <c r="N453" s="2427"/>
      <c r="O453" s="2427"/>
      <c r="P453" s="2427"/>
      <c r="Q453" s="2427"/>
      <c r="R453" s="2427"/>
      <c r="S453" s="2427"/>
      <c r="T453" s="2427"/>
      <c r="U453" s="2427"/>
      <c r="V453" s="2427"/>
      <c r="W453" s="2427"/>
      <c r="X453" s="2427"/>
      <c r="Y453" s="2427"/>
      <c r="Z453" s="2427"/>
      <c r="AA453" s="2427"/>
      <c r="AB453" s="2427"/>
      <c r="AC453" s="2427"/>
      <c r="AD453" s="2427"/>
      <c r="AE453" s="2427"/>
      <c r="AF453" s="2455" t="s">
        <v>1463</v>
      </c>
      <c r="AG453" s="2455"/>
      <c r="AH453" s="2455"/>
      <c r="AI453" s="2455"/>
      <c r="AJ453" s="2455"/>
      <c r="AK453" s="2455"/>
      <c r="AL453" s="2456"/>
      <c r="AM453" s="570"/>
      <c r="AN453" s="753"/>
    </row>
    <row r="454" spans="1:40" s="550" customFormat="1" ht="12.75" customHeight="1">
      <c r="A454" s="536"/>
      <c r="B454" s="14"/>
      <c r="C454" s="751"/>
      <c r="D454" s="730"/>
      <c r="E454" s="719"/>
      <c r="F454" s="2428"/>
      <c r="G454" s="2428"/>
      <c r="H454" s="2428"/>
      <c r="I454" s="2428"/>
      <c r="J454" s="2428"/>
      <c r="K454" s="2428"/>
      <c r="L454" s="2428"/>
      <c r="M454" s="2428"/>
      <c r="N454" s="2428"/>
      <c r="O454" s="2428"/>
      <c r="P454" s="2428"/>
      <c r="Q454" s="2428"/>
      <c r="R454" s="2428"/>
      <c r="S454" s="2428"/>
      <c r="T454" s="2428"/>
      <c r="U454" s="2428"/>
      <c r="V454" s="2428"/>
      <c r="W454" s="2428"/>
      <c r="X454" s="2428"/>
      <c r="Y454" s="2428"/>
      <c r="Z454" s="2428"/>
      <c r="AA454" s="2428"/>
      <c r="AB454" s="2428"/>
      <c r="AC454" s="2428"/>
      <c r="AD454" s="2428"/>
      <c r="AE454" s="2428"/>
      <c r="AF454" s="591"/>
      <c r="AG454" s="591"/>
      <c r="AH454" s="591"/>
      <c r="AI454" s="591"/>
      <c r="AJ454" s="591"/>
      <c r="AK454" s="591"/>
      <c r="AL454" s="720"/>
      <c r="AM454" s="570"/>
      <c r="AN454" s="754"/>
    </row>
    <row r="455" spans="1:40" s="550" customFormat="1" ht="17.649999999999999" customHeight="1">
      <c r="A455" s="536"/>
      <c r="B455" s="14"/>
      <c r="C455" s="756"/>
      <c r="D455" s="723"/>
      <c r="E455" s="724"/>
      <c r="F455" s="2429"/>
      <c r="G455" s="2429"/>
      <c r="H455" s="2429"/>
      <c r="I455" s="2429"/>
      <c r="J455" s="2429"/>
      <c r="K455" s="2429"/>
      <c r="L455" s="2429"/>
      <c r="M455" s="2429"/>
      <c r="N455" s="2429"/>
      <c r="O455" s="2429"/>
      <c r="P455" s="2429"/>
      <c r="Q455" s="2429"/>
      <c r="R455" s="2429"/>
      <c r="S455" s="2429"/>
      <c r="T455" s="2429"/>
      <c r="U455" s="2429"/>
      <c r="V455" s="2429"/>
      <c r="W455" s="2429"/>
      <c r="X455" s="2429"/>
      <c r="Y455" s="2429"/>
      <c r="Z455" s="2429"/>
      <c r="AA455" s="2429"/>
      <c r="AB455" s="2429"/>
      <c r="AC455" s="2429"/>
      <c r="AD455" s="2429"/>
      <c r="AE455" s="242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7" t="s">
        <v>592</v>
      </c>
      <c r="D457" s="2438"/>
      <c r="E457" s="715" t="s">
        <v>1504</v>
      </c>
      <c r="F457" s="2427" t="s">
        <v>1505</v>
      </c>
      <c r="G457" s="2427"/>
      <c r="H457" s="2427"/>
      <c r="I457" s="2427"/>
      <c r="J457" s="2427"/>
      <c r="K457" s="2427"/>
      <c r="L457" s="2427"/>
      <c r="M457" s="2427"/>
      <c r="N457" s="2427"/>
      <c r="O457" s="2427"/>
      <c r="P457" s="2427"/>
      <c r="Q457" s="2427"/>
      <c r="R457" s="2427"/>
      <c r="S457" s="2427"/>
      <c r="T457" s="2427"/>
      <c r="U457" s="2427"/>
      <c r="V457" s="2427"/>
      <c r="W457" s="2427"/>
      <c r="X457" s="2427"/>
      <c r="Y457" s="2427"/>
      <c r="Z457" s="2427"/>
      <c r="AA457" s="2427"/>
      <c r="AB457" s="2427"/>
      <c r="AC457" s="2427"/>
      <c r="AD457" s="2427"/>
      <c r="AE457" s="2427"/>
      <c r="AF457" s="2455" t="s">
        <v>1463</v>
      </c>
      <c r="AG457" s="2455"/>
      <c r="AH457" s="2455"/>
      <c r="AI457" s="2455"/>
      <c r="AJ457" s="2455"/>
      <c r="AK457" s="2455"/>
      <c r="AL457" s="2456"/>
      <c r="AM457" s="570"/>
      <c r="AN457" s="535"/>
    </row>
    <row r="458" spans="1:40" s="550" customFormat="1" ht="12.75" customHeight="1">
      <c r="A458" s="536"/>
      <c r="B458" s="14"/>
      <c r="C458" s="731"/>
      <c r="D458" s="14"/>
      <c r="E458" s="691"/>
      <c r="F458" s="2428"/>
      <c r="G458" s="2428"/>
      <c r="H458" s="2428"/>
      <c r="I458" s="2428"/>
      <c r="J458" s="2428"/>
      <c r="K458" s="2428"/>
      <c r="L458" s="2428"/>
      <c r="M458" s="2428"/>
      <c r="N458" s="2428"/>
      <c r="O458" s="2428"/>
      <c r="P458" s="2428"/>
      <c r="Q458" s="2428"/>
      <c r="R458" s="2428"/>
      <c r="S458" s="2428"/>
      <c r="T458" s="2428"/>
      <c r="U458" s="2428"/>
      <c r="V458" s="2428"/>
      <c r="W458" s="2428"/>
      <c r="X458" s="2428"/>
      <c r="Y458" s="2428"/>
      <c r="Z458" s="2428"/>
      <c r="AA458" s="2428"/>
      <c r="AB458" s="2428"/>
      <c r="AC458" s="2428"/>
      <c r="AD458" s="2428"/>
      <c r="AE458" s="2428"/>
      <c r="AF458" s="539"/>
      <c r="AG458" s="536"/>
      <c r="AL458" s="732"/>
      <c r="AM458" s="570"/>
      <c r="AN458" s="535"/>
    </row>
    <row r="459" spans="1:40" s="550" customFormat="1" ht="12.75" customHeight="1">
      <c r="A459" s="536"/>
      <c r="B459" s="14"/>
      <c r="C459" s="731"/>
      <c r="D459" s="14"/>
      <c r="E459" s="691"/>
      <c r="F459" s="2428"/>
      <c r="G459" s="2428"/>
      <c r="H459" s="2428"/>
      <c r="I459" s="2428"/>
      <c r="J459" s="2428"/>
      <c r="K459" s="2428"/>
      <c r="L459" s="2428"/>
      <c r="M459" s="2428"/>
      <c r="N459" s="2428"/>
      <c r="O459" s="2428"/>
      <c r="P459" s="2428"/>
      <c r="Q459" s="2428"/>
      <c r="R459" s="2428"/>
      <c r="S459" s="2428"/>
      <c r="T459" s="2428"/>
      <c r="U459" s="2428"/>
      <c r="V459" s="2428"/>
      <c r="W459" s="2428"/>
      <c r="X459" s="2428"/>
      <c r="Y459" s="2428"/>
      <c r="Z459" s="2428"/>
      <c r="AA459" s="2428"/>
      <c r="AB459" s="2428"/>
      <c r="AC459" s="2428"/>
      <c r="AD459" s="2428"/>
      <c r="AE459" s="2428"/>
      <c r="AF459" s="539"/>
      <c r="AG459" s="536"/>
      <c r="AL459" s="732"/>
      <c r="AM459" s="570"/>
      <c r="AN459" s="535"/>
    </row>
    <row r="460" spans="1:40" s="550" customFormat="1" ht="12.75" customHeight="1">
      <c r="A460" s="536"/>
      <c r="B460" s="14"/>
      <c r="C460" s="756"/>
      <c r="D460" s="723"/>
      <c r="E460" s="724"/>
      <c r="F460" s="2429"/>
      <c r="G460" s="2429"/>
      <c r="H460" s="2429"/>
      <c r="I460" s="2429"/>
      <c r="J460" s="2429"/>
      <c r="K460" s="2429"/>
      <c r="L460" s="2429"/>
      <c r="M460" s="2429"/>
      <c r="N460" s="2429"/>
      <c r="O460" s="2429"/>
      <c r="P460" s="2429"/>
      <c r="Q460" s="2429"/>
      <c r="R460" s="2429"/>
      <c r="S460" s="2429"/>
      <c r="T460" s="2429"/>
      <c r="U460" s="2429"/>
      <c r="V460" s="2429"/>
      <c r="W460" s="2429"/>
      <c r="X460" s="2429"/>
      <c r="Y460" s="2429"/>
      <c r="Z460" s="2429"/>
      <c r="AA460" s="2429"/>
      <c r="AB460" s="2429"/>
      <c r="AC460" s="2429"/>
      <c r="AD460" s="2429"/>
      <c r="AE460" s="242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7" t="s">
        <v>1508</v>
      </c>
      <c r="G462" s="2427"/>
      <c r="H462" s="2427"/>
      <c r="I462" s="2427"/>
      <c r="J462" s="2427"/>
      <c r="K462" s="2427"/>
      <c r="L462" s="2427"/>
      <c r="M462" s="2427"/>
      <c r="N462" s="2427"/>
      <c r="O462" s="2427"/>
      <c r="P462" s="2427"/>
      <c r="Q462" s="2427"/>
      <c r="R462" s="2427"/>
      <c r="S462" s="2427"/>
      <c r="T462" s="2427"/>
      <c r="U462" s="2427"/>
      <c r="V462" s="2427"/>
      <c r="W462" s="2427"/>
      <c r="X462" s="2427"/>
      <c r="Y462" s="2427"/>
      <c r="Z462" s="2427"/>
      <c r="AA462" s="2427"/>
      <c r="AB462" s="2427"/>
      <c r="AC462" s="2427"/>
      <c r="AD462" s="2427"/>
      <c r="AE462" s="2427"/>
      <c r="AF462" s="2427"/>
      <c r="AG462" s="744"/>
      <c r="AH462" s="714"/>
      <c r="AI462" s="714"/>
      <c r="AJ462" s="714"/>
      <c r="AK462" s="714"/>
      <c r="AL462" s="745"/>
      <c r="AM462" s="570"/>
      <c r="AN462" s="597"/>
    </row>
    <row r="463" spans="1:40" s="550" customFormat="1" ht="12.75" customHeight="1">
      <c r="A463" s="536"/>
      <c r="B463" s="14"/>
      <c r="C463" s="731"/>
      <c r="D463" s="14"/>
      <c r="E463" s="691"/>
      <c r="F463" s="2428"/>
      <c r="G463" s="2428"/>
      <c r="H463" s="2428"/>
      <c r="I463" s="2428"/>
      <c r="J463" s="2428"/>
      <c r="K463" s="2428"/>
      <c r="L463" s="2428"/>
      <c r="M463" s="2428"/>
      <c r="N463" s="2428"/>
      <c r="O463" s="2428"/>
      <c r="P463" s="2428"/>
      <c r="Q463" s="2428"/>
      <c r="R463" s="2428"/>
      <c r="S463" s="2428"/>
      <c r="T463" s="2428"/>
      <c r="U463" s="2428"/>
      <c r="V463" s="2428"/>
      <c r="W463" s="2428"/>
      <c r="X463" s="2428"/>
      <c r="Y463" s="2428"/>
      <c r="Z463" s="2428"/>
      <c r="AA463" s="2428"/>
      <c r="AB463" s="2428"/>
      <c r="AC463" s="2428"/>
      <c r="AD463" s="2428"/>
      <c r="AE463" s="2428"/>
      <c r="AF463" s="2428"/>
      <c r="AL463" s="732"/>
      <c r="AM463" s="570"/>
      <c r="AN463" s="597"/>
    </row>
    <row r="464" spans="1:40" s="550" customFormat="1" ht="12.75" customHeight="1">
      <c r="A464" s="536"/>
      <c r="B464" s="14"/>
      <c r="C464" s="739"/>
      <c r="F464" s="2428"/>
      <c r="G464" s="2428"/>
      <c r="H464" s="2428"/>
      <c r="I464" s="2428"/>
      <c r="J464" s="2428"/>
      <c r="K464" s="2428"/>
      <c r="L464" s="2428"/>
      <c r="M464" s="2428"/>
      <c r="N464" s="2428"/>
      <c r="O464" s="2428"/>
      <c r="P464" s="2428"/>
      <c r="Q464" s="2428"/>
      <c r="R464" s="2428"/>
      <c r="S464" s="2428"/>
      <c r="T464" s="2428"/>
      <c r="U464" s="2428"/>
      <c r="V464" s="2428"/>
      <c r="W464" s="2428"/>
      <c r="X464" s="2428"/>
      <c r="Y464" s="2428"/>
      <c r="Z464" s="2428"/>
      <c r="AA464" s="2428"/>
      <c r="AB464" s="2428"/>
      <c r="AC464" s="2428"/>
      <c r="AD464" s="2428"/>
      <c r="AE464" s="2428"/>
      <c r="AF464" s="2428"/>
      <c r="AL464" s="732"/>
      <c r="AM464" s="570"/>
      <c r="AN464" s="597"/>
    </row>
    <row r="465" spans="1:58" s="550" customFormat="1" ht="12.75" customHeight="1">
      <c r="A465" s="536"/>
      <c r="B465" s="14"/>
      <c r="C465" s="739"/>
      <c r="F465" s="2428"/>
      <c r="G465" s="2428"/>
      <c r="H465" s="2428"/>
      <c r="I465" s="2428"/>
      <c r="J465" s="2428"/>
      <c r="K465" s="2428"/>
      <c r="L465" s="2428"/>
      <c r="M465" s="2428"/>
      <c r="N465" s="2428"/>
      <c r="O465" s="2428"/>
      <c r="P465" s="2428"/>
      <c r="Q465" s="2428"/>
      <c r="R465" s="2428"/>
      <c r="S465" s="2428"/>
      <c r="T465" s="2428"/>
      <c r="U465" s="2428"/>
      <c r="V465" s="2428"/>
      <c r="W465" s="2428"/>
      <c r="X465" s="2428"/>
      <c r="Y465" s="2428"/>
      <c r="Z465" s="2428"/>
      <c r="AA465" s="2428"/>
      <c r="AB465" s="2428"/>
      <c r="AC465" s="2428"/>
      <c r="AD465" s="2428"/>
      <c r="AE465" s="2428"/>
      <c r="AF465" s="2428"/>
      <c r="AL465" s="732"/>
      <c r="AM465" s="570"/>
      <c r="AN465" s="597"/>
    </row>
    <row r="466" spans="1:58" s="550" customFormat="1" ht="12.75" customHeight="1">
      <c r="A466" s="536"/>
      <c r="B466" s="14"/>
      <c r="C466" s="2437" t="s">
        <v>592</v>
      </c>
      <c r="D466" s="243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9" t="s">
        <v>1463</v>
      </c>
      <c r="AG466" s="2439"/>
      <c r="AH466" s="2439"/>
      <c r="AI466" s="2439"/>
      <c r="AJ466" s="2439"/>
      <c r="AK466" s="2439"/>
      <c r="AL466" s="244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4">
        <f>IF(Application!D214="N/A",AS358,AS360)</f>
        <v>12</v>
      </c>
      <c r="AL469" s="2425"/>
      <c r="AM469" s="242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39" t="s">
        <v>1512</v>
      </c>
      <c r="AF472" s="2439"/>
      <c r="AG472" s="2439"/>
      <c r="AH472" s="2439"/>
      <c r="AI472" s="2439"/>
      <c r="AJ472" s="2439"/>
      <c r="AK472" s="243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6" t="s">
        <v>592</v>
      </c>
      <c r="D478" s="2447"/>
      <c r="E478" s="761" t="s">
        <v>508</v>
      </c>
      <c r="F478" s="2524" t="s">
        <v>1518</v>
      </c>
      <c r="G478" s="2524"/>
      <c r="H478" s="2524"/>
      <c r="I478" s="2524"/>
      <c r="J478" s="2524"/>
      <c r="K478" s="2524"/>
      <c r="L478" s="2524"/>
      <c r="M478" s="2524"/>
      <c r="N478" s="2524"/>
      <c r="O478" s="2524"/>
      <c r="P478" s="2524"/>
      <c r="Q478" s="2524"/>
      <c r="R478" s="2524"/>
      <c r="S478" s="2524"/>
      <c r="T478" s="2524"/>
      <c r="U478" s="2524"/>
      <c r="V478" s="2524"/>
      <c r="W478" s="2524"/>
      <c r="X478" s="2524"/>
      <c r="Y478" s="2524"/>
      <c r="Z478" s="2524"/>
      <c r="AA478" s="2524"/>
      <c r="AB478" s="2524"/>
      <c r="AC478" s="2524"/>
      <c r="AD478" s="2524"/>
      <c r="AE478" s="252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5"/>
      <c r="G479" s="2525"/>
      <c r="H479" s="2525"/>
      <c r="I479" s="2525"/>
      <c r="J479" s="2525"/>
      <c r="K479" s="2525"/>
      <c r="L479" s="2525"/>
      <c r="M479" s="2525"/>
      <c r="N479" s="2525"/>
      <c r="O479" s="2525"/>
      <c r="P479" s="2525"/>
      <c r="Q479" s="2525"/>
      <c r="R479" s="2525"/>
      <c r="S479" s="2525"/>
      <c r="T479" s="2525"/>
      <c r="U479" s="2525"/>
      <c r="V479" s="2525"/>
      <c r="W479" s="2525"/>
      <c r="X479" s="2525"/>
      <c r="Y479" s="2525"/>
      <c r="Z479" s="2525"/>
      <c r="AA479" s="2525"/>
      <c r="AB479" s="2525"/>
      <c r="AC479" s="2525"/>
      <c r="AD479" s="2525"/>
      <c r="AE479" s="252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2" t="s">
        <v>592</v>
      </c>
      <c r="G480" s="2452"/>
      <c r="H480" s="2452"/>
      <c r="I480" s="2452"/>
      <c r="J480" s="2452"/>
      <c r="K480" s="2452"/>
      <c r="L480" s="2452"/>
      <c r="M480" s="2452"/>
      <c r="N480" s="2452"/>
      <c r="O480" s="2452"/>
      <c r="P480" s="2452"/>
      <c r="Q480" s="2452"/>
      <c r="R480" s="2452"/>
      <c r="S480" s="2452"/>
      <c r="T480" s="2452"/>
      <c r="U480" s="2452"/>
      <c r="V480" s="2452"/>
      <c r="W480" s="2452"/>
      <c r="X480" s="2452"/>
      <c r="Y480" s="2452"/>
      <c r="Z480" s="245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3" t="s">
        <v>546</v>
      </c>
      <c r="D482" s="245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2" t="s">
        <v>592</v>
      </c>
      <c r="W485" s="2432"/>
      <c r="X485" s="243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2" t="s">
        <v>592</v>
      </c>
      <c r="W487" s="2432"/>
      <c r="X487" s="243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2" t="s">
        <v>592</v>
      </c>
      <c r="W492" s="2432"/>
      <c r="X492" s="243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1"/>
      <c r="E495" s="245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2" t="s">
        <v>592</v>
      </c>
      <c r="W496" s="2432"/>
      <c r="X496" s="243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2" t="s">
        <v>592</v>
      </c>
      <c r="W498" s="2432"/>
      <c r="X498" s="243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6" t="s">
        <v>592</v>
      </c>
      <c r="D501" s="2447"/>
      <c r="E501" s="761" t="s">
        <v>508</v>
      </c>
      <c r="F501" s="2524" t="s">
        <v>1518</v>
      </c>
      <c r="G501" s="2524"/>
      <c r="H501" s="2524"/>
      <c r="I501" s="2524"/>
      <c r="J501" s="2524"/>
      <c r="K501" s="2524"/>
      <c r="L501" s="2524"/>
      <c r="M501" s="2524"/>
      <c r="N501" s="2524"/>
      <c r="O501" s="2524"/>
      <c r="P501" s="2524"/>
      <c r="Q501" s="2524"/>
      <c r="R501" s="2524"/>
      <c r="S501" s="2524"/>
      <c r="T501" s="2524"/>
      <c r="U501" s="2524"/>
      <c r="V501" s="2524"/>
      <c r="W501" s="2524"/>
      <c r="X501" s="2524"/>
      <c r="Y501" s="2524"/>
      <c r="Z501" s="2524"/>
      <c r="AA501" s="2524"/>
      <c r="AB501" s="2524"/>
      <c r="AC501" s="2524"/>
      <c r="AD501" s="2524"/>
      <c r="AE501" s="252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5"/>
      <c r="G502" s="2525"/>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5" t="s">
        <v>592</v>
      </c>
      <c r="G503" s="2445"/>
      <c r="H503" s="2445"/>
      <c r="I503" s="2445"/>
      <c r="J503" s="2445"/>
      <c r="K503" s="2445"/>
      <c r="L503" s="2445"/>
      <c r="M503" s="2445"/>
      <c r="N503" s="2445"/>
      <c r="O503" s="2445"/>
      <c r="P503" s="2445"/>
      <c r="Q503" s="2445"/>
      <c r="R503" s="2445"/>
      <c r="S503" s="2445"/>
      <c r="T503" s="2445"/>
      <c r="U503" s="2445"/>
      <c r="V503" s="2445"/>
      <c r="W503" s="2445"/>
      <c r="X503" s="2445"/>
      <c r="Y503" s="2445"/>
      <c r="Z503" s="244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6" t="s">
        <v>592</v>
      </c>
      <c r="D505" s="2447"/>
      <c r="E505" s="761" t="s">
        <v>758</v>
      </c>
      <c r="F505" s="2448" t="s">
        <v>1540</v>
      </c>
      <c r="G505" s="2448"/>
      <c r="H505" s="2448"/>
      <c r="I505" s="2448"/>
      <c r="J505" s="2448"/>
      <c r="K505" s="2448"/>
      <c r="L505" s="2448"/>
      <c r="M505" s="2448"/>
      <c r="N505" s="2448"/>
      <c r="O505" s="2448"/>
      <c r="P505" s="2448"/>
      <c r="Q505" s="2448"/>
      <c r="R505" s="2448"/>
      <c r="S505" s="2448"/>
      <c r="T505" s="2448"/>
      <c r="U505" s="2448"/>
      <c r="V505" s="2448"/>
      <c r="W505" s="2448"/>
      <c r="X505" s="2448"/>
      <c r="Y505" s="2448"/>
      <c r="Z505" s="2448"/>
      <c r="AA505" s="2448"/>
      <c r="AB505" s="2448"/>
      <c r="AC505" s="2448"/>
      <c r="AD505" s="2448"/>
      <c r="AE505" s="244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9"/>
      <c r="G506" s="2449"/>
      <c r="H506" s="2449"/>
      <c r="I506" s="2449"/>
      <c r="J506" s="2449"/>
      <c r="K506" s="2449"/>
      <c r="L506" s="2449"/>
      <c r="M506" s="2449"/>
      <c r="N506" s="2449"/>
      <c r="O506" s="2449"/>
      <c r="P506" s="2449"/>
      <c r="Q506" s="2449"/>
      <c r="R506" s="2449"/>
      <c r="S506" s="2449"/>
      <c r="T506" s="2449"/>
      <c r="U506" s="2449"/>
      <c r="V506" s="2449"/>
      <c r="W506" s="2449"/>
      <c r="X506" s="2449"/>
      <c r="Y506" s="2449"/>
      <c r="Z506" s="2449"/>
      <c r="AA506" s="2449"/>
      <c r="AB506" s="2449"/>
      <c r="AC506" s="2449"/>
      <c r="AD506" s="2449"/>
      <c r="AE506" s="244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0" t="s">
        <v>592</v>
      </c>
      <c r="G508" s="2450"/>
      <c r="H508" s="245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6" t="s">
        <v>592</v>
      </c>
      <c r="D510" s="244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6"/>
      <c r="D512" s="245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7" t="s">
        <v>592</v>
      </c>
      <c r="H513" s="2467"/>
      <c r="I513" s="2467"/>
      <c r="J513" s="2467"/>
      <c r="K513" s="2467"/>
      <c r="L513" s="2467"/>
      <c r="M513" s="2467"/>
      <c r="N513" s="2467"/>
      <c r="O513" s="2467"/>
      <c r="P513" s="2467"/>
      <c r="Q513" s="2467"/>
      <c r="R513" s="2467"/>
      <c r="S513" s="2467"/>
      <c r="T513" s="2467"/>
      <c r="U513" s="2467"/>
      <c r="V513" s="2467"/>
      <c r="W513" s="2467"/>
      <c r="X513" s="2467"/>
      <c r="Y513" s="2467"/>
      <c r="Z513" s="2467"/>
      <c r="AA513" s="2467"/>
      <c r="AB513" s="2467"/>
      <c r="AC513" s="2467"/>
      <c r="AD513" s="2467"/>
      <c r="AE513" s="2467"/>
      <c r="AF513" s="246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8" t="s">
        <v>592</v>
      </c>
      <c r="D515" s="251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8" t="s">
        <v>592</v>
      </c>
      <c r="D519" s="2519"/>
      <c r="F519" s="795" t="s">
        <v>1548</v>
      </c>
      <c r="G519" s="2428" t="s">
        <v>1549</v>
      </c>
      <c r="H519" s="2428"/>
      <c r="I519" s="2428"/>
      <c r="J519" s="2428"/>
      <c r="K519" s="2428"/>
      <c r="L519" s="2428"/>
      <c r="M519" s="2428"/>
      <c r="N519" s="2428"/>
      <c r="O519" s="2428"/>
      <c r="P519" s="2428"/>
      <c r="Q519" s="2428"/>
      <c r="R519" s="2428"/>
      <c r="S519" s="2428"/>
      <c r="T519" s="2428"/>
      <c r="U519" s="2428"/>
      <c r="V519" s="2428"/>
      <c r="W519" s="2428"/>
      <c r="X519" s="2428"/>
      <c r="Y519" s="2428"/>
      <c r="Z519" s="2428"/>
      <c r="AA519" s="2428"/>
      <c r="AB519" s="2428"/>
      <c r="AC519" s="2428"/>
      <c r="AD519" s="2428"/>
      <c r="AE519" s="2428"/>
      <c r="AF519" s="242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9"/>
      <c r="H520" s="2429"/>
      <c r="I520" s="2429"/>
      <c r="J520" s="2429"/>
      <c r="K520" s="2429"/>
      <c r="L520" s="2429"/>
      <c r="M520" s="2429"/>
      <c r="N520" s="2429"/>
      <c r="O520" s="2429"/>
      <c r="P520" s="2429"/>
      <c r="Q520" s="2429"/>
      <c r="R520" s="2429"/>
      <c r="S520" s="2429"/>
      <c r="T520" s="2429"/>
      <c r="U520" s="2429"/>
      <c r="V520" s="2429"/>
      <c r="W520" s="2429"/>
      <c r="X520" s="2429"/>
      <c r="Y520" s="2429"/>
      <c r="Z520" s="2429"/>
      <c r="AA520" s="2429"/>
      <c r="AB520" s="2429"/>
      <c r="AC520" s="2429"/>
      <c r="AD520" s="2429"/>
      <c r="AE520" s="2429"/>
      <c r="AF520" s="242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0" t="s">
        <v>592</v>
      </c>
      <c r="D523" s="252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2" t="s">
        <v>592</v>
      </c>
      <c r="G524" s="2522"/>
      <c r="H524" s="2522"/>
      <c r="I524" s="2522"/>
      <c r="J524" s="2522"/>
      <c r="K524" s="2522"/>
      <c r="L524" s="2522"/>
      <c r="M524" s="2522"/>
      <c r="N524" s="2522"/>
      <c r="O524" s="2522"/>
      <c r="P524" s="2522"/>
      <c r="Q524" s="2522"/>
      <c r="R524" s="2522"/>
      <c r="S524" s="2522"/>
      <c r="T524" s="2522"/>
      <c r="U524" s="2522"/>
      <c r="V524" s="2522"/>
      <c r="W524" s="2522"/>
      <c r="X524" s="2522"/>
      <c r="Y524" s="2522"/>
      <c r="Z524" s="2522"/>
      <c r="AA524" s="2522"/>
      <c r="AB524" s="2522"/>
      <c r="AC524" s="2522"/>
      <c r="AD524" s="2522"/>
      <c r="AE524" s="2522"/>
      <c r="AF524" s="252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3"/>
      <c r="G525" s="2523"/>
      <c r="H525" s="2523"/>
      <c r="I525" s="2523"/>
      <c r="J525" s="2523"/>
      <c r="K525" s="2523"/>
      <c r="L525" s="2523"/>
      <c r="M525" s="2523"/>
      <c r="N525" s="2523"/>
      <c r="O525" s="2523"/>
      <c r="P525" s="2523"/>
      <c r="Q525" s="2523"/>
      <c r="R525" s="2523"/>
      <c r="S525" s="2523"/>
      <c r="T525" s="2523"/>
      <c r="U525" s="2523"/>
      <c r="V525" s="2523"/>
      <c r="W525" s="2523"/>
      <c r="X525" s="2523"/>
      <c r="Y525" s="2523"/>
      <c r="Z525" s="2523"/>
      <c r="AA525" s="2523"/>
      <c r="AB525" s="2523"/>
      <c r="AC525" s="2523"/>
      <c r="AD525" s="2523"/>
      <c r="AE525" s="2523"/>
      <c r="AF525" s="252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4">
        <f>SUM(AG479:AG524)</f>
        <v>0</v>
      </c>
      <c r="AL535" s="2425"/>
      <c r="AM535" s="242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7" t="s">
        <v>1561</v>
      </c>
      <c r="AF538" s="2457"/>
      <c r="AG538" s="2457"/>
      <c r="AH538" s="2457"/>
      <c r="AI538" s="2457"/>
      <c r="AJ538" s="2457"/>
      <c r="AK538" s="245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8" t="s">
        <v>546</v>
      </c>
      <c r="D541" s="2438"/>
      <c r="E541" s="551"/>
      <c r="F541" s="2460" t="s">
        <v>1562</v>
      </c>
      <c r="G541" s="2461"/>
      <c r="H541" s="2461"/>
      <c r="I541" s="2461"/>
      <c r="J541" s="2461"/>
      <c r="K541" s="2461"/>
      <c r="L541" s="2461"/>
      <c r="M541" s="2461"/>
      <c r="N541" s="2461"/>
      <c r="O541" s="2461"/>
      <c r="P541" s="2461"/>
      <c r="Q541" s="2461"/>
      <c r="R541" s="2461"/>
      <c r="S541" s="2461"/>
      <c r="T541" s="2461"/>
      <c r="U541" s="2461"/>
      <c r="V541" s="2461"/>
      <c r="W541" s="2461"/>
      <c r="X541" s="2461"/>
      <c r="Y541" s="2461"/>
      <c r="Z541" s="2461"/>
      <c r="AA541" s="2461"/>
      <c r="AB541" s="2461"/>
      <c r="AC541" s="2461"/>
      <c r="AD541" s="2461"/>
      <c r="AE541" s="2461"/>
      <c r="AF541" s="2461"/>
      <c r="AG541" s="2461"/>
      <c r="AH541" s="2461"/>
      <c r="AI541" s="2461"/>
      <c r="AJ541" s="2461"/>
      <c r="AK541" s="2461"/>
      <c r="AL541" s="2462"/>
      <c r="AM541" s="595"/>
      <c r="AN541" s="597"/>
    </row>
    <row r="542" spans="1:81" s="550" customFormat="1" ht="12.75" customHeight="1">
      <c r="A542" s="539"/>
      <c r="B542" s="539"/>
      <c r="C542" s="551"/>
      <c r="D542" s="551"/>
      <c r="E542" s="551"/>
      <c r="F542" s="2463"/>
      <c r="G542" s="2464"/>
      <c r="H542" s="2464"/>
      <c r="I542" s="2464"/>
      <c r="J542" s="2464"/>
      <c r="K542" s="2464"/>
      <c r="L542" s="2464"/>
      <c r="M542" s="2464"/>
      <c r="N542" s="2464"/>
      <c r="O542" s="2464"/>
      <c r="P542" s="2464"/>
      <c r="Q542" s="2464"/>
      <c r="R542" s="2464"/>
      <c r="S542" s="2464"/>
      <c r="T542" s="2464"/>
      <c r="U542" s="2464"/>
      <c r="V542" s="2464"/>
      <c r="W542" s="2464"/>
      <c r="X542" s="2464"/>
      <c r="Y542" s="2464"/>
      <c r="Z542" s="2464"/>
      <c r="AA542" s="2464"/>
      <c r="AB542" s="2464"/>
      <c r="AC542" s="2464"/>
      <c r="AD542" s="2464"/>
      <c r="AE542" s="2464"/>
      <c r="AF542" s="2464"/>
      <c r="AG542" s="2464"/>
      <c r="AH542" s="2464"/>
      <c r="AI542" s="2464"/>
      <c r="AJ542" s="2464"/>
      <c r="AK542" s="2464"/>
      <c r="AL542" s="246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8" t="s">
        <v>592</v>
      </c>
      <c r="D544" s="243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6" t="s">
        <v>1564</v>
      </c>
      <c r="G545" s="2417"/>
      <c r="H545" s="2417"/>
      <c r="I545" s="2417"/>
      <c r="J545" s="2417"/>
      <c r="K545" s="2417"/>
      <c r="L545" s="2417"/>
      <c r="M545" s="2417"/>
      <c r="N545" s="2417"/>
      <c r="O545" s="2417"/>
      <c r="P545" s="2417"/>
      <c r="Q545" s="2417"/>
      <c r="R545" s="2417"/>
      <c r="S545" s="2417"/>
      <c r="T545" s="2417"/>
      <c r="U545" s="2417"/>
      <c r="V545" s="2417"/>
      <c r="W545" s="2417"/>
      <c r="X545" s="2417"/>
      <c r="Y545" s="2417"/>
      <c r="Z545" s="2417"/>
      <c r="AA545" s="2417"/>
      <c r="AB545" s="2417"/>
      <c r="AC545" s="2417"/>
      <c r="AD545" s="2417"/>
      <c r="AE545" s="2417"/>
      <c r="AF545" s="2417"/>
      <c r="AG545" s="2417"/>
      <c r="AH545" s="2417"/>
      <c r="AI545" s="2417"/>
      <c r="AJ545" s="2417"/>
      <c r="AK545" s="2417"/>
      <c r="AL545" s="2418"/>
      <c r="AM545" s="595"/>
      <c r="AN545" s="597"/>
      <c r="AS545" s="870"/>
      <c r="AT545" s="870"/>
      <c r="AU545" s="870"/>
      <c r="AV545" s="870"/>
      <c r="AW545" s="870"/>
    </row>
    <row r="546" spans="1:49" s="550" customFormat="1" ht="12.75" customHeight="1">
      <c r="B546" s="806"/>
      <c r="C546" s="806"/>
      <c r="D546" s="806"/>
      <c r="E546" s="806"/>
      <c r="F546" s="2416"/>
      <c r="G546" s="2417"/>
      <c r="H546" s="2417"/>
      <c r="I546" s="2417"/>
      <c r="J546" s="2417"/>
      <c r="K546" s="2417"/>
      <c r="L546" s="2417"/>
      <c r="M546" s="2417"/>
      <c r="N546" s="2417"/>
      <c r="O546" s="2417"/>
      <c r="P546" s="2417"/>
      <c r="Q546" s="2417"/>
      <c r="R546" s="2417"/>
      <c r="S546" s="2417"/>
      <c r="T546" s="2417"/>
      <c r="U546" s="2417"/>
      <c r="V546" s="2417"/>
      <c r="W546" s="2417"/>
      <c r="X546" s="2417"/>
      <c r="Y546" s="2417"/>
      <c r="Z546" s="2417"/>
      <c r="AA546" s="2417"/>
      <c r="AB546" s="2417"/>
      <c r="AC546" s="2417"/>
      <c r="AD546" s="2417"/>
      <c r="AE546" s="2417"/>
      <c r="AF546" s="2417"/>
      <c r="AG546" s="2417"/>
      <c r="AH546" s="2417"/>
      <c r="AI546" s="2417"/>
      <c r="AJ546" s="2417"/>
      <c r="AK546" s="2417"/>
      <c r="AL546" s="241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6" t="s">
        <v>1565</v>
      </c>
      <c r="G548" s="2417"/>
      <c r="H548" s="2417"/>
      <c r="I548" s="2417"/>
      <c r="J548" s="2417"/>
      <c r="K548" s="2417"/>
      <c r="L548" s="2417"/>
      <c r="M548" s="2417"/>
      <c r="N548" s="2417"/>
      <c r="O548" s="2417"/>
      <c r="P548" s="2417"/>
      <c r="Q548" s="2417"/>
      <c r="R548" s="2417"/>
      <c r="S548" s="2417"/>
      <c r="T548" s="2417"/>
      <c r="U548" s="2417"/>
      <c r="V548" s="2417"/>
      <c r="W548" s="2417"/>
      <c r="X548" s="2417"/>
      <c r="Y548" s="2417"/>
      <c r="Z548" s="2417"/>
      <c r="AA548" s="2417"/>
      <c r="AB548" s="2417"/>
      <c r="AC548" s="2417"/>
      <c r="AD548" s="2417"/>
      <c r="AE548" s="2417"/>
      <c r="AF548" s="2417"/>
      <c r="AG548" s="2417"/>
      <c r="AH548" s="2417"/>
      <c r="AI548" s="2417"/>
      <c r="AJ548" s="2417"/>
      <c r="AK548" s="2417"/>
      <c r="AL548" s="813"/>
      <c r="AM548" s="595"/>
      <c r="AN548" s="597"/>
    </row>
    <row r="549" spans="1:49" s="550" customFormat="1" ht="12.75" customHeight="1">
      <c r="B549" s="806"/>
      <c r="C549" s="806"/>
      <c r="D549" s="806"/>
      <c r="E549" s="806"/>
      <c r="F549" s="2419"/>
      <c r="G549" s="2420"/>
      <c r="H549" s="2420"/>
      <c r="I549" s="2420"/>
      <c r="J549" s="2420"/>
      <c r="K549" s="2420"/>
      <c r="L549" s="2420"/>
      <c r="M549" s="2420"/>
      <c r="N549" s="2420"/>
      <c r="O549" s="2420"/>
      <c r="P549" s="2420"/>
      <c r="Q549" s="2420"/>
      <c r="R549" s="2420"/>
      <c r="S549" s="2420"/>
      <c r="T549" s="2420"/>
      <c r="U549" s="2420"/>
      <c r="V549" s="2420"/>
      <c r="W549" s="2420"/>
      <c r="X549" s="2420"/>
      <c r="Y549" s="2420"/>
      <c r="Z549" s="2420"/>
      <c r="AA549" s="2420"/>
      <c r="AB549" s="2420"/>
      <c r="AC549" s="2420"/>
      <c r="AD549" s="2420"/>
      <c r="AE549" s="2420"/>
      <c r="AF549" s="2420"/>
      <c r="AG549" s="2420"/>
      <c r="AH549" s="2420"/>
      <c r="AI549" s="2420"/>
      <c r="AJ549" s="2420"/>
      <c r="AK549" s="242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5">
        <f>Application!AJ992</f>
        <v>72017892</v>
      </c>
      <c r="AQ550" s="2415"/>
      <c r="AR550" s="2415"/>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1">
        <f>'Sources and Uses Budget'!S107+'Sources and Uses Budget'!T107</f>
        <v>68877904</v>
      </c>
      <c r="AG551" s="2421"/>
      <c r="AH551" s="2421"/>
      <c r="AI551" s="2421"/>
      <c r="AJ551" s="242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2">
        <f>IFERROR(AP559,0)</f>
        <v>115228626.8</v>
      </c>
      <c r="AG552" s="2422"/>
      <c r="AH552" s="2422"/>
      <c r="AI552" s="2422"/>
      <c r="AJ552" s="2422"/>
      <c r="AK552" s="595"/>
      <c r="AL552" s="595"/>
      <c r="AM552" s="595"/>
      <c r="AN552" s="597"/>
      <c r="AP552" s="2415">
        <f>Application!AJ1045</f>
        <v>7201789.2000000002</v>
      </c>
      <c r="AQ552" s="2415"/>
      <c r="AR552" s="241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3">
        <f>IFERROR(ROUNDDOWN(IF(C544="YES",((1-(AF551/AF552))*2),(1-(AF551/AF552))),2),0)</f>
        <v>0.4</v>
      </c>
      <c r="AG553" s="2423"/>
      <c r="AH553" s="2423"/>
      <c r="AI553" s="2423"/>
      <c r="AJ553" s="2423"/>
      <c r="AK553" s="595"/>
      <c r="AL553" s="595"/>
      <c r="AM553" s="595"/>
      <c r="AN553" s="597"/>
      <c r="AP553" s="2411">
        <f>Application!AJ1049</f>
        <v>21605367.599999998</v>
      </c>
      <c r="AQ553" s="2411"/>
      <c r="AR553" s="241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0">
        <f>IF(((AP552+AP553)/AP550)&gt;0.8,0.8,((AP552+AP553)/AP550))</f>
        <v>0.39999999999999997</v>
      </c>
      <c r="AQ554" s="2430"/>
      <c r="AR554" s="2430"/>
      <c r="AS554" s="550" t="s">
        <v>2172</v>
      </c>
    </row>
    <row r="555" spans="1:49" s="550" customFormat="1" ht="12.75" customHeight="1">
      <c r="A555" s="624"/>
      <c r="B555" s="2497" t="s">
        <v>2032</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5"/>
      <c r="AL555" s="595"/>
      <c r="AM555" s="595"/>
      <c r="AN555" s="597"/>
    </row>
    <row r="556" spans="1:49" s="550" customFormat="1" ht="12.75" customHeight="1">
      <c r="A556" s="624"/>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5"/>
      <c r="AL556" s="595"/>
      <c r="AM556" s="595"/>
      <c r="AN556" s="597"/>
      <c r="AP556" s="2415">
        <f>AP557-AP552-AP553</f>
        <v>86421470</v>
      </c>
      <c r="AQ556" s="2431"/>
      <c r="AR556" s="2431"/>
      <c r="AS556" s="550" t="s">
        <v>2174</v>
      </c>
    </row>
    <row r="557" spans="1:49" s="550" customFormat="1" ht="12.75" customHeight="1">
      <c r="A557" s="624"/>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5"/>
      <c r="AL557" s="595"/>
      <c r="AM557" s="595"/>
      <c r="AN557" s="597"/>
      <c r="AP557" s="2415">
        <f>Application!AJ1053</f>
        <v>115228626.8</v>
      </c>
      <c r="AQ557" s="2415"/>
      <c r="AR557" s="241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6">
        <f>IFERROR(IF(AND(C541="N/A",C544="N/A"),0,IF(AF553=0,0,IF((AF553*100)&gt;12,12,(AF553*100)))),0)</f>
        <v>12</v>
      </c>
      <c r="AL559" s="2506"/>
      <c r="AM559" s="2507"/>
      <c r="AN559" s="597"/>
      <c r="AP559" s="2400">
        <f>AP556+(AP550*AP554)</f>
        <v>115228626.8</v>
      </c>
      <c r="AQ559" s="2401"/>
      <c r="AR559" s="240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7" t="s">
        <v>1315</v>
      </c>
      <c r="AF562" s="2457"/>
      <c r="AG562" s="2457"/>
      <c r="AH562" s="2457"/>
      <c r="AI562" s="2457"/>
      <c r="AJ562" s="2457"/>
      <c r="AK562" s="245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7" t="s">
        <v>2023</v>
      </c>
      <c r="C564" s="2417"/>
      <c r="D564" s="2417"/>
      <c r="E564" s="2417"/>
      <c r="F564" s="2417"/>
      <c r="G564" s="2417"/>
      <c r="H564" s="2417"/>
      <c r="I564" s="2417"/>
      <c r="J564" s="2417"/>
      <c r="K564" s="2417"/>
      <c r="L564" s="2417"/>
      <c r="M564" s="2417"/>
      <c r="N564" s="2417"/>
      <c r="O564" s="2417"/>
      <c r="P564" s="2417"/>
      <c r="Q564" s="2417"/>
      <c r="R564" s="2417"/>
      <c r="S564" s="2417"/>
      <c r="T564" s="2417"/>
      <c r="U564" s="2417"/>
      <c r="V564" s="2417"/>
      <c r="W564" s="2417"/>
      <c r="X564" s="2417"/>
      <c r="Y564" s="2417"/>
      <c r="Z564" s="2417"/>
      <c r="AA564" s="2417"/>
      <c r="AB564" s="2417"/>
      <c r="AC564" s="2417"/>
      <c r="AD564" s="2417"/>
      <c r="AE564" s="2417"/>
      <c r="AF564" s="2417"/>
      <c r="AG564" s="2417"/>
      <c r="AH564" s="2417"/>
      <c r="AI564" s="2417"/>
      <c r="AJ564" s="2417"/>
      <c r="AK564" s="642"/>
      <c r="AL564" s="573"/>
      <c r="AM564" s="603"/>
      <c r="AN564" s="597"/>
    </row>
    <row r="565" spans="1:42" s="550" customFormat="1" ht="12.75" customHeight="1">
      <c r="A565" s="603"/>
      <c r="B565" s="2417"/>
      <c r="C565" s="2417"/>
      <c r="D565" s="2417"/>
      <c r="E565" s="2417"/>
      <c r="F565" s="2417"/>
      <c r="G565" s="2417"/>
      <c r="H565" s="2417"/>
      <c r="I565" s="2417"/>
      <c r="J565" s="2417"/>
      <c r="K565" s="2417"/>
      <c r="L565" s="2417"/>
      <c r="M565" s="2417"/>
      <c r="N565" s="2417"/>
      <c r="O565" s="2417"/>
      <c r="P565" s="2417"/>
      <c r="Q565" s="2417"/>
      <c r="R565" s="2417"/>
      <c r="S565" s="2417"/>
      <c r="T565" s="2417"/>
      <c r="U565" s="2417"/>
      <c r="V565" s="2417"/>
      <c r="W565" s="2417"/>
      <c r="X565" s="2417"/>
      <c r="Y565" s="2417"/>
      <c r="Z565" s="2417"/>
      <c r="AA565" s="2417"/>
      <c r="AB565" s="2417"/>
      <c r="AC565" s="2417"/>
      <c r="AD565" s="2417"/>
      <c r="AE565" s="2417"/>
      <c r="AF565" s="2417"/>
      <c r="AG565" s="2417"/>
      <c r="AH565" s="2417"/>
      <c r="AI565" s="2417"/>
      <c r="AJ565" s="2417"/>
      <c r="AK565" s="642"/>
      <c r="AL565" s="573"/>
      <c r="AM565" s="603"/>
      <c r="AN565" s="597"/>
    </row>
    <row r="566" spans="1:42" s="550" customFormat="1" ht="12.75" customHeight="1">
      <c r="A566" s="603"/>
      <c r="B566" s="2417"/>
      <c r="C566" s="2417"/>
      <c r="D566" s="2417"/>
      <c r="E566" s="2417"/>
      <c r="F566" s="2417"/>
      <c r="G566" s="2417"/>
      <c r="H566" s="2417"/>
      <c r="I566" s="2417"/>
      <c r="J566" s="2417"/>
      <c r="K566" s="2417"/>
      <c r="L566" s="2417"/>
      <c r="M566" s="2417"/>
      <c r="N566" s="2417"/>
      <c r="O566" s="2417"/>
      <c r="P566" s="2417"/>
      <c r="Q566" s="2417"/>
      <c r="R566" s="2417"/>
      <c r="S566" s="2417"/>
      <c r="T566" s="2417"/>
      <c r="U566" s="2417"/>
      <c r="V566" s="2417"/>
      <c r="W566" s="2417"/>
      <c r="X566" s="2417"/>
      <c r="Y566" s="2417"/>
      <c r="Z566" s="2417"/>
      <c r="AA566" s="2417"/>
      <c r="AB566" s="2417"/>
      <c r="AC566" s="2417"/>
      <c r="AD566" s="2417"/>
      <c r="AE566" s="2417"/>
      <c r="AF566" s="2417"/>
      <c r="AG566" s="2417"/>
      <c r="AH566" s="2417"/>
      <c r="AI566" s="2417"/>
      <c r="AJ566" s="2417"/>
      <c r="AK566" s="642"/>
      <c r="AL566" s="573"/>
      <c r="AM566" s="603"/>
      <c r="AN566" s="597"/>
    </row>
    <row r="567" spans="1:42" s="550" customFormat="1" ht="12.75" customHeight="1">
      <c r="A567" s="603"/>
      <c r="B567" s="2417"/>
      <c r="C567" s="2417"/>
      <c r="D567" s="2417"/>
      <c r="E567" s="2417"/>
      <c r="F567" s="2417"/>
      <c r="G567" s="2417"/>
      <c r="H567" s="2417"/>
      <c r="I567" s="2417"/>
      <c r="J567" s="2417"/>
      <c r="K567" s="2417"/>
      <c r="L567" s="2417"/>
      <c r="M567" s="2417"/>
      <c r="N567" s="2417"/>
      <c r="O567" s="2417"/>
      <c r="P567" s="2417"/>
      <c r="Q567" s="2417"/>
      <c r="R567" s="2417"/>
      <c r="S567" s="2417"/>
      <c r="T567" s="2417"/>
      <c r="U567" s="2417"/>
      <c r="V567" s="2417"/>
      <c r="W567" s="2417"/>
      <c r="X567" s="2417"/>
      <c r="Y567" s="2417"/>
      <c r="Z567" s="2417"/>
      <c r="AA567" s="2417"/>
      <c r="AB567" s="2417"/>
      <c r="AC567" s="2417"/>
      <c r="AD567" s="2417"/>
      <c r="AE567" s="2417"/>
      <c r="AF567" s="2417"/>
      <c r="AG567" s="2417"/>
      <c r="AH567" s="2417"/>
      <c r="AI567" s="2417"/>
      <c r="AJ567" s="2417"/>
      <c r="AK567" s="642"/>
      <c r="AL567" s="573"/>
      <c r="AM567" s="603"/>
      <c r="AN567" s="597"/>
    </row>
    <row r="568" spans="1:42" s="550" customFormat="1" ht="12.75" customHeight="1">
      <c r="A568" s="603"/>
      <c r="B568" s="2417"/>
      <c r="C568" s="2417"/>
      <c r="D568" s="2417"/>
      <c r="E568" s="2417"/>
      <c r="F568" s="2417"/>
      <c r="G568" s="2417"/>
      <c r="H568" s="2417"/>
      <c r="I568" s="2417"/>
      <c r="J568" s="2417"/>
      <c r="K568" s="2417"/>
      <c r="L568" s="2417"/>
      <c r="M568" s="2417"/>
      <c r="N568" s="2417"/>
      <c r="O568" s="2417"/>
      <c r="P568" s="2417"/>
      <c r="Q568" s="2417"/>
      <c r="R568" s="2417"/>
      <c r="S568" s="2417"/>
      <c r="T568" s="2417"/>
      <c r="U568" s="2417"/>
      <c r="V568" s="2417"/>
      <c r="W568" s="2417"/>
      <c r="X568" s="2417"/>
      <c r="Y568" s="2417"/>
      <c r="Z568" s="2417"/>
      <c r="AA568" s="2417"/>
      <c r="AB568" s="2417"/>
      <c r="AC568" s="2417"/>
      <c r="AD568" s="2417"/>
      <c r="AE568" s="2417"/>
      <c r="AF568" s="2417"/>
      <c r="AG568" s="2417"/>
      <c r="AH568" s="2417"/>
      <c r="AI568" s="2417"/>
      <c r="AJ568" s="2417"/>
      <c r="AK568" s="642"/>
      <c r="AL568" s="573"/>
      <c r="AM568" s="603"/>
      <c r="AN568" s="597"/>
    </row>
    <row r="569" spans="1:42" s="550" customFormat="1" ht="12.75" customHeight="1">
      <c r="A569" s="603"/>
      <c r="B569" s="2417"/>
      <c r="C569" s="2417"/>
      <c r="D569" s="2417"/>
      <c r="E569" s="2417"/>
      <c r="F569" s="2417"/>
      <c r="G569" s="2417"/>
      <c r="H569" s="2417"/>
      <c r="I569" s="2417"/>
      <c r="J569" s="2417"/>
      <c r="K569" s="2417"/>
      <c r="L569" s="2417"/>
      <c r="M569" s="2417"/>
      <c r="N569" s="2417"/>
      <c r="O569" s="2417"/>
      <c r="P569" s="2417"/>
      <c r="Q569" s="2417"/>
      <c r="R569" s="2417"/>
      <c r="S569" s="2417"/>
      <c r="T569" s="2417"/>
      <c r="U569" s="2417"/>
      <c r="V569" s="2417"/>
      <c r="W569" s="2417"/>
      <c r="X569" s="2417"/>
      <c r="Y569" s="2417"/>
      <c r="Z569" s="2417"/>
      <c r="AA569" s="2417"/>
      <c r="AB569" s="2417"/>
      <c r="AC569" s="2417"/>
      <c r="AD569" s="2417"/>
      <c r="AE569" s="2417"/>
      <c r="AF569" s="2417"/>
      <c r="AG569" s="2417"/>
      <c r="AH569" s="2417"/>
      <c r="AI569" s="2417"/>
      <c r="AJ569" s="2417"/>
      <c r="AK569" s="642"/>
      <c r="AL569" s="573"/>
      <c r="AM569" s="603"/>
      <c r="AN569" s="597"/>
    </row>
    <row r="570" spans="1:42" s="550" customFormat="1" ht="12.75" customHeight="1">
      <c r="A570" s="603"/>
      <c r="B570" s="2417"/>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7"/>
      <c r="AK570" s="642"/>
      <c r="AL570" s="573"/>
      <c r="AM570" s="603"/>
      <c r="AN570" s="597"/>
    </row>
    <row r="571" spans="1:42" ht="12.75" customHeight="1">
      <c r="A571" s="603"/>
      <c r="B571" s="2417"/>
      <c r="C571" s="2417"/>
      <c r="D571" s="2417"/>
      <c r="E571" s="2417"/>
      <c r="F571" s="2417"/>
      <c r="G571" s="2417"/>
      <c r="H571" s="2417"/>
      <c r="I571" s="2417"/>
      <c r="J571" s="2417"/>
      <c r="K571" s="2417"/>
      <c r="L571" s="2417"/>
      <c r="M571" s="2417"/>
      <c r="N571" s="2417"/>
      <c r="O571" s="2417"/>
      <c r="P571" s="2417"/>
      <c r="Q571" s="2417"/>
      <c r="R571" s="2417"/>
      <c r="S571" s="2417"/>
      <c r="T571" s="2417"/>
      <c r="U571" s="2417"/>
      <c r="V571" s="2417"/>
      <c r="W571" s="2417"/>
      <c r="X571" s="2417"/>
      <c r="Y571" s="2417"/>
      <c r="Z571" s="2417"/>
      <c r="AA571" s="2417"/>
      <c r="AB571" s="2417"/>
      <c r="AC571" s="2417"/>
      <c r="AD571" s="2417"/>
      <c r="AE571" s="2417"/>
      <c r="AF571" s="2417"/>
      <c r="AG571" s="2417"/>
      <c r="AH571" s="2417"/>
      <c r="AI571" s="2417"/>
      <c r="AJ571" s="2417"/>
      <c r="AK571" s="642"/>
      <c r="AL571" s="573"/>
      <c r="AM571" s="603"/>
    </row>
    <row r="572" spans="1:42" s="550" customFormat="1" ht="12.75" customHeight="1">
      <c r="B572" s="2417"/>
      <c r="C572" s="2417"/>
      <c r="D572" s="2417"/>
      <c r="E572" s="2417"/>
      <c r="F572" s="2417"/>
      <c r="G572" s="2417"/>
      <c r="H572" s="2417"/>
      <c r="I572" s="2417"/>
      <c r="J572" s="2417"/>
      <c r="K572" s="2417"/>
      <c r="L572" s="2417"/>
      <c r="M572" s="2417"/>
      <c r="N572" s="2417"/>
      <c r="O572" s="2417"/>
      <c r="P572" s="2417"/>
      <c r="Q572" s="2417"/>
      <c r="R572" s="2417"/>
      <c r="S572" s="2417"/>
      <c r="T572" s="2417"/>
      <c r="U572" s="2417"/>
      <c r="V572" s="2417"/>
      <c r="W572" s="2417"/>
      <c r="X572" s="2417"/>
      <c r="Y572" s="2417"/>
      <c r="Z572" s="2417"/>
      <c r="AA572" s="2417"/>
      <c r="AB572" s="2417"/>
      <c r="AC572" s="2417"/>
      <c r="AD572" s="2417"/>
      <c r="AE572" s="2417"/>
      <c r="AF572" s="2417"/>
      <c r="AG572" s="2417"/>
      <c r="AH572" s="2417"/>
      <c r="AI572" s="2417"/>
      <c r="AJ572" s="241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7" t="s">
        <v>1339</v>
      </c>
      <c r="AG578" s="2517"/>
      <c r="AH578" s="2517"/>
      <c r="AI578" s="2517"/>
      <c r="AJ578" s="2517"/>
      <c r="AK578" s="2517"/>
      <c r="AL578" s="251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7" t="s">
        <v>1397</v>
      </c>
      <c r="AG585" s="2517"/>
      <c r="AH585" s="2517"/>
      <c r="AI585" s="2517"/>
      <c r="AJ585" s="2517"/>
      <c r="AK585" s="2517"/>
      <c r="AL585" s="251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7" t="s">
        <v>1379</v>
      </c>
      <c r="AG591" s="2517"/>
      <c r="AH591" s="2517"/>
      <c r="AI591" s="2517"/>
      <c r="AJ591" s="2517"/>
      <c r="AK591" s="2517"/>
      <c r="AL591" s="251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7" t="s">
        <v>1400</v>
      </c>
      <c r="AG597" s="2517"/>
      <c r="AH597" s="2517"/>
      <c r="AI597" s="2517"/>
      <c r="AJ597" s="2517"/>
      <c r="AK597" s="2517"/>
      <c r="AL597" s="251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3" t="s">
        <v>1185</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7" t="s">
        <v>1353</v>
      </c>
      <c r="AG603" s="2517"/>
      <c r="AH603" s="2517"/>
      <c r="AI603" s="2517"/>
      <c r="AJ603" s="2517"/>
      <c r="AK603" s="2517"/>
      <c r="AL603" s="251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1" t="s">
        <v>688</v>
      </c>
      <c r="I606" s="2441"/>
      <c r="J606" s="936"/>
      <c r="K606" s="936"/>
      <c r="L606" s="936"/>
      <c r="N606" s="22"/>
      <c r="O606" s="22"/>
      <c r="P606" s="22"/>
      <c r="Q606" s="1151" t="s">
        <v>2177</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89" t="s">
        <v>592</v>
      </c>
      <c r="C616" s="2389"/>
      <c r="D616" s="642"/>
      <c r="E616" s="2417" t="s">
        <v>1404</v>
      </c>
      <c r="F616" s="2417"/>
      <c r="G616" s="2417"/>
      <c r="H616" s="2417"/>
      <c r="I616" s="2417"/>
      <c r="J616" s="2417"/>
      <c r="K616" s="2417"/>
      <c r="L616" s="2417"/>
      <c r="M616" s="2417"/>
      <c r="N616" s="2417"/>
      <c r="O616" s="2417"/>
      <c r="P616" s="2417"/>
      <c r="Q616" s="2417"/>
      <c r="R616" s="2417"/>
      <c r="S616" s="2417"/>
      <c r="T616" s="2417"/>
      <c r="U616" s="2417"/>
      <c r="V616" s="2417"/>
      <c r="W616" s="2417"/>
      <c r="X616" s="2417"/>
      <c r="Y616" s="2417"/>
      <c r="Z616" s="2417"/>
      <c r="AA616" s="2417"/>
      <c r="AB616" s="2417"/>
      <c r="AC616" s="2417"/>
      <c r="AD616" s="2417"/>
      <c r="AE616" s="2417"/>
      <c r="AF616" s="2417"/>
      <c r="AG616" s="2417"/>
      <c r="AH616" s="642"/>
      <c r="AI616" s="642"/>
      <c r="AJ616" s="642"/>
      <c r="AK616" s="642"/>
      <c r="AL616" s="642"/>
      <c r="AN616" s="597"/>
    </row>
    <row r="617" spans="1:42" s="550" customFormat="1" ht="12.75" customHeight="1">
      <c r="B617" s="536"/>
      <c r="C617" s="933"/>
      <c r="D617" s="642"/>
      <c r="E617" s="2417"/>
      <c r="F617" s="2417"/>
      <c r="G617" s="2417"/>
      <c r="H617" s="2417"/>
      <c r="I617" s="2417"/>
      <c r="J617" s="2417"/>
      <c r="K617" s="2417"/>
      <c r="L617" s="2417"/>
      <c r="M617" s="2417"/>
      <c r="N617" s="2417"/>
      <c r="O617" s="2417"/>
      <c r="P617" s="2417"/>
      <c r="Q617" s="2417"/>
      <c r="R617" s="2417"/>
      <c r="S617" s="2417"/>
      <c r="T617" s="2417"/>
      <c r="U617" s="2417"/>
      <c r="V617" s="2417"/>
      <c r="W617" s="2417"/>
      <c r="X617" s="2417"/>
      <c r="Y617" s="2417"/>
      <c r="Z617" s="2417"/>
      <c r="AA617" s="2417"/>
      <c r="AB617" s="2417"/>
      <c r="AC617" s="2417"/>
      <c r="AD617" s="2417"/>
      <c r="AE617" s="2417"/>
      <c r="AF617" s="2417"/>
      <c r="AG617" s="2417"/>
      <c r="AH617" s="642"/>
      <c r="AI617" s="642"/>
      <c r="AJ617" s="642"/>
      <c r="AK617" s="642"/>
      <c r="AL617" s="642"/>
      <c r="AN617" s="597"/>
    </row>
    <row r="618" spans="1:42" s="550" customFormat="1" ht="12.75" customHeight="1">
      <c r="B618" s="536"/>
      <c r="C618" s="933"/>
      <c r="D618" s="642"/>
      <c r="E618" s="2417"/>
      <c r="F618" s="2417"/>
      <c r="G618" s="2417"/>
      <c r="H618" s="2417"/>
      <c r="I618" s="2417"/>
      <c r="J618" s="2417"/>
      <c r="K618" s="2417"/>
      <c r="L618" s="2417"/>
      <c r="M618" s="2417"/>
      <c r="N618" s="2417"/>
      <c r="O618" s="2417"/>
      <c r="P618" s="2417"/>
      <c r="Q618" s="2417"/>
      <c r="R618" s="2417"/>
      <c r="S618" s="2417"/>
      <c r="T618" s="2417"/>
      <c r="U618" s="2417"/>
      <c r="V618" s="2417"/>
      <c r="W618" s="2417"/>
      <c r="X618" s="2417"/>
      <c r="Y618" s="2417"/>
      <c r="Z618" s="2417"/>
      <c r="AA618" s="2417"/>
      <c r="AB618" s="2417"/>
      <c r="AC618" s="2417"/>
      <c r="AD618" s="2417"/>
      <c r="AE618" s="2417"/>
      <c r="AF618" s="2417"/>
      <c r="AG618" s="2417"/>
      <c r="AH618" s="642"/>
      <c r="AI618" s="642"/>
      <c r="AJ618" s="642"/>
      <c r="AK618" s="642"/>
      <c r="AL618" s="642"/>
      <c r="AN618" s="597"/>
    </row>
    <row r="619" spans="1:42" s="550" customFormat="1" ht="12.75" customHeight="1">
      <c r="B619" s="536"/>
      <c r="C619" s="933"/>
      <c r="D619" s="642"/>
      <c r="E619" s="2417"/>
      <c r="F619" s="2417"/>
      <c r="G619" s="2417"/>
      <c r="H619" s="2417"/>
      <c r="I619" s="2417"/>
      <c r="J619" s="2417"/>
      <c r="K619" s="2417"/>
      <c r="L619" s="2417"/>
      <c r="M619" s="2417"/>
      <c r="N619" s="2417"/>
      <c r="O619" s="2417"/>
      <c r="P619" s="2417"/>
      <c r="Q619" s="2417"/>
      <c r="R619" s="2417"/>
      <c r="S619" s="2417"/>
      <c r="T619" s="2417"/>
      <c r="U619" s="2417"/>
      <c r="V619" s="2417"/>
      <c r="W619" s="2417"/>
      <c r="X619" s="2417"/>
      <c r="Y619" s="2417"/>
      <c r="Z619" s="2417"/>
      <c r="AA619" s="2417"/>
      <c r="AB619" s="2417"/>
      <c r="AC619" s="2417"/>
      <c r="AD619" s="2417"/>
      <c r="AE619" s="2417"/>
      <c r="AF619" s="2417"/>
      <c r="AG619" s="241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4">
        <f>VLOOKUP($H$606,$AO$586:$AP$591,2,FALSE)+IF(R606=AO594,0,VLOOKUP($I$614,$AO$613:$AP$615,2,FALSE))</f>
        <v>7</v>
      </c>
      <c r="AK621" s="242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1" t="s">
        <v>1695</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39"/>
      <c r="AF625" s="2517" t="s">
        <v>1353</v>
      </c>
      <c r="AG625" s="2517"/>
      <c r="AH625" s="2517"/>
      <c r="AI625" s="2517"/>
      <c r="AJ625" s="2517"/>
      <c r="AK625" s="2517"/>
      <c r="AL625" s="2517"/>
      <c r="AM625" s="550"/>
      <c r="AN625" s="678"/>
    </row>
    <row r="626" spans="1:42" s="550" customFormat="1" ht="12.75" customHeight="1">
      <c r="A626" s="679"/>
      <c r="B626" s="536"/>
      <c r="C626" s="933"/>
      <c r="D626" s="663"/>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6"/>
      <c r="AF626" s="536"/>
      <c r="AG626" s="536"/>
      <c r="AH626" s="536"/>
      <c r="AI626" s="536"/>
      <c r="AJ626" s="536"/>
      <c r="AK626" s="536"/>
      <c r="AL626" s="536"/>
      <c r="AN626" s="597"/>
    </row>
    <row r="627" spans="1:42" s="550" customFormat="1" ht="12.75" customHeight="1">
      <c r="B627" s="536"/>
      <c r="C627" s="931"/>
      <c r="D627" s="663"/>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6"/>
      <c r="AF627" s="536"/>
      <c r="AG627" s="536"/>
      <c r="AH627" s="536"/>
      <c r="AI627" s="536"/>
      <c r="AJ627" s="536"/>
      <c r="AK627" s="536"/>
      <c r="AL627" s="536"/>
      <c r="AN627" s="597"/>
    </row>
    <row r="628" spans="1:42" s="550" customFormat="1" ht="12.75" customHeight="1">
      <c r="B628" s="536"/>
      <c r="C628" s="931"/>
      <c r="D628" s="663"/>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6"/>
      <c r="AF628" s="536"/>
      <c r="AG628" s="536"/>
      <c r="AH628" s="536"/>
      <c r="AI628" s="536"/>
      <c r="AJ628" s="536"/>
      <c r="AK628" s="536"/>
      <c r="AL628" s="536"/>
      <c r="AN628" s="597"/>
    </row>
    <row r="629" spans="1:42" s="550" customFormat="1" ht="12.75" customHeight="1">
      <c r="B629" s="536"/>
      <c r="C629" s="931"/>
      <c r="D629" s="663"/>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6"/>
      <c r="AF629" s="536"/>
      <c r="AG629" s="536"/>
      <c r="AH629" s="536"/>
      <c r="AI629" s="536"/>
      <c r="AJ629" s="536"/>
      <c r="AK629" s="536"/>
      <c r="AL629" s="536"/>
      <c r="AN629" s="597"/>
    </row>
    <row r="630" spans="1:42" s="550" customFormat="1" ht="12.75" customHeight="1">
      <c r="B630" s="536"/>
      <c r="C630" s="931"/>
      <c r="D630" s="663"/>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6"/>
      <c r="AF630" s="536"/>
      <c r="AG630" s="536"/>
      <c r="AH630" s="536"/>
      <c r="AI630" s="536"/>
      <c r="AJ630" s="536"/>
      <c r="AK630" s="536"/>
      <c r="AL630" s="536"/>
      <c r="AN630" s="597"/>
    </row>
    <row r="631" spans="1:42" s="550" customFormat="1" ht="12.75" customHeight="1">
      <c r="A631" s="637"/>
      <c r="B631" s="616"/>
      <c r="C631" s="940"/>
      <c r="D631" s="663"/>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6"/>
      <c r="AF631" s="616"/>
      <c r="AG631" s="616"/>
      <c r="AH631" s="616"/>
      <c r="AI631" s="616"/>
      <c r="AJ631" s="616"/>
      <c r="AK631" s="536"/>
      <c r="AL631" s="536"/>
      <c r="AN631" s="597"/>
    </row>
    <row r="632" spans="1:42" s="550" customFormat="1" ht="12.75" customHeight="1">
      <c r="B632" s="616"/>
      <c r="C632" s="940"/>
      <c r="D632" s="663"/>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89" t="s">
        <v>592</v>
      </c>
      <c r="Y634" s="238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7" t="s">
        <v>1409</v>
      </c>
      <c r="AG636" s="2517"/>
      <c r="AH636" s="2517"/>
      <c r="AI636" s="2517"/>
      <c r="AJ636" s="2517"/>
      <c r="AK636" s="2517"/>
      <c r="AL636" s="251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1" t="s">
        <v>688</v>
      </c>
      <c r="I638" s="244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4">
        <f>VLOOKUP($H$638,$AO$605:$AP$607,2,FALSE)</f>
        <v>3</v>
      </c>
      <c r="AK640" s="242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7" t="s">
        <v>2098</v>
      </c>
      <c r="F644" s="2417"/>
      <c r="G644" s="2417"/>
      <c r="H644" s="2417"/>
      <c r="I644" s="2417"/>
      <c r="J644" s="2417"/>
      <c r="K644" s="2417"/>
      <c r="L644" s="2417"/>
      <c r="M644" s="2417"/>
      <c r="N644" s="2417"/>
      <c r="O644" s="2417"/>
      <c r="P644" s="2417"/>
      <c r="Q644" s="2417"/>
      <c r="R644" s="2417"/>
      <c r="S644" s="2417"/>
      <c r="T644" s="2417"/>
      <c r="U644" s="2417"/>
      <c r="V644" s="2417"/>
      <c r="W644" s="2417"/>
      <c r="X644" s="2417"/>
      <c r="Y644" s="2417"/>
      <c r="Z644" s="2417"/>
      <c r="AA644" s="2417"/>
      <c r="AB644" s="2417"/>
      <c r="AC644" s="2417"/>
      <c r="AD644" s="2417"/>
      <c r="AE644" s="536"/>
      <c r="AF644" s="2517" t="s">
        <v>1353</v>
      </c>
      <c r="AG644" s="2517"/>
      <c r="AH644" s="2517"/>
      <c r="AI644" s="2517"/>
      <c r="AJ644" s="2517"/>
      <c r="AK644" s="2517"/>
      <c r="AL644" s="2517"/>
      <c r="AN644" s="597"/>
    </row>
    <row r="645" spans="1:42" s="550" customFormat="1" ht="12.75" customHeight="1">
      <c r="B645" s="536"/>
      <c r="C645" s="536"/>
      <c r="D645" s="663"/>
      <c r="E645" s="2417"/>
      <c r="F645" s="2417"/>
      <c r="G645" s="2417"/>
      <c r="H645" s="2417"/>
      <c r="I645" s="2417"/>
      <c r="J645" s="2417"/>
      <c r="K645" s="2417"/>
      <c r="L645" s="2417"/>
      <c r="M645" s="2417"/>
      <c r="N645" s="2417"/>
      <c r="O645" s="2417"/>
      <c r="P645" s="2417"/>
      <c r="Q645" s="2417"/>
      <c r="R645" s="2417"/>
      <c r="S645" s="2417"/>
      <c r="T645" s="2417"/>
      <c r="U645" s="2417"/>
      <c r="V645" s="2417"/>
      <c r="W645" s="2417"/>
      <c r="X645" s="2417"/>
      <c r="Y645" s="2417"/>
      <c r="Z645" s="2417"/>
      <c r="AA645" s="2417"/>
      <c r="AB645" s="2417"/>
      <c r="AC645" s="2417"/>
      <c r="AD645" s="241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7" t="s">
        <v>1409</v>
      </c>
      <c r="AG647" s="2517"/>
      <c r="AH647" s="2517"/>
      <c r="AI647" s="2517"/>
      <c r="AJ647" s="2517"/>
      <c r="AK647" s="2517"/>
      <c r="AL647" s="251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1" t="s">
        <v>592</v>
      </c>
      <c r="I650" s="244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4">
        <f>VLOOKUP(H650,AT605:AU607,2,FALSE)</f>
        <v>0</v>
      </c>
      <c r="AK652" s="242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7" t="s">
        <v>1419</v>
      </c>
      <c r="F657" s="2417"/>
      <c r="G657" s="2417"/>
      <c r="H657" s="2417"/>
      <c r="I657" s="2417"/>
      <c r="J657" s="2417"/>
      <c r="K657" s="2417"/>
      <c r="L657" s="2417"/>
      <c r="M657" s="2417"/>
      <c r="N657" s="2417"/>
      <c r="O657" s="2417"/>
      <c r="P657" s="2417"/>
      <c r="Q657" s="2417"/>
      <c r="R657" s="2417"/>
      <c r="S657" s="2417"/>
      <c r="T657" s="2417"/>
      <c r="U657" s="2417"/>
      <c r="V657" s="2417"/>
      <c r="W657" s="2417"/>
      <c r="X657" s="2417"/>
      <c r="Y657" s="2417"/>
      <c r="Z657" s="2417"/>
      <c r="AA657" s="2417"/>
      <c r="AB657" s="2417"/>
      <c r="AC657" s="2417"/>
      <c r="AD657" s="536"/>
      <c r="AE657" s="536"/>
      <c r="AF657" s="2517" t="s">
        <v>1379</v>
      </c>
      <c r="AG657" s="2517"/>
      <c r="AH657" s="2517"/>
      <c r="AI657" s="2517"/>
      <c r="AJ657" s="2517"/>
      <c r="AK657" s="2517"/>
      <c r="AL657" s="2517"/>
      <c r="AN657" s="597"/>
    </row>
    <row r="658" spans="1:42" s="550" customFormat="1" ht="12.75" customHeight="1">
      <c r="B658" s="536"/>
      <c r="C658" s="539"/>
      <c r="D658" s="536"/>
      <c r="E658" s="2417"/>
      <c r="F658" s="2417"/>
      <c r="G658" s="2417"/>
      <c r="H658" s="2417"/>
      <c r="I658" s="2417"/>
      <c r="J658" s="2417"/>
      <c r="K658" s="2417"/>
      <c r="L658" s="2417"/>
      <c r="M658" s="2417"/>
      <c r="N658" s="2417"/>
      <c r="O658" s="2417"/>
      <c r="P658" s="2417"/>
      <c r="Q658" s="2417"/>
      <c r="R658" s="2417"/>
      <c r="S658" s="2417"/>
      <c r="T658" s="2417"/>
      <c r="U658" s="2417"/>
      <c r="V658" s="2417"/>
      <c r="W658" s="2417"/>
      <c r="X658" s="2417"/>
      <c r="Y658" s="2417"/>
      <c r="Z658" s="2417"/>
      <c r="AA658" s="2417"/>
      <c r="AB658" s="2417"/>
      <c r="AC658" s="2417"/>
      <c r="AD658" s="536"/>
      <c r="AE658" s="536"/>
      <c r="AF658" s="536"/>
      <c r="AG658" s="536"/>
      <c r="AH658" s="536"/>
      <c r="AI658" s="536"/>
      <c r="AJ658" s="536"/>
      <c r="AK658" s="536"/>
      <c r="AL658" s="536"/>
      <c r="AN658" s="597"/>
    </row>
    <row r="659" spans="1:42" s="550" customFormat="1" ht="12.75" customHeight="1">
      <c r="B659" s="536"/>
      <c r="C659" s="539"/>
      <c r="D659" s="663"/>
      <c r="E659" s="2417"/>
      <c r="F659" s="2417"/>
      <c r="G659" s="2417"/>
      <c r="H659" s="2417"/>
      <c r="I659" s="2417"/>
      <c r="J659" s="2417"/>
      <c r="K659" s="2417"/>
      <c r="L659" s="2417"/>
      <c r="M659" s="2417"/>
      <c r="N659" s="2417"/>
      <c r="O659" s="2417"/>
      <c r="P659" s="2417"/>
      <c r="Q659" s="2417"/>
      <c r="R659" s="2417"/>
      <c r="S659" s="2417"/>
      <c r="T659" s="2417"/>
      <c r="U659" s="2417"/>
      <c r="V659" s="2417"/>
      <c r="W659" s="2417"/>
      <c r="X659" s="2417"/>
      <c r="Y659" s="2417"/>
      <c r="Z659" s="2417"/>
      <c r="AA659" s="2417"/>
      <c r="AB659" s="2417"/>
      <c r="AC659" s="241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7" t="s">
        <v>1420</v>
      </c>
      <c r="F661" s="2417"/>
      <c r="G661" s="2417"/>
      <c r="H661" s="2417"/>
      <c r="I661" s="2417"/>
      <c r="J661" s="2417"/>
      <c r="K661" s="2417"/>
      <c r="L661" s="2417"/>
      <c r="M661" s="2417"/>
      <c r="N661" s="2417"/>
      <c r="O661" s="2417"/>
      <c r="P661" s="2417"/>
      <c r="Q661" s="2417"/>
      <c r="R661" s="2417"/>
      <c r="S661" s="2417"/>
      <c r="T661" s="2417"/>
      <c r="U661" s="2417"/>
      <c r="V661" s="2417"/>
      <c r="W661" s="2417"/>
      <c r="X661" s="2417"/>
      <c r="Y661" s="2417"/>
      <c r="Z661" s="2417"/>
      <c r="AA661" s="2417"/>
      <c r="AB661" s="2417"/>
      <c r="AC661" s="2417"/>
      <c r="AD661" s="536"/>
      <c r="AE661" s="536"/>
      <c r="AF661" s="2517" t="s">
        <v>1400</v>
      </c>
      <c r="AG661" s="2517"/>
      <c r="AH661" s="2517"/>
      <c r="AI661" s="2517"/>
      <c r="AJ661" s="2517"/>
      <c r="AK661" s="2517"/>
      <c r="AL661" s="2517"/>
      <c r="AN661" s="597"/>
    </row>
    <row r="662" spans="1:42" s="550" customFormat="1" ht="12.75" customHeight="1">
      <c r="B662" s="536"/>
      <c r="C662" s="539"/>
      <c r="D662" s="536"/>
      <c r="E662" s="2417"/>
      <c r="F662" s="2417"/>
      <c r="G662" s="2417"/>
      <c r="H662" s="2417"/>
      <c r="I662" s="2417"/>
      <c r="J662" s="2417"/>
      <c r="K662" s="2417"/>
      <c r="L662" s="2417"/>
      <c r="M662" s="2417"/>
      <c r="N662" s="2417"/>
      <c r="O662" s="2417"/>
      <c r="P662" s="2417"/>
      <c r="Q662" s="2417"/>
      <c r="R662" s="2417"/>
      <c r="S662" s="2417"/>
      <c r="T662" s="2417"/>
      <c r="U662" s="2417"/>
      <c r="V662" s="2417"/>
      <c r="W662" s="2417"/>
      <c r="X662" s="2417"/>
      <c r="Y662" s="2417"/>
      <c r="Z662" s="2417"/>
      <c r="AA662" s="2417"/>
      <c r="AB662" s="2417"/>
      <c r="AC662" s="2417"/>
      <c r="AD662" s="536"/>
      <c r="AE662" s="536"/>
      <c r="AF662" s="536"/>
      <c r="AG662" s="536"/>
      <c r="AH662" s="536"/>
      <c r="AI662" s="536"/>
      <c r="AJ662" s="536"/>
      <c r="AK662" s="536"/>
      <c r="AL662" s="536"/>
      <c r="AN662" s="597"/>
    </row>
    <row r="663" spans="1:42" s="550" customFormat="1" ht="15" customHeight="1">
      <c r="B663" s="536"/>
      <c r="C663" s="539"/>
      <c r="D663" s="663"/>
      <c r="E663" s="2417"/>
      <c r="F663" s="2417"/>
      <c r="G663" s="2417"/>
      <c r="H663" s="2417"/>
      <c r="I663" s="2417"/>
      <c r="J663" s="2417"/>
      <c r="K663" s="2417"/>
      <c r="L663" s="2417"/>
      <c r="M663" s="2417"/>
      <c r="N663" s="2417"/>
      <c r="O663" s="2417"/>
      <c r="P663" s="2417"/>
      <c r="Q663" s="2417"/>
      <c r="R663" s="2417"/>
      <c r="S663" s="2417"/>
      <c r="T663" s="2417"/>
      <c r="U663" s="2417"/>
      <c r="V663" s="2417"/>
      <c r="W663" s="2417"/>
      <c r="X663" s="2417"/>
      <c r="Y663" s="2417"/>
      <c r="Z663" s="2417"/>
      <c r="AA663" s="2417"/>
      <c r="AB663" s="2417"/>
      <c r="AC663" s="241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7" t="s">
        <v>1421</v>
      </c>
      <c r="F665" s="2417"/>
      <c r="G665" s="2417"/>
      <c r="H665" s="2417"/>
      <c r="I665" s="2417"/>
      <c r="J665" s="2417"/>
      <c r="K665" s="2417"/>
      <c r="L665" s="2417"/>
      <c r="M665" s="2417"/>
      <c r="N665" s="2417"/>
      <c r="O665" s="2417"/>
      <c r="P665" s="2417"/>
      <c r="Q665" s="2417"/>
      <c r="R665" s="2417"/>
      <c r="S665" s="2417"/>
      <c r="T665" s="2417"/>
      <c r="U665" s="2417"/>
      <c r="V665" s="2417"/>
      <c r="W665" s="2417"/>
      <c r="X665" s="2417"/>
      <c r="Y665" s="2417"/>
      <c r="Z665" s="2417"/>
      <c r="AA665" s="2417"/>
      <c r="AB665" s="2417"/>
      <c r="AC665" s="2417"/>
      <c r="AD665" s="536"/>
      <c r="AE665" s="536"/>
      <c r="AF665" s="2517" t="s">
        <v>1353</v>
      </c>
      <c r="AG665" s="2517"/>
      <c r="AH665" s="2517"/>
      <c r="AI665" s="2517"/>
      <c r="AJ665" s="2517"/>
      <c r="AK665" s="2517"/>
      <c r="AL665" s="2517"/>
      <c r="AN665" s="597"/>
    </row>
    <row r="666" spans="1:42" s="550" customFormat="1" ht="12.75" customHeight="1">
      <c r="B666" s="536"/>
      <c r="C666" s="931"/>
      <c r="D666" s="536"/>
      <c r="E666" s="2417"/>
      <c r="F666" s="2417"/>
      <c r="G666" s="2417"/>
      <c r="H666" s="2417"/>
      <c r="I666" s="2417"/>
      <c r="J666" s="2417"/>
      <c r="K666" s="2417"/>
      <c r="L666" s="2417"/>
      <c r="M666" s="2417"/>
      <c r="N666" s="2417"/>
      <c r="O666" s="2417"/>
      <c r="P666" s="2417"/>
      <c r="Q666" s="2417"/>
      <c r="R666" s="2417"/>
      <c r="S666" s="2417"/>
      <c r="T666" s="2417"/>
      <c r="U666" s="2417"/>
      <c r="V666" s="2417"/>
      <c r="W666" s="2417"/>
      <c r="X666" s="2417"/>
      <c r="Y666" s="2417"/>
      <c r="Z666" s="2417"/>
      <c r="AA666" s="2417"/>
      <c r="AB666" s="2417"/>
      <c r="AC666" s="2417"/>
      <c r="AD666" s="536"/>
      <c r="AE666" s="2517"/>
      <c r="AF666" s="2517"/>
      <c r="AG666" s="2517"/>
      <c r="AH666" s="2517"/>
      <c r="AI666" s="2517"/>
      <c r="AJ666" s="2517"/>
      <c r="AK666" s="2517"/>
      <c r="AL666" s="594"/>
      <c r="AN666" s="597"/>
      <c r="AO666" s="550" t="s">
        <v>592</v>
      </c>
      <c r="AP666" s="673">
        <v>0</v>
      </c>
    </row>
    <row r="667" spans="1:42" s="550" customFormat="1" ht="12.75" customHeight="1">
      <c r="A667" s="679"/>
      <c r="B667" s="536"/>
      <c r="C667" s="536"/>
      <c r="D667" s="663"/>
      <c r="E667" s="2417"/>
      <c r="F667" s="2417"/>
      <c r="G667" s="2417"/>
      <c r="H667" s="2417"/>
      <c r="I667" s="2417"/>
      <c r="J667" s="2417"/>
      <c r="K667" s="2417"/>
      <c r="L667" s="2417"/>
      <c r="M667" s="2417"/>
      <c r="N667" s="2417"/>
      <c r="O667" s="2417"/>
      <c r="P667" s="2417"/>
      <c r="Q667" s="2417"/>
      <c r="R667" s="2417"/>
      <c r="S667" s="2417"/>
      <c r="T667" s="2417"/>
      <c r="U667" s="2417"/>
      <c r="V667" s="2417"/>
      <c r="W667" s="2417"/>
      <c r="X667" s="2417"/>
      <c r="Y667" s="2417"/>
      <c r="Z667" s="2417"/>
      <c r="AA667" s="2417"/>
      <c r="AB667" s="2417"/>
      <c r="AC667" s="241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7" t="s">
        <v>1422</v>
      </c>
      <c r="F669" s="2417"/>
      <c r="G669" s="2417"/>
      <c r="H669" s="2417"/>
      <c r="I669" s="2417"/>
      <c r="J669" s="2417"/>
      <c r="K669" s="2417"/>
      <c r="L669" s="2417"/>
      <c r="M669" s="2417"/>
      <c r="N669" s="2417"/>
      <c r="O669" s="2417"/>
      <c r="P669" s="2417"/>
      <c r="Q669" s="2417"/>
      <c r="R669" s="2417"/>
      <c r="S669" s="2417"/>
      <c r="T669" s="2417"/>
      <c r="U669" s="2417"/>
      <c r="V669" s="2417"/>
      <c r="W669" s="2417"/>
      <c r="X669" s="2417"/>
      <c r="Y669" s="2417"/>
      <c r="Z669" s="2417"/>
      <c r="AA669" s="2417"/>
      <c r="AB669" s="2417"/>
      <c r="AC669" s="2417"/>
      <c r="AD669" s="536"/>
      <c r="AE669" s="536"/>
      <c r="AF669" s="2517" t="s">
        <v>1400</v>
      </c>
      <c r="AG669" s="2517"/>
      <c r="AH669" s="2517"/>
      <c r="AI669" s="2517"/>
      <c r="AJ669" s="2517"/>
      <c r="AK669" s="2517"/>
      <c r="AL669" s="2517"/>
      <c r="AN669" s="597"/>
    </row>
    <row r="670" spans="1:42" s="550" customFormat="1" ht="12.75" customHeight="1">
      <c r="A670" s="670"/>
      <c r="B670" s="536"/>
      <c r="C670" s="947"/>
      <c r="D670" s="663"/>
      <c r="E670" s="2417"/>
      <c r="F670" s="2417"/>
      <c r="G670" s="2417"/>
      <c r="H670" s="2417"/>
      <c r="I670" s="2417"/>
      <c r="J670" s="2417"/>
      <c r="K670" s="2417"/>
      <c r="L670" s="2417"/>
      <c r="M670" s="2417"/>
      <c r="N670" s="2417"/>
      <c r="O670" s="2417"/>
      <c r="P670" s="2417"/>
      <c r="Q670" s="2417"/>
      <c r="R670" s="2417"/>
      <c r="S670" s="2417"/>
      <c r="T670" s="2417"/>
      <c r="U670" s="2417"/>
      <c r="V670" s="2417"/>
      <c r="W670" s="2417"/>
      <c r="X670" s="2417"/>
      <c r="Y670" s="2417"/>
      <c r="Z670" s="2417"/>
      <c r="AA670" s="2417"/>
      <c r="AB670" s="2417"/>
      <c r="AC670" s="241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7"/>
      <c r="F671" s="2417"/>
      <c r="G671" s="2417"/>
      <c r="H671" s="2417"/>
      <c r="I671" s="2417"/>
      <c r="J671" s="2417"/>
      <c r="K671" s="2417"/>
      <c r="L671" s="2417"/>
      <c r="M671" s="2417"/>
      <c r="N671" s="2417"/>
      <c r="O671" s="2417"/>
      <c r="P671" s="2417"/>
      <c r="Q671" s="2417"/>
      <c r="R671" s="2417"/>
      <c r="S671" s="2417"/>
      <c r="T671" s="2417"/>
      <c r="U671" s="2417"/>
      <c r="V671" s="2417"/>
      <c r="W671" s="2417"/>
      <c r="X671" s="2417"/>
      <c r="Y671" s="2417"/>
      <c r="Z671" s="2417"/>
      <c r="AA671" s="2417"/>
      <c r="AB671" s="2417"/>
      <c r="AC671" s="241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7" t="s">
        <v>1423</v>
      </c>
      <c r="F673" s="2417"/>
      <c r="G673" s="2417"/>
      <c r="H673" s="2417"/>
      <c r="I673" s="2417"/>
      <c r="J673" s="2417"/>
      <c r="K673" s="2417"/>
      <c r="L673" s="2417"/>
      <c r="M673" s="2417"/>
      <c r="N673" s="2417"/>
      <c r="O673" s="2417"/>
      <c r="P673" s="2417"/>
      <c r="Q673" s="2417"/>
      <c r="R673" s="2417"/>
      <c r="S673" s="2417"/>
      <c r="T673" s="2417"/>
      <c r="U673" s="2417"/>
      <c r="V673" s="2417"/>
      <c r="W673" s="2417"/>
      <c r="X673" s="2417"/>
      <c r="Y673" s="2417"/>
      <c r="Z673" s="2417"/>
      <c r="AA673" s="2417"/>
      <c r="AB673" s="2417"/>
      <c r="AC673" s="2417"/>
      <c r="AD673" s="536"/>
      <c r="AE673" s="536"/>
      <c r="AF673" s="2517" t="s">
        <v>1353</v>
      </c>
      <c r="AG673" s="2517"/>
      <c r="AH673" s="2517"/>
      <c r="AI673" s="2517"/>
      <c r="AJ673" s="2517"/>
      <c r="AK673" s="2517"/>
      <c r="AL673" s="2517"/>
      <c r="AM673" s="596"/>
      <c r="AN673" s="597"/>
    </row>
    <row r="674" spans="1:42" s="550" customFormat="1" ht="12.75" customHeight="1">
      <c r="B674" s="536"/>
      <c r="C674" s="931"/>
      <c r="D674" s="663"/>
      <c r="E674" s="2417"/>
      <c r="F674" s="2417"/>
      <c r="G674" s="2417"/>
      <c r="H674" s="2417"/>
      <c r="I674" s="2417"/>
      <c r="J674" s="2417"/>
      <c r="K674" s="2417"/>
      <c r="L674" s="2417"/>
      <c r="M674" s="2417"/>
      <c r="N674" s="2417"/>
      <c r="O674" s="2417"/>
      <c r="P674" s="2417"/>
      <c r="Q674" s="2417"/>
      <c r="R674" s="2417"/>
      <c r="S674" s="2417"/>
      <c r="T674" s="2417"/>
      <c r="U674" s="2417"/>
      <c r="V674" s="2417"/>
      <c r="W674" s="2417"/>
      <c r="X674" s="2417"/>
      <c r="Y674" s="2417"/>
      <c r="Z674" s="2417"/>
      <c r="AA674" s="2417"/>
      <c r="AB674" s="2417"/>
      <c r="AC674" s="2417"/>
      <c r="AD674" s="536"/>
      <c r="AE674" s="536"/>
      <c r="AF674" s="536"/>
      <c r="AG674" s="536"/>
      <c r="AH674" s="536"/>
      <c r="AI674" s="536"/>
      <c r="AJ674" s="536"/>
      <c r="AK674" s="536"/>
      <c r="AL674" s="536"/>
      <c r="AM674" s="596"/>
      <c r="AN674" s="597"/>
    </row>
    <row r="675" spans="1:42" s="550" customFormat="1" ht="12.75" customHeight="1">
      <c r="B675" s="536"/>
      <c r="C675" s="931"/>
      <c r="D675" s="663"/>
      <c r="E675" s="2417"/>
      <c r="F675" s="2417"/>
      <c r="G675" s="2417"/>
      <c r="H675" s="2417"/>
      <c r="I675" s="2417"/>
      <c r="J675" s="2417"/>
      <c r="K675" s="2417"/>
      <c r="L675" s="2417"/>
      <c r="M675" s="2417"/>
      <c r="N675" s="2417"/>
      <c r="O675" s="2417"/>
      <c r="P675" s="2417"/>
      <c r="Q675" s="2417"/>
      <c r="R675" s="2417"/>
      <c r="S675" s="2417"/>
      <c r="T675" s="2417"/>
      <c r="U675" s="2417"/>
      <c r="V675" s="2417"/>
      <c r="W675" s="2417"/>
      <c r="X675" s="2417"/>
      <c r="Y675" s="2417"/>
      <c r="Z675" s="2417"/>
      <c r="AA675" s="2417"/>
      <c r="AB675" s="2417"/>
      <c r="AC675" s="241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7" t="s">
        <v>1424</v>
      </c>
      <c r="F677" s="2417"/>
      <c r="G677" s="2417"/>
      <c r="H677" s="2417"/>
      <c r="I677" s="2417"/>
      <c r="J677" s="2417"/>
      <c r="K677" s="2417"/>
      <c r="L677" s="2417"/>
      <c r="M677" s="2417"/>
      <c r="N677" s="2417"/>
      <c r="O677" s="2417"/>
      <c r="P677" s="2417"/>
      <c r="Q677" s="2417"/>
      <c r="R677" s="2417"/>
      <c r="S677" s="2417"/>
      <c r="T677" s="2417"/>
      <c r="U677" s="2417"/>
      <c r="V677" s="2417"/>
      <c r="W677" s="2417"/>
      <c r="X677" s="2417"/>
      <c r="Y677" s="2417"/>
      <c r="Z677" s="2417"/>
      <c r="AA677" s="2417"/>
      <c r="AB677" s="2417"/>
      <c r="AC677" s="2417"/>
      <c r="AD677" s="536"/>
      <c r="AE677" s="536"/>
      <c r="AF677" s="2517" t="s">
        <v>1409</v>
      </c>
      <c r="AG677" s="2517"/>
      <c r="AH677" s="2517"/>
      <c r="AI677" s="2517"/>
      <c r="AJ677" s="2517"/>
      <c r="AK677" s="2517"/>
      <c r="AL677" s="2517"/>
      <c r="AM677" s="596"/>
      <c r="AN677" s="597"/>
    </row>
    <row r="678" spans="1:42" s="550" customFormat="1" ht="12.75" customHeight="1">
      <c r="A678" s="679"/>
      <c r="B678" s="536"/>
      <c r="C678" s="931"/>
      <c r="D678" s="663"/>
      <c r="E678" s="2417"/>
      <c r="F678" s="2417"/>
      <c r="G678" s="2417"/>
      <c r="H678" s="2417"/>
      <c r="I678" s="2417"/>
      <c r="J678" s="2417"/>
      <c r="K678" s="2417"/>
      <c r="L678" s="2417"/>
      <c r="M678" s="2417"/>
      <c r="N678" s="2417"/>
      <c r="O678" s="2417"/>
      <c r="P678" s="2417"/>
      <c r="Q678" s="2417"/>
      <c r="R678" s="2417"/>
      <c r="S678" s="2417"/>
      <c r="T678" s="2417"/>
      <c r="U678" s="2417"/>
      <c r="V678" s="2417"/>
      <c r="W678" s="2417"/>
      <c r="X678" s="2417"/>
      <c r="Y678" s="2417"/>
      <c r="Z678" s="2417"/>
      <c r="AA678" s="2417"/>
      <c r="AB678" s="2417"/>
      <c r="AC678" s="241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7"/>
      <c r="F679" s="2417"/>
      <c r="G679" s="2417"/>
      <c r="H679" s="2417"/>
      <c r="I679" s="2417"/>
      <c r="J679" s="2417"/>
      <c r="K679" s="2417"/>
      <c r="L679" s="2417"/>
      <c r="M679" s="2417"/>
      <c r="N679" s="2417"/>
      <c r="O679" s="2417"/>
      <c r="P679" s="2417"/>
      <c r="Q679" s="2417"/>
      <c r="R679" s="2417"/>
      <c r="S679" s="2417"/>
      <c r="T679" s="2417"/>
      <c r="U679" s="2417"/>
      <c r="V679" s="2417"/>
      <c r="W679" s="2417"/>
      <c r="X679" s="2417"/>
      <c r="Y679" s="2417"/>
      <c r="Z679" s="2417"/>
      <c r="AA679" s="2417"/>
      <c r="AB679" s="2417"/>
      <c r="AC679" s="241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7" t="s">
        <v>1425</v>
      </c>
      <c r="F681" s="2417"/>
      <c r="G681" s="2417"/>
      <c r="H681" s="2417"/>
      <c r="I681" s="2417"/>
      <c r="J681" s="2417"/>
      <c r="K681" s="2417"/>
      <c r="L681" s="2417"/>
      <c r="M681" s="2417"/>
      <c r="N681" s="2417"/>
      <c r="O681" s="2417"/>
      <c r="P681" s="2417"/>
      <c r="Q681" s="2417"/>
      <c r="R681" s="2417"/>
      <c r="S681" s="2417"/>
      <c r="T681" s="2417"/>
      <c r="U681" s="2417"/>
      <c r="V681" s="2417"/>
      <c r="W681" s="2417"/>
      <c r="X681" s="2417"/>
      <c r="Y681" s="2417"/>
      <c r="Z681" s="2417"/>
      <c r="AA681" s="2417"/>
      <c r="AB681" s="2417"/>
      <c r="AC681" s="2417"/>
      <c r="AD681" s="536"/>
      <c r="AE681" s="536"/>
      <c r="AF681" s="2517" t="s">
        <v>1426</v>
      </c>
      <c r="AG681" s="2517"/>
      <c r="AH681" s="2517"/>
      <c r="AI681" s="2517"/>
      <c r="AJ681" s="2517"/>
      <c r="AK681" s="2517"/>
      <c r="AL681" s="2517"/>
      <c r="AM681" s="596"/>
      <c r="AN681" s="597"/>
      <c r="AO681" s="611" t="s">
        <v>688</v>
      </c>
      <c r="AP681" s="550">
        <v>3</v>
      </c>
    </row>
    <row r="682" spans="1:42" s="550" customFormat="1" ht="12.75" customHeight="1">
      <c r="A682" s="679"/>
      <c r="B682" s="536"/>
      <c r="C682" s="931"/>
      <c r="D682" s="663"/>
      <c r="E682" s="2417"/>
      <c r="F682" s="2417"/>
      <c r="G682" s="2417"/>
      <c r="H682" s="2417"/>
      <c r="I682" s="2417"/>
      <c r="J682" s="2417"/>
      <c r="K682" s="2417"/>
      <c r="L682" s="2417"/>
      <c r="M682" s="2417"/>
      <c r="N682" s="2417"/>
      <c r="O682" s="2417"/>
      <c r="P682" s="2417"/>
      <c r="Q682" s="2417"/>
      <c r="R682" s="2417"/>
      <c r="S682" s="2417"/>
      <c r="T682" s="2417"/>
      <c r="U682" s="2417"/>
      <c r="V682" s="2417"/>
      <c r="W682" s="2417"/>
      <c r="X682" s="2417"/>
      <c r="Y682" s="2417"/>
      <c r="Z682" s="2417"/>
      <c r="AA682" s="2417"/>
      <c r="AB682" s="2417"/>
      <c r="AC682" s="241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7"/>
      <c r="F683" s="2417"/>
      <c r="G683" s="2417"/>
      <c r="H683" s="2417"/>
      <c r="I683" s="2417"/>
      <c r="J683" s="2417"/>
      <c r="K683" s="2417"/>
      <c r="L683" s="2417"/>
      <c r="M683" s="2417"/>
      <c r="N683" s="2417"/>
      <c r="O683" s="2417"/>
      <c r="P683" s="2417"/>
      <c r="Q683" s="2417"/>
      <c r="R683" s="2417"/>
      <c r="S683" s="2417"/>
      <c r="T683" s="2417"/>
      <c r="U683" s="2417"/>
      <c r="V683" s="2417"/>
      <c r="W683" s="2417"/>
      <c r="X683" s="2417"/>
      <c r="Y683" s="2417"/>
      <c r="Z683" s="2417"/>
      <c r="AA683" s="2417"/>
      <c r="AB683" s="2417"/>
      <c r="AC683" s="241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1" t="s">
        <v>688</v>
      </c>
      <c r="I685" s="244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4">
        <f>VLOOKUP($H$685,$AO$633:$AP$640,2,FALSE)</f>
        <v>5</v>
      </c>
      <c r="AK687" s="242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151</v>
      </c>
    </row>
    <row r="691" spans="1:51" s="550" customFormat="1" ht="12.75" customHeight="1">
      <c r="A691" s="679"/>
      <c r="B691" s="536"/>
      <c r="C691" s="948"/>
      <c r="D691" s="663" t="s">
        <v>688</v>
      </c>
      <c r="E691" s="2387" t="s">
        <v>2190</v>
      </c>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536"/>
      <c r="AD691" s="536"/>
      <c r="AE691" s="536"/>
      <c r="AF691" s="2517" t="s">
        <v>1353</v>
      </c>
      <c r="AG691" s="2517"/>
      <c r="AH691" s="2517"/>
      <c r="AI691" s="2517"/>
      <c r="AJ691" s="2517"/>
      <c r="AK691" s="2517"/>
      <c r="AL691" s="2517"/>
      <c r="AN691" s="597"/>
      <c r="AW691" s="22" t="s">
        <v>2185</v>
      </c>
      <c r="AX691" s="550">
        <f>Application!DE753</f>
        <v>39</v>
      </c>
    </row>
    <row r="692" spans="1:51" s="550" customFormat="1" ht="12.75" customHeight="1">
      <c r="A692" s="679"/>
      <c r="B692" s="536"/>
      <c r="C692" s="948"/>
      <c r="D692" s="663"/>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7" t="s">
        <v>2134</v>
      </c>
      <c r="F694" s="2417"/>
      <c r="G694" s="2417"/>
      <c r="H694" s="2417"/>
      <c r="I694" s="2417"/>
      <c r="J694" s="2417"/>
      <c r="K694" s="2417"/>
      <c r="L694" s="2417"/>
      <c r="M694" s="2417"/>
      <c r="N694" s="2417"/>
      <c r="O694" s="2417"/>
      <c r="P694" s="2417"/>
      <c r="Q694" s="2417"/>
      <c r="R694" s="2417"/>
      <c r="S694" s="2417"/>
      <c r="T694" s="2417"/>
      <c r="U694" s="2417"/>
      <c r="V694" s="2417"/>
      <c r="W694" s="2417"/>
      <c r="X694" s="2417"/>
      <c r="Y694" s="2417"/>
      <c r="Z694" s="2417"/>
      <c r="AA694" s="2417"/>
      <c r="AB694" s="2417"/>
      <c r="AC694" s="536"/>
      <c r="AD694" s="536"/>
      <c r="AE694" s="536"/>
      <c r="AF694" s="2517" t="s">
        <v>1353</v>
      </c>
      <c r="AG694" s="2517"/>
      <c r="AH694" s="2517"/>
      <c r="AI694" s="2517"/>
      <c r="AJ694" s="2517"/>
      <c r="AK694" s="2517"/>
      <c r="AL694" s="2517"/>
      <c r="AN694" s="597"/>
      <c r="AW694" s="22" t="s">
        <v>2188</v>
      </c>
      <c r="AX694" s="550">
        <f>AX691+AX692+AX693</f>
        <v>39</v>
      </c>
    </row>
    <row r="695" spans="1:51" s="550" customFormat="1" ht="12.75" customHeight="1">
      <c r="B695" s="536"/>
      <c r="C695" s="940"/>
      <c r="D695" s="663"/>
      <c r="E695" s="2417"/>
      <c r="F695" s="2417"/>
      <c r="G695" s="2417"/>
      <c r="H695" s="2417"/>
      <c r="I695" s="2417"/>
      <c r="J695" s="2417"/>
      <c r="K695" s="2417"/>
      <c r="L695" s="2417"/>
      <c r="M695" s="2417"/>
      <c r="N695" s="2417"/>
      <c r="O695" s="2417"/>
      <c r="P695" s="2417"/>
      <c r="Q695" s="2417"/>
      <c r="R695" s="2417"/>
      <c r="S695" s="2417"/>
      <c r="T695" s="2417"/>
      <c r="U695" s="2417"/>
      <c r="V695" s="2417"/>
      <c r="W695" s="2417"/>
      <c r="X695" s="2417"/>
      <c r="Y695" s="2417"/>
      <c r="Z695" s="2417"/>
      <c r="AA695" s="2417"/>
      <c r="AB695" s="2417"/>
      <c r="AC695" s="536"/>
      <c r="AD695" s="536"/>
      <c r="AE695" s="616"/>
      <c r="AF695" s="536"/>
      <c r="AG695" s="536"/>
      <c r="AH695" s="536"/>
      <c r="AI695" s="536"/>
      <c r="AJ695" s="536"/>
      <c r="AK695" s="536"/>
      <c r="AL695" s="536"/>
      <c r="AN695" s="597"/>
      <c r="AO695" s="2431" t="b">
        <f>IF(Application!D211="Special Needs",IF(AY695&gt;=0.25,TRUE,FALSE),IF(AX695&gt;=0.25,TRUE,FALSE))</f>
        <v>1</v>
      </c>
      <c r="AP695" s="2431"/>
      <c r="AW695" s="22" t="s">
        <v>2189</v>
      </c>
      <c r="AX695" s="550">
        <f>IFERROR(AX694/AX690,0)</f>
        <v>0.25827814569536423</v>
      </c>
      <c r="AY695" s="550">
        <f>IFERROR(AX694/(AX690-AX689),0)</f>
        <v>0.29545454545454547</v>
      </c>
    </row>
    <row r="696" spans="1:51" s="550" customFormat="1" ht="12.75" customHeight="1">
      <c r="B696" s="536"/>
      <c r="C696" s="940"/>
      <c r="E696" s="2417"/>
      <c r="F696" s="2417"/>
      <c r="G696" s="2417"/>
      <c r="H696" s="2417"/>
      <c r="I696" s="2417"/>
      <c r="J696" s="2417"/>
      <c r="K696" s="2417"/>
      <c r="L696" s="2417"/>
      <c r="M696" s="2417"/>
      <c r="N696" s="2417"/>
      <c r="O696" s="2417"/>
      <c r="P696" s="2417"/>
      <c r="Q696" s="2417"/>
      <c r="R696" s="2417"/>
      <c r="S696" s="2417"/>
      <c r="T696" s="2417"/>
      <c r="U696" s="2417"/>
      <c r="V696" s="2417"/>
      <c r="W696" s="2417"/>
      <c r="X696" s="2417"/>
      <c r="Y696" s="2417"/>
      <c r="Z696" s="2417"/>
      <c r="AA696" s="2417"/>
      <c r="AB696" s="241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7"/>
      <c r="F697" s="2417"/>
      <c r="G697" s="2417"/>
      <c r="H697" s="2417"/>
      <c r="I697" s="2417"/>
      <c r="J697" s="2417"/>
      <c r="K697" s="2417"/>
      <c r="L697" s="2417"/>
      <c r="M697" s="2417"/>
      <c r="N697" s="2417"/>
      <c r="O697" s="2417"/>
      <c r="P697" s="2417"/>
      <c r="Q697" s="2417"/>
      <c r="R697" s="2417"/>
      <c r="S697" s="2417"/>
      <c r="T697" s="2417"/>
      <c r="U697" s="2417"/>
      <c r="V697" s="2417"/>
      <c r="W697" s="2417"/>
      <c r="X697" s="2417"/>
      <c r="Y697" s="2417"/>
      <c r="Z697" s="2417"/>
      <c r="AA697" s="2417"/>
      <c r="AB697" s="241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7" t="s">
        <v>2135</v>
      </c>
      <c r="F699" s="2417"/>
      <c r="G699" s="2417"/>
      <c r="H699" s="2417"/>
      <c r="I699" s="2417"/>
      <c r="J699" s="2417"/>
      <c r="K699" s="2417"/>
      <c r="L699" s="2417"/>
      <c r="M699" s="2417"/>
      <c r="N699" s="2417"/>
      <c r="O699" s="2417"/>
      <c r="P699" s="2417"/>
      <c r="Q699" s="2417"/>
      <c r="R699" s="2417"/>
      <c r="S699" s="2417"/>
      <c r="T699" s="2417"/>
      <c r="U699" s="2417"/>
      <c r="V699" s="2417"/>
      <c r="W699" s="2417"/>
      <c r="X699" s="2417"/>
      <c r="Y699" s="2417"/>
      <c r="Z699" s="2417"/>
      <c r="AA699" s="2417"/>
      <c r="AB699" s="2417"/>
      <c r="AC699" s="536"/>
      <c r="AD699" s="536"/>
      <c r="AE699" s="536"/>
      <c r="AF699" s="2517" t="s">
        <v>1409</v>
      </c>
      <c r="AG699" s="2517"/>
      <c r="AH699" s="2517"/>
      <c r="AI699" s="2517"/>
      <c r="AJ699" s="2517"/>
      <c r="AK699" s="2517"/>
      <c r="AL699" s="2517"/>
      <c r="AN699" s="597"/>
      <c r="AO699" s="611" t="s">
        <v>510</v>
      </c>
      <c r="AP699" s="550">
        <v>1</v>
      </c>
    </row>
    <row r="700" spans="1:51" s="550" customFormat="1" ht="12" customHeight="1">
      <c r="B700" s="536"/>
      <c r="C700" s="931"/>
      <c r="E700" s="2417"/>
      <c r="F700" s="2417"/>
      <c r="G700" s="2417"/>
      <c r="H700" s="2417"/>
      <c r="I700" s="2417"/>
      <c r="J700" s="2417"/>
      <c r="K700" s="2417"/>
      <c r="L700" s="2417"/>
      <c r="M700" s="2417"/>
      <c r="N700" s="2417"/>
      <c r="O700" s="2417"/>
      <c r="P700" s="2417"/>
      <c r="Q700" s="2417"/>
      <c r="R700" s="2417"/>
      <c r="S700" s="2417"/>
      <c r="T700" s="2417"/>
      <c r="U700" s="2417"/>
      <c r="V700" s="2417"/>
      <c r="W700" s="2417"/>
      <c r="X700" s="2417"/>
      <c r="Y700" s="2417"/>
      <c r="Z700" s="2417"/>
      <c r="AA700" s="2417"/>
      <c r="AB700" s="2417"/>
      <c r="AC700" s="536"/>
      <c r="AD700" s="536"/>
      <c r="AE700" s="616"/>
      <c r="AF700" s="536"/>
      <c r="AG700" s="536"/>
      <c r="AH700" s="536"/>
      <c r="AI700" s="536"/>
      <c r="AJ700" s="536"/>
      <c r="AK700" s="536"/>
      <c r="AL700" s="536"/>
      <c r="AN700" s="597"/>
    </row>
    <row r="701" spans="1:51" s="550" customFormat="1" ht="12" customHeight="1">
      <c r="B701" s="536"/>
      <c r="C701" s="931"/>
      <c r="D701" s="536"/>
      <c r="E701" s="2417"/>
      <c r="F701" s="2417"/>
      <c r="G701" s="2417"/>
      <c r="H701" s="2417"/>
      <c r="I701" s="2417"/>
      <c r="J701" s="2417"/>
      <c r="K701" s="2417"/>
      <c r="L701" s="2417"/>
      <c r="M701" s="2417"/>
      <c r="N701" s="2417"/>
      <c r="O701" s="2417"/>
      <c r="P701" s="2417"/>
      <c r="Q701" s="2417"/>
      <c r="R701" s="2417"/>
      <c r="S701" s="2417"/>
      <c r="T701" s="2417"/>
      <c r="U701" s="2417"/>
      <c r="V701" s="2417"/>
      <c r="W701" s="2417"/>
      <c r="X701" s="2417"/>
      <c r="Y701" s="2417"/>
      <c r="Z701" s="2417"/>
      <c r="AA701" s="2417"/>
      <c r="AB701" s="2417"/>
      <c r="AC701" s="536"/>
      <c r="AD701" s="536"/>
      <c r="AE701" s="616"/>
      <c r="AF701" s="536"/>
      <c r="AG701" s="536"/>
      <c r="AH701" s="536"/>
      <c r="AI701" s="536"/>
      <c r="AJ701" s="536"/>
      <c r="AK701" s="536"/>
      <c r="AL701" s="536"/>
      <c r="AN701" s="597"/>
    </row>
    <row r="702" spans="1:51" s="550" customFormat="1" ht="12" customHeight="1">
      <c r="B702" s="536"/>
      <c r="C702" s="931"/>
      <c r="D702" s="536"/>
      <c r="E702" s="2417"/>
      <c r="F702" s="2417"/>
      <c r="G702" s="2417"/>
      <c r="H702" s="2417"/>
      <c r="I702" s="2417"/>
      <c r="J702" s="2417"/>
      <c r="K702" s="2417"/>
      <c r="L702" s="2417"/>
      <c r="M702" s="2417"/>
      <c r="N702" s="2417"/>
      <c r="O702" s="2417"/>
      <c r="P702" s="2417"/>
      <c r="Q702" s="2417"/>
      <c r="R702" s="2417"/>
      <c r="S702" s="2417"/>
      <c r="T702" s="2417"/>
      <c r="U702" s="2417"/>
      <c r="V702" s="2417"/>
      <c r="W702" s="2417"/>
      <c r="X702" s="2417"/>
      <c r="Y702" s="2417"/>
      <c r="Z702" s="2417"/>
      <c r="AA702" s="2417"/>
      <c r="AB702" s="241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7"/>
      <c r="F703" s="2417"/>
      <c r="G703" s="2417"/>
      <c r="H703" s="2417"/>
      <c r="I703" s="2417"/>
      <c r="J703" s="2417"/>
      <c r="K703" s="2417"/>
      <c r="L703" s="2417"/>
      <c r="M703" s="2417"/>
      <c r="N703" s="2417"/>
      <c r="O703" s="2417"/>
      <c r="P703" s="2417"/>
      <c r="Q703" s="2417"/>
      <c r="R703" s="2417"/>
      <c r="S703" s="2417"/>
      <c r="T703" s="2417"/>
      <c r="U703" s="2417"/>
      <c r="V703" s="2417"/>
      <c r="W703" s="2417"/>
      <c r="X703" s="2417"/>
      <c r="Y703" s="2417"/>
      <c r="Z703" s="2417"/>
      <c r="AA703" s="2417"/>
      <c r="AB703" s="241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7" t="s">
        <v>1694</v>
      </c>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7"/>
      <c r="F706" s="2417"/>
      <c r="G706" s="2417"/>
      <c r="H706" s="2417"/>
      <c r="I706" s="2417"/>
      <c r="J706" s="2417"/>
      <c r="K706" s="2417"/>
      <c r="L706" s="2417"/>
      <c r="M706" s="2417"/>
      <c r="N706" s="2417"/>
      <c r="O706" s="2417"/>
      <c r="P706" s="2417"/>
      <c r="Q706" s="2417"/>
      <c r="R706" s="2417"/>
      <c r="S706" s="2417"/>
      <c r="T706" s="2417"/>
      <c r="U706" s="2417"/>
      <c r="V706" s="2417"/>
      <c r="W706" s="2417"/>
      <c r="X706" s="2417"/>
      <c r="Y706" s="2417"/>
      <c r="Z706" s="2417"/>
      <c r="AA706" s="2417"/>
      <c r="AB706" s="241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7"/>
      <c r="F707" s="2417"/>
      <c r="G707" s="2417"/>
      <c r="H707" s="2417"/>
      <c r="I707" s="2417"/>
      <c r="J707" s="2417"/>
      <c r="K707" s="2417"/>
      <c r="L707" s="2417"/>
      <c r="M707" s="2417"/>
      <c r="N707" s="2417"/>
      <c r="O707" s="2417"/>
      <c r="P707" s="2417"/>
      <c r="Q707" s="2417"/>
      <c r="R707" s="2417"/>
      <c r="S707" s="2417"/>
      <c r="T707" s="2417"/>
      <c r="U707" s="2417"/>
      <c r="V707" s="2417"/>
      <c r="W707" s="2417"/>
      <c r="X707" s="2417"/>
      <c r="Y707" s="2417"/>
      <c r="Z707" s="2417"/>
      <c r="AA707" s="2417"/>
      <c r="AB707" s="241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1" t="s">
        <v>510</v>
      </c>
      <c r="I709" s="244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4">
        <f>VLOOKUP($H$709,$AO$703:$AP$706,2,FALSE)</f>
        <v>3</v>
      </c>
      <c r="AK711" s="242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517" t="s">
        <v>1353</v>
      </c>
      <c r="AG715" s="2517"/>
      <c r="AH715" s="2517"/>
      <c r="AI715" s="2517"/>
      <c r="AJ715" s="2517"/>
      <c r="AK715" s="2517"/>
      <c r="AL715" s="2517"/>
      <c r="AM715" s="550"/>
      <c r="AN715" s="684"/>
      <c r="AP715" s="570" t="s">
        <v>1433</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517" t="s">
        <v>1409</v>
      </c>
      <c r="AG719" s="2517"/>
      <c r="AH719" s="2517"/>
      <c r="AI719" s="2517"/>
      <c r="AJ719" s="2517"/>
      <c r="AK719" s="2517"/>
      <c r="AL719" s="251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1" t="s">
        <v>592</v>
      </c>
      <c r="I723" s="244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4">
        <f>VLOOKUP($H$723,$AP$720:$AQ$722,2,FALSE)</f>
        <v>0</v>
      </c>
      <c r="AK725" s="2426"/>
      <c r="AL725" s="595"/>
      <c r="AM725" s="550"/>
      <c r="AN725" s="684"/>
      <c r="AP725" s="2424"/>
      <c r="AQ725" s="242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7" t="s">
        <v>1697</v>
      </c>
      <c r="F729" s="2417"/>
      <c r="G729" s="2417"/>
      <c r="H729" s="2417"/>
      <c r="I729" s="2417"/>
      <c r="J729" s="2417"/>
      <c r="K729" s="2417"/>
      <c r="L729" s="2417"/>
      <c r="M729" s="2417"/>
      <c r="N729" s="2417"/>
      <c r="O729" s="2417"/>
      <c r="P729" s="2417"/>
      <c r="Q729" s="2417"/>
      <c r="R729" s="2417"/>
      <c r="S729" s="2417"/>
      <c r="T729" s="2417"/>
      <c r="U729" s="2417"/>
      <c r="V729" s="2417"/>
      <c r="W729" s="2417"/>
      <c r="X729" s="2417"/>
      <c r="Y729" s="2417"/>
      <c r="Z729" s="2417"/>
      <c r="AA729" s="2417"/>
      <c r="AB729" s="2417"/>
      <c r="AC729" s="536"/>
      <c r="AD729" s="536"/>
      <c r="AE729" s="536"/>
      <c r="AF729" s="2517" t="s">
        <v>1353</v>
      </c>
      <c r="AG729" s="2517"/>
      <c r="AH729" s="2517"/>
      <c r="AI729" s="2517"/>
      <c r="AJ729" s="2517"/>
      <c r="AK729" s="2517"/>
      <c r="AL729" s="2517"/>
      <c r="AM729" s="550"/>
      <c r="AN729" s="684"/>
      <c r="AT729" s="14"/>
      <c r="AU729" s="14"/>
      <c r="AV729" s="14"/>
      <c r="AW729" s="14"/>
      <c r="AX729" s="14"/>
      <c r="AY729" s="14"/>
      <c r="AZ729" s="14"/>
    </row>
    <row r="730" spans="1:81" s="570" customFormat="1">
      <c r="A730" s="550"/>
      <c r="B730" s="536"/>
      <c r="C730" s="933"/>
      <c r="D730" s="663"/>
      <c r="E730" s="2417"/>
      <c r="F730" s="2417"/>
      <c r="G730" s="2417"/>
      <c r="H730" s="2417"/>
      <c r="I730" s="2417"/>
      <c r="J730" s="2417"/>
      <c r="K730" s="2417"/>
      <c r="L730" s="2417"/>
      <c r="M730" s="2417"/>
      <c r="N730" s="2417"/>
      <c r="O730" s="2417"/>
      <c r="P730" s="2417"/>
      <c r="Q730" s="2417"/>
      <c r="R730" s="2417"/>
      <c r="S730" s="2417"/>
      <c r="T730" s="2417"/>
      <c r="U730" s="2417"/>
      <c r="V730" s="2417"/>
      <c r="W730" s="2417"/>
      <c r="X730" s="2417"/>
      <c r="Y730" s="2417"/>
      <c r="Z730" s="2417"/>
      <c r="AA730" s="2417"/>
      <c r="AB730" s="241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7" t="s">
        <v>1440</v>
      </c>
      <c r="F732" s="2417"/>
      <c r="G732" s="2417"/>
      <c r="H732" s="2417"/>
      <c r="I732" s="2417"/>
      <c r="J732" s="2417"/>
      <c r="K732" s="2417"/>
      <c r="L732" s="2417"/>
      <c r="M732" s="2417"/>
      <c r="N732" s="2417"/>
      <c r="O732" s="2417"/>
      <c r="P732" s="2417"/>
      <c r="Q732" s="2417"/>
      <c r="R732" s="2417"/>
      <c r="S732" s="2417"/>
      <c r="T732" s="2417"/>
      <c r="U732" s="2417"/>
      <c r="V732" s="2417"/>
      <c r="W732" s="2417"/>
      <c r="X732" s="2417"/>
      <c r="Y732" s="2417"/>
      <c r="Z732" s="2417"/>
      <c r="AA732" s="2417"/>
      <c r="AB732" s="2417"/>
      <c r="AC732" s="536"/>
      <c r="AD732" s="536"/>
      <c r="AE732" s="536"/>
      <c r="AF732" s="2517" t="s">
        <v>1409</v>
      </c>
      <c r="AG732" s="2517"/>
      <c r="AH732" s="2517"/>
      <c r="AI732" s="2517"/>
      <c r="AJ732" s="2517"/>
      <c r="AK732" s="2517"/>
      <c r="AL732" s="2517"/>
      <c r="AM732" s="550"/>
      <c r="AN732" s="684"/>
      <c r="AT732" s="14"/>
      <c r="AU732" s="14"/>
      <c r="AV732" s="14"/>
      <c r="AW732" s="14"/>
      <c r="AX732" s="14"/>
      <c r="AY732" s="14"/>
      <c r="AZ732" s="14"/>
    </row>
    <row r="733" spans="1:81" s="570" customFormat="1">
      <c r="A733" s="550"/>
      <c r="B733" s="536"/>
      <c r="C733" s="933"/>
      <c r="D733" s="536"/>
      <c r="E733" s="2417"/>
      <c r="F733" s="2417"/>
      <c r="G733" s="2417"/>
      <c r="H733" s="2417"/>
      <c r="I733" s="2417"/>
      <c r="J733" s="2417"/>
      <c r="K733" s="2417"/>
      <c r="L733" s="2417"/>
      <c r="M733" s="2417"/>
      <c r="N733" s="2417"/>
      <c r="O733" s="2417"/>
      <c r="P733" s="2417"/>
      <c r="Q733" s="2417"/>
      <c r="R733" s="2417"/>
      <c r="S733" s="2417"/>
      <c r="T733" s="2417"/>
      <c r="U733" s="2417"/>
      <c r="V733" s="2417"/>
      <c r="W733" s="2417"/>
      <c r="X733" s="2417"/>
      <c r="Y733" s="2417"/>
      <c r="Z733" s="2417"/>
      <c r="AA733" s="2417"/>
      <c r="AB733" s="241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1" t="s">
        <v>592</v>
      </c>
      <c r="I735" s="244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4">
        <f>VLOOKUP($H$735,$AO$666:$AP$668,2,FALSE)</f>
        <v>0</v>
      </c>
      <c r="AK737" s="242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7" t="s">
        <v>1443</v>
      </c>
      <c r="F741" s="2417"/>
      <c r="G741" s="2417"/>
      <c r="H741" s="2417"/>
      <c r="I741" s="2417"/>
      <c r="J741" s="2417"/>
      <c r="K741" s="2417"/>
      <c r="L741" s="2417"/>
      <c r="M741" s="2417"/>
      <c r="N741" s="2417"/>
      <c r="O741" s="2417"/>
      <c r="P741" s="2417"/>
      <c r="Q741" s="2417"/>
      <c r="R741" s="2417"/>
      <c r="S741" s="2417"/>
      <c r="T741" s="2417"/>
      <c r="U741" s="2417"/>
      <c r="V741" s="2417"/>
      <c r="W741" s="2417"/>
      <c r="X741" s="2417"/>
      <c r="Y741" s="2417"/>
      <c r="Z741" s="2417"/>
      <c r="AA741" s="2417"/>
      <c r="AB741" s="2417"/>
      <c r="AC741" s="536"/>
      <c r="AD741" s="536"/>
      <c r="AE741" s="536"/>
      <c r="AF741" s="2517" t="s">
        <v>1353</v>
      </c>
      <c r="AG741" s="2517"/>
      <c r="AH741" s="2517"/>
      <c r="AI741" s="2517"/>
      <c r="AJ741" s="2517"/>
      <c r="AK741" s="2517"/>
      <c r="AL741" s="2517"/>
      <c r="AM741" s="550"/>
      <c r="AN741" s="684"/>
      <c r="AT741" s="14"/>
      <c r="AU741" s="14"/>
      <c r="AV741" s="14"/>
      <c r="AW741" s="14"/>
      <c r="AX741" s="14"/>
      <c r="AY741" s="14"/>
      <c r="AZ741" s="14"/>
    </row>
    <row r="742" spans="1:81" s="570" customFormat="1">
      <c r="A742" s="550"/>
      <c r="B742" s="536"/>
      <c r="C742" s="931"/>
      <c r="D742" s="663"/>
      <c r="E742" s="2417"/>
      <c r="F742" s="2417"/>
      <c r="G742" s="2417"/>
      <c r="H742" s="2417"/>
      <c r="I742" s="2417"/>
      <c r="J742" s="2417"/>
      <c r="K742" s="2417"/>
      <c r="L742" s="2417"/>
      <c r="M742" s="2417"/>
      <c r="N742" s="2417"/>
      <c r="O742" s="2417"/>
      <c r="P742" s="2417"/>
      <c r="Q742" s="2417"/>
      <c r="R742" s="2417"/>
      <c r="S742" s="2417"/>
      <c r="T742" s="2417"/>
      <c r="U742" s="2417"/>
      <c r="V742" s="2417"/>
      <c r="W742" s="2417"/>
      <c r="X742" s="2417"/>
      <c r="Y742" s="2417"/>
      <c r="Z742" s="2417"/>
      <c r="AA742" s="2417"/>
      <c r="AB742" s="241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7"/>
      <c r="F743" s="2417"/>
      <c r="G743" s="2417"/>
      <c r="H743" s="2417"/>
      <c r="I743" s="2417"/>
      <c r="J743" s="2417"/>
      <c r="K743" s="2417"/>
      <c r="L743" s="2417"/>
      <c r="M743" s="2417"/>
      <c r="N743" s="2417"/>
      <c r="O743" s="2417"/>
      <c r="P743" s="2417"/>
      <c r="Q743" s="2417"/>
      <c r="R743" s="2417"/>
      <c r="S743" s="2417"/>
      <c r="T743" s="2417"/>
      <c r="U743" s="2417"/>
      <c r="V743" s="2417"/>
      <c r="W743" s="2417"/>
      <c r="X743" s="2417"/>
      <c r="Y743" s="2417"/>
      <c r="Z743" s="2417"/>
      <c r="AA743" s="2417"/>
      <c r="AB743" s="241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7"/>
      <c r="F744" s="2417"/>
      <c r="G744" s="2417"/>
      <c r="H744" s="2417"/>
      <c r="I744" s="2417"/>
      <c r="J744" s="2417"/>
      <c r="K744" s="2417"/>
      <c r="L744" s="2417"/>
      <c r="M744" s="2417"/>
      <c r="N744" s="2417"/>
      <c r="O744" s="2417"/>
      <c r="P744" s="2417"/>
      <c r="Q744" s="2417"/>
      <c r="R744" s="2417"/>
      <c r="S744" s="2417"/>
      <c r="T744" s="2417"/>
      <c r="U744" s="2417"/>
      <c r="V744" s="2417"/>
      <c r="W744" s="2417"/>
      <c r="X744" s="2417"/>
      <c r="Y744" s="2417"/>
      <c r="Z744" s="2417"/>
      <c r="AA744" s="2417"/>
      <c r="AB744" s="241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7" t="s">
        <v>1444</v>
      </c>
      <c r="F746" s="2417"/>
      <c r="G746" s="2417"/>
      <c r="H746" s="2417"/>
      <c r="I746" s="2417"/>
      <c r="J746" s="2417"/>
      <c r="K746" s="2417"/>
      <c r="L746" s="2417"/>
      <c r="M746" s="2417"/>
      <c r="N746" s="2417"/>
      <c r="O746" s="2417"/>
      <c r="P746" s="2417"/>
      <c r="Q746" s="2417"/>
      <c r="R746" s="2417"/>
      <c r="S746" s="2417"/>
      <c r="T746" s="2417"/>
      <c r="U746" s="2417"/>
      <c r="V746" s="2417"/>
      <c r="W746" s="2417"/>
      <c r="X746" s="2417"/>
      <c r="Y746" s="2417"/>
      <c r="Z746" s="2417"/>
      <c r="AA746" s="2417"/>
      <c r="AB746" s="575"/>
      <c r="AC746" s="536"/>
      <c r="AD746" s="536"/>
      <c r="AE746" s="536"/>
      <c r="AF746" s="2517" t="s">
        <v>1409</v>
      </c>
      <c r="AG746" s="2517"/>
      <c r="AH746" s="2517"/>
      <c r="AI746" s="2517"/>
      <c r="AJ746" s="2517"/>
      <c r="AK746" s="2517"/>
      <c r="AL746" s="2517"/>
      <c r="AM746" s="550"/>
      <c r="AN746" s="684"/>
      <c r="AO746" s="30"/>
      <c r="AP746" s="14"/>
    </row>
    <row r="747" spans="1:81" s="570" customFormat="1">
      <c r="A747" s="550"/>
      <c r="B747" s="536"/>
      <c r="C747" s="931"/>
      <c r="D747" s="663"/>
      <c r="E747" s="2417"/>
      <c r="F747" s="2417"/>
      <c r="G747" s="2417"/>
      <c r="H747" s="2417"/>
      <c r="I747" s="2417"/>
      <c r="J747" s="2417"/>
      <c r="K747" s="2417"/>
      <c r="L747" s="2417"/>
      <c r="M747" s="2417"/>
      <c r="N747" s="2417"/>
      <c r="O747" s="2417"/>
      <c r="P747" s="2417"/>
      <c r="Q747" s="2417"/>
      <c r="R747" s="2417"/>
      <c r="S747" s="2417"/>
      <c r="T747" s="2417"/>
      <c r="U747" s="2417"/>
      <c r="V747" s="2417"/>
      <c r="W747" s="2417"/>
      <c r="X747" s="2417"/>
      <c r="Y747" s="2417"/>
      <c r="Z747" s="2417"/>
      <c r="AA747" s="241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7"/>
      <c r="F748" s="2417"/>
      <c r="G748" s="2417"/>
      <c r="H748" s="2417"/>
      <c r="I748" s="2417"/>
      <c r="J748" s="2417"/>
      <c r="K748" s="2417"/>
      <c r="L748" s="2417"/>
      <c r="M748" s="2417"/>
      <c r="N748" s="2417"/>
      <c r="O748" s="2417"/>
      <c r="P748" s="2417"/>
      <c r="Q748" s="2417"/>
      <c r="R748" s="2417"/>
      <c r="S748" s="2417"/>
      <c r="T748" s="2417"/>
      <c r="U748" s="2417"/>
      <c r="V748" s="2417"/>
      <c r="W748" s="2417"/>
      <c r="X748" s="2417"/>
      <c r="Y748" s="2417"/>
      <c r="Z748" s="2417"/>
      <c r="AA748" s="241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7"/>
      <c r="F749" s="2417"/>
      <c r="G749" s="2417"/>
      <c r="H749" s="2417"/>
      <c r="I749" s="2417"/>
      <c r="J749" s="2417"/>
      <c r="K749" s="2417"/>
      <c r="L749" s="2417"/>
      <c r="M749" s="2417"/>
      <c r="N749" s="2417"/>
      <c r="O749" s="2417"/>
      <c r="P749" s="2417"/>
      <c r="Q749" s="2417"/>
      <c r="R749" s="2417"/>
      <c r="S749" s="2417"/>
      <c r="T749" s="2417"/>
      <c r="U749" s="2417"/>
      <c r="V749" s="2417"/>
      <c r="W749" s="2417"/>
      <c r="X749" s="2417"/>
      <c r="Y749" s="2417"/>
      <c r="Z749" s="2417"/>
      <c r="AA749" s="241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1" t="s">
        <v>688</v>
      </c>
      <c r="I751" s="244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4">
        <f>VLOOKUP($H$751,$AO$680:$AP$682,2,FALSE)</f>
        <v>3</v>
      </c>
      <c r="AK753" s="242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7" t="s">
        <v>1446</v>
      </c>
      <c r="F757" s="2417"/>
      <c r="G757" s="2417"/>
      <c r="H757" s="2417"/>
      <c r="I757" s="2417"/>
      <c r="J757" s="2417"/>
      <c r="K757" s="2417"/>
      <c r="L757" s="2417"/>
      <c r="M757" s="2417"/>
      <c r="N757" s="2417"/>
      <c r="O757" s="2417"/>
      <c r="P757" s="2417"/>
      <c r="Q757" s="2417"/>
      <c r="R757" s="2417"/>
      <c r="S757" s="2417"/>
      <c r="T757" s="2417"/>
      <c r="U757" s="2417"/>
      <c r="V757" s="2417"/>
      <c r="W757" s="2417"/>
      <c r="X757" s="2417"/>
      <c r="Y757" s="2417"/>
      <c r="Z757" s="2417"/>
      <c r="AA757" s="2417"/>
      <c r="AB757" s="2417"/>
      <c r="AC757" s="536"/>
      <c r="AD757" s="536"/>
      <c r="AE757" s="536"/>
      <c r="AF757" s="2517" t="s">
        <v>1409</v>
      </c>
      <c r="AG757" s="2517"/>
      <c r="AH757" s="2517"/>
      <c r="AI757" s="2517"/>
      <c r="AJ757" s="2517"/>
      <c r="AK757" s="2517"/>
      <c r="AL757" s="251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7"/>
      <c r="F758" s="2417"/>
      <c r="G758" s="2417"/>
      <c r="H758" s="2417"/>
      <c r="I758" s="2417"/>
      <c r="J758" s="2417"/>
      <c r="K758" s="2417"/>
      <c r="L758" s="2417"/>
      <c r="M758" s="2417"/>
      <c r="N758" s="2417"/>
      <c r="O758" s="2417"/>
      <c r="P758" s="2417"/>
      <c r="Q758" s="2417"/>
      <c r="R758" s="2417"/>
      <c r="S758" s="2417"/>
      <c r="T758" s="2417"/>
      <c r="U758" s="2417"/>
      <c r="V758" s="2417"/>
      <c r="W758" s="2417"/>
      <c r="X758" s="2417"/>
      <c r="Y758" s="2417"/>
      <c r="Z758" s="2417"/>
      <c r="AA758" s="2417"/>
      <c r="AB758" s="241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7" t="s">
        <v>1447</v>
      </c>
      <c r="F760" s="2417"/>
      <c r="G760" s="2417"/>
      <c r="H760" s="2417"/>
      <c r="I760" s="2417"/>
      <c r="J760" s="2417"/>
      <c r="K760" s="2417"/>
      <c r="L760" s="2417"/>
      <c r="M760" s="2417"/>
      <c r="N760" s="2417"/>
      <c r="O760" s="2417"/>
      <c r="P760" s="2417"/>
      <c r="Q760" s="2417"/>
      <c r="R760" s="2417"/>
      <c r="S760" s="2417"/>
      <c r="T760" s="2417"/>
      <c r="U760" s="2417"/>
      <c r="V760" s="2417"/>
      <c r="W760" s="2417"/>
      <c r="X760" s="2417"/>
      <c r="Y760" s="2417"/>
      <c r="Z760" s="2417"/>
      <c r="AA760" s="2417"/>
      <c r="AB760" s="2417"/>
      <c r="AC760" s="536"/>
      <c r="AD760" s="536"/>
      <c r="AE760" s="536"/>
      <c r="AF760" s="2517" t="s">
        <v>1426</v>
      </c>
      <c r="AG760" s="2517"/>
      <c r="AH760" s="2517"/>
      <c r="AI760" s="2517"/>
      <c r="AJ760" s="2517"/>
      <c r="AK760" s="2517"/>
      <c r="AL760" s="251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7"/>
      <c r="F761" s="2417"/>
      <c r="G761" s="2417"/>
      <c r="H761" s="2417"/>
      <c r="I761" s="2417"/>
      <c r="J761" s="2417"/>
      <c r="K761" s="2417"/>
      <c r="L761" s="2417"/>
      <c r="M761" s="2417"/>
      <c r="N761" s="2417"/>
      <c r="O761" s="2417"/>
      <c r="P761" s="2417"/>
      <c r="Q761" s="2417"/>
      <c r="R761" s="2417"/>
      <c r="S761" s="2417"/>
      <c r="T761" s="2417"/>
      <c r="U761" s="2417"/>
      <c r="V761" s="2417"/>
      <c r="W761" s="2417"/>
      <c r="X761" s="2417"/>
      <c r="Y761" s="2417"/>
      <c r="Z761" s="2417"/>
      <c r="AA761" s="2417"/>
      <c r="AB761" s="241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1" t="s">
        <v>688</v>
      </c>
      <c r="I763" s="244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4">
        <f>VLOOKUP($H$763,$AO$697:$AP$699,2,FALSE)</f>
        <v>2</v>
      </c>
      <c r="AK765" s="242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7" t="s">
        <v>1693</v>
      </c>
      <c r="F769" s="2417"/>
      <c r="G769" s="2417"/>
      <c r="H769" s="2417"/>
      <c r="I769" s="2417"/>
      <c r="J769" s="2417"/>
      <c r="K769" s="2417"/>
      <c r="L769" s="2417"/>
      <c r="M769" s="2417"/>
      <c r="N769" s="2417"/>
      <c r="O769" s="2417"/>
      <c r="P769" s="2417"/>
      <c r="Q769" s="2417"/>
      <c r="R769" s="2417"/>
      <c r="S769" s="2417"/>
      <c r="T769" s="2417"/>
      <c r="U769" s="2417"/>
      <c r="V769" s="2417"/>
      <c r="W769" s="2417"/>
      <c r="X769" s="2417"/>
      <c r="Y769" s="2417"/>
      <c r="Z769" s="2417"/>
      <c r="AA769" s="2417"/>
      <c r="AB769" s="2417"/>
      <c r="AC769" s="2417"/>
      <c r="AD769" s="2417"/>
      <c r="AE769" s="536"/>
      <c r="AF769" s="2517" t="s">
        <v>1409</v>
      </c>
      <c r="AG769" s="2517"/>
      <c r="AH769" s="2517"/>
      <c r="AI769" s="2517"/>
      <c r="AJ769" s="2517"/>
      <c r="AK769" s="2517"/>
      <c r="AL769" s="2517"/>
      <c r="AM769" s="613"/>
      <c r="AN769" s="684"/>
      <c r="AO769" s="550" t="s">
        <v>592</v>
      </c>
      <c r="AP769" s="673">
        <v>0</v>
      </c>
    </row>
    <row r="770" spans="1:81" s="570" customFormat="1" ht="13.7" customHeight="1">
      <c r="A770" s="550"/>
      <c r="B770" s="616"/>
      <c r="C770" s="940"/>
      <c r="D770" s="663"/>
      <c r="E770" s="2417"/>
      <c r="F770" s="2417"/>
      <c r="G770" s="2417"/>
      <c r="H770" s="2417"/>
      <c r="I770" s="2417"/>
      <c r="J770" s="2417"/>
      <c r="K770" s="2417"/>
      <c r="L770" s="2417"/>
      <c r="M770" s="2417"/>
      <c r="N770" s="2417"/>
      <c r="O770" s="2417"/>
      <c r="P770" s="2417"/>
      <c r="Q770" s="2417"/>
      <c r="R770" s="2417"/>
      <c r="S770" s="2417"/>
      <c r="T770" s="2417"/>
      <c r="U770" s="2417"/>
      <c r="V770" s="2417"/>
      <c r="W770" s="2417"/>
      <c r="X770" s="2417"/>
      <c r="Y770" s="2417"/>
      <c r="Z770" s="2417"/>
      <c r="AA770" s="2417"/>
      <c r="AB770" s="2417"/>
      <c r="AC770" s="2417"/>
      <c r="AD770" s="2417"/>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7"/>
      <c r="F771" s="2417"/>
      <c r="G771" s="2417"/>
      <c r="H771" s="2417"/>
      <c r="I771" s="2417"/>
      <c r="J771" s="2417"/>
      <c r="K771" s="2417"/>
      <c r="L771" s="2417"/>
      <c r="M771" s="2417"/>
      <c r="N771" s="2417"/>
      <c r="O771" s="2417"/>
      <c r="P771" s="2417"/>
      <c r="Q771" s="2417"/>
      <c r="R771" s="2417"/>
      <c r="S771" s="2417"/>
      <c r="T771" s="2417"/>
      <c r="U771" s="2417"/>
      <c r="V771" s="2417"/>
      <c r="W771" s="2417"/>
      <c r="X771" s="2417"/>
      <c r="Y771" s="2417"/>
      <c r="Z771" s="2417"/>
      <c r="AA771" s="2417"/>
      <c r="AB771" s="2417"/>
      <c r="AC771" s="2417"/>
      <c r="AD771" s="241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7"/>
      <c r="F772" s="2417"/>
      <c r="G772" s="2417"/>
      <c r="H772" s="2417"/>
      <c r="I772" s="2417"/>
      <c r="J772" s="2417"/>
      <c r="K772" s="2417"/>
      <c r="L772" s="2417"/>
      <c r="M772" s="2417"/>
      <c r="N772" s="2417"/>
      <c r="O772" s="2417"/>
      <c r="P772" s="2417"/>
      <c r="Q772" s="2417"/>
      <c r="R772" s="2417"/>
      <c r="S772" s="2417"/>
      <c r="T772" s="2417"/>
      <c r="U772" s="2417"/>
      <c r="V772" s="2417"/>
      <c r="W772" s="2417"/>
      <c r="X772" s="2417"/>
      <c r="Y772" s="2417"/>
      <c r="Z772" s="2417"/>
      <c r="AA772" s="2417"/>
      <c r="AB772" s="2417"/>
      <c r="AC772" s="2417"/>
      <c r="AD772" s="241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8" t="s">
        <v>1698</v>
      </c>
      <c r="F774" s="2528"/>
      <c r="G774" s="2528"/>
      <c r="H774" s="2528"/>
      <c r="I774" s="2528"/>
      <c r="J774" s="2528"/>
      <c r="K774" s="2528"/>
      <c r="L774" s="2528"/>
      <c r="M774" s="2528"/>
      <c r="N774" s="2528"/>
      <c r="O774" s="2528"/>
      <c r="P774" s="2528"/>
      <c r="Q774" s="2528"/>
      <c r="R774" s="2528"/>
      <c r="S774" s="2528"/>
      <c r="T774" s="2528"/>
      <c r="U774" s="2528"/>
      <c r="V774" s="2528"/>
      <c r="W774" s="2528"/>
      <c r="X774" s="2528"/>
      <c r="Y774" s="2528"/>
      <c r="Z774" s="2528"/>
      <c r="AA774" s="2528"/>
      <c r="AB774" s="2528"/>
      <c r="AC774" s="2528"/>
      <c r="AD774" s="2528"/>
      <c r="AE774" s="536"/>
      <c r="AF774" s="2517" t="s">
        <v>1353</v>
      </c>
      <c r="AG774" s="2517"/>
      <c r="AH774" s="2517"/>
      <c r="AI774" s="2517"/>
      <c r="AJ774" s="2517"/>
      <c r="AK774" s="2517"/>
      <c r="AL774" s="2517"/>
      <c r="AM774" s="613"/>
      <c r="AN774" s="597"/>
    </row>
    <row r="775" spans="1:81" s="550" customFormat="1" ht="12.75" customHeight="1">
      <c r="B775" s="616"/>
      <c r="C775" s="940"/>
      <c r="D775" s="663"/>
      <c r="E775" s="2528"/>
      <c r="F775" s="2528"/>
      <c r="G775" s="2528"/>
      <c r="H775" s="2528"/>
      <c r="I775" s="2528"/>
      <c r="J775" s="2528"/>
      <c r="K775" s="2528"/>
      <c r="L775" s="2528"/>
      <c r="M775" s="2528"/>
      <c r="N775" s="2528"/>
      <c r="O775" s="2528"/>
      <c r="P775" s="2528"/>
      <c r="Q775" s="2528"/>
      <c r="R775" s="2528"/>
      <c r="S775" s="2528"/>
      <c r="T775" s="2528"/>
      <c r="U775" s="2528"/>
      <c r="V775" s="2528"/>
      <c r="W775" s="2528"/>
      <c r="X775" s="2528"/>
      <c r="Y775" s="2528"/>
      <c r="Z775" s="2528"/>
      <c r="AA775" s="2528"/>
      <c r="AB775" s="2528"/>
      <c r="AC775" s="2528"/>
      <c r="AD775" s="2528"/>
      <c r="AE775" s="594"/>
      <c r="AF775" s="594"/>
      <c r="AG775" s="594"/>
      <c r="AH775" s="594"/>
      <c r="AI775" s="594"/>
      <c r="AJ775" s="594"/>
      <c r="AK775" s="594"/>
      <c r="AL775" s="594"/>
      <c r="AM775" s="613"/>
      <c r="AN775" s="597"/>
    </row>
    <row r="776" spans="1:81" s="550" customFormat="1" ht="12.75" customHeight="1">
      <c r="B776" s="616"/>
      <c r="C776" s="940"/>
      <c r="D776" s="663"/>
      <c r="E776" s="2528"/>
      <c r="F776" s="2528"/>
      <c r="G776" s="2528"/>
      <c r="H776" s="2528"/>
      <c r="I776" s="2528"/>
      <c r="J776" s="2528"/>
      <c r="K776" s="2528"/>
      <c r="L776" s="2528"/>
      <c r="M776" s="2528"/>
      <c r="N776" s="2528"/>
      <c r="O776" s="2528"/>
      <c r="P776" s="2528"/>
      <c r="Q776" s="2528"/>
      <c r="R776" s="2528"/>
      <c r="S776" s="2528"/>
      <c r="T776" s="2528"/>
      <c r="U776" s="2528"/>
      <c r="V776" s="2528"/>
      <c r="W776" s="2528"/>
      <c r="X776" s="2528"/>
      <c r="Y776" s="2528"/>
      <c r="Z776" s="2528"/>
      <c r="AA776" s="2528"/>
      <c r="AB776" s="2528"/>
      <c r="AC776" s="2528"/>
      <c r="AD776" s="2528"/>
      <c r="AE776" s="594"/>
      <c r="AF776" s="594"/>
      <c r="AG776" s="594"/>
      <c r="AH776" s="594"/>
      <c r="AI776" s="594"/>
      <c r="AJ776" s="594"/>
      <c r="AK776" s="594"/>
      <c r="AL776" s="594"/>
      <c r="AM776" s="613"/>
      <c r="AN776" s="597"/>
    </row>
    <row r="777" spans="1:81" s="550" customFormat="1" ht="12.75" customHeight="1">
      <c r="B777" s="616"/>
      <c r="C777" s="940"/>
      <c r="D777" s="663"/>
      <c r="E777" s="2528"/>
      <c r="F777" s="2528"/>
      <c r="G777" s="2528"/>
      <c r="H777" s="2528"/>
      <c r="I777" s="2528"/>
      <c r="J777" s="2528"/>
      <c r="K777" s="2528"/>
      <c r="L777" s="2528"/>
      <c r="M777" s="2528"/>
      <c r="N777" s="2528"/>
      <c r="O777" s="2528"/>
      <c r="P777" s="2528"/>
      <c r="Q777" s="2528"/>
      <c r="R777" s="2528"/>
      <c r="S777" s="2528"/>
      <c r="T777" s="2528"/>
      <c r="U777" s="2528"/>
      <c r="V777" s="2528"/>
      <c r="W777" s="2528"/>
      <c r="X777" s="2528"/>
      <c r="Y777" s="2528"/>
      <c r="Z777" s="2528"/>
      <c r="AA777" s="2528"/>
      <c r="AB777" s="2528"/>
      <c r="AC777" s="2528"/>
      <c r="AD777" s="252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1" t="s">
        <v>592</v>
      </c>
      <c r="I779" s="244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4">
        <f>VLOOKUP($H$779,$AO$769:$AP$771,2,FALSE)</f>
        <v>0</v>
      </c>
      <c r="AK781" s="242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7" t="s">
        <v>2033</v>
      </c>
      <c r="F785" s="2417"/>
      <c r="G785" s="2417"/>
      <c r="H785" s="2417"/>
      <c r="I785" s="2417"/>
      <c r="J785" s="2417"/>
      <c r="K785" s="2417"/>
      <c r="L785" s="2417"/>
      <c r="M785" s="2417"/>
      <c r="N785" s="2417"/>
      <c r="O785" s="2417"/>
      <c r="P785" s="2417"/>
      <c r="Q785" s="2417"/>
      <c r="R785" s="2417"/>
      <c r="S785" s="2417"/>
      <c r="T785" s="2417"/>
      <c r="U785" s="2417"/>
      <c r="V785" s="2417"/>
      <c r="W785" s="2417"/>
      <c r="X785" s="2417"/>
      <c r="Y785" s="2417"/>
      <c r="Z785" s="2417"/>
      <c r="AA785" s="2417"/>
      <c r="AB785" s="2417"/>
      <c r="AC785" s="2417"/>
      <c r="AD785" s="2417"/>
      <c r="AE785" s="536"/>
      <c r="AF785" s="2517" t="s">
        <v>1353</v>
      </c>
      <c r="AG785" s="2517"/>
      <c r="AH785" s="2517"/>
      <c r="AI785" s="2517"/>
      <c r="AJ785" s="2517"/>
      <c r="AK785" s="2517"/>
      <c r="AL785" s="251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7"/>
      <c r="F786" s="2417"/>
      <c r="G786" s="2417"/>
      <c r="H786" s="2417"/>
      <c r="I786" s="2417"/>
      <c r="J786" s="2417"/>
      <c r="K786" s="2417"/>
      <c r="L786" s="2417"/>
      <c r="M786" s="2417"/>
      <c r="N786" s="2417"/>
      <c r="O786" s="2417"/>
      <c r="P786" s="2417"/>
      <c r="Q786" s="2417"/>
      <c r="R786" s="2417"/>
      <c r="S786" s="2417"/>
      <c r="T786" s="2417"/>
      <c r="U786" s="2417"/>
      <c r="V786" s="2417"/>
      <c r="W786" s="2417"/>
      <c r="X786" s="2417"/>
      <c r="Y786" s="2417"/>
      <c r="Z786" s="2417"/>
      <c r="AA786" s="2417"/>
      <c r="AB786" s="2417"/>
      <c r="AC786" s="2417"/>
      <c r="AD786" s="241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7"/>
      <c r="F787" s="2417"/>
      <c r="G787" s="2417"/>
      <c r="H787" s="2417"/>
      <c r="I787" s="2417"/>
      <c r="J787" s="2417"/>
      <c r="K787" s="2417"/>
      <c r="L787" s="2417"/>
      <c r="M787" s="2417"/>
      <c r="N787" s="2417"/>
      <c r="O787" s="2417"/>
      <c r="P787" s="2417"/>
      <c r="Q787" s="2417"/>
      <c r="R787" s="2417"/>
      <c r="S787" s="2417"/>
      <c r="T787" s="2417"/>
      <c r="U787" s="2417"/>
      <c r="V787" s="2417"/>
      <c r="W787" s="2417"/>
      <c r="X787" s="2417"/>
      <c r="Y787" s="2417"/>
      <c r="Z787" s="2417"/>
      <c r="AA787" s="2417"/>
      <c r="AB787" s="2417"/>
      <c r="AC787" s="2417"/>
      <c r="AD787" s="241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7"/>
      <c r="F788" s="2417"/>
      <c r="G788" s="2417"/>
      <c r="H788" s="2417"/>
      <c r="I788" s="2417"/>
      <c r="J788" s="2417"/>
      <c r="K788" s="2417"/>
      <c r="L788" s="2417"/>
      <c r="M788" s="2417"/>
      <c r="N788" s="2417"/>
      <c r="O788" s="2417"/>
      <c r="P788" s="2417"/>
      <c r="Q788" s="2417"/>
      <c r="R788" s="2417"/>
      <c r="S788" s="2417"/>
      <c r="T788" s="2417"/>
      <c r="U788" s="2417"/>
      <c r="V788" s="2417"/>
      <c r="W788" s="2417"/>
      <c r="X788" s="2417"/>
      <c r="Y788" s="2417"/>
      <c r="Z788" s="2417"/>
      <c r="AA788" s="2417"/>
      <c r="AB788" s="2417"/>
      <c r="AC788" s="2417"/>
      <c r="AD788" s="241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1" t="s">
        <v>546</v>
      </c>
      <c r="I790" s="244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4">
        <f>VLOOKUP($H$790,$AO$784:$AP$785,2,FALSE)</f>
        <v>3</v>
      </c>
      <c r="AK792" s="242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4">
        <f>IF(($AJ$621+$AJ$640+$AJ$652+$AJ$687+$AJ$711+$AJ$725+$AJ$737+$AJ$753+$AJ$765+$AJ$781+AJ792)&gt;10,10,($AJ$621+$AJ$640+$AJ$652+$AJ$687+$AJ$711+$AJ$725+$AJ$737+$AJ$753+$AJ$765+$AJ$781+AJ792))</f>
        <v>10</v>
      </c>
      <c r="AL794" s="2425"/>
      <c r="AM794" s="242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8" t="s">
        <v>1569</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9"/>
      <c r="B800" s="2439"/>
      <c r="C800" s="2439"/>
      <c r="D800" s="2439"/>
      <c r="E800" s="2439"/>
      <c r="F800" s="2439"/>
      <c r="G800" s="2439"/>
      <c r="H800" s="2439"/>
      <c r="I800" s="2439"/>
      <c r="J800" s="2439"/>
      <c r="K800" s="2439"/>
      <c r="L800" s="2439"/>
      <c r="M800" s="2439"/>
      <c r="N800" s="2439"/>
      <c r="O800" s="2439"/>
      <c r="P800" s="2439"/>
      <c r="Q800" s="2439"/>
      <c r="R800" s="2439"/>
      <c r="S800" s="2439"/>
      <c r="T800" s="2439"/>
      <c r="U800" s="2439"/>
      <c r="V800" s="2439"/>
      <c r="W800" s="2439"/>
      <c r="X800" s="2439"/>
      <c r="Y800" s="2439"/>
      <c r="Z800" s="2439"/>
      <c r="AA800" s="2439"/>
      <c r="AB800" s="2439"/>
      <c r="AC800" s="2439"/>
      <c r="AD800" s="2439"/>
      <c r="AE800" s="2439"/>
      <c r="AF800" s="2439"/>
      <c r="AG800" s="2439"/>
      <c r="AH800" s="2439"/>
      <c r="AI800" s="2439"/>
      <c r="AJ800" s="2439"/>
      <c r="AK800" s="2439"/>
      <c r="AL800" s="2439"/>
      <c r="AM800" s="2439"/>
      <c r="AP800" s="816"/>
      <c r="AQ800" s="816"/>
    </row>
    <row r="801" spans="1:81">
      <c r="A801" s="2439"/>
      <c r="B801" s="2439"/>
      <c r="C801" s="2439"/>
      <c r="D801" s="2439"/>
      <c r="E801" s="2439"/>
      <c r="F801" s="2439"/>
      <c r="G801" s="2439"/>
      <c r="H801" s="2439"/>
      <c r="I801" s="2439"/>
      <c r="J801" s="2439"/>
      <c r="K801" s="2439"/>
      <c r="L801" s="2439"/>
      <c r="M801" s="2439"/>
      <c r="N801" s="2439"/>
      <c r="O801" s="2439"/>
      <c r="P801" s="2439"/>
      <c r="Q801" s="2439"/>
      <c r="R801" s="2439"/>
      <c r="S801" s="2439"/>
      <c r="T801" s="2439"/>
      <c r="U801" s="2439"/>
      <c r="V801" s="2439"/>
      <c r="W801" s="2439"/>
      <c r="X801" s="2439"/>
      <c r="Y801" s="2439"/>
      <c r="Z801" s="2439"/>
      <c r="AA801" s="2439"/>
      <c r="AB801" s="2439"/>
      <c r="AC801" s="2439"/>
      <c r="AD801" s="2439"/>
      <c r="AE801" s="2439"/>
      <c r="AF801" s="2439"/>
      <c r="AG801" s="2439"/>
      <c r="AH801" s="2439"/>
      <c r="AI801" s="2439"/>
      <c r="AJ801" s="2439"/>
      <c r="AK801" s="2439"/>
      <c r="AL801" s="2439"/>
      <c r="AM801" s="243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1" t="s">
        <v>1570</v>
      </c>
      <c r="U802" s="2512"/>
      <c r="V802" s="2512"/>
      <c r="W802" s="2512"/>
      <c r="X802" s="2512"/>
      <c r="Y802" s="2513"/>
      <c r="Z802" s="2511" t="s">
        <v>1571</v>
      </c>
      <c r="AA802" s="2512"/>
      <c r="AB802" s="2512"/>
      <c r="AC802" s="2512"/>
      <c r="AD802" s="2512"/>
      <c r="AE802" s="2513"/>
      <c r="AF802" s="2511" t="s">
        <v>1572</v>
      </c>
      <c r="AG802" s="2512"/>
      <c r="AH802" s="2512"/>
      <c r="AI802" s="2512"/>
      <c r="AJ802" s="2512"/>
      <c r="AK802" s="251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4"/>
      <c r="U803" s="2515"/>
      <c r="V803" s="2515"/>
      <c r="W803" s="2515"/>
      <c r="X803" s="2515"/>
      <c r="Y803" s="2516"/>
      <c r="Z803" s="2514"/>
      <c r="AA803" s="2515"/>
      <c r="AB803" s="2515"/>
      <c r="AC803" s="2515"/>
      <c r="AD803" s="2515"/>
      <c r="AE803" s="2516"/>
      <c r="AF803" s="2514"/>
      <c r="AG803" s="2515"/>
      <c r="AH803" s="2515"/>
      <c r="AI803" s="2515"/>
      <c r="AJ803" s="2515"/>
      <c r="AK803" s="2516"/>
      <c r="AL803" s="818"/>
      <c r="AM803" s="596"/>
      <c r="AO803" s="816"/>
      <c r="AP803" s="816"/>
      <c r="AQ803" s="816"/>
    </row>
    <row r="804" spans="1:81">
      <c r="A804" s="819" t="s">
        <v>758</v>
      </c>
      <c r="B804" s="2468" t="s">
        <v>1305</v>
      </c>
      <c r="C804" s="2468"/>
      <c r="D804" s="2468"/>
      <c r="E804" s="2468"/>
      <c r="F804" s="2468"/>
      <c r="G804" s="2468"/>
      <c r="H804" s="2468"/>
      <c r="I804" s="2468"/>
      <c r="J804" s="2468"/>
      <c r="K804" s="2468"/>
      <c r="L804" s="2468"/>
      <c r="M804" s="2468"/>
      <c r="N804" s="2468"/>
      <c r="O804" s="2468"/>
      <c r="P804" s="2468"/>
      <c r="Q804" s="2468"/>
      <c r="R804" s="2468"/>
      <c r="S804" s="2469"/>
      <c r="T804" s="2496">
        <f>AK62</f>
        <v>0</v>
      </c>
      <c r="U804" s="2472"/>
      <c r="V804" s="2472"/>
      <c r="W804" s="2472"/>
      <c r="X804" s="2472"/>
      <c r="Y804" s="2473"/>
      <c r="Z804" s="2471">
        <v>20</v>
      </c>
      <c r="AA804" s="2472"/>
      <c r="AB804" s="2472"/>
      <c r="AC804" s="2472"/>
      <c r="AD804" s="2472"/>
      <c r="AE804" s="2473"/>
      <c r="AF804" s="2436">
        <f>IF(T804&gt;Z804,Z804,T804)</f>
        <v>0</v>
      </c>
      <c r="AG804" s="2436"/>
      <c r="AH804" s="2436"/>
      <c r="AI804" s="2436"/>
      <c r="AJ804" s="2436"/>
      <c r="AK804" s="2436"/>
      <c r="AL804" s="818"/>
      <c r="AM804" s="596"/>
      <c r="AO804" s="816"/>
      <c r="AP804" s="816"/>
      <c r="AQ804" s="816"/>
    </row>
    <row r="805" spans="1:81">
      <c r="A805" s="819" t="s">
        <v>1542</v>
      </c>
      <c r="B805" s="2468" t="s">
        <v>1314</v>
      </c>
      <c r="C805" s="2468"/>
      <c r="D805" s="2468"/>
      <c r="E805" s="2468"/>
      <c r="F805" s="2468"/>
      <c r="G805" s="2468"/>
      <c r="H805" s="2468"/>
      <c r="I805" s="2468"/>
      <c r="J805" s="2468"/>
      <c r="K805" s="2468"/>
      <c r="L805" s="2468"/>
      <c r="M805" s="2468"/>
      <c r="N805" s="2468"/>
      <c r="O805" s="2468"/>
      <c r="P805" s="2468"/>
      <c r="Q805" s="2468"/>
      <c r="R805" s="2468"/>
      <c r="S805" s="2469"/>
      <c r="T805" s="2496">
        <f>AK84</f>
        <v>10</v>
      </c>
      <c r="U805" s="2472"/>
      <c r="V805" s="2472"/>
      <c r="W805" s="2472"/>
      <c r="X805" s="2472"/>
      <c r="Y805" s="2473"/>
      <c r="Z805" s="2471">
        <v>10</v>
      </c>
      <c r="AA805" s="2472"/>
      <c r="AB805" s="2472"/>
      <c r="AC805" s="2472"/>
      <c r="AD805" s="2472"/>
      <c r="AE805" s="2473"/>
      <c r="AF805" s="2436">
        <f>IF(T805&gt;Z805,Z805,T805)</f>
        <v>10</v>
      </c>
      <c r="AG805" s="2436"/>
      <c r="AH805" s="2436"/>
      <c r="AI805" s="2436"/>
      <c r="AJ805" s="2436"/>
      <c r="AK805" s="2436"/>
      <c r="AL805" s="818"/>
      <c r="AM805" s="596"/>
      <c r="AO805" s="816"/>
      <c r="AP805" s="816"/>
      <c r="AQ805" s="816"/>
    </row>
    <row r="806" spans="1:81">
      <c r="A806" s="819" t="s">
        <v>1551</v>
      </c>
      <c r="B806" s="2468" t="s">
        <v>1324</v>
      </c>
      <c r="C806" s="2468"/>
      <c r="D806" s="2468"/>
      <c r="E806" s="2468"/>
      <c r="F806" s="2468"/>
      <c r="G806" s="2468"/>
      <c r="H806" s="2468"/>
      <c r="I806" s="2468"/>
      <c r="J806" s="2468"/>
      <c r="K806" s="2468"/>
      <c r="L806" s="2468"/>
      <c r="M806" s="2468"/>
      <c r="N806" s="2468"/>
      <c r="O806" s="2468"/>
      <c r="P806" s="2468"/>
      <c r="Q806" s="2468"/>
      <c r="R806" s="2468"/>
      <c r="S806" s="2469"/>
      <c r="T806" s="2496">
        <f ca="1">AK109</f>
        <v>20</v>
      </c>
      <c r="U806" s="2472"/>
      <c r="V806" s="2472"/>
      <c r="W806" s="2472"/>
      <c r="X806" s="2472"/>
      <c r="Y806" s="2473"/>
      <c r="Z806" s="2471">
        <v>20</v>
      </c>
      <c r="AA806" s="2472"/>
      <c r="AB806" s="2472"/>
      <c r="AC806" s="2472"/>
      <c r="AD806" s="2472"/>
      <c r="AE806" s="2473"/>
      <c r="AF806" s="2436">
        <f ca="1">IF(T806&gt;Z806,Z806,T806)</f>
        <v>20</v>
      </c>
      <c r="AG806" s="2436"/>
      <c r="AH806" s="2436"/>
      <c r="AI806" s="2436"/>
      <c r="AJ806" s="2436"/>
      <c r="AK806" s="2436"/>
      <c r="AL806" s="818"/>
      <c r="AM806" s="596"/>
      <c r="AO806" s="816"/>
      <c r="AP806" s="816"/>
      <c r="AQ806" s="816"/>
    </row>
    <row r="807" spans="1:81">
      <c r="A807" s="819" t="s">
        <v>1573</v>
      </c>
      <c r="B807" s="2468" t="s">
        <v>1334</v>
      </c>
      <c r="C807" s="2468"/>
      <c r="D807" s="2468"/>
      <c r="E807" s="2468"/>
      <c r="F807" s="2468"/>
      <c r="G807" s="2468"/>
      <c r="H807" s="2468"/>
      <c r="I807" s="2468"/>
      <c r="J807" s="2468"/>
      <c r="K807" s="2468"/>
      <c r="L807" s="2468"/>
      <c r="M807" s="2468"/>
      <c r="N807" s="2468"/>
      <c r="O807" s="2468"/>
      <c r="P807" s="2468"/>
      <c r="Q807" s="2468"/>
      <c r="R807" s="2468"/>
      <c r="S807" s="2469"/>
      <c r="T807" s="2496">
        <f>AK143</f>
        <v>10</v>
      </c>
      <c r="U807" s="2472"/>
      <c r="V807" s="2472"/>
      <c r="W807" s="2472"/>
      <c r="X807" s="2472"/>
      <c r="Y807" s="2473"/>
      <c r="Z807" s="2471">
        <v>10</v>
      </c>
      <c r="AA807" s="2472"/>
      <c r="AB807" s="2472"/>
      <c r="AC807" s="2472"/>
      <c r="AD807" s="2472"/>
      <c r="AE807" s="2473"/>
      <c r="AF807" s="2436">
        <f>IF(T807&gt;Z807,Z807,T807)</f>
        <v>10</v>
      </c>
      <c r="AG807" s="2436"/>
      <c r="AH807" s="2436"/>
      <c r="AI807" s="2436"/>
      <c r="AJ807" s="2436"/>
      <c r="AK807" s="2436"/>
      <c r="AL807" s="818"/>
      <c r="AM807" s="596"/>
      <c r="AO807" s="816"/>
      <c r="AP807" s="816"/>
      <c r="AQ807" s="816"/>
    </row>
    <row r="808" spans="1:81">
      <c r="A808" s="820" t="s">
        <v>1574</v>
      </c>
      <c r="B808" s="2468" t="s">
        <v>1575</v>
      </c>
      <c r="C808" s="2468"/>
      <c r="D808" s="2468"/>
      <c r="E808" s="2468"/>
      <c r="F808" s="2468"/>
      <c r="G808" s="2468"/>
      <c r="H808" s="2468"/>
      <c r="I808" s="2468"/>
      <c r="J808" s="2468"/>
      <c r="K808" s="2468"/>
      <c r="L808" s="2468"/>
      <c r="M808" s="2468"/>
      <c r="N808" s="2468"/>
      <c r="O808" s="2468"/>
      <c r="P808" s="2468"/>
      <c r="Q808" s="2468"/>
      <c r="R808" s="2468"/>
      <c r="S808" s="2469"/>
      <c r="T808" s="2470">
        <f>SUM(T809:Y810)</f>
        <v>10</v>
      </c>
      <c r="U808" s="2470"/>
      <c r="V808" s="2470"/>
      <c r="W808" s="2470"/>
      <c r="X808" s="2470"/>
      <c r="Y808" s="2470"/>
      <c r="Z808" s="2436">
        <v>10</v>
      </c>
      <c r="AA808" s="2436"/>
      <c r="AB808" s="2436"/>
      <c r="AC808" s="2436"/>
      <c r="AD808" s="2436"/>
      <c r="AE808" s="2436"/>
      <c r="AF808" s="2436">
        <f>IF(T808&gt;Z808,Z808,T808)</f>
        <v>10</v>
      </c>
      <c r="AG808" s="2436"/>
      <c r="AH808" s="2436"/>
      <c r="AI808" s="2436"/>
      <c r="AJ808" s="2436"/>
      <c r="AK808" s="2436"/>
      <c r="AL808" s="818"/>
      <c r="AM808" s="596"/>
    </row>
    <row r="809" spans="1:81">
      <c r="A809" s="535"/>
      <c r="B809" s="601"/>
      <c r="C809" s="2474" t="s">
        <v>1576</v>
      </c>
      <c r="D809" s="2474"/>
      <c r="E809" s="2474"/>
      <c r="F809" s="2474"/>
      <c r="G809" s="2474"/>
      <c r="H809" s="2474"/>
      <c r="I809" s="2474"/>
      <c r="J809" s="2474"/>
      <c r="K809" s="2474"/>
      <c r="L809" s="2474"/>
      <c r="M809" s="2474"/>
      <c r="N809" s="2474"/>
      <c r="O809" s="2474"/>
      <c r="P809" s="2474"/>
      <c r="Q809" s="2474"/>
      <c r="R809" s="2474"/>
      <c r="S809" s="2475"/>
      <c r="T809" s="2476">
        <f>AJ166</f>
        <v>7</v>
      </c>
      <c r="U809" s="2476"/>
      <c r="V809" s="2476"/>
      <c r="W809" s="2476"/>
      <c r="X809" s="2476"/>
      <c r="Y809" s="2476"/>
      <c r="Z809" s="2477">
        <v>7</v>
      </c>
      <c r="AA809" s="2477"/>
      <c r="AB809" s="2477"/>
      <c r="AC809" s="2477"/>
      <c r="AD809" s="2477"/>
      <c r="AE809" s="2477"/>
      <c r="AF809" s="2478"/>
      <c r="AG809" s="2478"/>
      <c r="AH809" s="2478"/>
      <c r="AI809" s="2478"/>
      <c r="AJ809" s="2478"/>
      <c r="AK809" s="2478"/>
      <c r="AL809" s="818"/>
      <c r="AM809" s="596"/>
    </row>
    <row r="810" spans="1:81">
      <c r="A810" s="600"/>
      <c r="B810" s="601"/>
      <c r="C810" s="2474" t="s">
        <v>1577</v>
      </c>
      <c r="D810" s="2474"/>
      <c r="E810" s="2474"/>
      <c r="F810" s="2474"/>
      <c r="G810" s="2474"/>
      <c r="H810" s="2474"/>
      <c r="I810" s="2474"/>
      <c r="J810" s="2474"/>
      <c r="K810" s="2474"/>
      <c r="L810" s="2474"/>
      <c r="M810" s="2474"/>
      <c r="N810" s="2474"/>
      <c r="O810" s="2474"/>
      <c r="P810" s="2474"/>
      <c r="Q810" s="2474"/>
      <c r="R810" s="2474"/>
      <c r="S810" s="2475"/>
      <c r="T810" s="2476">
        <f>AJ180</f>
        <v>3</v>
      </c>
      <c r="U810" s="2476"/>
      <c r="V810" s="2476"/>
      <c r="W810" s="2476"/>
      <c r="X810" s="2476"/>
      <c r="Y810" s="2476"/>
      <c r="Z810" s="2477">
        <v>3</v>
      </c>
      <c r="AA810" s="2477"/>
      <c r="AB810" s="2477"/>
      <c r="AC810" s="2477"/>
      <c r="AD810" s="2477"/>
      <c r="AE810" s="2477"/>
      <c r="AF810" s="2478"/>
      <c r="AG810" s="2478"/>
      <c r="AH810" s="2478"/>
      <c r="AI810" s="2478"/>
      <c r="AJ810" s="2478"/>
      <c r="AK810" s="2478"/>
      <c r="AL810" s="818"/>
      <c r="AM810" s="596"/>
      <c r="AO810" s="550"/>
    </row>
    <row r="811" spans="1:81">
      <c r="A811" s="820" t="s">
        <v>1362</v>
      </c>
      <c r="B811" s="2468" t="s">
        <v>1578</v>
      </c>
      <c r="C811" s="2468"/>
      <c r="D811" s="2468"/>
      <c r="E811" s="2468"/>
      <c r="F811" s="2468"/>
      <c r="G811" s="2468"/>
      <c r="H811" s="2468"/>
      <c r="I811" s="2468"/>
      <c r="J811" s="2468"/>
      <c r="K811" s="2468"/>
      <c r="L811" s="2468"/>
      <c r="M811" s="2468"/>
      <c r="N811" s="2468"/>
      <c r="O811" s="2468"/>
      <c r="P811" s="2468"/>
      <c r="Q811" s="2468"/>
      <c r="R811" s="2468"/>
      <c r="S811" s="2469"/>
      <c r="T811" s="2470">
        <f>AK191</f>
        <v>10</v>
      </c>
      <c r="U811" s="2470"/>
      <c r="V811" s="2470"/>
      <c r="W811" s="2470"/>
      <c r="X811" s="2470"/>
      <c r="Y811" s="2470"/>
      <c r="Z811" s="2436">
        <v>10</v>
      </c>
      <c r="AA811" s="2436"/>
      <c r="AB811" s="2436"/>
      <c r="AC811" s="2436"/>
      <c r="AD811" s="2436"/>
      <c r="AE811" s="2436"/>
      <c r="AF811" s="2436">
        <f>IF(T811&gt;Z811,Z811,T811)</f>
        <v>10</v>
      </c>
      <c r="AG811" s="2436"/>
      <c r="AH811" s="2436"/>
      <c r="AI811" s="2436"/>
      <c r="AJ811" s="2436"/>
      <c r="AK811" s="2436"/>
      <c r="AL811" s="818"/>
      <c r="AM811" s="596"/>
    </row>
    <row r="812" spans="1:81">
      <c r="A812" s="819" t="s">
        <v>1371</v>
      </c>
      <c r="B812" s="2468" t="s">
        <v>1372</v>
      </c>
      <c r="C812" s="2468"/>
      <c r="D812" s="2468"/>
      <c r="E812" s="2468"/>
      <c r="F812" s="2468"/>
      <c r="G812" s="2468"/>
      <c r="H812" s="2468"/>
      <c r="I812" s="2468"/>
      <c r="J812" s="2468"/>
      <c r="K812" s="2468"/>
      <c r="L812" s="2468"/>
      <c r="M812" s="2468"/>
      <c r="N812" s="2468"/>
      <c r="O812" s="2468"/>
      <c r="P812" s="2468"/>
      <c r="Q812" s="2468"/>
      <c r="R812" s="2468"/>
      <c r="S812" s="2469"/>
      <c r="T812" s="2470">
        <f>AK273</f>
        <v>8</v>
      </c>
      <c r="U812" s="2470"/>
      <c r="V812" s="2470"/>
      <c r="W812" s="2470"/>
      <c r="X812" s="2470"/>
      <c r="Y812" s="2470"/>
      <c r="Z812" s="2471">
        <v>8</v>
      </c>
      <c r="AA812" s="2472"/>
      <c r="AB812" s="2472"/>
      <c r="AC812" s="2472"/>
      <c r="AD812" s="2472"/>
      <c r="AE812" s="2473"/>
      <c r="AF812" s="2436">
        <f>IF(T812&gt;Z812,Z812,T812)</f>
        <v>8</v>
      </c>
      <c r="AG812" s="2436"/>
      <c r="AH812" s="2436"/>
      <c r="AI812" s="2436"/>
      <c r="AJ812" s="2436"/>
      <c r="AK812" s="2436"/>
      <c r="AL812" s="818"/>
      <c r="AM812" s="596"/>
    </row>
    <row r="813" spans="1:81" s="534" customFormat="1" hidden="1">
      <c r="A813" s="820" t="s">
        <v>590</v>
      </c>
      <c r="B813" s="2468" t="s">
        <v>1579</v>
      </c>
      <c r="C813" s="2468"/>
      <c r="D813" s="2468"/>
      <c r="E813" s="2468"/>
      <c r="F813" s="2468"/>
      <c r="G813" s="2468"/>
      <c r="H813" s="2468"/>
      <c r="I813" s="2468"/>
      <c r="J813" s="2468"/>
      <c r="K813" s="2468"/>
      <c r="L813" s="2468"/>
      <c r="M813" s="2468"/>
      <c r="N813" s="2468"/>
      <c r="O813" s="2468"/>
      <c r="P813" s="2468"/>
      <c r="Q813" s="2468"/>
      <c r="R813" s="2468"/>
      <c r="S813" s="2469"/>
      <c r="T813" s="2470">
        <f>IF(AK535&gt;5,5,AK535)</f>
        <v>0</v>
      </c>
      <c r="U813" s="2470"/>
      <c r="V813" s="2470"/>
      <c r="W813" s="2470"/>
      <c r="X813" s="2470"/>
      <c r="Y813" s="2470"/>
      <c r="Z813" s="2436">
        <v>5</v>
      </c>
      <c r="AA813" s="2436"/>
      <c r="AB813" s="2436"/>
      <c r="AC813" s="2436"/>
      <c r="AD813" s="2436"/>
      <c r="AE813" s="2436"/>
      <c r="AF813" s="2436">
        <f>IF(T813&gt;Z813,5,T813)</f>
        <v>0</v>
      </c>
      <c r="AG813" s="2436"/>
      <c r="AH813" s="2436"/>
      <c r="AI813" s="2436"/>
      <c r="AJ813" s="2436"/>
      <c r="AK813" s="24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68" t="s">
        <v>1580</v>
      </c>
      <c r="C814" s="2468"/>
      <c r="D814" s="2468"/>
      <c r="E814" s="2468"/>
      <c r="F814" s="2468"/>
      <c r="G814" s="2468"/>
      <c r="H814" s="2468"/>
      <c r="I814" s="2468"/>
      <c r="J814" s="2468"/>
      <c r="K814" s="2468"/>
      <c r="L814" s="2468"/>
      <c r="M814" s="2468"/>
      <c r="N814" s="2468"/>
      <c r="O814" s="2468"/>
      <c r="P814" s="2468"/>
      <c r="Q814" s="2468"/>
      <c r="R814" s="2468"/>
      <c r="S814" s="2469"/>
      <c r="T814" s="2470">
        <f>AK285</f>
        <v>10</v>
      </c>
      <c r="U814" s="2470"/>
      <c r="V814" s="2470"/>
      <c r="W814" s="2470"/>
      <c r="X814" s="2470"/>
      <c r="Y814" s="2470"/>
      <c r="Z814" s="2436">
        <v>10</v>
      </c>
      <c r="AA814" s="2436"/>
      <c r="AB814" s="2436"/>
      <c r="AC814" s="2436"/>
      <c r="AD814" s="2436"/>
      <c r="AE814" s="2436"/>
      <c r="AF814" s="2479">
        <f>IF(T814&gt;Z814,Z814,T814)</f>
        <v>10</v>
      </c>
      <c r="AG814" s="2480"/>
      <c r="AH814" s="2480"/>
      <c r="AI814" s="2480"/>
      <c r="AJ814" s="2480"/>
      <c r="AK814" s="248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68" t="s">
        <v>1382</v>
      </c>
      <c r="C815" s="2468"/>
      <c r="D815" s="2468"/>
      <c r="E815" s="2468"/>
      <c r="F815" s="2468"/>
      <c r="G815" s="2468"/>
      <c r="H815" s="2468"/>
      <c r="I815" s="2468"/>
      <c r="J815" s="2468"/>
      <c r="K815" s="2468"/>
      <c r="L815" s="2468"/>
      <c r="M815" s="2468"/>
      <c r="N815" s="2468"/>
      <c r="O815" s="2468"/>
      <c r="P815" s="2468"/>
      <c r="Q815" s="2468"/>
      <c r="R815" s="2468"/>
      <c r="S815" s="2469"/>
      <c r="T815" s="2470">
        <f>AK338</f>
        <v>10</v>
      </c>
      <c r="U815" s="2470"/>
      <c r="V815" s="2470"/>
      <c r="W815" s="2470"/>
      <c r="X815" s="2470"/>
      <c r="Y815" s="2470"/>
      <c r="Z815" s="2479">
        <v>10</v>
      </c>
      <c r="AA815" s="2480"/>
      <c r="AB815" s="2480"/>
      <c r="AC815" s="2480"/>
      <c r="AD815" s="2480"/>
      <c r="AE815" s="2481"/>
      <c r="AF815" s="2479">
        <f>IF(T815&gt;Z815,Z815,T815)</f>
        <v>10</v>
      </c>
      <c r="AG815" s="2480"/>
      <c r="AH815" s="2480"/>
      <c r="AI815" s="2480"/>
      <c r="AJ815" s="2480"/>
      <c r="AK815" s="248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6">
        <f>AK338</f>
        <v>10</v>
      </c>
      <c r="U816" s="2476"/>
      <c r="V816" s="2476"/>
      <c r="W816" s="2476"/>
      <c r="X816" s="2476"/>
      <c r="Y816" s="2476"/>
      <c r="Z816" s="2424">
        <v>20</v>
      </c>
      <c r="AA816" s="2425"/>
      <c r="AB816" s="2425"/>
      <c r="AC816" s="2425"/>
      <c r="AD816" s="2425"/>
      <c r="AE816" s="2426"/>
      <c r="AF816" s="2478"/>
      <c r="AG816" s="2478"/>
      <c r="AH816" s="2478"/>
      <c r="AI816" s="2478"/>
      <c r="AJ816" s="2478"/>
      <c r="AK816" s="24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68" t="s">
        <v>846</v>
      </c>
      <c r="C817" s="2468"/>
      <c r="D817" s="2468"/>
      <c r="E817" s="2468"/>
      <c r="F817" s="2468"/>
      <c r="G817" s="2468"/>
      <c r="H817" s="2468"/>
      <c r="I817" s="2468"/>
      <c r="J817" s="2468"/>
      <c r="K817" s="2468"/>
      <c r="L817" s="2468"/>
      <c r="M817" s="2468"/>
      <c r="N817" s="2468"/>
      <c r="O817" s="2468"/>
      <c r="P817" s="2468"/>
      <c r="Q817" s="2468"/>
      <c r="R817" s="2468"/>
      <c r="S817" s="2469"/>
      <c r="T817" s="2470">
        <f>AK469</f>
        <v>12</v>
      </c>
      <c r="U817" s="2470"/>
      <c r="V817" s="2470"/>
      <c r="W817" s="2470"/>
      <c r="X817" s="2470"/>
      <c r="Y817" s="2470"/>
      <c r="Z817" s="2479">
        <v>10</v>
      </c>
      <c r="AA817" s="2480"/>
      <c r="AB817" s="2480"/>
      <c r="AC817" s="2480"/>
      <c r="AD817" s="2480"/>
      <c r="AE817" s="2481"/>
      <c r="AF817" s="2436">
        <f>IF(T817&gt;Z817,Z817,T817)</f>
        <v>10</v>
      </c>
      <c r="AG817" s="2436"/>
      <c r="AH817" s="2436"/>
      <c r="AI817" s="2436"/>
      <c r="AJ817" s="2436"/>
      <c r="AK817" s="24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68" t="s">
        <v>1560</v>
      </c>
      <c r="C818" s="2468"/>
      <c r="D818" s="2468"/>
      <c r="E818" s="2468"/>
      <c r="F818" s="2468"/>
      <c r="G818" s="2468"/>
      <c r="H818" s="2468"/>
      <c r="I818" s="2468"/>
      <c r="J818" s="2468"/>
      <c r="K818" s="2468"/>
      <c r="L818" s="2468"/>
      <c r="M818" s="2468"/>
      <c r="N818" s="2468"/>
      <c r="O818" s="2468"/>
      <c r="P818" s="2468"/>
      <c r="Q818" s="2468"/>
      <c r="R818" s="2468"/>
      <c r="S818" s="2469"/>
      <c r="T818" s="2470">
        <f>AK559</f>
        <v>12</v>
      </c>
      <c r="U818" s="2470"/>
      <c r="V818" s="2470"/>
      <c r="W818" s="2470"/>
      <c r="X818" s="2470"/>
      <c r="Y818" s="2470"/>
      <c r="Z818" s="2479">
        <v>12</v>
      </c>
      <c r="AA818" s="2480"/>
      <c r="AB818" s="2480"/>
      <c r="AC818" s="2480"/>
      <c r="AD818" s="2480"/>
      <c r="AE818" s="2481"/>
      <c r="AF818" s="2436">
        <f>IF(T818&gt;Z818,Z818,T818)</f>
        <v>12</v>
      </c>
      <c r="AG818" s="2436"/>
      <c r="AH818" s="2436"/>
      <c r="AI818" s="2436"/>
      <c r="AJ818" s="2436"/>
      <c r="AK818" s="24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68" t="s">
        <v>1582</v>
      </c>
      <c r="C819" s="2468"/>
      <c r="D819" s="2468"/>
      <c r="E819" s="2468"/>
      <c r="F819" s="2468"/>
      <c r="G819" s="2468"/>
      <c r="H819" s="2468"/>
      <c r="I819" s="2468"/>
      <c r="J819" s="2468"/>
      <c r="K819" s="2468"/>
      <c r="L819" s="2468"/>
      <c r="M819" s="2468"/>
      <c r="N819" s="2468"/>
      <c r="O819" s="2468"/>
      <c r="P819" s="2468"/>
      <c r="Q819" s="2468"/>
      <c r="R819" s="2468"/>
      <c r="S819" s="2469"/>
      <c r="T819" s="2470">
        <f>AK794</f>
        <v>10</v>
      </c>
      <c r="U819" s="2470"/>
      <c r="V819" s="2470"/>
      <c r="W819" s="2470"/>
      <c r="X819" s="2470"/>
      <c r="Y819" s="2470"/>
      <c r="Z819" s="2479">
        <v>10</v>
      </c>
      <c r="AA819" s="2480"/>
      <c r="AB819" s="2480"/>
      <c r="AC819" s="2480"/>
      <c r="AD819" s="2480"/>
      <c r="AE819" s="2481"/>
      <c r="AF819" s="2436">
        <f>IF(T819&gt;Z819,Z819,T819)</f>
        <v>10</v>
      </c>
      <c r="AG819" s="2436"/>
      <c r="AH819" s="2436"/>
      <c r="AI819" s="2436"/>
      <c r="AJ819" s="2436"/>
      <c r="AK819" s="24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2" t="s">
        <v>1583</v>
      </c>
      <c r="B820" s="2468"/>
      <c r="C820" s="2468"/>
      <c r="D820" s="2468"/>
      <c r="E820" s="2468"/>
      <c r="F820" s="2468"/>
      <c r="G820" s="2468"/>
      <c r="H820" s="2468"/>
      <c r="I820" s="2468"/>
      <c r="J820" s="2468"/>
      <c r="K820" s="2468"/>
      <c r="L820" s="2468"/>
      <c r="M820" s="2468"/>
      <c r="N820" s="2468"/>
      <c r="O820" s="2468"/>
      <c r="P820" s="2468"/>
      <c r="Q820" s="2468"/>
      <c r="R820" s="2468"/>
      <c r="S820" s="2469"/>
      <c r="T820" s="2483"/>
      <c r="U820" s="2483"/>
      <c r="V820" s="2483"/>
      <c r="W820" s="2483"/>
      <c r="X820" s="2483"/>
      <c r="Y820" s="2483"/>
      <c r="Z820" s="2477" t="s">
        <v>1584</v>
      </c>
      <c r="AA820" s="2477"/>
      <c r="AB820" s="2477"/>
      <c r="AC820" s="2477"/>
      <c r="AD820" s="2477"/>
      <c r="AE820" s="2477"/>
      <c r="AF820" s="2479">
        <f>IF(T820&gt;0,T820,0)</f>
        <v>0</v>
      </c>
      <c r="AG820" s="2480"/>
      <c r="AH820" s="2480"/>
      <c r="AI820" s="2480"/>
      <c r="AJ820" s="2480"/>
      <c r="AK820" s="248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4" t="s">
        <v>1585</v>
      </c>
      <c r="B821" s="2485"/>
      <c r="C821" s="2485"/>
      <c r="D821" s="2485"/>
      <c r="E821" s="2485"/>
      <c r="F821" s="2485"/>
      <c r="G821" s="2485"/>
      <c r="H821" s="2485"/>
      <c r="I821" s="2485"/>
      <c r="J821" s="2485"/>
      <c r="K821" s="2485"/>
      <c r="L821" s="2485"/>
      <c r="M821" s="2485"/>
      <c r="N821" s="2485"/>
      <c r="O821" s="2485"/>
      <c r="P821" s="2485"/>
      <c r="Q821" s="2485"/>
      <c r="R821" s="2485"/>
      <c r="S821" s="2485"/>
      <c r="T821" s="2485"/>
      <c r="U821" s="2485"/>
      <c r="V821" s="2485"/>
      <c r="W821" s="2485"/>
      <c r="X821" s="2485"/>
      <c r="Y821" s="2485"/>
      <c r="Z821" s="2485"/>
      <c r="AA821" s="2485"/>
      <c r="AB821" s="2485"/>
      <c r="AC821" s="2485"/>
      <c r="AD821" s="2485"/>
      <c r="AE821" s="2486"/>
      <c r="AF821" s="2490">
        <f ca="1">SUM(AF804:AK819)-AF820</f>
        <v>120</v>
      </c>
      <c r="AG821" s="2491"/>
      <c r="AH821" s="2491"/>
      <c r="AI821" s="2491"/>
      <c r="AJ821" s="2491"/>
      <c r="AK821" s="24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7"/>
      <c r="B822" s="2488"/>
      <c r="C822" s="2488"/>
      <c r="D822" s="2488"/>
      <c r="E822" s="2488"/>
      <c r="F822" s="2488"/>
      <c r="G822" s="2488"/>
      <c r="H822" s="2488"/>
      <c r="I822" s="2488"/>
      <c r="J822" s="2488"/>
      <c r="K822" s="2488"/>
      <c r="L822" s="2488"/>
      <c r="M822" s="2488"/>
      <c r="N822" s="2488"/>
      <c r="O822" s="2488"/>
      <c r="P822" s="2488"/>
      <c r="Q822" s="2488"/>
      <c r="R822" s="2488"/>
      <c r="S822" s="2488"/>
      <c r="T822" s="2488"/>
      <c r="U822" s="2488"/>
      <c r="V822" s="2488"/>
      <c r="W822" s="2488"/>
      <c r="X822" s="2488"/>
      <c r="Y822" s="2488"/>
      <c r="Z822" s="2488"/>
      <c r="AA822" s="2488"/>
      <c r="AB822" s="2488"/>
      <c r="AC822" s="2488"/>
      <c r="AD822" s="2488"/>
      <c r="AE822" s="2489"/>
      <c r="AF822" s="2493"/>
      <c r="AG822" s="2494"/>
      <c r="AH822" s="2494"/>
      <c r="AI822" s="2494"/>
      <c r="AJ822" s="2494"/>
      <c r="AK822" s="24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2024-12-09T20:28:29Z</cp:lastPrinted>
  <dcterms:created xsi:type="dcterms:W3CDTF">2007-12-27T18:26:28Z</dcterms:created>
  <dcterms:modified xsi:type="dcterms:W3CDTF">2025-09-05T22:49:55Z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2025-08-15T20:33:32Z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66684348-84fc-4030-b256-807d85593aa6</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