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3.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Box\Projects_RCA\Prospects\Hermosa Village Rehab III (HV3)\CDLAC\03. Application (Joint)\01. Working Application\R3 2025\02. Working App\E-App and Attachments\"/>
    </mc:Choice>
  </mc:AlternateContent>
  <xr:revisionPtr revIDLastSave="0" documentId="13_ncr:1_{12C54D89-D77F-4052-A4A3-56647B9FEF63}" xr6:coauthVersionLast="47" xr6:coauthVersionMax="47" xr10:uidLastSave="{00000000-0000-0000-0000-000000000000}"/>
  <bookViews>
    <workbookView xWindow="24825" yWindow="1245" windowWidth="22530" windowHeight="1827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Subsidy Contract Calculation" sheetId="8" r:id="rId10"/>
    <sheet name="15 Year Pro Forma" sheetId="7" r:id="rId11"/>
    <sheet name="Tie Breaker" sheetId="21"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11">'Tie Breaker'!$A$1:$I$132</definedName>
    <definedName name="_xlnm.Print_Titles" localSheetId="5">'Sources and Basis Breakdown'!$1:$2</definedName>
    <definedName name="_xlnm.Print_Titles" localSheetId="4">'Sources and Uses Budget'!$1:$2</definedName>
    <definedName name="_xlnm.Print_Titles" localSheetId="11">'Tie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7" l="1"/>
  <c r="I53" i="7" s="1"/>
  <c r="G54" i="7"/>
  <c r="I54" i="7" s="1"/>
  <c r="AA949" i="3" l="1"/>
  <c r="AA948" i="3"/>
  <c r="AA918" i="3"/>
  <c r="AD199" i="20" l="1"/>
  <c r="B199" i="20"/>
  <c r="AM556" i="3"/>
  <c r="AA919" i="3" s="1"/>
  <c r="W565" i="3"/>
  <c r="Q565" i="3"/>
  <c r="AG41" i="7"/>
  <c r="AE41" i="7"/>
  <c r="AC41" i="7"/>
  <c r="AA41" i="7"/>
  <c r="Y41" i="7"/>
  <c r="W41" i="7"/>
  <c r="U41" i="7"/>
  <c r="S41" i="7"/>
  <c r="Q41" i="7"/>
  <c r="O41" i="7"/>
  <c r="M41" i="7"/>
  <c r="K41" i="7"/>
  <c r="I41" i="7"/>
  <c r="A21" i="7"/>
  <c r="A66" i="7"/>
  <c r="A41" i="7"/>
  <c r="E19" i="4" l="1"/>
  <c r="E100" i="4" l="1"/>
  <c r="E101" i="4"/>
  <c r="E102" i="4"/>
  <c r="E103" i="4"/>
  <c r="E99"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30" i="4"/>
  <c r="E31" i="4"/>
  <c r="E32" i="4"/>
  <c r="E33" i="4"/>
  <c r="E34" i="4"/>
  <c r="E35" i="4"/>
  <c r="E36" i="4"/>
  <c r="E37" i="4"/>
  <c r="E29" i="4"/>
  <c r="E27" i="4"/>
  <c r="E18" i="4"/>
  <c r="E20" i="4"/>
  <c r="E21" i="4"/>
  <c r="E22" i="4"/>
  <c r="E23" i="4"/>
  <c r="E24" i="4"/>
  <c r="E25" i="4"/>
  <c r="E17" i="4"/>
  <c r="E14" i="4"/>
  <c r="E15" i="4"/>
  <c r="E13" i="4"/>
  <c r="E10" i="4"/>
  <c r="E9" i="4"/>
  <c r="E5" i="4"/>
  <c r="E6" i="4"/>
  <c r="E7" i="4"/>
  <c r="E4" i="4"/>
  <c r="AD67" i="15"/>
  <c r="Y67" i="15"/>
  <c r="BE103" i="3" l="1"/>
  <c r="AC216" i="23"/>
  <c r="Y216" i="23"/>
  <c r="U216" i="23"/>
  <c r="BQ102" i="23"/>
  <c r="BQ101" i="23"/>
  <c r="N11" i="23"/>
  <c r="W879" i="3"/>
  <c r="W855" i="3"/>
  <c r="W847" i="3"/>
  <c r="W862" i="3"/>
  <c r="W872" i="3"/>
  <c r="L44" i="21"/>
  <c r="M44" i="21"/>
  <c r="N44" i="21"/>
  <c r="L45" i="21"/>
  <c r="M45" i="21"/>
  <c r="U45" i="21" s="1"/>
  <c r="N45" i="21"/>
  <c r="L46" i="21"/>
  <c r="M46" i="21"/>
  <c r="N46" i="21"/>
  <c r="L47" i="21"/>
  <c r="M47" i="21"/>
  <c r="N47" i="21"/>
  <c r="L48" i="21"/>
  <c r="M48" i="21"/>
  <c r="N48" i="21"/>
  <c r="L49" i="21"/>
  <c r="M49" i="21"/>
  <c r="N49" i="21"/>
  <c r="L50" i="21"/>
  <c r="M50" i="21"/>
  <c r="T50" i="21" s="1"/>
  <c r="N50" i="21"/>
  <c r="L51" i="21"/>
  <c r="M51" i="21"/>
  <c r="N51" i="21"/>
  <c r="L52" i="21"/>
  <c r="M52" i="2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R53" i="21" a="1"/>
  <c r="R53" i="21" s="1"/>
  <c r="U49" i="21"/>
  <c r="U51" i="21"/>
  <c r="AY1024" i="3"/>
  <c r="U53" i="21"/>
  <c r="T53" i="21"/>
  <c r="U46" i="21"/>
  <c r="T51" i="21"/>
  <c r="U50" i="21"/>
  <c r="T49" i="21"/>
  <c r="U48" i="21"/>
  <c r="U47" i="21"/>
  <c r="T46" i="21"/>
  <c r="T48" i="21"/>
  <c r="T47" i="21"/>
  <c r="T44" i="21"/>
  <c r="O53" i="21"/>
  <c r="U44" i="21"/>
  <c r="U54" i="21"/>
  <c r="T54" i="21"/>
  <c r="S54" i="21"/>
  <c r="R54" i="21" a="1"/>
  <c r="R54" i="21" s="1"/>
  <c r="S53" i="21"/>
  <c r="U52" i="21"/>
  <c r="P54" i="21" a="1"/>
  <c r="P54" i="21" s="1"/>
  <c r="T52" i="2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R52" i="21" l="1" a="1"/>
  <c r="R52" i="21" s="1"/>
  <c r="R51" i="21" a="1"/>
  <c r="R51" i="21" s="1"/>
  <c r="R50" i="21" a="1"/>
  <c r="R50" i="21" s="1"/>
  <c r="R44" i="21" a="1"/>
  <c r="R44" i="21" s="1"/>
  <c r="R48" i="21" a="1"/>
  <c r="R48" i="21" s="1"/>
  <c r="R45" i="21" a="1"/>
  <c r="R45" i="21" s="1"/>
  <c r="R46" i="21" a="1"/>
  <c r="R46" i="21" s="1"/>
  <c r="R47" i="21" a="1"/>
  <c r="R47" i="21" s="1"/>
  <c r="R49" i="21" a="1"/>
  <c r="R49" i="21" s="1"/>
  <c r="BE12" i="3"/>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AH742" i="3" s="1"/>
  <c r="X743" i="3"/>
  <c r="AH743" i="3" s="1"/>
  <c r="X744" i="3"/>
  <c r="AH744" i="3" s="1"/>
  <c r="X745" i="3"/>
  <c r="AH745" i="3" s="1"/>
  <c r="X746" i="3"/>
  <c r="AH746" i="3" s="1"/>
  <c r="X747" i="3"/>
  <c r="AH747" i="3" s="1"/>
  <c r="X748" i="3"/>
  <c r="AH748" i="3" s="1"/>
  <c r="X749" i="3"/>
  <c r="AH749" i="3" s="1"/>
  <c r="X750" i="3"/>
  <c r="AH750" i="3" s="1"/>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O29" i="7" s="1"/>
  <c r="E28" i="7"/>
  <c r="O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K53" i="7"/>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F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J65" i="13" s="1"/>
  <c r="J70" i="13" s="1"/>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J14" i="13" s="1"/>
  <c r="H13" i="13"/>
  <c r="H10" i="13"/>
  <c r="H9" i="13"/>
  <c r="E106" i="13"/>
  <c r="E99" i="13"/>
  <c r="G99" i="13" s="1"/>
  <c r="G104" i="13" s="1"/>
  <c r="E95" i="13"/>
  <c r="E94" i="13"/>
  <c r="G94" i="13" s="1"/>
  <c r="E93" i="13"/>
  <c r="G93" i="13" s="1"/>
  <c r="E92" i="13"/>
  <c r="G92" i="13" s="1"/>
  <c r="E91" i="13"/>
  <c r="G91" i="13" s="1"/>
  <c r="E90" i="13"/>
  <c r="G90" i="13" s="1"/>
  <c r="E89" i="13"/>
  <c r="G89" i="13" s="1"/>
  <c r="E87" i="13"/>
  <c r="E86" i="13"/>
  <c r="G86" i="13" s="1"/>
  <c r="E85" i="13"/>
  <c r="E84" i="13"/>
  <c r="E79" i="13"/>
  <c r="G79" i="13" s="1"/>
  <c r="E65" i="13"/>
  <c r="G65" i="13" s="1"/>
  <c r="G70" i="13" s="1"/>
  <c r="E53" i="13"/>
  <c r="E52" i="13"/>
  <c r="E51" i="13"/>
  <c r="E50" i="13"/>
  <c r="E49" i="13"/>
  <c r="E48" i="13"/>
  <c r="E47" i="13"/>
  <c r="G47" i="13" s="1"/>
  <c r="E46" i="13"/>
  <c r="G46" i="13" s="1"/>
  <c r="E45" i="13"/>
  <c r="G45" i="13" s="1"/>
  <c r="E43" i="13"/>
  <c r="G43" i="13" s="1"/>
  <c r="E41" i="13"/>
  <c r="G41" i="13" s="1"/>
  <c r="E40" i="13"/>
  <c r="G40" i="13" s="1"/>
  <c r="E37" i="13"/>
  <c r="E35" i="13"/>
  <c r="E34" i="13"/>
  <c r="E33" i="13"/>
  <c r="E32" i="13"/>
  <c r="E31" i="13"/>
  <c r="E30" i="13"/>
  <c r="E29" i="13"/>
  <c r="E27" i="13"/>
  <c r="G27" i="13" s="1"/>
  <c r="E25" i="13"/>
  <c r="G25" i="13" s="1"/>
  <c r="E23" i="13"/>
  <c r="G23" i="13" s="1"/>
  <c r="E22" i="13"/>
  <c r="E21" i="13"/>
  <c r="G21" i="13" s="1"/>
  <c r="E20" i="13"/>
  <c r="G20" i="13" s="1"/>
  <c r="E19" i="13"/>
  <c r="G19" i="13" s="1"/>
  <c r="E18" i="13"/>
  <c r="G18" i="13" s="1"/>
  <c r="E17" i="13"/>
  <c r="G17" i="13" s="1"/>
  <c r="E15" i="13"/>
  <c r="E14" i="13"/>
  <c r="E13" i="13"/>
  <c r="E10" i="13"/>
  <c r="B99" i="13"/>
  <c r="D99" i="13" s="1"/>
  <c r="D104" i="13" s="1"/>
  <c r="B95" i="13"/>
  <c r="D95" i="13" s="1"/>
  <c r="B94" i="13"/>
  <c r="D94" i="13" s="1"/>
  <c r="B93" i="13"/>
  <c r="D93" i="13" s="1"/>
  <c r="B92" i="13"/>
  <c r="D92" i="13" s="1"/>
  <c r="B91" i="13"/>
  <c r="D91" i="13" s="1"/>
  <c r="B90" i="13"/>
  <c r="D90" i="13" s="1"/>
  <c r="B89" i="13"/>
  <c r="D89" i="13" s="1"/>
  <c r="B88" i="13"/>
  <c r="D88" i="13" s="1"/>
  <c r="B87" i="13"/>
  <c r="B86" i="13"/>
  <c r="D86" i="13" s="1"/>
  <c r="B85" i="13"/>
  <c r="B84" i="13"/>
  <c r="B83" i="13"/>
  <c r="D83" i="13" s="1"/>
  <c r="B79" i="13"/>
  <c r="D79" i="13" s="1"/>
  <c r="B76" i="13"/>
  <c r="B75" i="13"/>
  <c r="D75" i="13" s="1"/>
  <c r="D77" i="13" s="1"/>
  <c r="B74" i="13"/>
  <c r="B73" i="13"/>
  <c r="B72" i="13"/>
  <c r="B65" i="13"/>
  <c r="D65" i="13" s="1"/>
  <c r="D70" i="13" s="1"/>
  <c r="B61" i="13"/>
  <c r="D61" i="13" s="1"/>
  <c r="B60" i="13"/>
  <c r="B59" i="13"/>
  <c r="B58" i="13"/>
  <c r="B57" i="13"/>
  <c r="B56" i="13"/>
  <c r="D56" i="13" s="1"/>
  <c r="B53" i="13"/>
  <c r="B52" i="13"/>
  <c r="B51" i="13"/>
  <c r="B50" i="13"/>
  <c r="B49" i="13"/>
  <c r="D49" i="13" s="1"/>
  <c r="B48" i="13"/>
  <c r="B47" i="13"/>
  <c r="D47" i="13" s="1"/>
  <c r="B46" i="13"/>
  <c r="D46" i="13" s="1"/>
  <c r="B45" i="13"/>
  <c r="D45" i="13" s="1"/>
  <c r="B43" i="13"/>
  <c r="D43" i="13" s="1"/>
  <c r="C42" i="4"/>
  <c r="B42" i="13" s="1"/>
  <c r="B41" i="13"/>
  <c r="D41" i="13" s="1"/>
  <c r="B40" i="13"/>
  <c r="D40" i="13" s="1"/>
  <c r="D42" i="13" s="1"/>
  <c r="B37" i="13"/>
  <c r="B35" i="13"/>
  <c r="B34" i="13"/>
  <c r="B33" i="13"/>
  <c r="B32" i="13"/>
  <c r="B31" i="13"/>
  <c r="B30" i="13"/>
  <c r="B29" i="13"/>
  <c r="B27" i="13"/>
  <c r="D27" i="13" s="1"/>
  <c r="B25" i="13"/>
  <c r="D25" i="13" s="1"/>
  <c r="B23" i="13"/>
  <c r="D23" i="13" s="1"/>
  <c r="B22" i="13"/>
  <c r="B21" i="13"/>
  <c r="D21" i="13" s="1"/>
  <c r="B20" i="13"/>
  <c r="D20" i="13" s="1"/>
  <c r="B19" i="13"/>
  <c r="D19" i="13" s="1"/>
  <c r="B18" i="13"/>
  <c r="D18" i="13" s="1"/>
  <c r="B17" i="13"/>
  <c r="D17" i="13" s="1"/>
  <c r="B5" i="13"/>
  <c r="B6" i="13"/>
  <c r="B7" i="13"/>
  <c r="D7" i="13" s="1"/>
  <c r="D8" i="13" s="1"/>
  <c r="C8" i="4"/>
  <c r="B8" i="13" s="1"/>
  <c r="B9" i="13"/>
  <c r="B10" i="13"/>
  <c r="B13" i="13"/>
  <c r="B14" i="13"/>
  <c r="D14" i="13" s="1"/>
  <c r="B15" i="13"/>
  <c r="B4" i="13"/>
  <c r="J104" i="13"/>
  <c r="I104" i="13"/>
  <c r="F104" i="13"/>
  <c r="C104" i="13"/>
  <c r="F96" i="13"/>
  <c r="C96" i="13"/>
  <c r="C77" i="13"/>
  <c r="I70" i="13"/>
  <c r="F70" i="13"/>
  <c r="C70" i="13"/>
  <c r="C62" i="13"/>
  <c r="J54" i="13"/>
  <c r="I54" i="13"/>
  <c r="F54" i="13"/>
  <c r="C54" i="13"/>
  <c r="J42" i="13"/>
  <c r="I42" i="13"/>
  <c r="F42" i="13"/>
  <c r="F26" i="13"/>
  <c r="F38" i="13"/>
  <c r="C42" i="13"/>
  <c r="J38" i="13"/>
  <c r="I38" i="13"/>
  <c r="G38" i="13"/>
  <c r="D38" i="13"/>
  <c r="C38" i="13"/>
  <c r="J26" i="13"/>
  <c r="I26" i="13"/>
  <c r="I11" i="13"/>
  <c r="C26" i="13"/>
  <c r="J11" i="13"/>
  <c r="D11" i="13"/>
  <c r="C11" i="13"/>
  <c r="C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AH741" i="3" s="1"/>
  <c r="M832" i="3"/>
  <c r="Q832" i="3"/>
  <c r="U832" i="3"/>
  <c r="Y832" i="3"/>
  <c r="AC832" i="3"/>
  <c r="AG832" i="3"/>
  <c r="Z902" i="3"/>
  <c r="D35" i="11" l="1"/>
  <c r="Q28" i="7"/>
  <c r="W28" i="7"/>
  <c r="Y28" i="7" s="1"/>
  <c r="U28" i="7"/>
  <c r="S28" i="7"/>
  <c r="D62" i="13"/>
  <c r="D81" i="13"/>
  <c r="D54" i="13"/>
  <c r="D26" i="13"/>
  <c r="G96" i="13"/>
  <c r="D96" i="13"/>
  <c r="G42" i="13"/>
  <c r="G81" i="13"/>
  <c r="G54" i="13"/>
  <c r="G26" i="13"/>
  <c r="B26" i="4"/>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U20"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I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63" i="13" l="1"/>
  <c r="AG28" i="7"/>
  <c r="AE28" i="7"/>
  <c r="AC28" i="7"/>
  <c r="AA28" i="7"/>
  <c r="D97" i="13"/>
  <c r="D105" i="13" s="1"/>
  <c r="G63" i="13"/>
  <c r="G97" i="13" s="1"/>
  <c r="G105" i="13" s="1"/>
  <c r="G107" i="13" s="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AC455" i="3"/>
  <c r="O51" i="21"/>
  <c r="P51" i="21" s="1" a="1"/>
  <c r="P51" i="21" s="1"/>
  <c r="S51" i="21" s="1"/>
  <c r="O52" i="21"/>
  <c r="P52" i="21" s="1" a="1"/>
  <c r="P52" i="21" s="1"/>
  <c r="S52" i="21" s="1"/>
  <c r="O49" i="21"/>
  <c r="P49" i="21" s="1" a="1"/>
  <c r="P49" i="21" s="1"/>
  <c r="S49" i="21" s="1"/>
  <c r="O50" i="21"/>
  <c r="P50" i="21" s="1" a="1"/>
  <c r="P50" i="21" s="1"/>
  <c r="S50" i="21" s="1"/>
  <c r="O47" i="21"/>
  <c r="P47" i="21" s="1" a="1"/>
  <c r="P47" i="21" s="1"/>
  <c r="S47" i="21" s="1"/>
  <c r="O48" i="21"/>
  <c r="P48" i="21" s="1" a="1"/>
  <c r="P48" i="21" s="1"/>
  <c r="S48" i="21" s="1"/>
  <c r="O45" i="21"/>
  <c r="P45" i="21" s="1" a="1"/>
  <c r="P45" i="21" s="1"/>
  <c r="S45" i="21" s="1"/>
  <c r="O46" i="21"/>
  <c r="P46" i="21" s="1" a="1"/>
  <c r="P46" i="21" s="1"/>
  <c r="S46" i="21" s="1"/>
  <c r="O43" i="21"/>
  <c r="P43" i="21" s="1" a="1"/>
  <c r="P43" i="21" s="1"/>
  <c r="S43" i="21" s="1"/>
  <c r="O44" i="21"/>
  <c r="P44" i="21" s="1" a="1"/>
  <c r="P44" i="21" s="1"/>
  <c r="S44" i="21" s="1"/>
  <c r="O36" i="21"/>
  <c r="P36" i="21" s="1" a="1"/>
  <c r="P36" i="21" s="1"/>
  <c r="S36" i="21" s="1"/>
  <c r="O42" i="21"/>
  <c r="P42" i="21" s="1" a="1"/>
  <c r="P42" i="21" s="1"/>
  <c r="S42" i="21" s="1"/>
  <c r="O41" i="21"/>
  <c r="P41" i="21" s="1" a="1"/>
  <c r="P41" i="21" s="1"/>
  <c r="S41" i="21" s="1"/>
  <c r="O40" i="21"/>
  <c r="P40" i="21" s="1" a="1"/>
  <c r="P40" i="21" s="1"/>
  <c r="S40" i="21" s="1"/>
  <c r="O39" i="21"/>
  <c r="P39" i="21" s="1" a="1"/>
  <c r="P39" i="21" s="1"/>
  <c r="S39" i="21" s="1"/>
  <c r="O38" i="21"/>
  <c r="P38" i="21" s="1" a="1"/>
  <c r="P38" i="21" s="1"/>
  <c r="S38" i="21" s="1"/>
  <c r="O37" i="21"/>
  <c r="P37" i="21" s="1" a="1"/>
  <c r="P37" i="21" s="1"/>
  <c r="S37" i="21" s="1"/>
  <c r="O28" i="21"/>
  <c r="P28" i="21" s="1" a="1"/>
  <c r="P28" i="21" s="1"/>
  <c r="S28"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0" i="21"/>
  <c r="P20" i="21" s="1" a="1"/>
  <c r="P20" i="21" s="1"/>
  <c r="S20"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7" i="21" a="1"/>
  <c r="P27" i="21" s="1"/>
  <c r="S27"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U58" i="7"/>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6" i="7" l="1"/>
  <c r="E62" i="7"/>
  <c r="G66" i="7"/>
  <c r="G62" i="7"/>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<sst xmlns="http://schemas.openxmlformats.org/spreadsheetml/2006/main" count="5149" uniqueCount="2791">
  <si>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</si>
  <si>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</si>
  <si>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</si>
  <si>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</si>
  <si>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</si>
  <si>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</si>
  <si>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</si>
  <si>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</si>
  <si>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</si>
  <si>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</si>
  <si>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</si>
  <si>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</si>
  <si>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</si>
  <si>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</si>
  <si>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</si>
  <si>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</si>
  <si>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</si>
  <si>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</si>
  <si>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</si>
  <si>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</si>
  <si>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</si>
  <si>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</si>
  <si>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</si>
  <si>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</si>
  <si>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</si>
  <si>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</si>
  <si>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</si>
  <si>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</si>
  <si>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</si>
  <si>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</si>
  <si>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</si>
  <si>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</si>
  <si>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</si>
  <si>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</si>
  <si>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</si>
  <si>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</si>
  <si>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</si>
  <si>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</si>
  <si>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</si>
  <si>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</si>
  <si>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</si>
  <si>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</si>
  <si>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</si>
  <si>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</si>
  <si>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</si>
  <si>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</si>
  <si>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</si>
  <si>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</si>
  <si>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</si>
  <si>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</si>
  <si>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</si>
  <si>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</si>
  <si>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</si>
  <si>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</si>
  <si>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</si>
  <si>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</si>
  <si>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</si>
  <si>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</si>
  <si>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</si>
  <si>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</si>
  <si>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</si>
  <si>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</si>
  <si>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</si>
  <si>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</si>
  <si>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</si>
  <si>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</si>
  <si>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</si>
  <si>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</si>
  <si>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</si>
  <si>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</si>
  <si>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</si>
  <si>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</si>
  <si>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</si>
  <si>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</si>
  <si>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</si>
  <si>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</si>
  <si>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</si>
  <si>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</si>
  <si>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</si>
  <si>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</si>
  <si>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</si>
  <si>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</si>
  <si>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</si>
  <si>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</si>
  <si>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</si>
  <si>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</si>
  <si>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</si>
  <si>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</si>
  <si>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</si>
  <si>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</si>
  <si>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</si>
  <si>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</si>
  <si>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</si>
  <si>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</si>
  <si>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</si>
  <si>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</si>
  <si>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</si>
  <si>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</si>
  <si>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</si>
  <si>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</si>
  <si>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</si>
  <si>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</si>
  <si>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</si>
  <si>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</si>
  <si>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</si>
  <si>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</si>
  <si>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</si>
  <si>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</si>
  <si>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</si>
  <si>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</si>
  <si>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</si>
  <si>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</si>
  <si>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</si>
  <si>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</si>
  <si>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</si>
  <si>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</si>
  <si>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</si>
  <si>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</si>
  <si>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</si>
  <si>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</si>
  <si>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</si>
  <si>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</si>
  <si>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</si>
  <si>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</si>
  <si>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</si>
  <si>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</si>
  <si>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</si>
  <si>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</si>
  <si>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</si>
  <si>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</si>
  <si>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</si>
  <si>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</si>
  <si>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</si>
  <si>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</si>
  <si>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</si>
  <si>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</si>
  <si>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</si>
  <si>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</si>
  <si>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</si>
  <si>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</si>
  <si>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</si>
  <si>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</si>
  <si>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</si>
  <si>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</si>
  <si>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</si>
  <si>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</si>
  <si>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</si>
  <si>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</si>
  <si>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</si>
  <si>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</si>
  <si>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</si>
  <si>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</si>
  <si>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</si>
  <si>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</si>
  <si>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</si>
  <si>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</si>
  <si>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</si>
  <si>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</si>
  <si>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</si>
  <si>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</si>
  <si>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</si>
  <si>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</si>
  <si>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</si>
  <si>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</si>
  <si>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</si>
  <si>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</si>
  <si>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</si>
  <si>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</si>
  <si>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</si>
  <si>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</si>
  <si>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</si>
  <si>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</si>
  <si>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</si>
  <si>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</si>
  <si>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</si>
  <si>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</si>
  <si>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</si>
  <si>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</si>
  <si>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</si>
  <si>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</si>
  <si>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</si>
  <si>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</si>
  <si>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</si>
  <si>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</si>
  <si>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</si>
  <si>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</si>
  <si>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</si>
  <si>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</si>
  <si>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</si>
  <si>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</si>
  <si>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</si>
  <si>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</si>
  <si>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</si>
  <si>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</si>
  <si>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</si>
  <si>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</si>
  <si>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</si>
  <si>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</si>
  <si>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</si>
  <si>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</si>
  <si>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</si>
  <si>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</si>
  <si>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</si>
  <si>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</si>
  <si>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</si>
  <si>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</si>
  <si>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</si>
  <si>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</si>
  <si>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</si>
  <si>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</si>
  <si>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</si>
  <si>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</si>
  <si>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</si>
  <si>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</si>
  <si>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</si>
  <si>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</si>
  <si>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</si>
  <si>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</si>
  <si>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</si>
  <si>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</si>
  <si>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</si>
  <si>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</si>
  <si>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</si>
  <si>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</si>
  <si>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</si>
  <si>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</si>
  <si>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</si>
  <si>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</si>
  <si>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</si>
  <si>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</si>
  <si>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</si>
  <si>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</si>
  <si>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</si>
  <si>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</si>
  <si>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</si>
  <si>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</si>
  <si>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</si>
  <si>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</si>
  <si>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</si>
  <si>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</si>
  <si>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</si>
  <si>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</si>
  <si>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</si>
  <si>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</si>
  <si>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</si>
  <si>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</si>
  <si>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</si>
  <si>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</si>
  <si>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</si>
  <si>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</si>
  <si>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</si>
  <si>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</si>
  <si>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</si>
  <si>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</si>
  <si>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</si>
  <si>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</si>
  <si>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</si>
  <si>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</si>
  <si>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</si>
  <si>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</si>
  <si>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</si>
  <si>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</si>
  <si>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</si>
  <si>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</si>
  <si>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</si>
  <si>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</si>
  <si>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</si>
  <si>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</si>
  <si>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</si>
  <si>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</si>
  <si>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</si>
  <si>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</si>
  <si>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</si>
  <si>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</si>
  <si>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</si>
  <si>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</si>
  <si>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</si>
  <si>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</si>
  <si>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</si>
  <si>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</si>
  <si>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</si>
  <si>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</si>
  <si>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</si>
  <si>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</si>
  <si>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</si>
  <si>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</si>
  <si>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</si>
  <si>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</si>
  <si>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</si>
  <si>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</si>
  <si>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</si>
  <si>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</si>
  <si>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</si>
  <si>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</si>
  <si>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</si>
  <si>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</si>
  <si>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</si>
  <si>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</si>
  <si>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</si>
  <si>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</si>
  <si>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</si>
  <si>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</si>
  <si>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</si>
  <si>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</si>
  <si>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</si>
  <si>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</si>
  <si>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</si>
  <si>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</si>
  <si>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</si>
  <si>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</si>
  <si>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</si>
  <si>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</si>
  <si>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</si>
  <si>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</si>
  <si>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</si>
  <si>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</si>
  <si>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</si>
  <si>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</si>
  <si>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</si>
  <si>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</si>
  <si>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</si>
  <si>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</si>
  <si>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</si>
  <si>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</si>
  <si>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</si>
  <si>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</si>
  <si>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</si>
  <si>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</si>
  <si>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</si>
  <si>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</si>
  <si>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</si>
  <si>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</si>
  <si>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</si>
  <si>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</si>
  <si>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</si>
  <si>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</si>
  <si>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</si>
  <si>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</si>
  <si>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</si>
  <si>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</si>
  <si>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</si>
  <si>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</si>
  <si>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</si>
  <si>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</si>
  <si>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</si>
  <si>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</si>
  <si>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</si>
  <si>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</si>
  <si>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</si>
  <si>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</si>
  <si>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</si>
  <si>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</si>
  <si>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</si>
  <si>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</si>
  <si>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</si>
  <si>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</si>
  <si>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</si>
  <si>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</si>
  <si>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</si>
  <si>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</si>
  <si>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</si>
  <si>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</si>
  <si>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</si>
  <si>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</si>
  <si>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</si>
  <si>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</si>
  <si>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</si>
  <si>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</si>
  <si>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</si>
  <si>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</si>
  <si>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</si>
  <si>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</si>
  <si>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</si>
  <si>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</si>
  <si>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</si>
  <si>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</si>
  <si>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</si>
  <si>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</si>
  <si>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</si>
  <si>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</si>
  <si>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</si>
  <si>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</si>
  <si>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</si>
  <si>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</si>
  <si>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</si>
  <si>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</si>
  <si>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</si>
  <si>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</si>
  <si>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</si>
  <si>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</si>
  <si>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</si>
  <si>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</si>
  <si>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</si>
  <si>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</si>
  <si>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</si>
  <si>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</si>
  <si>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</si>
  <si>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</si>
  <si>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</si>
  <si>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</si>
  <si>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</si>
  <si>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</si>
  <si>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</si>
  <si>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</si>
  <si>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</si>
  <si>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</si>
  <si>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</si>
  <si>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</si>
  <si>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</si>
  <si>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</si>
  <si>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</si>
  <si>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</si>
  <si>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</si>
  <si>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</si>
  <si>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</si>
  <si>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</si>
  <si>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</si>
  <si>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</si>
  <si>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</si>
  <si>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</si>
  <si>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</si>
  <si>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</si>
  <si>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</si>
  <si>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</si>
  <si>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</si>
  <si>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</si>
  <si>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</si>
  <si>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</si>
  <si>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</si>
  <si>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</si>
  <si>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</si>
  <si>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</si>
  <si>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</si>
  <si>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</si>
  <si>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</si>
  <si>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</si>
  <si>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</si>
  <si>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</si>
  <si>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</si>
  <si>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</si>
  <si>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</si>
  <si>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</si>
  <si>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</si>
  <si>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</si>
  <si>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</si>
  <si>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</si>
  <si>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</si>
  <si>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</si>
  <si>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</si>
  <si>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</si>
  <si>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</si>
  <si>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</si>
  <si>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</si>
  <si>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</si>
  <si>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</si>
  <si>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</si>
  <si>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</si>
  <si>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</si>
  <si>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</si>
  <si>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</si>
  <si>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</si>
  <si>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</si>
  <si>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</si>
  <si>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</si>
  <si>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</si>
  <si>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</si>
  <si>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</si>
  <si>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</si>
  <si>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</si>
  <si>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</si>
  <si>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</si>
  <si>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</si>
  <si>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</si>
  <si>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</si>
  <si>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</si>
  <si>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</si>
  <si>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</si>
  <si>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</si>
  <si>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</si>
  <si>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</si>
  <si>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</si>
  <si>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</si>
  <si>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</si>
  <si>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</si>
  <si>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</si>
  <si>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</si>
  <si>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</si>
  <si>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</si>
  <si>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</si>
  <si>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</si>
  <si>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</si>
  <si>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</si>
  <si>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</si>
  <si>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</si>
  <si>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</si>
  <si>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</si>
  <si>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</si>
  <si>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</si>
  <si>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</si>
  <si>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</si>
  <si>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</si>
  <si>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</si>
  <si>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</si>
  <si>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</si>
  <si>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</si>
  <si>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</si>
  <si>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</si>
  <si>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</si>
  <si>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</si>
  <si>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</si>
  <si>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</si>
  <si>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</si>
  <si>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</si>
  <si>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</si>
  <si>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</si>
  <si>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</si>
  <si>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</si>
  <si>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</si>
  <si>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</si>
  <si>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</si>
  <si>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</si>
  <si>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</si>
  <si>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</si>
  <si>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</si>
  <si>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</si>
  <si>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</si>
  <si>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</si>
  <si>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</si>
  <si>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</si>
  <si>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</si>
  <si>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</si>
  <si>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</si>
  <si>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</si>
  <si>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</si>
  <si>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</si>
  <si>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</si>
  <si>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</si>
  <si>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</si>
  <si>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</si>
  <si>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</si>
  <si>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</si>
  <si>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</si>
  <si>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</si>
  <si>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</si>
  <si>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</si>
  <si>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</si>
  <si>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</si>
  <si>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</si>
  <si>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</si>
  <si>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</si>
  <si>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</si>
  <si>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</si>
  <si>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</si>
  <si>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</si>
  <si>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</si>
  <si>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</si>
  <si>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</si>
  <si>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</si>
  <si>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</si>
  <si>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</si>
  <si>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</si>
  <si>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</si>
  <si>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</si>
  <si>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</si>
  <si>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</si>
  <si>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</si>
  <si>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</si>
  <si>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</si>
  <si>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</si>
  <si>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</si>
  <si>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</si>
  <si>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</si>
  <si>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</si>
  <si>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</si>
  <si>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</si>
  <si>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</si>
  <si>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</si>
  <si>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</si>
  <si>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</si>
  <si>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</si>
  <si>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</si>
  <si>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</si>
  <si>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</si>
  <si>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</si>
  <si>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</si>
  <si>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</si>
  <si>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</si>
  <si>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</si>
  <si>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</si>
  <si>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</si>
  <si>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</si>
  <si>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</si>
  <si>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</si>
  <si>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</si>
  <si>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</si>
  <si>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</si>
  <si>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</si>
  <si>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</si>
  <si>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</si>
  <si>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</si>
  <si>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</si>
  <si>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</si>
  <si>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</si>
  <si>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</si>
  <si>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</si>
  <si>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</si>
  <si>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</si>
  <si>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</si>
  <si>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</si>
  <si>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</si>
  <si>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</si>
  <si>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</si>
  <si>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</si>
  <si>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</si>
  <si>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</si>
  <si>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</si>
  <si>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</si>
  <si>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</si>
  <si>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</si>
  <si>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</si>
  <si>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</si>
  <si>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</si>
  <si>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</si>
  <si>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</si>
  <si>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</si>
  <si>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</si>
  <si>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</si>
  <si>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</si>
  <si>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</si>
  <si>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</si>
  <si>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</si>
  <si>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</si>
  <si>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</si>
  <si>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</si>
  <si>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</si>
  <si>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</si>
  <si>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</si>
  <si>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</si>
  <si>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</si>
  <si>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</si>
  <si>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</si>
  <si>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</si>
  <si>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</si>
  <si>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</si>
  <si>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</si>
  <si>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</si>
  <si>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</si>
  <si>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</si>
  <si>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</si>
  <si>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</si>
  <si>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</si>
  <si>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</si>
  <si>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</si>
  <si>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</si>
  <si>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</si>
  <si>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</si>
  <si>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</si>
  <si>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</si>
  <si>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</si>
  <si>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</si>
  <si>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</si>
  <si>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</si>
  <si>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</si>
  <si>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</si>
  <si>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</si>
  <si>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</si>
  <si>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</si>
  <si>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</si>
  <si>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</si>
  <si>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</si>
  <si>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</si>
  <si>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</si>
  <si>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</si>
  <si>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</si>
  <si>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</si>
  <si>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</si>
  <si>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</si>
  <si>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</si>
  <si>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</si>
  <si>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</si>
  <si>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</si>
  <si>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</si>
  <si>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</si>
  <si>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</si>
  <si>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</si>
  <si>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</si>
  <si>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</si>
  <si>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</si>
  <si>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</si>
  <si>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</si>
  <si>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</si>
  <si>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</si>
  <si>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</si>
  <si>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</si>
  <si>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</si>
  <si>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</si>
  <si>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</si>
  <si>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</si>
  <si>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</si>
  <si>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</si>
  <si>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</si>
  <si>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</si>
  <si>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</si>
  <si>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</si>
  <si>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</si>
  <si>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</si>
  <si>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</si>
  <si>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</si>
  <si>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</si>
  <si>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</si>
  <si>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</si>
  <si>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</si>
  <si>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</si>
  <si>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</si>
  <si>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</si>
  <si>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</si>
  <si>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</si>
  <si>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</si>
  <si>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</si>
  <si>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</si>
  <si>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</si>
  <si>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</si>
  <si>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</si>
  <si>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</si>
  <si>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</si>
  <si>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</si>
  <si>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</si>
  <si>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</si>
  <si>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</si>
  <si>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</si>
  <si>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</si>
  <si>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</si>
  <si>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</si>
  <si>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</si>
  <si>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</si>
  <si>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</si>
  <si>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</si>
  <si>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</si>
  <si>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</si>
  <si>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</si>
  <si>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</si>
  <si>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</si>
  <si>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</si>
  <si>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</si>
  <si>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</si>
  <si>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</si>
  <si>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</si>
  <si>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</si>
  <si>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</si>
  <si>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</si>
  <si>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</si>
  <si>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</si>
  <si>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</si>
  <si>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</si>
  <si>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</si>
  <si>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</si>
  <si>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</si>
  <si>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</si>
  <si>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</si>
  <si>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</si>
  <si>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</si>
  <si>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</si>
  <si>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</si>
  <si>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</si>
  <si>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</si>
  <si>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</si>
  <si>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</si>
  <si>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</si>
  <si>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</si>
  <si>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</si>
  <si>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</si>
  <si>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</si>
  <si>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</si>
  <si>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</si>
  <si>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</si>
  <si>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</si>
  <si>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</si>
  <si>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</si>
  <si>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</si>
  <si>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</si>
  <si>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</si>
  <si>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</si>
  <si>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</si>
  <si>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</si>
  <si>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</si>
  <si>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</si>
  <si>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</si>
  <si>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</si>
  <si>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</si>
  <si>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</si>
  <si>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</si>
  <si>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</si>
  <si>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</si>
  <si>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</si>
  <si>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</si>
  <si>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</si>
  <si>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</si>
  <si>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</si>
  <si>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</si>
  <si>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</si>
  <si>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</si>
  <si>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</si>
  <si>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</si>
  <si>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</si>
  <si>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</si>
  <si>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</si>
  <si>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</si>
  <si>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</si>
  <si>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</si>
  <si>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</si>
  <si>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</si>
  <si>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</si>
  <si>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</si>
  <si>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</si>
  <si>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</si>
  <si>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</si>
  <si>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</si>
  <si>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</si>
  <si>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</si>
  <si>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</si>
  <si>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</si>
  <si>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</si>
  <si>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</si>
  <si>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</si>
  <si>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</si>
  <si>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</si>
  <si>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</si>
  <si>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</si>
  <si>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</si>
  <si>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</si>
  <si>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</si>
  <si>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</si>
  <si>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</si>
  <si>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</si>
  <si>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</si>
  <si>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</si>
  <si>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</si>
  <si>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</si>
  <si>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</si>
  <si>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</si>
  <si>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</si>
  <si>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</si>
  <si>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</si>
  <si>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</si>
  <si>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</si>
  <si>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</si>
  <si>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</si>
  <si>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</si>
  <si>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</si>
  <si>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</si>
  <si>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</si>
  <si>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</si>
  <si>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</si>
  <si>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</si>
  <si>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</si>
  <si>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</si>
  <si>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</si>
  <si>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</si>
  <si>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</si>
  <si>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</si>
  <si>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</si>
  <si>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</si>
  <si>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</si>
  <si>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</si>
  <si>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</si>
  <si>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</si>
  <si>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</si>
  <si>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</si>
  <si>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</si>
  <si>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</si>
  <si>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</si>
  <si>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</si>
  <si>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</si>
  <si>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</si>
  <si>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</si>
  <si>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</si>
  <si>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</si>
  <si>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</si>
  <si>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</si>
  <si>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</si>
  <si>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</si>
  <si>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</si>
  <si>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</si>
  <si>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</si>
  <si>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</si>
  <si>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</si>
  <si>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</si>
  <si>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</si>
  <si>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</si>
  <si>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</si>
  <si>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</si>
  <si>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</si>
  <si>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</si>
  <si>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</si>
  <si>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</si>
  <si>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</si>
  <si>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</si>
  <si>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</si>
  <si>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</si>
  <si>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</si>
  <si>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</si>
  <si>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</si>
  <si>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</si>
  <si>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</si>
  <si>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</si>
  <si>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</si>
  <si>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</si>
  <si>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</si>
  <si>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</si>
  <si>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</si>
  <si>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</si>
  <si>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</si>
  <si>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</si>
  <si>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</si>
  <si>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</si>
  <si>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</si>
  <si>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</si>
  <si>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</si>
  <si>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</si>
  <si>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</si>
  <si>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</si>
  <si>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</si>
  <si>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</si>
  <si>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</si>
  <si>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</si>
  <si>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</si>
  <si>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</si>
  <si>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</si>
  <si>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</si>
  <si>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</si>
  <si>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</si>
  <si>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</si>
  <si>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</si>
  <si>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</si>
  <si>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</si>
  <si>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</si>
  <si>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</si>
  <si>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</si>
  <si>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</si>
  <si>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</si>
  <si>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</si>
  <si>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</si>
  <si>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</si>
  <si>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</si>
  <si>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</si>
  <si>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</si>
  <si>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</si>
  <si>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</si>
  <si>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</si>
  <si>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</si>
  <si>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</si>
  <si>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</si>
  <si>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</si>
  <si>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</si>
  <si>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</si>
  <si>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</si>
  <si>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</si>
  <si>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</si>
  <si>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</si>
  <si>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</si>
  <si>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</si>
  <si>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</si>
  <si>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</si>
  <si>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</si>
  <si>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</si>
  <si>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</si>
  <si>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</si>
  <si>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</si>
  <si>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</si>
  <si>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</si>
  <si>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</si>
  <si>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</si>
  <si>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</si>
  <si>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</si>
  <si>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</si>
  <si>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</si>
  <si>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</si>
  <si>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</si>
  <si>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</si>
  <si>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</si>
  <si>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</si>
  <si>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</si>
  <si>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</si>
  <si>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</si>
  <si>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</si>
  <si>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</si>
  <si>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</si>
  <si>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</si>
  <si>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</si>
  <si>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</si>
  <si>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</si>
  <si>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</si>
  <si>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</si>
  <si>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</si>
  <si>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</si>
  <si>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</si>
  <si>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</si>
  <si>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</si>
  <si>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</si>
  <si>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</si>
  <si>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</si>
  <si>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</si>
  <si>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</si>
  <si>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</si>
  <si>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</si>
  <si>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</si>
  <si>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</si>
  <si>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</si>
  <si>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</si>
  <si>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</si>
  <si>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</si>
  <si>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</si>
  <si>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</si>
  <si>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</si>
  <si>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</si>
  <si>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</si>
  <si>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</si>
  <si>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</si>
  <si>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</si>
  <si>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</si>
  <si>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</si>
  <si>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</si>
  <si>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</si>
  <si>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</si>
  <si>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</si>
  <si>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</si>
  <si>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</si>
  <si>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</si>
  <si>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</si>
  <si>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</si>
  <si>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</si>
  <si>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</si>
  <si>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</si>
  <si>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</si>
  <si>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</si>
  <si>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</si>
  <si>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</si>
  <si>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</si>
  <si>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</si>
  <si>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</si>
  <si>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</si>
  <si>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</si>
  <si>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</si>
  <si>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</si>
  <si>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</si>
  <si>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</si>
  <si>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</si>
  <si>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</si>
  <si>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</si>
  <si>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</si>
  <si>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</si>
  <si>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</si>
  <si>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</si>
  <si>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</si>
  <si>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</si>
  <si>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</si>
  <si>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</si>
  <si>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</si>
  <si>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</si>
  <si>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</si>
  <si>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</si>
  <si>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</si>
  <si>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</si>
  <si>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</si>
  <si>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</si>
  <si>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</si>
  <si>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</si>
  <si>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</si>
  <si>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</si>
  <si>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</si>
  <si>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</si>
  <si>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</si>
  <si>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</si>
  <si>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</si>
  <si>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</si>
  <si>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</si>
  <si>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</si>
  <si>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</si>
  <si>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</si>
  <si>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</si>
  <si>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</si>
  <si>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</si>
  <si>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</si>
  <si>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</si>
  <si>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</si>
  <si>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</si>
  <si>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</si>
  <si>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</si>
  <si>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</si>
  <si>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</si>
  <si>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</si>
  <si>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</si>
  <si>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</si>
  <si>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</si>
  <si>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</si>
  <si>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</si>
  <si>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</si>
  <si>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</si>
  <si>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</si>
  <si>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</si>
  <si>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</si>
  <si>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</si>
  <si>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</si>
  <si>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</si>
  <si>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</si>
  <si>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</si>
  <si>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</si>
  <si>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</si>
  <si>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</si>
  <si>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</si>
  <si>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</si>
  <si>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</si>
  <si>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</si>
  <si>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</si>
  <si>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</si>
  <si>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</si>
  <si>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</si>
  <si>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</si>
  <si>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</si>
  <si>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</si>
  <si>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</si>
  <si>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</si>
  <si>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</si>
  <si>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</si>
  <si>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</si>
  <si>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</si>
  <si>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</si>
  <si>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</si>
  <si>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</si>
  <si>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</si>
  <si>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</si>
  <si>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</si>
  <si>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</si>
  <si>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</si>
  <si>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</si>
  <si>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</si>
  <si>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</si>
  <si>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</si>
  <si>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</si>
  <si>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</si>
  <si>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</si>
  <si>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</si>
  <si>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</si>
  <si>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</si>
  <si>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</si>
  <si>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</si>
  <si>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</si>
  <si>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</si>
  <si>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</si>
  <si>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</si>
  <si>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</si>
  <si>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</si>
  <si>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</si>
  <si>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</si>
  <si>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</si>
  <si>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</si>
  <si>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</si>
  <si>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</si>
  <si>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</si>
  <si>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</si>
  <si>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</si>
  <si>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</si>
  <si>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</si>
  <si>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</si>
  <si>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</si>
  <si>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</si>
  <si>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</si>
  <si>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</si>
  <si>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</si>
  <si>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</si>
  <si>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</si>
  <si>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</si>
  <si>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</si>
  <si>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</si>
  <si>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</si>
  <si>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</si>
  <si>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</si>
  <si>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</si>
  <si>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</si>
  <si>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</si>
  <si>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</si>
  <si>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</si>
  <si>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</si>
  <si>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</si>
  <si>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</si>
  <si>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</si>
  <si>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</si>
  <si>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</si>
  <si>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</si>
  <si>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</si>
  <si>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</si>
  <si>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</si>
  <si>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</si>
  <si>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</si>
  <si>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</si>
  <si>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</si>
  <si>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</si>
  <si>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</si>
  <si>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</si>
  <si>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</si>
  <si>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</si>
  <si>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</si>
  <si>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</si>
  <si>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</si>
  <si>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</si>
  <si>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</si>
  <si>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</si>
  <si>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</si>
  <si>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</si>
  <si>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</si>
  <si>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</si>
  <si>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</si>
  <si>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</si>
  <si>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</si>
  <si>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</si>
  <si>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</si>
  <si>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</si>
  <si>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</si>
  <si>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</si>
  <si>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</si>
  <si>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</si>
  <si>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</si>
  <si>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</si>
  <si>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</si>
  <si>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</si>
  <si>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</si>
  <si>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</si>
  <si>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</si>
  <si>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</si>
  <si>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</si>
  <si>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</si>
  <si>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</si>
  <si>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</si>
  <si>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</si>
  <si>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</si>
  <si>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</si>
  <si>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</si>
  <si>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</si>
  <si>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</si>
  <si>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</si>
  <si>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</si>
  <si>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</si>
  <si>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</si>
  <si>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</si>
  <si>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</si>
  <si>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</si>
  <si>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</si>
  <si>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</si>
  <si>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</si>
  <si>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</si>
  <si>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</si>
  <si>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</si>
  <si>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</si>
  <si>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</si>
  <si>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</si>
  <si>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</si>
  <si>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</si>
  <si>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</si>
  <si>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</si>
  <si>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</si>
  <si>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</si>
  <si>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</si>
  <si>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</si>
  <si>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</si>
  <si>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</si>
  <si>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</si>
  <si>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</si>
  <si>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</si>
  <si>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</si>
  <si>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</si>
  <si>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</si>
  <si>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</si>
  <si>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</si>
  <si>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</si>
  <si>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</si>
  <si>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</si>
  <si>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</si>
  <si>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</si>
  <si>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</si>
  <si>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</si>
  <si>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</si>
  <si>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</si>
  <si>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</si>
  <si>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</si>
  <si>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</si>
  <si>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</si>
  <si>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</si>
  <si>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</si>
  <si>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</si>
  <si>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</si>
  <si>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</si>
  <si>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</si>
  <si>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</si>
  <si>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</si>
  <si>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</si>
  <si>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</si>
  <si>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</si>
  <si>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</si>
  <si>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</si>
  <si>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</si>
  <si>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</si>
  <si>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</si>
  <si>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</si>
  <si>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</si>
  <si>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</si>
  <si>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</si>
  <si>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</si>
  <si>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</si>
  <si>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</si>
  <si>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</si>
  <si>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</si>
  <si>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</si>
  <si>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</si>
  <si>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</si>
  <si>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</si>
  <si>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</si>
  <si>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</si>
  <si>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</si>
  <si>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</si>
  <si>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</si>
  <si>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</si>
  <si>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</si>
  <si>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</si>
  <si>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</si>
  <si>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</si>
  <si>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</si>
  <si>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</si>
  <si>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</si>
  <si>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</si>
  <si>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</si>
  <si>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</si>
  <si>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</si>
  <si>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</si>
  <si>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</si>
  <si>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</si>
  <si>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</si>
  <si>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</si>
  <si>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</si>
  <si>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</si>
  <si>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</si>
  <si>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</si>
  <si>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</si>
  <si>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</si>
  <si>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</si>
  <si>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</si>
  <si>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</si>
  <si>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</si>
  <si>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</si>
  <si>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</si>
  <si>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</si>
  <si>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</si>
  <si>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</si>
  <si>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</si>
  <si>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</si>
  <si>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</si>
  <si>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</si>
  <si>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</si>
  <si>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</si>
  <si>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</si>
  <si>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</si>
  <si>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</si>
  <si>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</si>
  <si>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</si>
  <si>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</si>
  <si>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</si>
  <si>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</si>
  <si>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</si>
  <si>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</si>
  <si>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</si>
  <si>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</si>
  <si>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</si>
  <si>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</si>
  <si>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</si>
  <si>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</si>
  <si>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</si>
  <si>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</si>
  <si>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</si>
  <si>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</si>
  <si>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</si>
  <si>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</si>
  <si>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</si>
  <si>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</si>
  <si>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</si>
  <si>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</si>
  <si>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</si>
  <si>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</si>
  <si>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</si>
  <si>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</si>
  <si>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</si>
  <si>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</si>
  <si>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</si>
  <si>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</si>
  <si>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</si>
  <si>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</si>
  <si>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</si>
  <si>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</si>
  <si>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</si>
  <si>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</si>
  <si>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</si>
  <si>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</si>
  <si>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</si>
  <si>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</si>
  <si>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</si>
  <si>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</si>
  <si>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</si>
  <si>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</si>
  <si>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</si>
  <si>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</si>
  <si>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</si>
  <si>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</si>
  <si>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</si>
  <si>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</si>
  <si>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</si>
  <si>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</si>
  <si>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</si>
  <si>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</si>
  <si>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</si>
  <si>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</si>
  <si>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</si>
  <si>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</si>
  <si>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</si>
  <si>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</si>
  <si>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</si>
  <si>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</si>
  <si>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</si>
  <si>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</si>
  <si>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</si>
  <si>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</si>
  <si>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</si>
  <si>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</si>
  <si>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</si>
  <si>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</si>
  <si>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</si>
  <si>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</si>
  <si>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</si>
  <si>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</si>
  <si>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</si>
  <si>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</si>
  <si>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</si>
  <si>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</si>
  <si>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</si>
  <si>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</si>
  <si>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</si>
  <si>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</si>
  <si>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</si>
  <si>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</si>
  <si>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</si>
  <si>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</si>
  <si>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</si>
  <si>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</si>
  <si>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</si>
  <si>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</si>
  <si>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</si>
  <si>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</si>
  <si>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</si>
  <si>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</si>
  <si>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</si>
  <si>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</si>
  <si>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</si>
  <si>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</si>
  <si>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</si>
  <si>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</si>
  <si>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</si>
  <si>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</si>
  <si>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</si>
  <si>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</si>
  <si>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</si>
  <si>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</si>
  <si>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</si>
  <si>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</si>
  <si>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</si>
  <si>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</si>
  <si>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</si>
  <si>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</si>
  <si>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</si>
  <si>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</si>
  <si>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</si>
  <si>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</si>
  <si>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</si>
  <si>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</si>
  <si>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</si>
  <si>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</si>
  <si>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</si>
  <si>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</si>
  <si>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</si>
  <si>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</si>
  <si>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</si>
  <si>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</si>
  <si>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</si>
  <si>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</si>
  <si>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</si>
  <si>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</si>
  <si>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</si>
  <si>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</si>
  <si>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</si>
  <si>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</si>
  <si>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</si>
  <si>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</si>
  <si>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</si>
  <si>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</si>
  <si>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</si>
  <si>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</si>
  <si>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</si>
  <si>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</si>
  <si>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</si>
  <si>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</si>
  <si>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</si>
  <si>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</si>
  <si>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</si>
  <si>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</si>
  <si>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</si>
  <si>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</si>
  <si>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</si>
  <si>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</si>
  <si>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</si>
  <si>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</si>
  <si>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</si>
  <si>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</si>
  <si>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</si>
  <si>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</si>
  <si>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</si>
  <si>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</si>
  <si>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</si>
  <si>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</si>
  <si>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</si>
  <si>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</si>
  <si>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</si>
  <si>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</si>
  <si>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</si>
  <si>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</si>
  <si>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</si>
  <si>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</si>
  <si>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</si>
  <si>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</si>
  <si>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</si>
  <si>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</si>
  <si>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</si>
  <si>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</si>
  <si>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</si>
  <si>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</si>
  <si>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</si>
  <si>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</si>
  <si>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</si>
  <si>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</si>
  <si>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</si>
  <si>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</si>
  <si>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</si>
  <si>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</si>
  <si>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</si>
  <si>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</si>
  <si>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</si>
  <si>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</si>
  <si>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</si>
  <si>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</si>
  <si>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</si>
  <si>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</si>
  <si>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</si>
  <si>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</si>
  <si>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</si>
  <si>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</si>
  <si>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</si>
  <si>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</si>
  <si>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</si>
  <si>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</si>
  <si>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</si>
  <si>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</si>
  <si>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</si>
  <si>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</si>
  <si>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</si>
  <si>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</si>
  <si>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</si>
  <si>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</si>
  <si>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</si>
  <si>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</si>
  <si>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</si>
  <si>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</si>
  <si>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</si>
  <si>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</si>
  <si>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</si>
  <si>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</si>
  <si>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</si>
  <si>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</si>
  <si>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</si>
  <si>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</si>
  <si>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</si>
  <si>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</si>
  <si>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</si>
  <si>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</si>
  <si>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</si>
  <si>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</si>
  <si>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</si>
  <si>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</si>
  <si>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</si>
  <si>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</si>
  <si>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</si>
  <si>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</si>
  <si>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</si>
  <si>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</si>
  <si>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</si>
  <si>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</si>
  <si>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</si>
  <si>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</si>
  <si>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</si>
  <si>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</si>
  <si>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</si>
  <si>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</si>
  <si>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</si>
  <si>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</si>
  <si>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</si>
  <si>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</si>
  <si>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</si>
  <si>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</si>
  <si>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</si>
  <si>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</si>
  <si>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</si>
  <si>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</si>
  <si>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</si>
  <si>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</si>
  <si>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</si>
  <si>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</si>
  <si>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</si>
  <si>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</si>
  <si>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</si>
  <si>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</si>
  <si>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</si>
  <si>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</si>
  <si>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</si>
  <si>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</si>
  <si>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</si>
  <si>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</si>
  <si>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</si>
  <si>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</si>
  <si>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</si>
  <si>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</si>
  <si>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</si>
  <si>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</si>
  <si>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</si>
  <si>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</si>
  <si>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</si>
  <si>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</si>
  <si>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</si>
  <si>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</si>
  <si>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</si>
  <si>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</si>
  <si>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</si>
  <si>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</si>
  <si>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</si>
  <si>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</si>
  <si>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</si>
  <si>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</si>
  <si>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</si>
  <si>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</si>
  <si>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</si>
  <si>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</si>
  <si>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</si>
  <si>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</si>
  <si>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</si>
  <si>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</si>
  <si>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</si>
  <si>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</si>
  <si>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</si>
  <si>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</si>
  <si>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</si>
  <si>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</si>
  <si>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</si>
  <si>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</si>
  <si>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</si>
  <si>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</si>
  <si>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</si>
  <si>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</si>
  <si>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</si>
  <si>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</si>
  <si>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</si>
  <si>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</si>
  <si>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</si>
  <si>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</si>
  <si>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</si>
  <si>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</si>
  <si>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</si>
  <si>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</si>
  <si>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</si>
  <si>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</si>
  <si>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</si>
  <si>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</si>
  <si>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</si>
  <si>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</si>
  <si>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</si>
  <si>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</si>
  <si>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</si>
  <si>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</si>
  <si>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</si>
  <si>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</si>
  <si>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</si>
  <si>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</si>
  <si>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</si>
  <si>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</si>
  <si>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</si>
  <si>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</si>
  <si>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</si>
  <si>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</si>
  <si>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</si>
  <si>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</si>
  <si>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</si>
  <si>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</si>
  <si>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</si>
  <si>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</si>
  <si>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</si>
  <si>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</si>
  <si>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</si>
  <si>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</si>
  <si>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</si>
  <si>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</si>
  <si>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</si>
  <si>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</si>
  <si>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</si>
  <si>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</si>
  <si>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</si>
  <si>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</si>
  <si>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</si>
  <si>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</si>
  <si>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</si>
  <si>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</si>
  <si>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</si>
  <si>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</si>
  <si>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</si>
  <si>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</si>
  <si>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</si>
  <si>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</si>
  <si>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</si>
  <si>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</si>
  <si>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</si>
  <si>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</si>
  <si>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</si>
  <si>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</si>
  <si>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</si>
  <si>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</si>
  <si>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</si>
  <si>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</si>
  <si>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</si>
  <si>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</si>
  <si>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</si>
  <si>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</si>
  <si>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</si>
  <si>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</si>
  <si>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</si>
  <si>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</si>
  <si>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</si>
  <si>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</si>
  <si>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</si>
  <si>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</si>
  <si>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</si>
  <si>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</si>
  <si>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</si>
  <si>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</si>
  <si>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</si>
  <si>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</si>
  <si>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</si>
  <si>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</si>
  <si>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</si>
  <si>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</si>
  <si>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</si>
  <si>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</si>
  <si>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</si>
  <si>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</si>
  <si>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</si>
  <si>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</si>
  <si>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</si>
  <si>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</si>
  <si>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</si>
  <si>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</si>
  <si>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</si>
  <si>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</si>
  <si>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</si>
  <si>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</si>
  <si>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</si>
  <si>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</si>
  <si>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</si>
  <si>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</si>
  <si>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</si>
  <si>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</si>
  <si>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</si>
  <si>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</si>
  <si>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</si>
  <si>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</si>
  <si>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</si>
  <si>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</si>
  <si>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</si>
  <si>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</si>
  <si>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</si>
  <si>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</si>
  <si>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</si>
  <si>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</si>
  <si>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</si>
  <si>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</si>
  <si>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</si>
  <si>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</si>
  <si>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</si>
  <si>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</si>
  <si>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</si>
  <si>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</si>
  <si>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</si>
  <si>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</si>
  <si>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</si>
  <si>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</si>
  <si>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</si>
  <si>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</si>
  <si>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</si>
  <si>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</si>
  <si>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</si>
  <si>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</si>
  <si>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</si>
  <si>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</si>
  <si>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</si>
  <si>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</si>
  <si>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</si>
  <si>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</si>
  <si>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</si>
  <si>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</si>
  <si>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</si>
  <si>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</si>
  <si>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</si>
  <si>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</si>
  <si>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</si>
  <si>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</si>
  <si>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</si>
  <si>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</si>
  <si>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</si>
  <si>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</si>
  <si>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</si>
  <si>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</si>
  <si>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</si>
  <si>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</si>
  <si>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</si>
  <si>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</si>
  <si>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</si>
  <si>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</si>
  <si>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</si>
  <si>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</si>
  <si>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</si>
  <si>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</si>
  <si>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</si>
  <si>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</si>
  <si>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</si>
  <si>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</si>
  <si>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</si>
  <si>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</si>
  <si>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</si>
  <si>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</si>
  <si>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</si>
  <si>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</si>
  <si>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</si>
  <si>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</si>
  <si>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</si>
  <si>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</si>
  <si>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</si>
  <si>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</si>
  <si>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</si>
  <si>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</si>
  <si>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</si>
  <si>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</si>
  <si>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</si>
  <si>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</si>
  <si>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</si>
  <si>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</si>
  <si>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</si>
  <si>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</si>
  <si>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</si>
  <si>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</si>
  <si>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</si>
  <si>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</si>
  <si>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</si>
  <si>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</si>
  <si>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</si>
  <si>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</si>
  <si>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</si>
  <si>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</si>
  <si>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</si>
  <si>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</si>
  <si>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</si>
  <si>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</si>
  <si>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</si>
  <si>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</si>
  <si>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</si>
  <si>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</si>
  <si>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</si>
  <si>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</si>
  <si>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</si>
  <si>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</si>
  <si>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</si>
  <si>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</si>
  <si>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</si>
  <si>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</si>
  <si>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</si>
  <si>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</si>
  <si>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</si>
  <si>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</si>
  <si>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</si>
  <si>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</si>
  <si>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</si>
  <si>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</si>
  <si>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</si>
  <si>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</si>
  <si>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</si>
  <si>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</si>
  <si>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</si>
  <si>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</si>
  <si>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</si>
  <si>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</si>
  <si>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</si>
  <si>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</si>
  <si>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</si>
  <si>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</si>
  <si>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</si>
  <si>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</si>
  <si>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</si>
  <si>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</si>
  <si>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</si>
  <si>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</si>
  <si>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</si>
  <si>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</si>
  <si>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</si>
  <si>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</si>
  <si>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</si>
  <si>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</si>
  <si>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</si>
  <si>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</si>
  <si>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</si>
  <si>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</si>
  <si>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</si>
  <si>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</si>
  <si>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</si>
  <si>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</si>
  <si>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</si>
  <si>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</si>
  <si>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</si>
  <si>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</si>
  <si>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</si>
  <si>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</si>
  <si>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</si>
  <si>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</si>
  <si>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</si>
  <si>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</si>
  <si>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</si>
  <si>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</si>
  <si>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</si>
  <si>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</si>
  <si>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</si>
  <si>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</si>
  <si>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</si>
  <si>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</si>
  <si>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</si>
  <si>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</si>
  <si>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</si>
  <si>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</si>
  <si>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</si>
  <si>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</si>
  <si>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</si>
  <si>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</si>
  <si>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</si>
  <si>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</si>
  <si>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</si>
  <si>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</si>
  <si>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</si>
  <si>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</si>
  <si>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</si>
  <si>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</si>
  <si>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</si>
  <si>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</si>
  <si>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</si>
  <si>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</si>
  <si>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</si>
  <si>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</si>
  <si>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</si>
  <si>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</si>
  <si>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</si>
  <si>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</si>
  <si>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</si>
  <si>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</si>
  <si>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</si>
  <si>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</si>
  <si>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</si>
  <si>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</si>
  <si>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</si>
  <si>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</si>
  <si>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</si>
  <si>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</si>
  <si>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</si>
  <si>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</si>
  <si>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</si>
  <si>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</si>
  <si>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</si>
  <si>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</si>
  <si>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</si>
  <si>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</si>
  <si>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</si>
  <si>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</si>
  <si>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</si>
  <si>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</si>
  <si>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</si>
  <si>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</si>
  <si>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</si>
  <si>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</si>
  <si>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</si>
  <si>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</si>
  <si>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</si>
  <si>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</si>
  <si>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</si>
  <si>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</si>
  <si>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</si>
  <si>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</si>
  <si>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</si>
  <si>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</si>
  <si>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</si>
  <si>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</si>
  <si>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</si>
  <si>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</si>
  <si>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</si>
  <si>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</si>
  <si>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</si>
  <si>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</si>
  <si>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</si>
  <si>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</si>
  <si>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</si>
  <si>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</si>
  <si>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</si>
  <si>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</si>
  <si>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</si>
  <si>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</si>
  <si>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</si>
  <si>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</si>
  <si>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</si>
  <si>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</si>
  <si>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</si>
  <si>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</si>
  <si>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</si>
  <si>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</si>
  <si>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</si>
  <si>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</si>
  <si>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</si>
  <si>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</si>
  <si>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</si>
  <si>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</si>
  <si>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</si>
  <si>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</si>
  <si>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</si>
  <si>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</si>
  <si>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</si>
  <si>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</si>
  <si>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</si>
  <si>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</si>
  <si>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</si>
  <si>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</si>
  <si>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</si>
  <si>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</si>
  <si>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</si>
  <si>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</si>
  <si>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</si>
  <si>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</si>
  <si>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</si>
  <si>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</si>
  <si>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</si>
  <si>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</si>
  <si>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</si>
  <si>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</si>
  <si>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</si>
  <si>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</si>
  <si>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</si>
  <si>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</si>
  <si>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</si>
  <si>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</si>
  <si>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</si>
  <si>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</si>
  <si>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</si>
  <si>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</si>
  <si>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</si>
  <si>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</si>
  <si>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</si>
  <si>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</si>
  <si>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</si>
  <si>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</si>
  <si>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</si>
  <si>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</si>
  <si>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</si>
  <si>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</si>
  <si>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</si>
  <si>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</si>
  <si>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</si>
  <si>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</si>
  <si>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</si>
  <si>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</si>
  <si>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</si>
  <si>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</si>
  <si>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</si>
  <si>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</si>
  <si>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</si>
  <si>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</si>
  <si>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</si>
  <si>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</si>
  <si>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</si>
  <si>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</si>
  <si>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</si>
  <si>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</si>
  <si>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</si>
  <si>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</si>
  <si>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</si>
  <si>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</si>
  <si>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</si>
  <si>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</si>
  <si>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</si>
  <si>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</si>
  <si>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</si>
  <si>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</si>
  <si>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</si>
  <si>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</si>
  <si>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</si>
  <si>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</si>
  <si>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</si>
  <si>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</si>
  <si>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</si>
  <si>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</si>
  <si>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</si>
  <si>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</si>
  <si>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</si>
  <si>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</si>
  <si>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</si>
  <si>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</si>
  <si>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</si>
  <si>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</si>
  <si>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</si>
  <si>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</si>
  <si>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</si>
  <si>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</si>
  <si>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</si>
  <si>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</si>
  <si>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</si>
  <si>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</si>
  <si>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</si>
  <si>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</si>
  <si>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</si>
  <si>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</si>
  <si>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</si>
  <si>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</si>
  <si>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</si>
  <si>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</si>
  <si>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</si>
  <si>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</si>
  <si>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</si>
  <si>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</si>
  <si>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</si>
  <si>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</si>
  <si>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</si>
  <si>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</si>
  <si>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</si>
  <si>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</si>
  <si>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</si>
  <si>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</si>
  <si>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</si>
  <si>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</si>
  <si>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</si>
  <si>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</si>
  <si>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</si>
  <si>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</si>
  <si>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</si>
  <si>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</si>
  <si>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</si>
  <si>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</si>
  <si>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</si>
  <si>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</si>
  <si>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</si>
  <si>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</si>
  <si>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</si>
  <si>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</si>
  <si>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</si>
  <si>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</si>
  <si>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</si>
  <si>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</si>
  <si>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</si>
  <si>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</si>
  <si>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</si>
  <si>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</si>
  <si>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</si>
  <si>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</si>
  <si>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</si>
  <si>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</si>
  <si>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</si>
  <si>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</si>
  <si>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</si>
  <si>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</si>
  <si>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</si>
  <si>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</si>
  <si>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</si>
  <si>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</si>
  <si>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</si>
  <si>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</si>
  <si>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</si>
  <si>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</si>
  <si>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</si>
  <si>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</si>
  <si>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</si>
  <si>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</si>
  <si>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</si>
  <si>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</si>
  <si>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</si>
  <si>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</si>
  <si>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</si>
  <si>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</si>
  <si>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</si>
  <si>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</si>
  <si>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</si>
  <si>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</si>
  <si>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</si>
  <si>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</si>
  <si>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</si>
  <si>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</si>
  <si>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</si>
  <si>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</si>
  <si>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</si>
  <si>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</si>
  <si>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</si>
  <si>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</si>
  <si>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</si>
  <si>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</si>
  <si>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</si>
  <si>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</si>
  <si>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</si>
  <si>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</si>
  <si>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</si>
  <si>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</si>
  <si>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</si>
  <si>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</si>
  <si>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</si>
  <si>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</si>
  <si>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</si>
  <si>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</si>
  <si>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</si>
  <si>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</si>
  <si>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</si>
  <si>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</si>
  <si>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</si>
  <si>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</si>
  <si>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</si>
  <si>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</si>
  <si>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</si>
  <si>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</si>
  <si>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</si>
  <si>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</si>
  <si>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</si>
  <si>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</si>
  <si>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</si>
  <si>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</si>
  <si>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</si>
  <si>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</si>
  <si>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</si>
  <si>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</si>
  <si>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</si>
  <si>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</si>
  <si>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</si>
  <si>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</si>
  <si>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</si>
  <si>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</si>
  <si>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</si>
  <si>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</si>
  <si>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</si>
  <si>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</si>
  <si>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</si>
  <si>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</si>
  <si>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</si>
  <si>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</si>
  <si>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</si>
  <si>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</si>
  <si>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</si>
  <si>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</si>
  <si>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</si>
  <si>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</si>
  <si>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</si>
  <si>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</si>
  <si>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</si>
  <si>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</si>
  <si>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</si>
  <si>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</si>
  <si>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</si>
  <si>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</si>
  <si>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</si>
  <si>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</si>
  <si>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</si>
  <si>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</si>
  <si>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</si>
  <si>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</si>
  <si>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</si>
  <si>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</si>
  <si>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</si>
  <si>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</si>
  <si>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</si>
  <si>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</si>
  <si>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</si>
  <si>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</si>
  <si>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</si>
  <si>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</si>
  <si>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</si>
  <si>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</si>
  <si>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</si>
  <si>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</si>
  <si>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</si>
  <si>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</si>
  <si>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</si>
  <si>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</si>
  <si>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</si>
  <si>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</si>
  <si>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</si>
  <si>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</si>
  <si>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</si>
  <si>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</si>
  <si>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</si>
  <si>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</si>
  <si>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</si>
  <si>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</si>
  <si>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</si>
  <si>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</si>
  <si>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</si>
  <si>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</si>
  <si>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</si>
  <si>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</si>
  <si>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</si>
  <si>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</si>
  <si>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</si>
  <si>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</si>
  <si>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</si>
  <si>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</si>
  <si>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</si>
  <si>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</si>
  <si>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</si>
  <si>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</si>
  <si>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</si>
  <si>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</si>
  <si>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</si>
  <si>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</si>
  <si>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</si>
  <si>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</si>
  <si>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</si>
  <si>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</si>
  <si>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</si>
  <si>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</si>
  <si>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</si>
  <si>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</si>
  <si>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</si>
  <si>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</si>
  <si>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</si>
  <si>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</si>
  <si>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</si>
  <si>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</si>
  <si>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</si>
  <si>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</si>
  <si>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</si>
  <si>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</si>
  <si>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</si>
  <si>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</si>
  <si>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</si>
  <si>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</si>
  <si>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</si>
  <si>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</si>
  <si>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</si>
  <si>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</si>
  <si>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</si>
  <si>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</si>
  <si>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</si>
  <si>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</si>
  <si>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</si>
  <si>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</si>
  <si>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</si>
  <si>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</si>
  <si>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</si>
  <si>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</si>
  <si>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</si>
  <si>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</si>
  <si>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</si>
  <si>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</si>
  <si>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</si>
  <si>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</si>
  <si>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</si>
  <si>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</si>
  <si>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</si>
  <si>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</si>
  <si>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</si>
  <si>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</si>
  <si>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</si>
  <si>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</si>
  <si>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</si>
  <si>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</si>
  <si>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</si>
  <si>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</si>
  <si>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</si>
  <si>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</si>
  <si>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</si>
  <si>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</si>
  <si>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</si>
  <si>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</si>
  <si>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</si>
  <si>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</si>
  <si>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</si>
  <si>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</si>
  <si>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</si>
  <si>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</si>
  <si>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</si>
  <si>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</si>
  <si>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</si>
  <si>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</si>
  <si>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</si>
  <si>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</si>
  <si>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</si>
  <si>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</si>
  <si>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</si>
  <si>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</si>
  <si>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</si>
  <si>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</si>
  <si>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</si>
  <si>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</si>
  <si>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</si>
  <si>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</si>
  <si>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</si>
  <si>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</si>
  <si>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</si>
  <si>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</si>
  <si>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</si>
  <si>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</si>
  <si>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</si>
  <si>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</si>
  <si>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</si>
  <si>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</si>
  <si>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</si>
  <si>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</si>
  <si>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</si>
  <si>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</si>
  <si>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</si>
  <si>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</si>
  <si>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</si>
  <si>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</si>
  <si>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</si>
  <si>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</si>
  <si>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</si>
  <si>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</si>
  <si>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</si>
  <si>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</si>
  <si>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</si>
  <si>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</si>
  <si>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</si>
  <si>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</si>
  <si>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</si>
  <si>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</si>
  <si>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</si>
  <si>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</si>
  <si>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</si>
  <si>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</si>
  <si>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</si>
  <si>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</si>
  <si>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</si>
  <si>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</si>
  <si>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</si>
  <si>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</si>
  <si>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</si>
  <si>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</si>
  <si>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</si>
  <si>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</si>
  <si>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</si>
  <si>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</si>
  <si>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</si>
  <si>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</si>
  <si>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</si>
  <si>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</si>
  <si>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</si>
  <si>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</si>
  <si>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</si>
  <si>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</si>
  <si>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</si>
  <si>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</si>
  <si>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</si>
  <si>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</si>
  <si>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</si>
  <si>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</si>
  <si>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</si>
  <si>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</si>
  <si>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</si>
  <si>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</si>
  <si>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</si>
  <si>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</si>
  <si>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</si>
  <si>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</si>
  <si>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</si>
  <si>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</si>
  <si>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</si>
  <si>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</si>
  <si>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</si>
  <si>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</si>
  <si>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</si>
  <si>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</si>
  <si>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</si>
  <si>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</si>
  <si>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</si>
  <si>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</si>
  <si>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</si>
  <si>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</si>
  <si>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</si>
  <si>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</si>
  <si>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</si>
  <si>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</si>
  <si>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</si>
  <si>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</si>
  <si>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</si>
  <si>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</si>
  <si>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</si>
  <si>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</si>
  <si>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</si>
  <si>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</si>
  <si>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</si>
  <si>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</si>
  <si>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</si>
  <si>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</si>
  <si>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</si>
  <si>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</si>
  <si>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</si>
  <si>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</si>
  <si>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</si>
  <si>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</si>
  <si>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</si>
  <si>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</si>
  <si>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</si>
  <si>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</si>
  <si>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</si>
  <si>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</si>
  <si>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</si>
  <si>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</si>
  <si>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</si>
  <si>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</si>
  <si>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</si>
  <si>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</si>
  <si>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</si>
  <si>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</si>
  <si>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</si>
  <si>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</si>
  <si>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</si>
  <si>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</si>
  <si>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</si>
  <si>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</si>
  <si>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</si>
  <si>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</si>
  <si>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</si>
  <si>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</si>
  <si>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</si>
  <si>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</si>
  <si>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</si>
  <si>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</si>
  <si>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</si>
  <si>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</si>
  <si>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</si>
  <si>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</si>
  <si>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</si>
  <si>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</si>
  <si>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</si>
  <si>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</si>
  <si>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</si>
  <si>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</si>
  <si>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</si>
  <si>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</si>
  <si>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</si>
  <si>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</si>
  <si>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</si>
  <si>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</si>
  <si>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</si>
  <si>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</si>
  <si>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</si>
  <si>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</si>
  <si>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</si>
  <si>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</si>
  <si>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</si>
  <si>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</si>
  <si>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</si>
  <si>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</si>
  <si>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</si>
  <si>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</si>
  <si>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</si>
  <si>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</si>
  <si>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</si>
  <si>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</si>
  <si>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</si>
  <si>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</si>
  <si>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</si>
  <si>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</si>
  <si>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</si>
  <si>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</si>
  <si>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</si>
  <si>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</si>
  <si>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</si>
  <si>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</si>
  <si>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</si>
  <si>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</si>
  <si>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</si>
  <si>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</si>
  <si>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</si>
  <si>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</si>
  <si>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</si>
  <si>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</si>
  <si>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</si>
  <si>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</si>
  <si>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</si>
  <si>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</si>
  <si>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</si>
  <si>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</si>
  <si>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</si>
  <si>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</si>
  <si>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</si>
  <si>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</si>
  <si>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</si>
  <si>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</si>
  <si>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 xml:space="preserve">Hermosa Village Phase III Housing Partners, L.P. </t>
  </si>
  <si>
    <t xml:space="preserve">Hermosa Village Phase III </t>
  </si>
  <si>
    <t xml:space="preserve">Anaheim </t>
  </si>
  <si>
    <t>CityManager@anaheim.net</t>
  </si>
  <si>
    <t>1217 Lynne Avenue; 1309 Lynne Avenue; 1329 Lynne Avenue; 1513 Hampstead Streeet; 1525 Hampstead Street; 1543 Hampstead Street; 1614 Hampstead Street; 1619 Hampstead Street; 1620 Hampstead Street; 1630 Hampstead Street; 1624 Calle del Sol; 1630 Calle del Sol; 1607 Calle Del Mar; 1613 Calle del Mar; 1220 Cerritos Avenue; 1500 Ninth Street</t>
  </si>
  <si>
    <t>129-331-16; 129-331-12; 129-341-05; 129-343-03; 129-343-05; 129-343-08; 129-342-13; 129-343-12; 129-342-12; 129-342-10; 129-332-14; 129-332-13; 129-342-04; 129-342-05; 129-331-04; 129-343-31</t>
  </si>
  <si>
    <t>40%/60%</t>
  </si>
  <si>
    <t>18201 Von Karman Avenue, Suite 900</t>
  </si>
  <si>
    <t>Irvine</t>
  </si>
  <si>
    <t>CA</t>
  </si>
  <si>
    <t>Frank Cardone</t>
  </si>
  <si>
    <t>(949) 660-7272</t>
  </si>
  <si>
    <t>(949)660-7273</t>
  </si>
  <si>
    <t>fcardone@related.com</t>
  </si>
  <si>
    <t>The Related Companies of California</t>
  </si>
  <si>
    <t>Related/Hermosa Village Phase III Development Co., LLC</t>
  </si>
  <si>
    <t>(949) 660-7273</t>
  </si>
  <si>
    <t>Administrative GP</t>
  </si>
  <si>
    <t>National Community Renaissance of California</t>
  </si>
  <si>
    <t>Managing GP</t>
  </si>
  <si>
    <t>The Related Companies of California, LLC</t>
  </si>
  <si>
    <t xml:space="preserve">18201 Von Karman Avenue, Suite 900 </t>
  </si>
  <si>
    <t xml:space="preserve">Liane Takano </t>
  </si>
  <si>
    <t>Ltakano@related.com</t>
  </si>
  <si>
    <t>Executive Vice President</t>
  </si>
  <si>
    <t>Related Irvine Development Company, LLC</t>
  </si>
  <si>
    <t>Irvine, CA 92612</t>
  </si>
  <si>
    <t>BSB Design, Inc.</t>
  </si>
  <si>
    <t>Bocarsly, Emden, Cowan, Esmail &amp; Arndt, LLP</t>
  </si>
  <si>
    <t>633 West Fifth Street, Suite 5880</t>
  </si>
  <si>
    <t>Los Angeles, CA, 90071</t>
  </si>
  <si>
    <t>Nicole Deddens</t>
  </si>
  <si>
    <t>(213) 239-8029</t>
  </si>
  <si>
    <t>(213) 559-0765</t>
  </si>
  <si>
    <t>ndeddens@bocarsly.com</t>
  </si>
  <si>
    <t>Portrait Construction, Inc.</t>
  </si>
  <si>
    <t>265 North Joy Street, Suite 200</t>
  </si>
  <si>
    <t>Corona, CA  92879</t>
  </si>
  <si>
    <t>Los Angeles, CA 90071</t>
  </si>
  <si>
    <t>Eugene Cowan</t>
  </si>
  <si>
    <t>ecowan@bocarsly.com</t>
  </si>
  <si>
    <t>Dauby, O'Connor &amp; Zaleski, LLC</t>
  </si>
  <si>
    <t>501 Congressional Boulevard</t>
  </si>
  <si>
    <t>Carmel, IN 46032</t>
  </si>
  <si>
    <t>Greg A. Wasiak</t>
  </si>
  <si>
    <t>gwasiak@doz.net</t>
  </si>
  <si>
    <t>RA Management, LLC</t>
  </si>
  <si>
    <t>Lori Horn</t>
  </si>
  <si>
    <t>lhorn@related.com</t>
  </si>
  <si>
    <t>RM-4 Multi-Family Residential</t>
  </si>
  <si>
    <t>RM-4 Multi-Family Residential (Up to 36 units/acre)</t>
  </si>
  <si>
    <t>40 ft. max</t>
  </si>
  <si>
    <t xml:space="preserve">Existing project, required parking grandfathered in. </t>
  </si>
  <si>
    <t>Existing Replacement Reserves</t>
  </si>
  <si>
    <t>Deferred Operating Reserve</t>
  </si>
  <si>
    <t>Deferred TCAC Monitoring Fee</t>
  </si>
  <si>
    <t>NOI During Construction</t>
  </si>
  <si>
    <t>Low &amp; Moderate Income Housing Asset Funds</t>
  </si>
  <si>
    <t>Other: (Demolition)</t>
  </si>
  <si>
    <t>Other: (Insurance)</t>
  </si>
  <si>
    <t>Other: (Property Taxes)</t>
  </si>
  <si>
    <t>Fixed</t>
  </si>
  <si>
    <t>Variable</t>
  </si>
  <si>
    <t>Other: (Permanent Loan Fees)</t>
  </si>
  <si>
    <t>U.S. Bancorp Community Development Corporation - Tax Credit Equity</t>
  </si>
  <si>
    <t>General Partner Equity</t>
  </si>
  <si>
    <t>U.S. Bank National Association - Permanent Loan</t>
  </si>
  <si>
    <t>City of Anaheim - Ground Lease Extension Note</t>
  </si>
  <si>
    <t>U.S. Bank National Association - Tax-Exempt Construction Loan</t>
  </si>
  <si>
    <t>U.S. Bank National Association - Taxable Construction Loan</t>
  </si>
  <si>
    <t xml:space="preserve">City of Anaheim </t>
  </si>
  <si>
    <t>James Vanderpool</t>
  </si>
  <si>
    <t>200 S. Anaheim Boulevard, Suite 733</t>
  </si>
  <si>
    <t>(714) 765-5162</t>
  </si>
  <si>
    <t>Liane Takano</t>
  </si>
  <si>
    <t>9th</t>
  </si>
  <si>
    <t>September</t>
  </si>
  <si>
    <t>Authorized Representative</t>
  </si>
  <si>
    <t>Residential apartment</t>
  </si>
  <si>
    <t>9692 Haven Avenue Suite 100</t>
  </si>
  <si>
    <t>Rancho Cucamonga</t>
  </si>
  <si>
    <t xml:space="preserve">970 W. 190th Street Suite 250 </t>
  </si>
  <si>
    <t>Torrance, CA 90502</t>
  </si>
  <si>
    <t xml:space="preserve">Jamie Stewart </t>
  </si>
  <si>
    <t>(310) 283-0026</t>
  </si>
  <si>
    <t xml:space="preserve">jstewart@BSBDesign.com </t>
  </si>
  <si>
    <t xml:space="preserve">Mary Venable </t>
  </si>
  <si>
    <t xml:space="preserve">Bureau Veritas </t>
  </si>
  <si>
    <t>(702) 401-6126</t>
  </si>
  <si>
    <t xml:space="preserve">mary.venable@bureauveritas.com </t>
  </si>
  <si>
    <t>3100 W. Charleston Blvd Suite 210</t>
  </si>
  <si>
    <t>Las Vegas, NV 89102</t>
  </si>
  <si>
    <t xml:space="preserve">Laurin Associates </t>
  </si>
  <si>
    <t>1501 Sports Drive, Suite A</t>
  </si>
  <si>
    <t>Sacramento, CA 95834</t>
  </si>
  <si>
    <t>Stefanie Williams</t>
  </si>
  <si>
    <t>(916) 372-6100</t>
  </si>
  <si>
    <t>(916) 419-6108</t>
  </si>
  <si>
    <t xml:space="preserve">swilliams@laurinassociates.com </t>
  </si>
  <si>
    <t>Walnut Creek, CA 94596</t>
  </si>
  <si>
    <t xml:space="preserve">Joshua Evju </t>
  </si>
  <si>
    <t xml:space="preserve">Anaheim Revitalization III Partners, L.P. &amp; Anaheim Revitalization IV Partners, L.P. </t>
  </si>
  <si>
    <t>President</t>
  </si>
  <si>
    <t>18201 Von Karman Ave Suite 900 Irvine, CA 92612</t>
  </si>
  <si>
    <t xml:space="preserve">Frank Cardone </t>
  </si>
  <si>
    <t>One or Two Story Garden</t>
  </si>
  <si>
    <t xml:space="preserve">Partner Energy </t>
  </si>
  <si>
    <t xml:space="preserve">680 Knox Street, Suite 150 </t>
  </si>
  <si>
    <t>Los Angeles, CA 90502</t>
  </si>
  <si>
    <t>Kyle Brumfitt</t>
  </si>
  <si>
    <t>(310) 585-4230</t>
  </si>
  <si>
    <t>(310) 862-2399</t>
  </si>
  <si>
    <t xml:space="preserve">kbrumfitt@ptrenergy.com </t>
  </si>
  <si>
    <t xml:space="preserve">U.S. Bancorp Community Development Corporation  </t>
  </si>
  <si>
    <t xml:space="preserve">950 17th Street, 3rd Floor </t>
  </si>
  <si>
    <t>Denver, CO 80202</t>
  </si>
  <si>
    <t>Sebastian Glowacki</t>
  </si>
  <si>
    <t>(303) 585-4230</t>
  </si>
  <si>
    <t>(303) 585-4446</t>
  </si>
  <si>
    <t xml:space="preserve">sebastian.glowacki@usbank.com </t>
  </si>
  <si>
    <t>Anaheim Housing Authority - Existing Debt</t>
  </si>
  <si>
    <t xml:space="preserve">Anaheim Housing Authority - Ground Lease Option </t>
  </si>
  <si>
    <t xml:space="preserve">Sebastian Glowacki </t>
  </si>
  <si>
    <t xml:space="preserve">Tax Credit Equity </t>
  </si>
  <si>
    <t>200 Pringle Ave, Suite 200</t>
  </si>
  <si>
    <t>(916) 498-3457</t>
  </si>
  <si>
    <t xml:space="preserve">Tax-Exempt Construction Loan </t>
  </si>
  <si>
    <t>Walnute Creek, CA 94596</t>
  </si>
  <si>
    <t>Joshua Evju</t>
  </si>
  <si>
    <t xml:space="preserve">Taxable Construction Loan </t>
  </si>
  <si>
    <t xml:space="preserve">201 S Anaheim Blvd Suite 201 </t>
  </si>
  <si>
    <t>Anaheim, CA 92805</t>
  </si>
  <si>
    <t xml:space="preserve">Mika Takayasu </t>
  </si>
  <si>
    <t>(714) 765-4392</t>
  </si>
  <si>
    <t xml:space="preserve">Residual Receipts Loan </t>
  </si>
  <si>
    <t xml:space="preserve">Permanent Loan </t>
  </si>
  <si>
    <t>18201 Von Karman Ave, Suite 900</t>
  </si>
  <si>
    <t xml:space="preserve">Irvine, CA 92614 </t>
  </si>
  <si>
    <t xml:space="preserve">GP Equity </t>
  </si>
  <si>
    <t>Existing Replacement Reserve</t>
  </si>
  <si>
    <t xml:space="preserve">Net Operating Income </t>
  </si>
  <si>
    <t xml:space="preserve">Deferred Operating Reserve </t>
  </si>
  <si>
    <t xml:space="preserve">Ground Lease Option </t>
  </si>
  <si>
    <t xml:space="preserve">Existing Replacement Reserve </t>
  </si>
  <si>
    <t xml:space="preserve">Deferred Developer Fee </t>
  </si>
  <si>
    <t>Trash/Sewer/Street</t>
  </si>
  <si>
    <t>Protection Fee</t>
  </si>
  <si>
    <t>Bond Issuer Fee:</t>
  </si>
  <si>
    <t xml:space="preserve">(Other) </t>
  </si>
  <si>
    <t xml:space="preserve">(General Administrative) </t>
  </si>
  <si>
    <t>Fire/Alarm Systems, Access/Alarms, Janitorial Supplies, Cable TV, Miscellaneous Operating Expenses</t>
  </si>
  <si>
    <t>Temporary Employees, Payroll Taxes, Employee Benefits, Janitorial, Pool</t>
  </si>
  <si>
    <t>Above residual receipts line for cash flow</t>
  </si>
  <si>
    <t>Ground Lease Payments</t>
  </si>
  <si>
    <t>California Municipal Finance Authority</t>
  </si>
  <si>
    <t>Anaheim Housing Authority</t>
  </si>
  <si>
    <t>Tax-Exempt Financing (Recycled Private Activity Bonds)</t>
  </si>
  <si>
    <t>City of Anaheim - Residual Receipts Loan (Assumed Debt)</t>
  </si>
  <si>
    <t>City of Anaheim - Residual Receipts Loan (Assumed Debt) and Ground Lease Extension Note Accrued Interest</t>
  </si>
  <si>
    <t>Andy Nogal</t>
  </si>
  <si>
    <t>Michael Ruane</t>
  </si>
  <si>
    <t>(909) 204-3451</t>
  </si>
  <si>
    <t>mruane@nationalcore.org</t>
  </si>
  <si>
    <t>National Community Renaissance Corporation</t>
  </si>
  <si>
    <t>2111 Palomar Airport Rd, Suite 320</t>
  </si>
  <si>
    <t>Carlsbad, CA 92011</t>
  </si>
  <si>
    <t>Ben Barker</t>
  </si>
  <si>
    <t>(760) 930-1266</t>
  </si>
  <si>
    <t>bbarker@cmfa-ca.com</t>
  </si>
  <si>
    <t>Third party debt encumbering the seller's property</t>
  </si>
  <si>
    <t>55 Years</t>
  </si>
  <si>
    <t>Residual Receipts</t>
  </si>
  <si>
    <t>NONE</t>
  </si>
  <si>
    <t>Provided</t>
  </si>
  <si>
    <t>Not Applicable</t>
  </si>
  <si>
    <t>Brandon Fuentes</t>
  </si>
  <si>
    <t>bfuentes@portraitconstructioninc.com</t>
  </si>
  <si>
    <t>U.S. Bank National Association - Tax-Exempt Construction Loan (Recycled Bonds)</t>
  </si>
  <si>
    <t>Tax-Exempt Construction Loan (Recycled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</si>
</sst>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8.v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1164</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50" t="s">
        <v>910</v>
      </c>
      <c r="B1" s="2650"/>
      <c r="C1" s="2650"/>
      <c r="D1" s="2650"/>
      <c r="E1" s="2650"/>
      <c r="F1" s="2650"/>
      <c r="G1" s="2650"/>
      <c r="H1" s="2650"/>
      <c r="I1" s="2650"/>
      <c r="J1" s="2650"/>
      <c r="K1" s="204"/>
      <c r="L1" s="204"/>
    </row>
    <row r="2" spans="1:12">
      <c r="A2" s="210"/>
      <c r="B2" s="210"/>
      <c r="C2" s="210"/>
      <c r="D2" s="210"/>
      <c r="E2" s="210"/>
      <c r="F2" s="210"/>
      <c r="G2" s="210"/>
      <c r="H2" s="210"/>
      <c r="I2" s="210"/>
      <c r="J2" s="210"/>
    </row>
    <row r="3" spans="1:12" ht="100.5">
      <c r="A3" s="426" t="s">
        <v>911</v>
      </c>
      <c r="B3" s="426" t="s">
        <v>2253</v>
      </c>
      <c r="C3" s="426" t="s">
        <v>2254</v>
      </c>
      <c r="D3" s="1146" t="s">
        <v>2255</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895</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889</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1212</v>
      </c>
      <c r="E6" s="429"/>
      <c r="F6" s="1083"/>
      <c r="G6" s="428">
        <f t="shared" si="2"/>
        <v>0</v>
      </c>
      <c r="H6" s="429"/>
      <c r="I6" s="428" t="str">
        <f t="shared" si="0"/>
        <v/>
      </c>
      <c r="J6" s="428" t="str">
        <f t="shared" si="1"/>
        <v/>
      </c>
      <c r="K6" s="204"/>
      <c r="L6" s="305"/>
    </row>
    <row r="7" spans="1:12">
      <c r="A7" s="428" t="str">
        <f>Application!B721</f>
        <v>1 Bedroom</v>
      </c>
      <c r="B7" s="1082">
        <f>Application!G721</f>
        <v>1</v>
      </c>
      <c r="C7" s="1162"/>
      <c r="D7" s="428">
        <f>Application!O721</f>
        <v>1206</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1206</v>
      </c>
      <c r="E8" s="429"/>
      <c r="F8" s="1083"/>
      <c r="G8" s="428">
        <f t="shared" si="2"/>
        <v>0</v>
      </c>
      <c r="H8" s="429"/>
      <c r="I8" s="428" t="str">
        <f t="shared" si="0"/>
        <v/>
      </c>
      <c r="J8" s="428" t="str">
        <f t="shared" si="1"/>
        <v/>
      </c>
      <c r="K8" s="204"/>
      <c r="L8" s="305"/>
    </row>
    <row r="9" spans="1:12">
      <c r="A9" s="428" t="str">
        <f>Application!B723</f>
        <v>1 Bedroom</v>
      </c>
      <c r="B9" s="1082">
        <f>Application!G723</f>
        <v>3</v>
      </c>
      <c r="C9" s="1162"/>
      <c r="D9" s="428">
        <f>Application!O723</f>
        <v>1529</v>
      </c>
      <c r="E9" s="429"/>
      <c r="F9" s="1083"/>
      <c r="G9" s="428">
        <f t="shared" si="2"/>
        <v>0</v>
      </c>
      <c r="H9" s="429"/>
      <c r="I9" s="428" t="str">
        <f t="shared" si="0"/>
        <v/>
      </c>
      <c r="J9" s="428" t="str">
        <f t="shared" si="1"/>
        <v/>
      </c>
      <c r="K9" s="204"/>
      <c r="L9" s="305"/>
    </row>
    <row r="10" spans="1:12">
      <c r="A10" s="428" t="str">
        <f>Application!B724</f>
        <v>1 Bedroom</v>
      </c>
      <c r="B10" s="1082">
        <f>Application!G724</f>
        <v>8</v>
      </c>
      <c r="C10" s="1162"/>
      <c r="D10" s="428">
        <f>Application!O724</f>
        <v>1523</v>
      </c>
      <c r="E10" s="429"/>
      <c r="F10" s="1083"/>
      <c r="G10" s="428">
        <f t="shared" si="2"/>
        <v>0</v>
      </c>
      <c r="H10" s="429"/>
      <c r="I10" s="428" t="str">
        <f t="shared" si="0"/>
        <v/>
      </c>
      <c r="J10" s="428" t="str">
        <f t="shared" si="1"/>
        <v/>
      </c>
      <c r="K10" s="204"/>
      <c r="L10" s="305"/>
    </row>
    <row r="11" spans="1:12">
      <c r="A11" s="428" t="str">
        <f>Application!B725</f>
        <v>1 Bedroom</v>
      </c>
      <c r="B11" s="1082">
        <f>Application!G725</f>
        <v>4</v>
      </c>
      <c r="C11" s="1162"/>
      <c r="D11" s="428">
        <f>Application!O725</f>
        <v>1841</v>
      </c>
      <c r="E11" s="429"/>
      <c r="F11" s="1083"/>
      <c r="G11" s="428">
        <f t="shared" si="2"/>
        <v>0</v>
      </c>
      <c r="H11" s="429"/>
      <c r="I11" s="428" t="str">
        <f t="shared" si="0"/>
        <v/>
      </c>
      <c r="J11" s="428" t="str">
        <f t="shared" si="1"/>
        <v/>
      </c>
      <c r="K11" s="204"/>
      <c r="L11" s="305"/>
    </row>
    <row r="12" spans="1:12">
      <c r="A12" s="428" t="str">
        <f>Application!B726</f>
        <v>2 Bedrooms</v>
      </c>
      <c r="B12" s="1082">
        <f>Application!G726</f>
        <v>4</v>
      </c>
      <c r="C12" s="1162"/>
      <c r="D12" s="428">
        <f>Application!O726</f>
        <v>1072</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1069</v>
      </c>
      <c r="E13" s="429"/>
      <c r="F13" s="1083"/>
      <c r="G13" s="428">
        <f t="shared" si="2"/>
        <v>0</v>
      </c>
      <c r="H13" s="429"/>
      <c r="I13" s="428" t="str">
        <f t="shared" si="0"/>
        <v/>
      </c>
      <c r="J13" s="428" t="str">
        <f t="shared" si="1"/>
        <v/>
      </c>
      <c r="K13" s="204"/>
      <c r="L13" s="305"/>
    </row>
    <row r="14" spans="1:12">
      <c r="A14" s="428" t="str">
        <f>Application!B728</f>
        <v>2 Bedrooms</v>
      </c>
      <c r="B14" s="1082">
        <f>Application!G728</f>
        <v>1</v>
      </c>
      <c r="C14" s="1162"/>
      <c r="D14" s="428">
        <f>Application!O728</f>
        <v>1450</v>
      </c>
      <c r="E14" s="429"/>
      <c r="F14" s="1083"/>
      <c r="G14" s="428">
        <f t="shared" si="2"/>
        <v>0</v>
      </c>
      <c r="H14" s="429"/>
      <c r="I14" s="428" t="str">
        <f t="shared" si="0"/>
        <v/>
      </c>
      <c r="J14" s="428" t="str">
        <f t="shared" si="1"/>
        <v/>
      </c>
      <c r="K14" s="204"/>
      <c r="L14" s="305"/>
    </row>
    <row r="15" spans="1:12">
      <c r="A15" s="428" t="str">
        <f>Application!B729</f>
        <v>2 Bedrooms</v>
      </c>
      <c r="B15" s="1082">
        <f>Application!G729</f>
        <v>1</v>
      </c>
      <c r="C15" s="1162"/>
      <c r="D15" s="428">
        <f>Application!O729</f>
        <v>1450</v>
      </c>
      <c r="E15" s="429"/>
      <c r="F15" s="1083"/>
      <c r="G15" s="428">
        <f t="shared" si="2"/>
        <v>0</v>
      </c>
      <c r="H15" s="429"/>
      <c r="I15" s="428" t="str">
        <f t="shared" si="0"/>
        <v/>
      </c>
      <c r="J15" s="428" t="str">
        <f t="shared" si="1"/>
        <v/>
      </c>
      <c r="K15" s="204"/>
      <c r="L15" s="305"/>
    </row>
    <row r="16" spans="1:12">
      <c r="A16" s="428" t="str">
        <f>Application!B730</f>
        <v>2 Bedrooms</v>
      </c>
      <c r="B16" s="1082">
        <f>Application!G730</f>
        <v>1</v>
      </c>
      <c r="C16" s="1162"/>
      <c r="D16" s="428">
        <f>Application!O730</f>
        <v>1450</v>
      </c>
      <c r="E16" s="429"/>
      <c r="F16" s="1083"/>
      <c r="G16" s="428">
        <f t="shared" si="2"/>
        <v>0</v>
      </c>
      <c r="H16" s="429"/>
      <c r="I16" s="428" t="str">
        <f t="shared" si="0"/>
        <v/>
      </c>
      <c r="J16" s="428" t="str">
        <f t="shared" si="1"/>
        <v/>
      </c>
      <c r="K16" s="204"/>
      <c r="L16" s="305"/>
    </row>
    <row r="17" spans="1:12">
      <c r="A17" s="428" t="str">
        <f>Application!B731</f>
        <v>2 Bedrooms</v>
      </c>
      <c r="B17" s="1082">
        <f>Application!G731</f>
        <v>1</v>
      </c>
      <c r="C17" s="1162"/>
      <c r="D17" s="428">
        <f>Application!O731</f>
        <v>1450</v>
      </c>
      <c r="E17" s="429"/>
      <c r="F17" s="1083"/>
      <c r="G17" s="428">
        <f t="shared" si="2"/>
        <v>0</v>
      </c>
      <c r="H17" s="429"/>
      <c r="I17" s="428" t="str">
        <f t="shared" si="0"/>
        <v/>
      </c>
      <c r="J17" s="428" t="str">
        <f t="shared" si="1"/>
        <v/>
      </c>
      <c r="K17" s="204"/>
      <c r="L17" s="305"/>
    </row>
    <row r="18" spans="1:12">
      <c r="A18" s="428" t="str">
        <f>Application!B732</f>
        <v>2 Bedrooms</v>
      </c>
      <c r="B18" s="1082">
        <f>Application!G732</f>
        <v>1</v>
      </c>
      <c r="C18" s="1162"/>
      <c r="D18" s="428">
        <f>Application!O732</f>
        <v>1851</v>
      </c>
      <c r="E18" s="429"/>
      <c r="F18" s="1083"/>
      <c r="G18" s="428">
        <f t="shared" si="2"/>
        <v>0</v>
      </c>
      <c r="H18" s="429"/>
      <c r="I18" s="428" t="str">
        <f t="shared" si="0"/>
        <v/>
      </c>
      <c r="J18" s="428" t="str">
        <f t="shared" si="1"/>
        <v/>
      </c>
      <c r="K18" s="204"/>
      <c r="L18" s="305"/>
    </row>
    <row r="19" spans="1:12">
      <c r="A19" s="428" t="str">
        <f>Application!B733</f>
        <v>2 Bedrooms</v>
      </c>
      <c r="B19" s="1082">
        <f>Application!G733</f>
        <v>4</v>
      </c>
      <c r="C19" s="1162"/>
      <c r="D19" s="428">
        <f>Application!O733</f>
        <v>1851</v>
      </c>
      <c r="E19" s="429"/>
      <c r="F19" s="1083"/>
      <c r="G19" s="428">
        <f t="shared" si="2"/>
        <v>0</v>
      </c>
      <c r="H19" s="429"/>
      <c r="I19" s="428" t="str">
        <f t="shared" si="0"/>
        <v/>
      </c>
      <c r="J19" s="428" t="str">
        <f t="shared" si="1"/>
        <v/>
      </c>
      <c r="K19" s="204"/>
      <c r="L19" s="305"/>
    </row>
    <row r="20" spans="1:12">
      <c r="A20" s="428" t="str">
        <f>Application!B734</f>
        <v>2 Bedrooms</v>
      </c>
      <c r="B20" s="1082">
        <f>Application!G734</f>
        <v>4</v>
      </c>
      <c r="C20" s="1162"/>
      <c r="D20" s="428">
        <f>Application!O734</f>
        <v>1833</v>
      </c>
      <c r="E20" s="429"/>
      <c r="F20" s="1083"/>
      <c r="G20" s="428">
        <f t="shared" si="2"/>
        <v>0</v>
      </c>
      <c r="H20" s="429"/>
      <c r="I20" s="428" t="str">
        <f t="shared" si="0"/>
        <v/>
      </c>
      <c r="J20" s="428" t="str">
        <f t="shared" si="1"/>
        <v/>
      </c>
      <c r="K20" s="204"/>
      <c r="L20" s="305"/>
    </row>
    <row r="21" spans="1:12">
      <c r="A21" s="428" t="str">
        <f>Application!B735</f>
        <v>2 Bedrooms</v>
      </c>
      <c r="B21" s="1082">
        <f>Application!G735</f>
        <v>11</v>
      </c>
      <c r="C21" s="1162"/>
      <c r="D21" s="428">
        <f>Application!O735</f>
        <v>1851</v>
      </c>
      <c r="E21" s="429"/>
      <c r="F21" s="1083"/>
      <c r="G21" s="428">
        <f t="shared" si="2"/>
        <v>0</v>
      </c>
      <c r="H21" s="429"/>
      <c r="I21" s="428" t="str">
        <f t="shared" si="0"/>
        <v/>
      </c>
      <c r="J21" s="428" t="str">
        <f t="shared" si="1"/>
        <v/>
      </c>
      <c r="K21" s="204"/>
      <c r="L21" s="305"/>
    </row>
    <row r="22" spans="1:12">
      <c r="A22" s="428" t="str">
        <f>Application!B736</f>
        <v>2 Bedrooms</v>
      </c>
      <c r="B22" s="1082">
        <f>Application!G736</f>
        <v>8</v>
      </c>
      <c r="C22" s="1162"/>
      <c r="D22" s="428">
        <f>Application!O736</f>
        <v>1830</v>
      </c>
      <c r="E22" s="429"/>
      <c r="F22" s="1083"/>
      <c r="G22" s="428">
        <f t="shared" si="2"/>
        <v>0</v>
      </c>
      <c r="H22" s="429"/>
      <c r="I22" s="428" t="str">
        <f t="shared" si="0"/>
        <v/>
      </c>
      <c r="J22" s="428" t="str">
        <f t="shared" si="1"/>
        <v/>
      </c>
      <c r="K22" s="204"/>
      <c r="L22" s="305"/>
    </row>
    <row r="23" spans="1:12">
      <c r="A23" s="428" t="str">
        <f>Application!B737</f>
        <v>2 Bedrooms</v>
      </c>
      <c r="B23" s="1082">
        <f>Application!G737</f>
        <v>4</v>
      </c>
      <c r="C23" s="1162"/>
      <c r="D23" s="428">
        <f>Application!O737</f>
        <v>1851</v>
      </c>
      <c r="E23" s="429"/>
      <c r="F23" s="1083"/>
      <c r="G23" s="428">
        <f t="shared" si="2"/>
        <v>0</v>
      </c>
      <c r="H23" s="429"/>
      <c r="I23" s="428" t="str">
        <f t="shared" si="0"/>
        <v/>
      </c>
      <c r="J23" s="428" t="str">
        <f t="shared" si="1"/>
        <v/>
      </c>
      <c r="K23" s="204"/>
      <c r="L23" s="305"/>
    </row>
    <row r="24" spans="1:12">
      <c r="A24" s="428" t="str">
        <f>Application!B738</f>
        <v>2 Bedrooms</v>
      </c>
      <c r="B24" s="1082">
        <f>Application!G738</f>
        <v>2</v>
      </c>
      <c r="C24" s="1162"/>
      <c r="D24" s="428">
        <f>Application!O738</f>
        <v>2232</v>
      </c>
      <c r="E24" s="429"/>
      <c r="F24" s="1083"/>
      <c r="G24" s="428">
        <f t="shared" si="2"/>
        <v>0</v>
      </c>
      <c r="H24" s="429"/>
      <c r="I24" s="428" t="str">
        <f t="shared" si="0"/>
        <v/>
      </c>
      <c r="J24" s="428" t="str">
        <f t="shared" si="1"/>
        <v/>
      </c>
      <c r="K24" s="204"/>
      <c r="L24" s="305"/>
    </row>
    <row r="25" spans="1:12">
      <c r="A25" s="428" t="str">
        <f>Application!B739</f>
        <v>2 Bedrooms</v>
      </c>
      <c r="B25" s="1082">
        <f>Application!G739</f>
        <v>8</v>
      </c>
      <c r="C25" s="1162"/>
      <c r="D25" s="428">
        <f>Application!O739</f>
        <v>2211</v>
      </c>
      <c r="E25" s="429"/>
      <c r="F25" s="1083"/>
      <c r="G25" s="428">
        <f t="shared" si="2"/>
        <v>0</v>
      </c>
      <c r="H25" s="429"/>
      <c r="I25" s="428" t="str">
        <f t="shared" si="0"/>
        <v/>
      </c>
      <c r="J25" s="428" t="str">
        <f t="shared" si="1"/>
        <v/>
      </c>
      <c r="K25" s="204"/>
      <c r="L25" s="305"/>
    </row>
    <row r="26" spans="1:12">
      <c r="A26" s="428" t="str">
        <f>Application!B740</f>
        <v>2 Bedrooms</v>
      </c>
      <c r="B26" s="1082">
        <f>Application!G740</f>
        <v>1</v>
      </c>
      <c r="C26" s="1162"/>
      <c r="D26" s="428">
        <f>Application!O740</f>
        <v>2214</v>
      </c>
      <c r="E26" s="429"/>
      <c r="F26" s="1083"/>
      <c r="G26" s="428">
        <f t="shared" si="2"/>
        <v>0</v>
      </c>
      <c r="H26" s="429"/>
      <c r="I26" s="428" t="str">
        <f t="shared" si="0"/>
        <v/>
      </c>
      <c r="J26" s="428" t="str">
        <f t="shared" si="1"/>
        <v/>
      </c>
      <c r="K26" s="204"/>
      <c r="L26" s="305"/>
    </row>
    <row r="27" spans="1:12">
      <c r="A27" s="428" t="str">
        <f>Application!B741</f>
        <v>3 Bedrooms</v>
      </c>
      <c r="B27" s="1082">
        <f>Application!G741</f>
        <v>1</v>
      </c>
      <c r="C27" s="1162"/>
      <c r="D27" s="428">
        <f>Application!O741</f>
        <v>1268</v>
      </c>
      <c r="E27" s="429"/>
      <c r="F27" s="1083"/>
      <c r="G27" s="428">
        <f t="shared" si="2"/>
        <v>0</v>
      </c>
      <c r="H27" s="429"/>
      <c r="I27" s="428" t="str">
        <f t="shared" si="0"/>
        <v/>
      </c>
      <c r="J27" s="428" t="str">
        <f t="shared" si="1"/>
        <v/>
      </c>
      <c r="K27" s="204"/>
      <c r="L27" s="305"/>
    </row>
    <row r="28" spans="1:12">
      <c r="A28" s="428" t="str">
        <f>Application!B742</f>
        <v>3 Bedrooms</v>
      </c>
      <c r="B28" s="1082">
        <f>Application!G742</f>
        <v>2</v>
      </c>
      <c r="C28" s="1162"/>
      <c r="D28" s="428">
        <f>Application!O742</f>
        <v>1245</v>
      </c>
      <c r="E28" s="429"/>
      <c r="F28" s="1083"/>
      <c r="G28" s="428">
        <f t="shared" si="2"/>
        <v>0</v>
      </c>
      <c r="H28" s="429"/>
      <c r="I28" s="428" t="str">
        <f t="shared" ref="I28:I37" si="3">IF(F28=0,"",(F28-D28))</f>
        <v/>
      </c>
      <c r="J28" s="428" t="str">
        <f t="shared" ref="J28:J37" si="4">IF(F28=0,"",(I28*B28))</f>
        <v/>
      </c>
      <c r="K28" s="204"/>
      <c r="L28" s="305"/>
    </row>
    <row r="29" spans="1:12">
      <c r="A29" s="428" t="str">
        <f>Application!B743</f>
        <v>3 Bedrooms</v>
      </c>
      <c r="B29" s="1082">
        <f>Application!G743</f>
        <v>2</v>
      </c>
      <c r="C29" s="1162"/>
      <c r="D29" s="428">
        <f>Application!O743</f>
        <v>1689</v>
      </c>
      <c r="E29" s="429"/>
      <c r="F29" s="1083"/>
      <c r="G29" s="428">
        <f t="shared" si="2"/>
        <v>0</v>
      </c>
      <c r="H29" s="429"/>
      <c r="I29" s="428" t="str">
        <f t="shared" si="3"/>
        <v/>
      </c>
      <c r="J29" s="428" t="str">
        <f t="shared" si="4"/>
        <v/>
      </c>
      <c r="K29" s="204"/>
      <c r="L29" s="305"/>
    </row>
    <row r="30" spans="1:12">
      <c r="A30" s="428" t="str">
        <f>Application!B744</f>
        <v>3 Bedrooms</v>
      </c>
      <c r="B30" s="1082">
        <f>Application!G744</f>
        <v>1</v>
      </c>
      <c r="C30" s="1162"/>
      <c r="D30" s="428">
        <f>Application!O744</f>
        <v>2129</v>
      </c>
      <c r="E30" s="429"/>
      <c r="F30" s="1083"/>
      <c r="G30" s="428">
        <f t="shared" si="2"/>
        <v>0</v>
      </c>
      <c r="H30" s="429"/>
      <c r="I30" s="428" t="str">
        <f t="shared" si="3"/>
        <v/>
      </c>
      <c r="J30" s="428" t="str">
        <f t="shared" si="4"/>
        <v/>
      </c>
      <c r="K30" s="204"/>
      <c r="L30" s="305"/>
    </row>
    <row r="31" spans="1:12">
      <c r="A31" s="428" t="str">
        <f>Application!B745</f>
        <v>3 Bedrooms</v>
      </c>
      <c r="B31" s="1082">
        <f>Application!G745</f>
        <v>12</v>
      </c>
      <c r="C31" s="1162"/>
      <c r="D31" s="428">
        <f>Application!O745</f>
        <v>2125</v>
      </c>
      <c r="E31" s="429"/>
      <c r="F31" s="1083"/>
      <c r="G31" s="428">
        <f t="shared" si="2"/>
        <v>0</v>
      </c>
      <c r="H31" s="429"/>
      <c r="I31" s="428" t="str">
        <f t="shared" si="3"/>
        <v/>
      </c>
      <c r="J31" s="428" t="str">
        <f t="shared" si="4"/>
        <v/>
      </c>
      <c r="K31" s="204"/>
      <c r="L31" s="305"/>
    </row>
    <row r="32" spans="1:12">
      <c r="A32" s="428" t="str">
        <f>Application!B746</f>
        <v>3 Bedrooms</v>
      </c>
      <c r="B32" s="1082">
        <f>Application!G746</f>
        <v>3</v>
      </c>
      <c r="C32" s="1162"/>
      <c r="D32" s="428">
        <f>Application!O746</f>
        <v>2588</v>
      </c>
      <c r="E32" s="429"/>
      <c r="F32" s="1083"/>
      <c r="G32" s="428">
        <f t="shared" si="2"/>
        <v>0</v>
      </c>
      <c r="H32" s="429"/>
      <c r="I32" s="428" t="str">
        <f t="shared" si="3"/>
        <v/>
      </c>
      <c r="J32" s="428" t="str">
        <f t="shared" si="4"/>
        <v/>
      </c>
      <c r="K32" s="204"/>
      <c r="L32" s="305"/>
    </row>
    <row r="33" spans="1:12">
      <c r="A33" s="428" t="str">
        <f>Application!B747</f>
        <v>3 Bedrooms</v>
      </c>
      <c r="B33" s="1082">
        <f>Application!G747</f>
        <v>3</v>
      </c>
      <c r="C33" s="1162"/>
      <c r="D33" s="428">
        <f>Application!O747</f>
        <v>2569</v>
      </c>
      <c r="E33" s="429"/>
      <c r="F33" s="1083"/>
      <c r="G33" s="428">
        <f t="shared" si="2"/>
        <v>0</v>
      </c>
      <c r="H33" s="429"/>
      <c r="I33" s="428" t="str">
        <f t="shared" si="3"/>
        <v/>
      </c>
      <c r="J33" s="428" t="str">
        <f t="shared" si="4"/>
        <v/>
      </c>
      <c r="K33" s="204"/>
      <c r="L33" s="305"/>
    </row>
    <row r="34" spans="1:12">
      <c r="A34" s="428" t="str">
        <f>Application!B748</f>
        <v>3 Bedrooms</v>
      </c>
      <c r="B34" s="1082">
        <f>Application!G748</f>
        <v>5</v>
      </c>
      <c r="C34" s="1162"/>
      <c r="D34" s="428">
        <f>Application!O748</f>
        <v>2569</v>
      </c>
      <c r="E34" s="429"/>
      <c r="F34" s="1083"/>
      <c r="G34" s="428">
        <f t="shared" si="2"/>
        <v>0</v>
      </c>
      <c r="H34" s="429"/>
      <c r="I34" s="428" t="str">
        <f t="shared" si="3"/>
        <v/>
      </c>
      <c r="J34" s="428" t="str">
        <f t="shared" si="4"/>
        <v/>
      </c>
      <c r="K34" s="204"/>
      <c r="L34" s="305"/>
    </row>
    <row r="35" spans="1:12">
      <c r="A35" s="428" t="str">
        <f>Application!B749</f>
        <v>3 Bedrooms</v>
      </c>
      <c r="B35" s="1082">
        <f>Application!G749</f>
        <v>6</v>
      </c>
      <c r="C35" s="1162"/>
      <c r="D35" s="428">
        <f>Application!O749</f>
        <v>2565</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208123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51" t="s">
        <v>2495</v>
      </c>
      <c r="B43" s="2651"/>
      <c r="C43" s="2651"/>
      <c r="D43" s="2651"/>
      <c r="E43" s="2651"/>
      <c r="F43" s="2651"/>
      <c r="G43" s="2651"/>
      <c r="H43" s="2651"/>
      <c r="I43" s="2651"/>
      <c r="J43" s="2651"/>
    </row>
    <row r="44" spans="1:12">
      <c r="A44" s="2651"/>
      <c r="B44" s="2651"/>
      <c r="C44" s="2651"/>
      <c r="D44" s="2651"/>
      <c r="E44" s="2651"/>
      <c r="F44" s="2651"/>
      <c r="G44" s="2651"/>
      <c r="H44" s="2651"/>
      <c r="I44" s="2651"/>
      <c r="J44" s="2651"/>
    </row>
    <row r="45" spans="1:12">
      <c r="A45" s="2651" t="s">
        <v>2257</v>
      </c>
      <c r="B45" s="2651"/>
      <c r="C45" s="2651"/>
      <c r="D45" s="2651"/>
      <c r="E45" s="2651"/>
      <c r="F45" s="2651"/>
      <c r="G45" s="2651"/>
      <c r="H45" s="2651"/>
      <c r="I45" s="2651"/>
      <c r="J45" s="2651"/>
    </row>
    <row r="46" spans="1:12">
      <c r="A46" s="2651"/>
      <c r="B46" s="2651"/>
      <c r="C46" s="2651"/>
      <c r="D46" s="2651"/>
      <c r="E46" s="2651"/>
      <c r="F46" s="2651"/>
      <c r="G46" s="2651"/>
      <c r="H46" s="2651"/>
      <c r="I46" s="2651"/>
      <c r="J46" s="265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C10" sqref="C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2497476</v>
      </c>
      <c r="G4" s="219">
        <f>E4*$C$4</f>
        <v>2559912.9</v>
      </c>
      <c r="I4" s="219">
        <f>G4*$C$4</f>
        <v>2623910.7224999997</v>
      </c>
      <c r="K4" s="219">
        <f>I4*$C$4</f>
        <v>2689508.4905624995</v>
      </c>
      <c r="M4" s="219">
        <f>K4*$C$4</f>
        <v>2756746.2028265619</v>
      </c>
      <c r="O4" s="219">
        <f>M4*$C$4</f>
        <v>2825664.8578972258</v>
      </c>
      <c r="Q4" s="219">
        <f>O4*$C$4</f>
        <v>2896306.4793446562</v>
      </c>
      <c r="S4" s="219">
        <f>Q4*$C$4</f>
        <v>2968714.1413282724</v>
      </c>
      <c r="U4" s="219">
        <f>S4*$C$4</f>
        <v>3042931.9948614789</v>
      </c>
      <c r="W4" s="219">
        <f>U4*$C$4</f>
        <v>3119005.2947330158</v>
      </c>
      <c r="Y4" s="219">
        <f>W4*$C$4</f>
        <v>3196980.4271013411</v>
      </c>
      <c r="AA4" s="219">
        <f>Y4*$C$4</f>
        <v>3276904.9377788743</v>
      </c>
      <c r="AC4" s="219">
        <f>AA4*$C$4</f>
        <v>3358827.5612233458</v>
      </c>
      <c r="AE4" s="219">
        <f>AC4*$C$4</f>
        <v>3442798.2502539293</v>
      </c>
      <c r="AG4" s="219">
        <f>AE4*$C$4</f>
        <v>3528868.206510277</v>
      </c>
    </row>
    <row r="5" spans="1:34" s="210" customFormat="1" ht="14.25">
      <c r="B5" s="210" t="s">
        <v>839</v>
      </c>
      <c r="C5" s="238">
        <f>IF(Application!$D$211="Special Needs",(((0.1*Application!$T$212)+(0.05*(1-Application!$T$212)))),0.05)</f>
        <v>0.05</v>
      </c>
      <c r="E5" s="221">
        <f>-E4*$C$5</f>
        <v>-124873.8</v>
      </c>
      <c r="F5" s="221"/>
      <c r="G5" s="221">
        <f>-G4*$C$5</f>
        <v>-127995.645</v>
      </c>
      <c r="H5" s="221"/>
      <c r="I5" s="221">
        <f>-I4*$C$5</f>
        <v>-131195.53612499998</v>
      </c>
      <c r="J5" s="221"/>
      <c r="K5" s="221">
        <f>-K4*$C$5</f>
        <v>-134475.42452812498</v>
      </c>
      <c r="L5" s="221"/>
      <c r="M5" s="221">
        <f>-M4*$C$5</f>
        <v>-137837.31014132811</v>
      </c>
      <c r="N5" s="221"/>
      <c r="O5" s="221">
        <f>-O4*$C$5</f>
        <v>-141283.24289486129</v>
      </c>
      <c r="P5" s="221"/>
      <c r="Q5" s="221">
        <f>-Q4*$C$5</f>
        <v>-144815.32396723281</v>
      </c>
      <c r="R5" s="221"/>
      <c r="S5" s="221">
        <f>-S4*$C$5</f>
        <v>-148435.70706641363</v>
      </c>
      <c r="T5" s="221"/>
      <c r="U5" s="221">
        <f>-U4*$C$5</f>
        <v>-152146.59974307395</v>
      </c>
      <c r="V5" s="221"/>
      <c r="W5" s="221">
        <f>-W4*$C$5</f>
        <v>-155950.2647366508</v>
      </c>
      <c r="X5" s="221"/>
      <c r="Y5" s="221">
        <f>-Y4*$C$5</f>
        <v>-159849.02135506706</v>
      </c>
      <c r="Z5" s="221"/>
      <c r="AA5" s="221">
        <f>-AA4*$C$5</f>
        <v>-163845.24688894372</v>
      </c>
      <c r="AB5" s="221"/>
      <c r="AC5" s="221">
        <f>-AC4*$C$5</f>
        <v>-167941.37806116731</v>
      </c>
      <c r="AD5" s="221"/>
      <c r="AE5" s="221">
        <f>-AE4*$C$5</f>
        <v>-172139.91251269646</v>
      </c>
      <c r="AF5" s="221"/>
      <c r="AG5" s="221">
        <f>-AG4*$C$5</f>
        <v>-176443.41032551386</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14918</v>
      </c>
      <c r="F8" s="222"/>
      <c r="G8" s="222">
        <f>E8*$C$8</f>
        <v>15290.949999999999</v>
      </c>
      <c r="H8" s="222"/>
      <c r="I8" s="222">
        <f>G8*$C$8</f>
        <v>15673.223749999997</v>
      </c>
      <c r="J8" s="222"/>
      <c r="K8" s="222">
        <f>I8*$C$8</f>
        <v>16065.054343749996</v>
      </c>
      <c r="L8" s="222"/>
      <c r="M8" s="222">
        <f>K8*$C$8</f>
        <v>16466.680702343743</v>
      </c>
      <c r="N8" s="222"/>
      <c r="O8" s="222">
        <f>M8*$C$8</f>
        <v>16878.347719902336</v>
      </c>
      <c r="P8" s="222"/>
      <c r="Q8" s="222">
        <f>O8*$C$8</f>
        <v>17300.306412899892</v>
      </c>
      <c r="R8" s="222"/>
      <c r="S8" s="222">
        <f>Q8*$C$8</f>
        <v>17732.814073222387</v>
      </c>
      <c r="T8" s="222"/>
      <c r="U8" s="222">
        <f>S8*$C$8</f>
        <v>18176.134425052944</v>
      </c>
      <c r="V8" s="222"/>
      <c r="W8" s="222">
        <f>U8*$C$8</f>
        <v>18630.537785679266</v>
      </c>
      <c r="X8" s="222"/>
      <c r="Y8" s="222">
        <f>W8*$C$8</f>
        <v>19096.301230321245</v>
      </c>
      <c r="Z8" s="222"/>
      <c r="AA8" s="222">
        <f>Y8*$C$8</f>
        <v>19573.708761079273</v>
      </c>
      <c r="AB8" s="222"/>
      <c r="AC8" s="222">
        <f>AA8*$C$8</f>
        <v>20063.051480106253</v>
      </c>
      <c r="AD8" s="222"/>
      <c r="AE8" s="222">
        <f>AC8*$C$8</f>
        <v>20564.627767108908</v>
      </c>
      <c r="AF8" s="222"/>
      <c r="AG8" s="222">
        <f>AE8*$C$8</f>
        <v>21078.743461286631</v>
      </c>
    </row>
    <row r="9" spans="1:34" s="210" customFormat="1" ht="14.25">
      <c r="B9" s="210" t="s">
        <v>839</v>
      </c>
      <c r="C9" s="238">
        <f>IF(Application!$D$211="Special Needs",(((0.1*Application!$T$212)+(0.05*(1-Application!$T$212)))),0.05)</f>
        <v>0.05</v>
      </c>
      <c r="E9" s="221">
        <f>-E8*$C$9</f>
        <v>-745.90000000000009</v>
      </c>
      <c r="F9" s="221"/>
      <c r="G9" s="221">
        <f>-G8*$C$9</f>
        <v>-764.54750000000001</v>
      </c>
      <c r="H9" s="221"/>
      <c r="I9" s="221">
        <f>-I8*$C$9</f>
        <v>-783.66118749999987</v>
      </c>
      <c r="J9" s="221"/>
      <c r="K9" s="221">
        <f>-K8*$C$9</f>
        <v>-803.25271718749991</v>
      </c>
      <c r="L9" s="221"/>
      <c r="M9" s="221">
        <f>-M8*$C$9</f>
        <v>-823.33403511718723</v>
      </c>
      <c r="N9" s="221"/>
      <c r="O9" s="221">
        <f>-O8*$C$9</f>
        <v>-843.91738599511689</v>
      </c>
      <c r="P9" s="221"/>
      <c r="Q9" s="221">
        <f>-Q8*$C$9</f>
        <v>-865.01532064499463</v>
      </c>
      <c r="R9" s="221"/>
      <c r="S9" s="221">
        <f>-S8*$C$9</f>
        <v>-886.64070366111946</v>
      </c>
      <c r="T9" s="221"/>
      <c r="U9" s="221">
        <f>-U8*$C$9</f>
        <v>-908.80672125264721</v>
      </c>
      <c r="V9" s="221"/>
      <c r="W9" s="221">
        <f>-W8*$C$9</f>
        <v>-931.52688928396333</v>
      </c>
      <c r="X9" s="221"/>
      <c r="Y9" s="221">
        <f>-Y8*$C$9</f>
        <v>-954.81506151606231</v>
      </c>
      <c r="Z9" s="221"/>
      <c r="AA9" s="221">
        <f>-AA8*$C$9</f>
        <v>-978.68543805396371</v>
      </c>
      <c r="AB9" s="221"/>
      <c r="AC9" s="221">
        <f>-AC8*$C$9</f>
        <v>-1003.1525740053127</v>
      </c>
      <c r="AD9" s="221"/>
      <c r="AE9" s="221">
        <f>-AE8*$C$9</f>
        <v>-1028.2313883554455</v>
      </c>
      <c r="AF9" s="221"/>
      <c r="AG9" s="221">
        <f>-AG8*$C$9</f>
        <v>-1053.9371730643315</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2386774.3000000003</v>
      </c>
      <c r="G11" s="223">
        <f>SUM(G4:G10)</f>
        <v>2446443.6575000002</v>
      </c>
      <c r="I11" s="223">
        <f>SUM(I4:I10)</f>
        <v>2507604.7489374992</v>
      </c>
      <c r="K11" s="223">
        <f>SUM(K4:K10)</f>
        <v>2570294.8676609369</v>
      </c>
      <c r="M11" s="223">
        <f>SUM(M4:M10)</f>
        <v>2634552.23935246</v>
      </c>
      <c r="O11" s="223">
        <f>SUM(O4:O10)</f>
        <v>2700416.0453362716</v>
      </c>
      <c r="Q11" s="223">
        <f>SUM(Q4:Q10)</f>
        <v>2767926.4464696781</v>
      </c>
      <c r="S11" s="223">
        <f>SUM(S4:S10)</f>
        <v>2837124.6076314203</v>
      </c>
      <c r="U11" s="223">
        <f>SUM(U4:U10)</f>
        <v>2908052.7228222052</v>
      </c>
      <c r="W11" s="223">
        <f>SUM(W4:W10)</f>
        <v>2980754.0408927598</v>
      </c>
      <c r="Y11" s="223">
        <f>SUM(Y4:Y10)</f>
        <v>3055272.8919150792</v>
      </c>
      <c r="AA11" s="223">
        <f>SUM(AA4:AA10)</f>
        <v>3131654.7142129554</v>
      </c>
      <c r="AC11" s="223">
        <f>SUM(AC4:AC10)</f>
        <v>3209946.0820682789</v>
      </c>
      <c r="AE11" s="223">
        <f>SUM(AE4:AE10)</f>
        <v>3290194.7341199862</v>
      </c>
      <c r="AG11" s="223">
        <f>SUM(AG4:AG10)</f>
        <v>3372449.6024729856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101471.6472952</v>
      </c>
      <c r="G15" s="219">
        <f>E15*$C$14</f>
        <v>105023.154950532</v>
      </c>
      <c r="I15" s="219">
        <f>G15*$C$14</f>
        <v>108698.96537380062</v>
      </c>
      <c r="K15" s="219">
        <f>I15*$C$14</f>
        <v>112503.42916188363</v>
      </c>
      <c r="M15" s="219">
        <f>K15*$C$14</f>
        <v>116441.04918254954</v>
      </c>
      <c r="O15" s="219">
        <f>M15*$C$14</f>
        <v>120516.48590393877</v>
      </c>
      <c r="Q15" s="219">
        <f>O15*$C$14</f>
        <v>124734.56291057661</v>
      </c>
      <c r="S15" s="219">
        <f>Q15*$C$14</f>
        <v>129100.27261244679</v>
      </c>
      <c r="U15" s="219">
        <f>S15*$C$14</f>
        <v>133618.78215388241</v>
      </c>
      <c r="W15" s="219">
        <f>U15*$C$14</f>
        <v>138295.43952926827</v>
      </c>
      <c r="Y15" s="219">
        <f>W15*$C$14</f>
        <v>143135.77991279264</v>
      </c>
      <c r="AA15" s="219">
        <f>Y15*$C$14</f>
        <v>148145.53220974037</v>
      </c>
      <c r="AC15" s="219">
        <f>AA15*$C$14</f>
        <v>153330.62583708126</v>
      </c>
      <c r="AE15" s="219">
        <f>AC15*$C$14</f>
        <v>158697.19774137909</v>
      </c>
      <c r="AG15" s="219">
        <f>AE15*$C$14</f>
        <v>164251.59966232735</v>
      </c>
    </row>
    <row r="16" spans="1:34" s="210" customFormat="1" ht="14.25">
      <c r="A16" s="210" t="s">
        <v>344</v>
      </c>
      <c r="C16" s="233"/>
      <c r="E16" s="222">
        <f>Application!W849</f>
        <v>143206.48079999999</v>
      </c>
      <c r="F16" s="222"/>
      <c r="G16" s="222">
        <f t="shared" ref="G16:AG21" si="0">E16*$C$14</f>
        <v>148218.70762799997</v>
      </c>
      <c r="H16" s="222"/>
      <c r="I16" s="222">
        <f t="shared" si="0"/>
        <v>153406.36239497995</v>
      </c>
      <c r="J16" s="222"/>
      <c r="K16" s="222">
        <f t="shared" si="0"/>
        <v>158775.58507880423</v>
      </c>
      <c r="L16" s="222"/>
      <c r="M16" s="222">
        <f t="shared" si="0"/>
        <v>164332.73055656237</v>
      </c>
      <c r="N16" s="222"/>
      <c r="O16" s="222">
        <f t="shared" si="0"/>
        <v>170084.37612604204</v>
      </c>
      <c r="P16" s="222"/>
      <c r="Q16" s="222">
        <f t="shared" si="0"/>
        <v>176037.32929045349</v>
      </c>
      <c r="R16" s="222"/>
      <c r="S16" s="222">
        <f t="shared" si="0"/>
        <v>182198.63581561935</v>
      </c>
      <c r="T16" s="222"/>
      <c r="U16" s="222">
        <f t="shared" si="0"/>
        <v>188575.588069166</v>
      </c>
      <c r="V16" s="222"/>
      <c r="W16" s="222">
        <f t="shared" si="0"/>
        <v>195175.73365158678</v>
      </c>
      <c r="X16" s="222"/>
      <c r="Y16" s="222">
        <f t="shared" si="0"/>
        <v>202006.88432939231</v>
      </c>
      <c r="Z16" s="222"/>
      <c r="AA16" s="222">
        <f t="shared" si="0"/>
        <v>209077.12528092103</v>
      </c>
      <c r="AB16" s="222"/>
      <c r="AC16" s="222">
        <f t="shared" si="0"/>
        <v>216394.82466575326</v>
      </c>
      <c r="AD16" s="222"/>
      <c r="AE16" s="222">
        <f t="shared" si="0"/>
        <v>223968.64352905459</v>
      </c>
      <c r="AF16" s="222"/>
      <c r="AG16" s="222">
        <f t="shared" si="0"/>
        <v>231807.54605257147</v>
      </c>
    </row>
    <row r="17" spans="1:33" s="210" customFormat="1" ht="14.25">
      <c r="A17" s="210" t="s">
        <v>562</v>
      </c>
      <c r="C17" s="233"/>
      <c r="E17" s="222">
        <f>Application!W855</f>
        <v>128255.62667052721</v>
      </c>
      <c r="F17" s="222"/>
      <c r="G17" s="222">
        <f t="shared" si="0"/>
        <v>132744.57360399567</v>
      </c>
      <c r="H17" s="222"/>
      <c r="I17" s="222">
        <f t="shared" si="0"/>
        <v>137390.63368013551</v>
      </c>
      <c r="J17" s="222"/>
      <c r="K17" s="222">
        <f t="shared" si="0"/>
        <v>142199.30585894024</v>
      </c>
      <c r="L17" s="222"/>
      <c r="M17" s="222">
        <f t="shared" si="0"/>
        <v>147176.28156400312</v>
      </c>
      <c r="N17" s="222"/>
      <c r="O17" s="222">
        <f t="shared" si="0"/>
        <v>152327.45141874321</v>
      </c>
      <c r="P17" s="222"/>
      <c r="Q17" s="222">
        <f t="shared" si="0"/>
        <v>157658.9122183992</v>
      </c>
      <c r="R17" s="222"/>
      <c r="S17" s="222">
        <f t="shared" si="0"/>
        <v>163176.97414604315</v>
      </c>
      <c r="T17" s="222"/>
      <c r="U17" s="222">
        <f t="shared" si="0"/>
        <v>168888.16824115466</v>
      </c>
      <c r="V17" s="222"/>
      <c r="W17" s="222">
        <f t="shared" si="0"/>
        <v>174799.25412959507</v>
      </c>
      <c r="X17" s="222"/>
      <c r="Y17" s="222">
        <f t="shared" si="0"/>
        <v>180917.22802413089</v>
      </c>
      <c r="Z17" s="222"/>
      <c r="AA17" s="222">
        <f t="shared" si="0"/>
        <v>187249.33100497545</v>
      </c>
      <c r="AB17" s="222"/>
      <c r="AC17" s="222">
        <f t="shared" si="0"/>
        <v>193803.05759014958</v>
      </c>
      <c r="AD17" s="222"/>
      <c r="AE17" s="222">
        <f t="shared" si="0"/>
        <v>200586.16460580481</v>
      </c>
      <c r="AF17" s="222"/>
      <c r="AG17" s="222">
        <f t="shared" si="0"/>
        <v>207606.68036700797</v>
      </c>
    </row>
    <row r="18" spans="1:33" s="210" customFormat="1" ht="14.25">
      <c r="A18" s="210" t="s">
        <v>843</v>
      </c>
      <c r="C18" s="237"/>
      <c r="E18" s="222">
        <f>Application!W862</f>
        <v>308293.54384044447</v>
      </c>
      <c r="F18" s="222"/>
      <c r="G18" s="222">
        <f t="shared" si="0"/>
        <v>319083.81787486002</v>
      </c>
      <c r="H18" s="222"/>
      <c r="I18" s="222">
        <f t="shared" si="0"/>
        <v>330251.75150048011</v>
      </c>
      <c r="J18" s="222"/>
      <c r="K18" s="222">
        <f t="shared" si="0"/>
        <v>341810.56280299689</v>
      </c>
      <c r="L18" s="222"/>
      <c r="M18" s="222">
        <f t="shared" si="0"/>
        <v>353773.93250110175</v>
      </c>
      <c r="N18" s="222"/>
      <c r="O18" s="222">
        <f t="shared" si="0"/>
        <v>366156.02013864031</v>
      </c>
      <c r="P18" s="222"/>
      <c r="Q18" s="222">
        <f t="shared" si="0"/>
        <v>378971.48084349267</v>
      </c>
      <c r="R18" s="222"/>
      <c r="S18" s="222">
        <f t="shared" si="0"/>
        <v>392235.48267301486</v>
      </c>
      <c r="T18" s="222"/>
      <c r="U18" s="222">
        <f t="shared" si="0"/>
        <v>405963.72456657037</v>
      </c>
      <c r="V18" s="222"/>
      <c r="W18" s="222">
        <f t="shared" si="0"/>
        <v>420172.45492640027</v>
      </c>
      <c r="X18" s="222"/>
      <c r="Y18" s="222">
        <f t="shared" si="0"/>
        <v>434878.49084882427</v>
      </c>
      <c r="Z18" s="222"/>
      <c r="AA18" s="222">
        <f t="shared" si="0"/>
        <v>450099.23802853306</v>
      </c>
      <c r="AB18" s="222"/>
      <c r="AC18" s="222">
        <f t="shared" si="0"/>
        <v>465852.71135953168</v>
      </c>
      <c r="AD18" s="222"/>
      <c r="AE18" s="222">
        <f t="shared" si="0"/>
        <v>482157.55625711527</v>
      </c>
      <c r="AF18" s="222"/>
      <c r="AG18" s="222">
        <f t="shared" si="0"/>
        <v>499033.07072611427</v>
      </c>
    </row>
    <row r="19" spans="1:33" s="210" customFormat="1" ht="14.25">
      <c r="A19" s="210" t="s">
        <v>155</v>
      </c>
      <c r="C19" s="233"/>
      <c r="E19" s="222">
        <f>Application!W863</f>
        <v>126119.33125</v>
      </c>
      <c r="F19" s="222"/>
      <c r="G19" s="222">
        <f t="shared" si="0"/>
        <v>130533.50784374999</v>
      </c>
      <c r="H19" s="222"/>
      <c r="I19" s="222">
        <f t="shared" si="0"/>
        <v>135102.18061828124</v>
      </c>
      <c r="J19" s="222"/>
      <c r="K19" s="222">
        <f t="shared" si="0"/>
        <v>139830.75693992106</v>
      </c>
      <c r="L19" s="222"/>
      <c r="M19" s="222">
        <f t="shared" si="0"/>
        <v>144724.8334328183</v>
      </c>
      <c r="N19" s="222"/>
      <c r="O19" s="222">
        <f t="shared" si="0"/>
        <v>149790.20260296692</v>
      </c>
      <c r="P19" s="222"/>
      <c r="Q19" s="222">
        <f t="shared" si="0"/>
        <v>155032.85969407076</v>
      </c>
      <c r="R19" s="222"/>
      <c r="S19" s="222">
        <f t="shared" si="0"/>
        <v>160459.00978336323</v>
      </c>
      <c r="T19" s="222"/>
      <c r="U19" s="222">
        <f t="shared" si="0"/>
        <v>166075.07512578095</v>
      </c>
      <c r="V19" s="222"/>
      <c r="W19" s="222">
        <f t="shared" si="0"/>
        <v>171887.70275518327</v>
      </c>
      <c r="X19" s="222"/>
      <c r="Y19" s="222">
        <f t="shared" si="0"/>
        <v>177903.77235161467</v>
      </c>
      <c r="Z19" s="222"/>
      <c r="AA19" s="222">
        <f t="shared" si="0"/>
        <v>184130.40438392115</v>
      </c>
      <c r="AB19" s="222"/>
      <c r="AC19" s="222">
        <f t="shared" si="0"/>
        <v>190574.96853735836</v>
      </c>
      <c r="AD19" s="222"/>
      <c r="AE19" s="222">
        <f t="shared" si="0"/>
        <v>197245.0924361659</v>
      </c>
      <c r="AF19" s="222"/>
      <c r="AG19" s="222">
        <f t="shared" si="0"/>
        <v>204148.6706714317</v>
      </c>
    </row>
    <row r="20" spans="1:33" s="210" customFormat="1" ht="14.25">
      <c r="A20" s="210" t="s">
        <v>390</v>
      </c>
      <c r="C20" s="233"/>
      <c r="E20" s="222">
        <f>Application!W872</f>
        <v>138729.31595370002</v>
      </c>
      <c r="F20" s="222"/>
      <c r="G20" s="222">
        <f t="shared" si="0"/>
        <v>143584.84201207952</v>
      </c>
      <c r="H20" s="222"/>
      <c r="I20" s="222">
        <f t="shared" si="0"/>
        <v>148610.31148250229</v>
      </c>
      <c r="J20" s="222"/>
      <c r="K20" s="222">
        <f t="shared" si="0"/>
        <v>153811.67238438985</v>
      </c>
      <c r="L20" s="222"/>
      <c r="M20" s="222">
        <f t="shared" si="0"/>
        <v>159195.08091784347</v>
      </c>
      <c r="N20" s="222"/>
      <c r="O20" s="222">
        <f t="shared" si="0"/>
        <v>164766.90874996799</v>
      </c>
      <c r="P20" s="222"/>
      <c r="Q20" s="222">
        <f t="shared" si="0"/>
        <v>170533.75055621687</v>
      </c>
      <c r="R20" s="222"/>
      <c r="S20" s="222">
        <f t="shared" si="0"/>
        <v>176502.43182568444</v>
      </c>
      <c r="T20" s="222"/>
      <c r="U20" s="222">
        <f t="shared" si="0"/>
        <v>182680.01693958338</v>
      </c>
      <c r="V20" s="222"/>
      <c r="W20" s="222">
        <f t="shared" si="0"/>
        <v>189073.81753246879</v>
      </c>
      <c r="X20" s="222"/>
      <c r="Y20" s="222">
        <f t="shared" si="0"/>
        <v>195691.40114610517</v>
      </c>
      <c r="Z20" s="222"/>
      <c r="AA20" s="222">
        <f t="shared" si="0"/>
        <v>202540.60018621883</v>
      </c>
      <c r="AB20" s="222"/>
      <c r="AC20" s="222">
        <f t="shared" si="0"/>
        <v>209629.52119273646</v>
      </c>
      <c r="AD20" s="222"/>
      <c r="AE20" s="222">
        <f t="shared" si="0"/>
        <v>216966.55443448221</v>
      </c>
      <c r="AF20" s="222"/>
      <c r="AG20" s="222">
        <f t="shared" si="0"/>
        <v>224560.38383968908</v>
      </c>
    </row>
    <row r="21" spans="1:33" s="210" customFormat="1" ht="14.25">
      <c r="A21" s="226" t="str">
        <f>Application!M874</f>
        <v>Ground Lease Payments</v>
      </c>
      <c r="B21" s="226"/>
      <c r="C21" s="237">
        <v>1.03</v>
      </c>
      <c r="E21" s="232">
        <f>Application!W879</f>
        <v>181099.5852</v>
      </c>
      <c r="F21" s="222"/>
      <c r="G21" s="232">
        <f t="shared" si="0"/>
        <v>187438.07068199999</v>
      </c>
      <c r="H21" s="222"/>
      <c r="I21" s="232">
        <f>G21*$C$21</f>
        <v>193061.21280246001</v>
      </c>
      <c r="J21" s="222"/>
      <c r="K21" s="232">
        <f>I21*$C$21</f>
        <v>198853.04918653381</v>
      </c>
      <c r="L21" s="222"/>
      <c r="M21" s="232">
        <f>K21*$C$21</f>
        <v>204818.64066212982</v>
      </c>
      <c r="N21" s="222"/>
      <c r="O21" s="232">
        <f>M21*$C$21</f>
        <v>210963.19988199373</v>
      </c>
      <c r="P21" s="222"/>
      <c r="Q21" s="232">
        <f>O21*$C$21</f>
        <v>217292.09587845355</v>
      </c>
      <c r="R21" s="222"/>
      <c r="S21" s="232">
        <f>Q21*$C$21</f>
        <v>223810.85875480715</v>
      </c>
      <c r="T21" s="222"/>
      <c r="U21" s="232">
        <f>S21*$C$21</f>
        <v>230525.18451745136</v>
      </c>
      <c r="V21" s="222"/>
      <c r="W21" s="232">
        <f>U21*$C$21</f>
        <v>237440.94005297491</v>
      </c>
      <c r="X21" s="222"/>
      <c r="Y21" s="232">
        <f>W21*$C$21</f>
        <v>244564.16825456417</v>
      </c>
      <c r="Z21" s="222"/>
      <c r="AA21" s="232">
        <f>Y21*$C$21</f>
        <v>251901.0933022011</v>
      </c>
      <c r="AB21" s="222"/>
      <c r="AC21" s="232">
        <f>AA21*$C$21</f>
        <v>259458.12610126715</v>
      </c>
      <c r="AD21" s="222"/>
      <c r="AE21" s="232">
        <f>AC21*$C$21</f>
        <v>267241.86988430517</v>
      </c>
      <c r="AF21" s="222"/>
      <c r="AG21" s="232">
        <f>AE21*$C$21</f>
        <v>275259.1259808343</v>
      </c>
    </row>
    <row r="22" spans="1:33" s="223" customFormat="1" ht="15">
      <c r="A22" s="223" t="s">
        <v>844</v>
      </c>
      <c r="C22" s="233"/>
      <c r="E22" s="223">
        <f>SUM(E15:E21)</f>
        <v>1127175.5310098717</v>
      </c>
      <c r="G22" s="223">
        <f>SUM(G15:G21)</f>
        <v>1166626.674595217</v>
      </c>
      <c r="I22" s="223">
        <f>SUM(I15:I21)</f>
        <v>1206521.4178526397</v>
      </c>
      <c r="K22" s="223">
        <f>SUM(K15:K21)</f>
        <v>1247784.3614134698</v>
      </c>
      <c r="M22" s="223">
        <f>SUM(M15:M21)</f>
        <v>1290462.5488170083</v>
      </c>
      <c r="O22" s="223">
        <f>SUM(O15:O21)</f>
        <v>1334604.644822293</v>
      </c>
      <c r="Q22" s="223">
        <f>SUM(Q15:Q21)</f>
        <v>1380260.991391663</v>
      </c>
      <c r="S22" s="223">
        <f>SUM(S15:S21)</f>
        <v>1427483.6656109788</v>
      </c>
      <c r="U22" s="223">
        <f>SUM(U15:U21)</f>
        <v>1476326.5396135892</v>
      </c>
      <c r="W22" s="223">
        <f>SUM(W15:W21)</f>
        <v>1526845.3425774775</v>
      </c>
      <c r="Y22" s="223">
        <f>SUM(Y15:Y21)</f>
        <v>1579097.7248674245</v>
      </c>
      <c r="AA22" s="223">
        <f>SUM(AA15:AA21)</f>
        <v>1633143.3243965108</v>
      </c>
      <c r="AC22" s="223">
        <f>SUM(AC15:AC21)</f>
        <v>1689043.8352838776</v>
      </c>
      <c r="AE22" s="223">
        <f>SUM(AE15:AE21)</f>
        <v>1746863.0788883071</v>
      </c>
      <c r="AG22" s="223">
        <f>SUM(AG15:AG21)</f>
        <v>1806667.077299976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54000</v>
      </c>
      <c r="F27" s="222"/>
      <c r="G27" s="222">
        <f>E27*$C$27</f>
        <v>55889.999999999993</v>
      </c>
      <c r="H27" s="222"/>
      <c r="I27" s="222">
        <f>G27*$C$27</f>
        <v>57846.149999999987</v>
      </c>
      <c r="J27" s="222"/>
      <c r="K27" s="222">
        <f>I27*$C$27</f>
        <v>59870.765249999982</v>
      </c>
      <c r="L27" s="222"/>
      <c r="M27" s="222">
        <f>K27*$C$27</f>
        <v>61966.242033749979</v>
      </c>
      <c r="N27" s="222"/>
      <c r="O27" s="222">
        <f>M27*$C$27</f>
        <v>64135.060504931222</v>
      </c>
      <c r="P27" s="222"/>
      <c r="Q27" s="222">
        <f>O27*$C$27</f>
        <v>66379.787622603806</v>
      </c>
      <c r="R27" s="222"/>
      <c r="S27" s="222">
        <f>Q27*$C$27</f>
        <v>68703.080189394939</v>
      </c>
      <c r="T27" s="222"/>
      <c r="U27" s="222">
        <f>S27*$C$27</f>
        <v>71107.687996023757</v>
      </c>
      <c r="V27" s="222"/>
      <c r="W27" s="222">
        <f>U27*$C$27</f>
        <v>73596.45707588458</v>
      </c>
      <c r="X27" s="222"/>
      <c r="Y27" s="222">
        <f>W27*$C$27</f>
        <v>76172.333073540532</v>
      </c>
      <c r="Z27" s="222"/>
      <c r="AA27" s="222">
        <f>Y27*$C$27</f>
        <v>78838.364731114445</v>
      </c>
      <c r="AB27" s="222"/>
      <c r="AC27" s="222">
        <f>AA27*$C$27</f>
        <v>81597.707496703442</v>
      </c>
      <c r="AD27" s="222"/>
      <c r="AE27" s="222">
        <f>AC27*$C$27</f>
        <v>84453.627259088054</v>
      </c>
      <c r="AF27" s="222"/>
      <c r="AG27" s="222">
        <f>AE27*$C$27</f>
        <v>87409.504213156135</v>
      </c>
    </row>
    <row r="28" spans="1:33" s="210" customFormat="1" ht="14.25">
      <c r="A28" s="210" t="s">
        <v>847</v>
      </c>
      <c r="C28" s="237">
        <v>1.03</v>
      </c>
      <c r="E28" s="222">
        <f>Application!AC889</f>
        <v>33600</v>
      </c>
      <c r="F28" s="222"/>
      <c r="G28" s="222">
        <f>$E$28</f>
        <v>33600</v>
      </c>
      <c r="H28" s="222"/>
      <c r="I28" s="222">
        <f>$E$28</f>
        <v>33600</v>
      </c>
      <c r="J28" s="222"/>
      <c r="K28" s="222">
        <f>$E$28</f>
        <v>33600</v>
      </c>
      <c r="L28" s="222"/>
      <c r="M28" s="222">
        <f>$E$28</f>
        <v>33600</v>
      </c>
      <c r="N28" s="222"/>
      <c r="O28" s="222">
        <f>E28*C28</f>
        <v>34608</v>
      </c>
      <c r="P28" s="222"/>
      <c r="Q28" s="222">
        <f>$O$28</f>
        <v>34608</v>
      </c>
      <c r="R28" s="222"/>
      <c r="S28" s="222">
        <f>$O$28</f>
        <v>34608</v>
      </c>
      <c r="T28" s="222"/>
      <c r="U28" s="222">
        <f>$O$28</f>
        <v>34608</v>
      </c>
      <c r="V28" s="222"/>
      <c r="W28" s="222">
        <f>$O$28</f>
        <v>34608</v>
      </c>
      <c r="X28" s="222"/>
      <c r="Y28" s="222">
        <f>W28*$C$28</f>
        <v>35646.239999999998</v>
      </c>
      <c r="Z28" s="222"/>
      <c r="AA28" s="222">
        <f>$Y$28</f>
        <v>35646.239999999998</v>
      </c>
      <c r="AB28" s="222"/>
      <c r="AC28" s="222">
        <f>$Y$28</f>
        <v>35646.239999999998</v>
      </c>
      <c r="AD28" s="222"/>
      <c r="AE28" s="222">
        <f>$Y$28</f>
        <v>35646.239999999998</v>
      </c>
      <c r="AF28" s="222"/>
      <c r="AG28" s="222">
        <f>$Y$28</f>
        <v>35646.239999999998</v>
      </c>
    </row>
    <row r="29" spans="1:33" s="210" customFormat="1" ht="14.25">
      <c r="A29" s="210" t="s">
        <v>1680</v>
      </c>
      <c r="C29" s="237"/>
      <c r="E29" s="222">
        <f>Application!AC890</f>
        <v>7840</v>
      </c>
      <c r="F29" s="222"/>
      <c r="G29" s="222">
        <f>$E$29</f>
        <v>7840</v>
      </c>
      <c r="H29" s="222"/>
      <c r="I29" s="222">
        <f>$E$29</f>
        <v>7840</v>
      </c>
      <c r="J29" s="222"/>
      <c r="K29" s="222">
        <f>$E$29</f>
        <v>7840</v>
      </c>
      <c r="L29" s="222"/>
      <c r="M29" s="222">
        <f>$E$29</f>
        <v>7840</v>
      </c>
      <c r="N29" s="222"/>
      <c r="O29" s="222">
        <f>$E$29</f>
        <v>7840</v>
      </c>
      <c r="P29" s="222"/>
      <c r="Q29" s="222">
        <f>$E$29</f>
        <v>7840</v>
      </c>
      <c r="R29" s="222"/>
      <c r="S29" s="222">
        <f>$E$29</f>
        <v>7840</v>
      </c>
      <c r="T29" s="222"/>
      <c r="U29" s="222">
        <f>$E$29</f>
        <v>7840</v>
      </c>
      <c r="V29" s="222"/>
      <c r="W29" s="222">
        <f>$E$29</f>
        <v>7840</v>
      </c>
      <c r="X29" s="222"/>
      <c r="Y29" s="222">
        <f>$E$29</f>
        <v>7840</v>
      </c>
      <c r="Z29" s="222"/>
      <c r="AA29" s="222">
        <f>$E$29</f>
        <v>7840</v>
      </c>
      <c r="AB29" s="222"/>
      <c r="AC29" s="222">
        <f>$E$29</f>
        <v>7840</v>
      </c>
      <c r="AD29" s="222"/>
      <c r="AE29" s="222">
        <f>$E$29</f>
        <v>7840</v>
      </c>
      <c r="AF29" s="222"/>
      <c r="AG29" s="222">
        <f>$E$29</f>
        <v>7840</v>
      </c>
    </row>
    <row r="30" spans="1:33" s="210" customFormat="1" ht="14.25">
      <c r="A30" s="210" t="s">
        <v>845</v>
      </c>
      <c r="C30" s="237">
        <v>1.02</v>
      </c>
      <c r="E30" s="222">
        <f>Application!AC891</f>
        <v>279</v>
      </c>
      <c r="F30" s="222"/>
      <c r="G30" s="222">
        <f>E30*$C$30</f>
        <v>284.58</v>
      </c>
      <c r="H30" s="222"/>
      <c r="I30" s="222">
        <f>G30*$C$30</f>
        <v>290.27159999999998</v>
      </c>
      <c r="J30" s="222"/>
      <c r="K30" s="222">
        <f>I30*$C$30</f>
        <v>296.07703199999997</v>
      </c>
      <c r="L30" s="222"/>
      <c r="M30" s="222">
        <f>K30*$C$30</f>
        <v>301.99857263999996</v>
      </c>
      <c r="N30" s="222"/>
      <c r="O30" s="222">
        <f>M30*$C$30</f>
        <v>308.03854409279995</v>
      </c>
      <c r="P30" s="222"/>
      <c r="Q30" s="222">
        <f>O30*$C$30</f>
        <v>314.19931497465598</v>
      </c>
      <c r="R30" s="222"/>
      <c r="S30" s="222">
        <f>Q30*$C$30</f>
        <v>320.48330127414908</v>
      </c>
      <c r="T30" s="222"/>
      <c r="U30" s="222">
        <f>S30*$C$30</f>
        <v>326.89296729963206</v>
      </c>
      <c r="V30" s="222"/>
      <c r="W30" s="222">
        <f>U30*$C$30</f>
        <v>333.43082664562473</v>
      </c>
      <c r="X30" s="222"/>
      <c r="Y30" s="222">
        <f>W30*$C$30</f>
        <v>340.09944317853723</v>
      </c>
      <c r="Z30" s="222"/>
      <c r="AA30" s="222">
        <f>Y30*$C$30</f>
        <v>346.90143204210796</v>
      </c>
      <c r="AB30" s="222"/>
      <c r="AC30" s="222">
        <f>AA30*$C$30</f>
        <v>353.83946068295012</v>
      </c>
      <c r="AD30" s="222"/>
      <c r="AE30" s="222">
        <f>AC30*$C$30</f>
        <v>360.91624989660914</v>
      </c>
      <c r="AF30" s="222"/>
      <c r="AG30" s="222">
        <f>AE30*$C$30</f>
        <v>368.13457489454134</v>
      </c>
    </row>
    <row r="31" spans="1:33" s="210" customFormat="1" ht="14.25">
      <c r="A31" s="210" t="s">
        <v>1681</v>
      </c>
      <c r="C31" s="237"/>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v>
      </c>
      <c r="C32" s="316">
        <v>1</v>
      </c>
      <c r="E32" s="222">
        <f>Application!AC894</f>
        <v>30000</v>
      </c>
      <c r="F32" s="222"/>
      <c r="G32" s="222">
        <f>E32*$C$32</f>
        <v>30000</v>
      </c>
      <c r="H32" s="222"/>
      <c r="I32" s="222">
        <f>G32*$C$32</f>
        <v>30000</v>
      </c>
      <c r="J32" s="222"/>
      <c r="K32" s="222">
        <f>I32*$C$32</f>
        <v>30000</v>
      </c>
      <c r="L32" s="222"/>
      <c r="M32" s="222">
        <f>K32*$C$32</f>
        <v>30000</v>
      </c>
      <c r="N32" s="222"/>
      <c r="O32" s="222">
        <f>M32*$C$32</f>
        <v>30000</v>
      </c>
      <c r="P32" s="222"/>
      <c r="Q32" s="222">
        <f>O32*$C$32</f>
        <v>30000</v>
      </c>
      <c r="R32" s="222"/>
      <c r="S32" s="222">
        <f>Q32*$C$32</f>
        <v>30000</v>
      </c>
      <c r="T32" s="222"/>
      <c r="U32" s="222">
        <f>S32*$C$32</f>
        <v>30000</v>
      </c>
      <c r="V32" s="222"/>
      <c r="W32" s="222">
        <f>U32*$C$32</f>
        <v>30000</v>
      </c>
      <c r="X32" s="222"/>
      <c r="Y32" s="222">
        <f>W32*$C$32</f>
        <v>30000</v>
      </c>
      <c r="Z32" s="222"/>
      <c r="AA32" s="222">
        <f>Y32*$C$32</f>
        <v>30000</v>
      </c>
      <c r="AB32" s="222"/>
      <c r="AC32" s="222">
        <f>AA32*$C$32</f>
        <v>30000</v>
      </c>
      <c r="AD32" s="222"/>
      <c r="AE32" s="222">
        <f>AC32*$C$32</f>
        <v>30000</v>
      </c>
      <c r="AF32" s="222"/>
      <c r="AG32" s="222">
        <f>AE32*$C$32</f>
        <v>30000</v>
      </c>
    </row>
    <row r="33" spans="1:33" s="210" customFormat="1" ht="14.25">
      <c r="A33" s="210" t="str">
        <f>Application!C895</f>
        <v>Other (Specify):</v>
      </c>
      <c r="C33" s="316"/>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1252894.5310098717</v>
      </c>
      <c r="G35" s="223">
        <f>SUM(G22:G33)</f>
        <v>1294241.2545952171</v>
      </c>
      <c r="I35" s="223">
        <f>SUM(I22:I33)</f>
        <v>1336097.8394526397</v>
      </c>
      <c r="K35" s="223">
        <f>SUM(K22:K33)</f>
        <v>1379391.2036954698</v>
      </c>
      <c r="M35" s="223">
        <f>SUM(M22:M33)</f>
        <v>1424170.7894233982</v>
      </c>
      <c r="O35" s="223">
        <f>SUM(O22:O33)</f>
        <v>1471495.743871317</v>
      </c>
      <c r="Q35" s="223">
        <f>SUM(Q22:Q33)</f>
        <v>1519402.9783292415</v>
      </c>
      <c r="S35" s="223">
        <f>SUM(S22:S33)</f>
        <v>1568955.2291016481</v>
      </c>
      <c r="U35" s="223">
        <f>SUM(U22:U33)</f>
        <v>1620209.1205769125</v>
      </c>
      <c r="W35" s="223">
        <f>SUM(W22:W33)</f>
        <v>1673223.2304800076</v>
      </c>
      <c r="Y35" s="223">
        <f>SUM(Y22:Y33)</f>
        <v>1729096.3973841437</v>
      </c>
      <c r="AA35" s="223">
        <f>SUM(AA22:AA33)</f>
        <v>1785814.8305596672</v>
      </c>
      <c r="AC35" s="223">
        <f>SUM(AC22:AC33)</f>
        <v>1844481.622241264</v>
      </c>
      <c r="AE35" s="223">
        <f>SUM(AE22:AE33)</f>
        <v>1905163.8623972917</v>
      </c>
      <c r="AG35" s="223">
        <f>SUM(AG22:AG33)</f>
        <v>1967930.9560880268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1133879.7689901285</v>
      </c>
      <c r="G37" s="223">
        <f>G11-G35</f>
        <v>1152202.4029047831</v>
      </c>
      <c r="I37" s="223">
        <f>I11-I35</f>
        <v>1171506.9094848596</v>
      </c>
      <c r="K37" s="223">
        <f>K11-K35</f>
        <v>1190903.6639654671</v>
      </c>
      <c r="M37" s="223">
        <f>M11-M35</f>
        <v>1210381.4499290618</v>
      </c>
      <c r="O37" s="223">
        <f>O11-O35</f>
        <v>1228920.3014649546</v>
      </c>
      <c r="Q37" s="223">
        <f>Q11-Q35</f>
        <v>1248523.4681404366</v>
      </c>
      <c r="S37" s="223">
        <f>S11-S35</f>
        <v>1268169.3785297722</v>
      </c>
      <c r="U37" s="223">
        <f>U11-U35</f>
        <v>1287843.6022452926</v>
      </c>
      <c r="W37" s="223">
        <f>W11-W35</f>
        <v>1307530.8104127522</v>
      </c>
      <c r="Y37" s="223">
        <f>Y11-Y35</f>
        <v>1326176.4945309355</v>
      </c>
      <c r="AA37" s="223">
        <f>AA11-AA35</f>
        <v>1345839.8836532882</v>
      </c>
      <c r="AC37" s="223">
        <f>AC11-AC35</f>
        <v>1365464.4598270149</v>
      </c>
      <c r="AE37" s="223">
        <f>AE11-AE35</f>
        <v>1385030.8717226945</v>
      </c>
      <c r="AG37" s="223">
        <f>AG11-AG35</f>
        <v>1404518.6463849589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U.S. Bank National Association - Permanent Loan</v>
      </c>
      <c r="B40" s="226"/>
      <c r="C40" s="220"/>
      <c r="E40" s="222">
        <f>Application!AF627</f>
        <v>905426</v>
      </c>
      <c r="F40" s="222"/>
      <c r="G40" s="222">
        <f>$E$40</f>
        <v>905426</v>
      </c>
      <c r="H40" s="222"/>
      <c r="I40" s="222">
        <f>$E$40</f>
        <v>905426</v>
      </c>
      <c r="J40" s="222"/>
      <c r="K40" s="222">
        <f>$E$40</f>
        <v>905426</v>
      </c>
      <c r="L40" s="222"/>
      <c r="M40" s="222">
        <f>$E$40</f>
        <v>905426</v>
      </c>
      <c r="N40" s="222"/>
      <c r="O40" s="222">
        <f>$E$40</f>
        <v>905426</v>
      </c>
      <c r="P40" s="222"/>
      <c r="Q40" s="222">
        <f>$E$40</f>
        <v>905426</v>
      </c>
      <c r="R40" s="222"/>
      <c r="S40" s="222">
        <f>$E$40</f>
        <v>905426</v>
      </c>
      <c r="T40" s="222"/>
      <c r="U40" s="222">
        <f>$E$40</f>
        <v>905426</v>
      </c>
      <c r="V40" s="222"/>
      <c r="W40" s="222">
        <f>$E$40</f>
        <v>905426</v>
      </c>
      <c r="X40" s="222"/>
      <c r="Y40" s="222">
        <f>$E$40</f>
        <v>905426</v>
      </c>
      <c r="Z40" s="222"/>
      <c r="AA40" s="222">
        <f>$E$40</f>
        <v>905426</v>
      </c>
      <c r="AB40" s="222"/>
      <c r="AC40" s="222">
        <f>$E$40</f>
        <v>905426</v>
      </c>
      <c r="AD40" s="222"/>
      <c r="AE40" s="222">
        <f>$E$40</f>
        <v>905426</v>
      </c>
      <c r="AF40" s="222"/>
      <c r="AG40" s="222">
        <f>$E$40</f>
        <v>905426</v>
      </c>
    </row>
    <row r="41" spans="1:33" s="210" customFormat="1" ht="14.25">
      <c r="A41" s="225" t="str">
        <f>Application!C630</f>
        <v>City of Anaheim - Ground Lease Extension Note</v>
      </c>
      <c r="B41" s="226"/>
      <c r="C41" s="220"/>
      <c r="E41" s="222">
        <v>76386</v>
      </c>
      <c r="F41" s="222"/>
      <c r="G41" s="222">
        <v>114580</v>
      </c>
      <c r="H41" s="222"/>
      <c r="I41" s="222">
        <f>$G$41</f>
        <v>114580</v>
      </c>
      <c r="J41" s="222"/>
      <c r="K41" s="222">
        <f>$G$41</f>
        <v>114580</v>
      </c>
      <c r="L41" s="222"/>
      <c r="M41" s="222">
        <f>$G$41</f>
        <v>114580</v>
      </c>
      <c r="N41" s="222"/>
      <c r="O41" s="222">
        <f>$G$41</f>
        <v>114580</v>
      </c>
      <c r="P41" s="222"/>
      <c r="Q41" s="222">
        <f>$G$41</f>
        <v>114580</v>
      </c>
      <c r="R41" s="222"/>
      <c r="S41" s="222">
        <f>$G$41</f>
        <v>114580</v>
      </c>
      <c r="T41" s="222"/>
      <c r="U41" s="222">
        <f>$G$41</f>
        <v>114580</v>
      </c>
      <c r="V41" s="222"/>
      <c r="W41" s="222">
        <f>$G$41</f>
        <v>114580</v>
      </c>
      <c r="X41" s="222"/>
      <c r="Y41" s="222">
        <f>$G$41</f>
        <v>114580</v>
      </c>
      <c r="Z41" s="222"/>
      <c r="AA41" s="222">
        <f>$G$41</f>
        <v>114580</v>
      </c>
      <c r="AB41" s="222"/>
      <c r="AC41" s="222">
        <f>$G$41</f>
        <v>114580</v>
      </c>
      <c r="AD41" s="222"/>
      <c r="AE41" s="222">
        <f>$G$41</f>
        <v>114580</v>
      </c>
      <c r="AF41" s="222"/>
      <c r="AG41" s="222">
        <f>$G$41</f>
        <v>114580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981812</v>
      </c>
      <c r="G43" s="223">
        <f>SUM(G40:G42)</f>
        <v>1020006</v>
      </c>
      <c r="I43" s="223">
        <f>SUM(I40:I42)</f>
        <v>1020006</v>
      </c>
      <c r="K43" s="223">
        <f>SUM(K40:K42)</f>
        <v>1020006</v>
      </c>
      <c r="M43" s="223">
        <f>SUM(M40:M42)</f>
        <v>1020006</v>
      </c>
      <c r="O43" s="223">
        <f>SUM(O40:O42)</f>
        <v>1020006</v>
      </c>
      <c r="Q43" s="223">
        <f>SUM(Q40:Q42)</f>
        <v>1020006</v>
      </c>
      <c r="S43" s="223">
        <f>SUM(S40:S42)</f>
        <v>1020006</v>
      </c>
      <c r="U43" s="223">
        <f>SUM(U40:U42)</f>
        <v>1020006</v>
      </c>
      <c r="W43" s="223">
        <f>SUM(W40:W42)</f>
        <v>1020006</v>
      </c>
      <c r="Y43" s="223">
        <f>SUM(Y40:Y42)</f>
        <v>1020006</v>
      </c>
      <c r="AA43" s="223">
        <f>SUM(AA40:AA42)</f>
        <v>1020006</v>
      </c>
      <c r="AC43" s="223">
        <f>SUM(AC40:AC42)</f>
        <v>1020006</v>
      </c>
      <c r="AE43" s="223">
        <f>SUM(AE40:AE42)</f>
        <v>1020006</v>
      </c>
      <c r="AG43" s="223">
        <f>SUM(AG40:AG42)</f>
        <v>1020006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152067.76899012853</v>
      </c>
      <c r="G45" s="223">
        <f>G37-G43</f>
        <v>132196.40290478314</v>
      </c>
      <c r="I45" s="223">
        <f>I37-I43</f>
        <v>151500.90948485956</v>
      </c>
      <c r="K45" s="223">
        <f>K37-K43</f>
        <v>170897.66396546713</v>
      </c>
      <c r="M45" s="223">
        <f>M37-M43</f>
        <v>190375.44992906181</v>
      </c>
      <c r="O45" s="223">
        <f>O37-O43</f>
        <v>208914.30146495462</v>
      </c>
      <c r="Q45" s="223">
        <f>Q37-Q43</f>
        <v>228517.46814043657</v>
      </c>
      <c r="S45" s="223">
        <f>S37-S43</f>
        <v>248163.37852977216</v>
      </c>
      <c r="U45" s="223">
        <f>U37-U43</f>
        <v>267837.60224529263</v>
      </c>
      <c r="W45" s="223">
        <f>W37-W43</f>
        <v>287524.81041275221</v>
      </c>
      <c r="Y45" s="223">
        <f>Y37-Y43</f>
        <v>306170.49453093554</v>
      </c>
      <c r="AA45" s="223">
        <f>AA37-AA43</f>
        <v>325833.88365328824</v>
      </c>
      <c r="AC45" s="223">
        <f>AC37-AC43</f>
        <v>345458.45982701494</v>
      </c>
      <c r="AE45" s="223">
        <f>AE37-AE43</f>
        <v>365024.87172269449</v>
      </c>
      <c r="AG45" s="223">
        <f>AG37-AG43</f>
        <v>384512.64638495888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6.0527038748750608E-2</v>
      </c>
      <c r="G47" s="227">
        <f>G45/(G4+G6+G8)</f>
        <v>5.1334345009146805E-2</v>
      </c>
      <c r="I47" s="227">
        <f>I45/(I4+I6+I8)</f>
        <v>5.7395753486110437E-2</v>
      </c>
      <c r="K47" s="227">
        <f>K45/(K4+K6+K8)</f>
        <v>6.3165041026962326E-2</v>
      </c>
      <c r="M47" s="227">
        <f>M45/(M4+M6+M8)</f>
        <v>6.8647975443850387E-2</v>
      </c>
      <c r="O47" s="227">
        <f>O45/(O4+O6+O8)</f>
        <v>7.3495558854521775E-2</v>
      </c>
      <c r="Q47" s="227">
        <f>Q45/(Q4+Q6+Q8)</f>
        <v>7.8431128475361711E-2</v>
      </c>
      <c r="S47" s="227">
        <f>S45/(S4+S6+S8)</f>
        <v>8.3096529834868385E-2</v>
      </c>
      <c r="U47" s="227">
        <f>U45/(U4+U6+U8)</f>
        <v>8.749694258847332E-2</v>
      </c>
      <c r="W47" s="227">
        <f>W45/(W4+W6+W8)</f>
        <v>9.1637406557135578E-2</v>
      </c>
      <c r="Y47" s="227">
        <f>Y45/(Y4+Y6+Y8)</f>
        <v>9.5199996888681596E-2</v>
      </c>
      <c r="AA47" s="227">
        <f>AA45/(AA4+AA6+AA8)</f>
        <v>9.8843013588238965E-2</v>
      </c>
      <c r="AC47" s="227">
        <f>AC45/(AC4+AC6+AC8)</f>
        <v>0.1022402023102528</v>
      </c>
      <c r="AE47" s="227">
        <f>AE45/(AE4+AE6+AE8)</f>
        <v>0.10539608021994776</v>
      </c>
      <c r="AG47" s="227">
        <f>AG45/(AG4+AG6+AG8)</f>
        <v>0.10831504014110378</v>
      </c>
    </row>
    <row r="48" spans="1:33" s="227" customFormat="1" ht="14.25">
      <c r="A48" s="227" t="s">
        <v>853</v>
      </c>
      <c r="C48" s="220"/>
      <c r="E48" s="227">
        <f>E45/E43</f>
        <v>0.15488481398692269</v>
      </c>
      <c r="G48" s="227">
        <f>G45/G43</f>
        <v>0.12960355419946856</v>
      </c>
      <c r="I48" s="227">
        <f>I45/I43</f>
        <v>0.14852942971400124</v>
      </c>
      <c r="K48" s="227">
        <f>K45/K43</f>
        <v>0.16754574381471005</v>
      </c>
      <c r="M48" s="227">
        <f>M45/M43</f>
        <v>0.18664150007849151</v>
      </c>
      <c r="O48" s="227">
        <f>O45/O43</f>
        <v>0.20481673780836057</v>
      </c>
      <c r="Q48" s="227">
        <f>Q45/Q43</f>
        <v>0.22403541561563026</v>
      </c>
      <c r="S48" s="227">
        <f>S45/S43</f>
        <v>0.2432959987782152</v>
      </c>
      <c r="U48" s="227">
        <f>U45/U43</f>
        <v>0.26258433994044411</v>
      </c>
      <c r="W48" s="227">
        <f>W45/W43</f>
        <v>0.28188541088263425</v>
      </c>
      <c r="Y48" s="227">
        <f>Y45/Y43</f>
        <v>0.30016538582217706</v>
      </c>
      <c r="AA48" s="227">
        <f>AA45/AA43</f>
        <v>0.31944310489672439</v>
      </c>
      <c r="AC48" s="227">
        <f>AC45/AC43</f>
        <v>0.33868277228468746</v>
      </c>
      <c r="AE48" s="227">
        <f>AE45/AE43</f>
        <v>0.35786541620607576</v>
      </c>
      <c r="AG48" s="227">
        <f>AG45/AG43</f>
        <v>0.37697096525408563</v>
      </c>
    </row>
    <row r="49" spans="1:34" s="228" customFormat="1" ht="14.25">
      <c r="A49" s="228" t="s">
        <v>851</v>
      </c>
      <c r="C49" s="229"/>
      <c r="E49" s="228">
        <f>E37/E43</f>
        <v>1.1548848139869228</v>
      </c>
      <c r="G49" s="228">
        <f>G37/G43</f>
        <v>1.1296035541994687</v>
      </c>
      <c r="I49" s="228">
        <f>I37/I43</f>
        <v>1.1485294297140012</v>
      </c>
      <c r="K49" s="228">
        <f>K37/K43</f>
        <v>1.1675457438147101</v>
      </c>
      <c r="M49" s="228">
        <f>M37/M43</f>
        <v>1.1866415000784916</v>
      </c>
      <c r="O49" s="228">
        <f>O37/O43</f>
        <v>1.2048167378083605</v>
      </c>
      <c r="Q49" s="228">
        <f>Q37/Q43</f>
        <v>1.2240354156156303</v>
      </c>
      <c r="S49" s="228">
        <f>S37/S43</f>
        <v>1.2432959987782153</v>
      </c>
      <c r="U49" s="228">
        <f>U37/U43</f>
        <v>1.2625843399404442</v>
      </c>
      <c r="W49" s="228">
        <f>W37/W43</f>
        <v>1.2818854108826343</v>
      </c>
      <c r="Y49" s="228">
        <f>Y37/Y43</f>
        <v>1.3001653858221771</v>
      </c>
      <c r="AA49" s="228">
        <f>AA37/AA43</f>
        <v>1.3194431048967243</v>
      </c>
      <c r="AC49" s="228">
        <f>AC37/AC43</f>
        <v>1.3386827722846875</v>
      </c>
      <c r="AE49" s="228">
        <f>AE37/AE43</f>
        <v>1.3578654162060757</v>
      </c>
      <c r="AG49" s="228">
        <f>AG37/AG43</f>
        <v>1.3769709652540856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54" t="s">
        <v>1184</v>
      </c>
      <c r="B52" s="2654"/>
      <c r="C52" s="265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2">
        <v>30000</v>
      </c>
      <c r="G53" s="960">
        <f>E53*$C$53</f>
        <v>30900</v>
      </c>
      <c r="I53" s="960">
        <f>G53*$C$53</f>
        <v>31827</v>
      </c>
      <c r="K53" s="960">
        <f>I53*$C$53</f>
        <v>32781.81</v>
      </c>
      <c r="M53" s="960">
        <f>K53*$C$53</f>
        <v>33765.264299999995</v>
      </c>
      <c r="O53" s="960">
        <f>M53*$C$53</f>
        <v>34778.222228999999</v>
      </c>
      <c r="Q53" s="960">
        <f>O53*$C$53</f>
        <v>35821.568895869998</v>
      </c>
      <c r="S53" s="960">
        <f>Q53*$C$53</f>
        <v>36896.215962746101</v>
      </c>
      <c r="U53" s="960">
        <f>S53*$C$53</f>
        <v>38003.102441628485</v>
      </c>
      <c r="W53" s="960">
        <f>U53*$C$53</f>
        <v>39143.195514877341</v>
      </c>
      <c r="Y53" s="960">
        <f>W53*$C$53</f>
        <v>40317.491380323663</v>
      </c>
      <c r="AA53" s="960">
        <f>Y53*$C$53</f>
        <v>41527.016121733373</v>
      </c>
      <c r="AC53" s="960">
        <f>AA53*$C$53</f>
        <v>42772.826605385373</v>
      </c>
      <c r="AE53" s="960">
        <f>AC53*$C$53</f>
        <v>44056.011403546938</v>
      </c>
      <c r="AG53" s="960">
        <f>AE53*$C$53</f>
        <v>45377.691745653348</v>
      </c>
    </row>
    <row r="54" spans="1:34" s="3" customFormat="1">
      <c r="A54" s="3" t="s">
        <v>856</v>
      </c>
      <c r="C54" s="958"/>
      <c r="E54" s="960">
        <v>5000</v>
      </c>
      <c r="F54" s="960"/>
      <c r="G54" s="960">
        <f>E54*$C$53</f>
        <v>5150</v>
      </c>
      <c r="H54" s="960"/>
      <c r="I54" s="960">
        <f>G54*$C$53</f>
        <v>5304.5</v>
      </c>
      <c r="J54" s="960"/>
      <c r="K54" s="960">
        <f t="shared" ref="G54:AG57" si="1">I54*$C$53</f>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35000</v>
      </c>
      <c r="F58" s="960"/>
      <c r="G58" s="960">
        <f>SUM(G53:G57)</f>
        <v>36050</v>
      </c>
      <c r="H58" s="960"/>
      <c r="I58" s="960">
        <f>SUM(I53:I57)</f>
        <v>37131.5</v>
      </c>
      <c r="J58" s="960"/>
      <c r="K58" s="960">
        <f>SUM(K53:K57)</f>
        <v>38245.445</v>
      </c>
      <c r="L58" s="960"/>
      <c r="M58" s="960">
        <f>SUM(M53:M57)</f>
        <v>39392.808349999992</v>
      </c>
      <c r="N58" s="960"/>
      <c r="O58" s="960">
        <f>SUM(O53:O57)</f>
        <v>40574.5926005</v>
      </c>
      <c r="P58" s="960"/>
      <c r="Q58" s="960">
        <f>SUM(Q53:Q57)</f>
        <v>41791.830378514998</v>
      </c>
      <c r="R58" s="960"/>
      <c r="S58" s="960">
        <f>SUM(S53:S57)</f>
        <v>43045.585289870447</v>
      </c>
      <c r="T58" s="960"/>
      <c r="U58" s="960">
        <f>SUM(U53:U57)</f>
        <v>44336.952848566565</v>
      </c>
      <c r="V58" s="960"/>
      <c r="W58" s="960">
        <f>SUM(W53:W57)</f>
        <v>45667.061434023562</v>
      </c>
      <c r="X58" s="960"/>
      <c r="Y58" s="960">
        <f>SUM(Y53:Y57)</f>
        <v>47037.07327704427</v>
      </c>
      <c r="Z58" s="960"/>
      <c r="AA58" s="960">
        <f>SUM(AA53:AA57)</f>
        <v>48448.185475355604</v>
      </c>
      <c r="AB58" s="960"/>
      <c r="AC58" s="960">
        <f>SUM(AC53:AC57)</f>
        <v>49901.631039616266</v>
      </c>
      <c r="AD58" s="960"/>
      <c r="AE58" s="960">
        <f>SUM(AE53:AE57)</f>
        <v>51398.679970804762</v>
      </c>
      <c r="AF58" s="960"/>
      <c r="AG58" s="960">
        <f>SUM(AG53:AG57)</f>
        <v>52940.640369928908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117067.76899012853</v>
      </c>
      <c r="G60" s="962">
        <f>G45-G58</f>
        <v>96146.402904783143</v>
      </c>
      <c r="I60" s="962">
        <f>I45-I58</f>
        <v>114369.40948485956</v>
      </c>
      <c r="K60" s="962">
        <f>K45-K58</f>
        <v>132652.21896546712</v>
      </c>
      <c r="M60" s="962">
        <f>M45-M58</f>
        <v>150982.6415790618</v>
      </c>
      <c r="O60" s="962">
        <f>O45-O58</f>
        <v>168339.70886445462</v>
      </c>
      <c r="Q60" s="962">
        <f>Q45-Q58</f>
        <v>186725.63776192156</v>
      </c>
      <c r="S60" s="962">
        <f>S45-S58</f>
        <v>205117.79323990172</v>
      </c>
      <c r="U60" s="962">
        <f>U45-U58</f>
        <v>223500.64939672605</v>
      </c>
      <c r="W60" s="962">
        <f>W45-W58</f>
        <v>241857.74897872866</v>
      </c>
      <c r="Y60" s="962">
        <f>Y45-Y58</f>
        <v>259133.42125389125</v>
      </c>
      <c r="AA60" s="962">
        <f>AA45-AA58</f>
        <v>277385.69817793265</v>
      </c>
      <c r="AC60" s="962">
        <f>AC45-AC58</f>
        <v>295556.8287873987</v>
      </c>
      <c r="AE60" s="962">
        <f>AE45-AE58</f>
        <v>313626.19175188971</v>
      </c>
      <c r="AG60" s="962">
        <f>AG45-AG58</f>
        <v>331572.00601502997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2">
        <f>E60*$C$62</f>
        <v>58533.884495064267</v>
      </c>
      <c r="G62" s="962">
        <f>G60*$C$62</f>
        <v>48073.201452391571</v>
      </c>
      <c r="I62" s="962">
        <f>I60*$C$62</f>
        <v>57184.704742429778</v>
      </c>
      <c r="K62" s="962">
        <f>K60*$C$62</f>
        <v>66326.109482733562</v>
      </c>
      <c r="M62" s="962">
        <f>M60*$C$62</f>
        <v>75491.320789530902</v>
      </c>
      <c r="O62" s="962">
        <f>O60*$C$62</f>
        <v>84169.854432227308</v>
      </c>
      <c r="Q62" s="962">
        <f>Q60*$C$62</f>
        <v>93362.818880960782</v>
      </c>
      <c r="S62" s="962">
        <f>S60*$C$62</f>
        <v>102558.89661995086</v>
      </c>
      <c r="U62" s="962">
        <f>U60*$C$62</f>
        <v>111750.32469836302</v>
      </c>
      <c r="W62" s="962">
        <f>W60*$C$62</f>
        <v>120928.87448936433</v>
      </c>
      <c r="Y62" s="962">
        <f>Y60*$C$62</f>
        <v>129566.71062694563</v>
      </c>
      <c r="AA62" s="962">
        <f>AA60*$C$62</f>
        <v>138692.84908896632</v>
      </c>
      <c r="AC62" s="962">
        <f>AC60*$C$62</f>
        <v>147778.41439369935</v>
      </c>
      <c r="AE62" s="962">
        <f>AE60*$C$62</f>
        <v>156813.09587594485</v>
      </c>
      <c r="AG62" s="962">
        <f>AG60*$C$62</f>
        <v>165786.00300751498</v>
      </c>
    </row>
    <row r="63" spans="1:34" s="962" customFormat="1">
      <c r="A63" s="2654" t="s">
        <v>2764</v>
      </c>
      <c r="B63" s="2654"/>
      <c r="C63" s="265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Application!C628</f>
        <v>City of Anaheim - Residual Receipts Loan (Assumed Debt)</v>
      </c>
      <c r="B66" s="964"/>
      <c r="C66" s="963"/>
      <c r="E66" s="960">
        <f>E60*$C$65</f>
        <v>58533.884495064267</v>
      </c>
      <c r="G66" s="960">
        <f>G60*$C$65</f>
        <v>48073.201452391571</v>
      </c>
      <c r="I66" s="960">
        <f>I60*$C$65</f>
        <v>57184.704742429778</v>
      </c>
      <c r="K66" s="960">
        <f>K60*$C$65</f>
        <v>66326.109482733562</v>
      </c>
      <c r="M66" s="960">
        <f>M60*$C$65</f>
        <v>75491.320789530902</v>
      </c>
      <c r="O66" s="960">
        <f>O60*$C$65</f>
        <v>84169.854432227308</v>
      </c>
      <c r="Q66" s="960">
        <f>Q60*$C$65</f>
        <v>93362.818880960782</v>
      </c>
      <c r="S66" s="960">
        <f>S60*$C$65</f>
        <v>102558.89661995086</v>
      </c>
      <c r="U66" s="960">
        <f>U60*$C$65</f>
        <v>111750.32469836302</v>
      </c>
      <c r="W66" s="960">
        <f>W60*$C$65</f>
        <v>120928.87448936433</v>
      </c>
      <c r="Y66" s="960">
        <f>Y60*$C$65</f>
        <v>129566.71062694563</v>
      </c>
      <c r="AA66" s="960">
        <f>AA60*$C$65</f>
        <v>138692.84908896632</v>
      </c>
      <c r="AC66" s="960">
        <f>AC60*$C$65</f>
        <v>147778.41439369935</v>
      </c>
      <c r="AE66" s="960">
        <f>AE60*$C$65</f>
        <v>156813.09587594485</v>
      </c>
      <c r="AG66" s="960">
        <f>AG60*$C$65</f>
        <v>165786.00300751498</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58533.884495064267</v>
      </c>
      <c r="G70" s="960">
        <f>SUM(G66:G69)</f>
        <v>48073.201452391571</v>
      </c>
      <c r="I70" s="960">
        <f>SUM(I66:I69)</f>
        <v>57184.704742429778</v>
      </c>
      <c r="K70" s="960">
        <f>SUM(K66:K69)</f>
        <v>66326.109482733562</v>
      </c>
      <c r="M70" s="960">
        <f>SUM(M66:M69)</f>
        <v>75491.320789530902</v>
      </c>
      <c r="O70" s="960">
        <f>SUM(O66:O69)</f>
        <v>84169.854432227308</v>
      </c>
      <c r="Q70" s="960">
        <f>SUM(Q66:Q69)</f>
        <v>93362.818880960782</v>
      </c>
      <c r="S70" s="960">
        <f>SUM(S66:S69)</f>
        <v>102558.89661995086</v>
      </c>
      <c r="U70" s="960">
        <f>SUM(U66:U69)</f>
        <v>111750.32469836302</v>
      </c>
      <c r="W70" s="960">
        <f>SUM(W66:W69)</f>
        <v>120928.87448936433</v>
      </c>
      <c r="Y70" s="960">
        <f>SUM(Y66:Y69)</f>
        <v>129566.71062694563</v>
      </c>
      <c r="AA70" s="960">
        <f>SUM(AA66:AA69)</f>
        <v>138692.84908896632</v>
      </c>
      <c r="AC70" s="960">
        <f>SUM(AC66:AC69)</f>
        <v>147778.41439369935</v>
      </c>
      <c r="AE70" s="960">
        <f>SUM(AE66:AE69)</f>
        <v>156813.09587594485</v>
      </c>
      <c r="AG70" s="960">
        <f>SUM(AG66:AG69)</f>
        <v>165786.00300751498</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52" t="s">
        <v>1721</v>
      </c>
      <c r="B77" s="2653"/>
      <c r="C77" s="2653"/>
      <c r="D77" s="2653"/>
      <c r="E77" s="2653"/>
      <c r="F77" s="2653"/>
      <c r="G77" s="2653"/>
      <c r="H77" s="2653"/>
      <c r="I77" s="2653"/>
      <c r="J77" s="2653"/>
      <c r="K77" s="2653"/>
      <c r="L77" s="2653"/>
      <c r="M77" s="2653"/>
      <c r="N77" s="2653"/>
      <c r="O77" s="2653"/>
      <c r="P77" s="2653"/>
      <c r="Q77" s="2653"/>
      <c r="R77" s="2653"/>
      <c r="S77" s="2653"/>
      <c r="T77" s="2653"/>
      <c r="U77" s="2653"/>
      <c r="V77" s="2653"/>
      <c r="W77" s="2653"/>
      <c r="X77" s="2653"/>
      <c r="Y77" s="2653"/>
      <c r="Z77" s="2653"/>
      <c r="AA77" s="2653"/>
      <c r="AB77" s="2653"/>
      <c r="AC77" s="2653"/>
      <c r="AD77" s="2653"/>
      <c r="AE77" s="2653"/>
      <c r="AF77" s="2653"/>
      <c r="AG77" s="265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workbookViewId="0">
      <selection activeCell="I137" sqref="I13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6" t="s">
        <v>1585</v>
      </c>
      <c r="B1" s="2666"/>
      <c r="C1" s="2666"/>
      <c r="D1" s="2666"/>
      <c r="E1" s="2666"/>
      <c r="F1" s="2666"/>
      <c r="G1" s="2666"/>
      <c r="H1" s="2666"/>
      <c r="I1" s="2666"/>
      <c r="J1" s="2666"/>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44269118</v>
      </c>
      <c r="I3" s="1105"/>
    </row>
    <row r="4" spans="1:13" s="1051" customFormat="1" ht="20.100000000000001" customHeight="1">
      <c r="B4" s="1094"/>
      <c r="D4" s="1108"/>
      <c r="F4" s="1092" t="s">
        <v>1991</v>
      </c>
      <c r="G4" s="1091" t="s">
        <v>1990</v>
      </c>
      <c r="H4" s="1093">
        <f>I18</f>
        <v>11514117.399866818</v>
      </c>
      <c r="I4" s="1095"/>
      <c r="K4" s="1055"/>
    </row>
    <row r="5" spans="1:13" s="1051" customFormat="1" ht="20.100000000000001" customHeight="1" thickBot="1">
      <c r="B5" s="1096"/>
      <c r="C5" s="1097"/>
      <c r="D5" s="1109"/>
      <c r="E5" s="1098"/>
      <c r="F5" s="1109" t="s">
        <v>1941</v>
      </c>
      <c r="G5" s="1110"/>
      <c r="H5" s="1106">
        <f>IFERROR(H3/H4,0)</f>
        <v>3.8447686837474886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9" t="s">
        <v>1939</v>
      </c>
      <c r="C8" s="2670"/>
      <c r="D8" s="2670"/>
      <c r="E8" s="2671"/>
      <c r="G8" s="2672" t="s">
        <v>1940</v>
      </c>
      <c r="H8" s="2673"/>
      <c r="I8" s="2674"/>
      <c r="K8" s="1057"/>
    </row>
    <row r="9" spans="1:13" ht="15" customHeight="1">
      <c r="A9" s="1046"/>
      <c r="B9" s="2667" t="s">
        <v>1973</v>
      </c>
      <c r="C9" s="2667"/>
      <c r="D9" s="2667"/>
      <c r="E9" s="1059">
        <f>G33</f>
        <v>7112500</v>
      </c>
      <c r="G9" s="2675" t="s">
        <v>1971</v>
      </c>
      <c r="H9" s="2675"/>
      <c r="I9" s="1060">
        <f>SUMIF(Application!M554:M565,"Loan, Tax-Exempt",Application!AM554:AM565)</f>
        <v>11893063.035811801</v>
      </c>
      <c r="K9" s="1061"/>
      <c r="M9" s="1062"/>
    </row>
    <row r="10" spans="1:13" ht="15" customHeight="1" thickBot="1">
      <c r="A10" s="1046"/>
      <c r="B10" s="2667" t="s">
        <v>1974</v>
      </c>
      <c r="C10" s="2667"/>
      <c r="D10" s="2667"/>
      <c r="E10" s="1060">
        <f>G47</f>
        <v>24256367.999999996</v>
      </c>
      <c r="G10" s="2679" t="s">
        <v>1942</v>
      </c>
      <c r="H10" s="2679"/>
      <c r="I10" s="1140">
        <f>'Basis &amp; Credits'!AB78</f>
        <v>0</v>
      </c>
      <c r="M10" s="1062"/>
    </row>
    <row r="11" spans="1:13" ht="15" customHeight="1">
      <c r="A11" s="1046"/>
      <c r="B11" s="2683" t="s">
        <v>2262</v>
      </c>
      <c r="C11" s="2684"/>
      <c r="D11" s="2685"/>
      <c r="E11" s="1060">
        <f>SUM(E12,E13)</f>
        <v>240000</v>
      </c>
      <c r="G11" s="2682" t="s">
        <v>1982</v>
      </c>
      <c r="H11" s="2682"/>
      <c r="I11" s="1139">
        <f>I9+I10</f>
        <v>11893063.035811801</v>
      </c>
      <c r="M11" s="1062"/>
    </row>
    <row r="12" spans="1:13" ht="15" customHeight="1">
      <c r="A12" s="1063"/>
      <c r="B12" s="2668" t="s">
        <v>2264</v>
      </c>
      <c r="C12" s="2668"/>
      <c r="D12" s="2668"/>
      <c r="E12" s="1165">
        <f>G56</f>
        <v>0</v>
      </c>
      <c r="M12" s="1062"/>
    </row>
    <row r="13" spans="1:13" ht="15" customHeight="1">
      <c r="A13" s="1049"/>
      <c r="B13" s="2668" t="s">
        <v>2265</v>
      </c>
      <c r="C13" s="2668"/>
      <c r="D13" s="2668"/>
      <c r="E13" s="1165">
        <f>G65</f>
        <v>240000</v>
      </c>
      <c r="G13" s="2672" t="s">
        <v>2005</v>
      </c>
      <c r="H13" s="2673"/>
      <c r="I13" s="2674"/>
      <c r="M13" s="1062"/>
    </row>
    <row r="14" spans="1:13" ht="15" customHeight="1">
      <c r="A14" s="1049"/>
      <c r="B14" s="2683" t="s">
        <v>2263</v>
      </c>
      <c r="C14" s="2684"/>
      <c r="D14" s="2685"/>
      <c r="E14" s="1167">
        <f>MAX(E15,E16)+E17</f>
        <v>12660250</v>
      </c>
      <c r="G14" s="2675" t="s">
        <v>139</v>
      </c>
      <c r="H14" s="2675"/>
      <c r="I14" s="1064">
        <f>15%*(AND(G120="Yes",G122&lt;&gt;""))</f>
        <v>0</v>
      </c>
      <c r="M14" s="1062"/>
    </row>
    <row r="15" spans="1:13" ht="15" customHeight="1">
      <c r="A15" s="1049"/>
      <c r="B15" s="2686" t="s">
        <v>2269</v>
      </c>
      <c r="C15" s="2687"/>
      <c r="D15" s="2688"/>
      <c r="E15" s="1165">
        <f>G80</f>
        <v>0</v>
      </c>
      <c r="G15" s="1137" t="s">
        <v>1983</v>
      </c>
      <c r="H15" s="1137"/>
      <c r="I15" s="1064">
        <f>IF(Application!AJ1032&gt;0,10%,IF(Application!AJ1036&gt;0,5%,0))</f>
        <v>0</v>
      </c>
      <c r="M15" s="1062"/>
    </row>
    <row r="16" spans="1:13" ht="15" customHeight="1">
      <c r="A16" s="1049"/>
      <c r="B16" s="2686" t="s">
        <v>2268</v>
      </c>
      <c r="C16" s="2687"/>
      <c r="D16" s="2688"/>
      <c r="E16" s="1165">
        <f>G90</f>
        <v>2845000</v>
      </c>
      <c r="G16" s="2675" t="s">
        <v>1984</v>
      </c>
      <c r="H16" s="2675"/>
      <c r="I16" s="1064">
        <f>G132</f>
        <v>3.1862745098039214E-2</v>
      </c>
    </row>
    <row r="17" spans="1:21" ht="15" customHeight="1" thickBot="1">
      <c r="A17" s="1049"/>
      <c r="B17" s="2686" t="s">
        <v>2267</v>
      </c>
      <c r="C17" s="2687"/>
      <c r="D17" s="2688"/>
      <c r="E17" s="1165">
        <f>G115</f>
        <v>9815250</v>
      </c>
      <c r="G17" s="2675" t="s">
        <v>2277</v>
      </c>
      <c r="H17" s="2675"/>
      <c r="I17" s="1064">
        <f>IF(AND(G139="Yes",OR(G136,G137)),IF(G143&gt;15%,15%,G143),0)</f>
        <v>0</v>
      </c>
    </row>
    <row r="18" spans="1:21" ht="15" customHeight="1">
      <c r="A18" s="1046"/>
      <c r="B18" s="2678" t="s">
        <v>1938</v>
      </c>
      <c r="C18" s="2678"/>
      <c r="D18" s="2678"/>
      <c r="E18" s="1111">
        <f>SUM(E9:E11,E14)</f>
        <v>44269118</v>
      </c>
      <c r="G18" s="1138" t="s">
        <v>1972</v>
      </c>
      <c r="H18" s="1138"/>
      <c r="I18" s="1112">
        <f>I11-((I11*I14)+(I11*I15)+(I11*I16)+(I11*I17))</f>
        <v>11514117.399866818</v>
      </c>
      <c r="M18" s="1065">
        <f>SUM(Cdlac[Quantity])</f>
        <v>112</v>
      </c>
      <c r="O18" s="1084" t="s">
        <v>583</v>
      </c>
      <c r="P18" s="1044">
        <f>MATCH(Application!T189,Application!CB160:CB217,0)</f>
        <v>30</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951.59999999999991</v>
      </c>
      <c r="Q20" s="1164"/>
      <c r="R20" s="1065" cm="1">
        <f t="array" ref="R20">IF(Cdlac[[#This Row],[Quantity]]&gt;0,INDEX(HudFmrs,$P$18,Cdlac[[#This Row],[Bedrooms]]+1),"")</f>
        <v>2454</v>
      </c>
      <c r="S20" s="1065">
        <f>IF(Cdlac[[#This Row],[Quantity]]&gt;0,MAX(0,Cdlac[[#This Row],[Fair Market Rent]]-IF(AND($G$37,$G$38,$G$38&lt;&gt;"",NOT(Cdlac[[#This Row],[Federal]]),Cdlac[[#This Row],[Preservation Rent]]&lt;&gt;""),Cdlac[[#This Row],[Preservation Rent]],Cdlac[[#This Row],[Restricted Rent]])),"")</f>
        <v>1502.4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0.3</v>
      </c>
      <c r="O21" s="1071">
        <f>IF(Cdlac[[#This Row],[Quantity]]&gt;0,IF(Cdlac[[#This Row],[Federal]],30%,IF(AND(OR(NOT($G$38),$G$38=""),$G$43),40%,Cdlac[[#This Row],[iAMI]])),"")</f>
        <v>0.3</v>
      </c>
      <c r="P21" s="1065" cm="1">
        <f t="array" ref="P21">IF(Cdlac[[#This Row],[Quantity]]&gt;0,INDEX(TcacRents,$P$18,Cdlac[[#This Row],[Bedrooms]]+1)*Cdlac[[#This Row],[AMI]],"")</f>
        <v>951.59999999999991</v>
      </c>
      <c r="Q21" s="1164"/>
      <c r="R21" s="1065" cm="1">
        <f t="array" ref="R21">IF(Cdlac[[#This Row],[Quantity]]&gt;0,INDEX(HudFmrs,$P$18,Cdlac[[#This Row],[Bedrooms]]+1),"")</f>
        <v>2454</v>
      </c>
      <c r="S21" s="1065">
        <f>IF(Cdlac[[#This Row],[Quantity]]&gt;0,MAX(0,Cdlac[[#This Row],[Fair Market Rent]]-IF(AND($G$37,$G$38,$G$38&lt;&gt;"",NOT(Cdlac[[#This Row],[Federal]]),Cdlac[[#This Row],[Preservation Rent]]&lt;&gt;""),Cdlac[[#This Row],[Preservation Rent]],Cdlac[[#This Row],[Restricted Rent]])),"")</f>
        <v>1502.4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6" t="s">
        <v>1986</v>
      </c>
      <c r="D22" s="2676" t="s">
        <v>1987</v>
      </c>
      <c r="E22" s="2676" t="s">
        <v>1988</v>
      </c>
      <c r="F22" s="2676" t="s">
        <v>2608</v>
      </c>
      <c r="G22" s="2676" t="s">
        <v>1985</v>
      </c>
      <c r="H22" s="1070"/>
      <c r="I22" s="1069"/>
      <c r="L22" s="1044">
        <f>IFERROR(MIN(4,MATCH(Application!B720,UnitSizes,0)-1),"")</f>
        <v>1</v>
      </c>
      <c r="M22" s="1065">
        <f>Application!G720</f>
        <v>3</v>
      </c>
      <c r="N22" s="1071">
        <f>Application!AC720</f>
        <v>0.4</v>
      </c>
      <c r="O22" s="1071">
        <f>IF(Cdlac[[#This Row],[Quantity]]&gt;0,IF(Cdlac[[#This Row],[Federal]],30%,IF(AND(OR(NOT($G$38),$G$38=""),$G$43),40%,Cdlac[[#This Row],[iAMI]])),"")</f>
        <v>0.4</v>
      </c>
      <c r="P22" s="1065" cm="1">
        <f t="array" ref="P22">IF(Cdlac[[#This Row],[Quantity]]&gt;0,INDEX(TcacRents,$P$18,Cdlac[[#This Row],[Bedrooms]]+1)*Cdlac[[#This Row],[AMI]],"")</f>
        <v>1268.8000000000002</v>
      </c>
      <c r="Q22" s="1164"/>
      <c r="R22" s="1065" cm="1">
        <f t="array" ref="R22">IF(Cdlac[[#This Row],[Quantity]]&gt;0,INDEX(HudFmrs,$P$18,Cdlac[[#This Row],[Bedrooms]]+1),"")</f>
        <v>2454</v>
      </c>
      <c r="S22" s="1065">
        <f>IF(Cdlac[[#This Row],[Quantity]]&gt;0,MAX(0,Cdlac[[#This Row],[Fair Market Rent]]-IF(AND($G$37,$G$38,$G$38&lt;&gt;"",NOT(Cdlac[[#This Row],[Federal]]),Cdlac[[#This Row],[Preservation Rent]]&lt;&gt;""),Cdlac[[#This Row],[Preservation Rent]],Cdlac[[#This Row],[Restricted Rent]])),"")</f>
        <v>1185.1999999999998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7"/>
      <c r="D23" s="2677"/>
      <c r="E23" s="2677"/>
      <c r="F23" s="2677"/>
      <c r="G23" s="2677"/>
      <c r="H23" s="1070"/>
      <c r="I23" s="1069"/>
      <c r="L23" s="1044">
        <f>IFERROR(MIN(4,MATCH(Application!B721,UnitSizes,0)-1),"")</f>
        <v>1</v>
      </c>
      <c r="M23" s="1065">
        <f>Application!G721</f>
        <v>1</v>
      </c>
      <c r="N23" s="1071">
        <f>Application!AC721</f>
        <v>0.4</v>
      </c>
      <c r="O23" s="1071">
        <f>IF(Cdlac[[#This Row],[Quantity]]&gt;0,IF(Cdlac[[#This Row],[Federal]],30%,IF(AND(OR(NOT($G$38),$G$38=""),$G$43),40%,Cdlac[[#This Row],[iAMI]])),"")</f>
        <v>0.4</v>
      </c>
      <c r="P23" s="1065" cm="1">
        <f t="array" ref="P23">IF(Cdlac[[#This Row],[Quantity]]&gt;0,INDEX(TcacRents,$P$18,Cdlac[[#This Row],[Bedrooms]]+1)*Cdlac[[#This Row],[AMI]],"")</f>
        <v>1268.8000000000002</v>
      </c>
      <c r="Q23" s="1164"/>
      <c r="R23" s="1065" cm="1">
        <f t="array" ref="R23">IF(Cdlac[[#This Row],[Quantity]]&gt;0,INDEX(HudFmrs,$P$18,Cdlac[[#This Row],[Bedrooms]]+1),"")</f>
        <v>2454</v>
      </c>
      <c r="S23" s="1065">
        <f>IF(Cdlac[[#This Row],[Quantity]]&gt;0,MAX(0,Cdlac[[#This Row],[Fair Market Rent]]-IF(AND($G$37,$G$38,$G$38&lt;&gt;"",NOT(Cdlac[[#This Row],[Federal]]),Cdlac[[#This Row],[Preservation Rent]]&lt;&gt;""),Cdlac[[#This Row],[Preservation Rent]],Cdlac[[#This Row],[Restricted Rent]])),"")</f>
        <v>1185.1999999999998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v>
      </c>
      <c r="N24" s="1071">
        <f>Application!AC722</f>
        <v>0.4</v>
      </c>
      <c r="O24" s="1071">
        <f>IF(Cdlac[[#This Row],[Quantity]]&gt;0,IF(Cdlac[[#This Row],[Federal]],30%,IF(AND(OR(NOT($G$38),$G$38=""),$G$43),40%,Cdlac[[#This Row],[iAMI]])),"")</f>
        <v>0.4</v>
      </c>
      <c r="P24" s="1065" cm="1">
        <f t="array" ref="P24">IF(Cdlac[[#This Row],[Quantity]]&gt;0,INDEX(TcacRents,$P$18,Cdlac[[#This Row],[Bedrooms]]+1)*Cdlac[[#This Row],[AMI]],"")</f>
        <v>1268.8000000000002</v>
      </c>
      <c r="Q24" s="1164"/>
      <c r="R24" s="1065" cm="1">
        <f t="array" ref="R24">IF(Cdlac[[#This Row],[Quantity]]&gt;0,INDEX(HudFmrs,$P$18,Cdlac[[#This Row],[Bedrooms]]+1),"")</f>
        <v>2454</v>
      </c>
      <c r="S24" s="1065">
        <f>IF(Cdlac[[#This Row],[Quantity]]&gt;0,MAX(0,Cdlac[[#This Row],[Fair Market Rent]]-IF(AND($G$37,$G$38,$G$38&lt;&gt;"",NOT(Cdlac[[#This Row],[Federal]]),Cdlac[[#This Row],[Preservation Rent]]&lt;&gt;""),Cdlac[[#This Row],[Preservation Rent]],Cdlac[[#This Row],[Restricted Rent]])),"")</f>
        <v>1185.1999999999998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1</v>
      </c>
      <c r="M25" s="1065">
        <f>Application!G723</f>
        <v>3</v>
      </c>
      <c r="N25" s="1071">
        <f>Application!AC723</f>
        <v>0.5</v>
      </c>
      <c r="O25" s="1071">
        <f>IF(Cdlac[[#This Row],[Quantity]]&gt;0,IF(Cdlac[[#This Row],[Federal]],30%,IF(AND(OR(NOT($G$38),$G$38=""),$G$43),40%,Cdlac[[#This Row],[iAMI]])),"")</f>
        <v>0.5</v>
      </c>
      <c r="P25" s="1065" cm="1">
        <f t="array" ref="P25">IF(Cdlac[[#This Row],[Quantity]]&gt;0,INDEX(TcacRents,$P$18,Cdlac[[#This Row],[Bedrooms]]+1)*Cdlac[[#This Row],[AMI]],"")</f>
        <v>1586</v>
      </c>
      <c r="Q25" s="1164"/>
      <c r="R25" s="1065" cm="1">
        <f t="array" ref="R25">IF(Cdlac[[#This Row],[Quantity]]&gt;0,INDEX(HudFmrs,$P$18,Cdlac[[#This Row],[Bedrooms]]+1),"")</f>
        <v>2454</v>
      </c>
      <c r="S25" s="1065">
        <f>IF(Cdlac[[#This Row],[Quantity]]&gt;0,MAX(0,Cdlac[[#This Row],[Fair Market Rent]]-IF(AND($G$37,$G$38,$G$38&lt;&gt;"",NOT(Cdlac[[#This Row],[Federal]]),Cdlac[[#This Row],[Preservation Rent]]&lt;&gt;""),Cdlac[[#This Row],[Preservation Rent]],Cdlac[[#This Row],[Restricted Rent]])),"")</f>
        <v>868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53</v>
      </c>
      <c r="F26" s="1075">
        <f>SUM(E26:E28)-SUM(F27:F28)</f>
        <v>55</v>
      </c>
      <c r="G26" s="1072">
        <f>D26*F26</f>
        <v>68.75</v>
      </c>
      <c r="H26" s="1074"/>
      <c r="I26" s="1074"/>
      <c r="L26" s="1044">
        <f>IFERROR(MIN(4,MATCH(Application!B724,UnitSizes,0)-1),"")</f>
        <v>1</v>
      </c>
      <c r="M26" s="1065">
        <f>Application!G724</f>
        <v>8</v>
      </c>
      <c r="N26" s="1071">
        <f>Application!AC724</f>
        <v>0.5</v>
      </c>
      <c r="O26" s="1071">
        <f>IF(Cdlac[[#This Row],[Quantity]]&gt;0,IF(Cdlac[[#This Row],[Federal]],30%,IF(AND(OR(NOT($G$38),$G$38=""),$G$43),40%,Cdlac[[#This Row],[iAMI]])),"")</f>
        <v>0.5</v>
      </c>
      <c r="P26" s="1065" cm="1">
        <f t="array" ref="P26">IF(Cdlac[[#This Row],[Quantity]]&gt;0,INDEX(TcacRents,$P$18,Cdlac[[#This Row],[Bedrooms]]+1)*Cdlac[[#This Row],[AMI]],"")</f>
        <v>1586</v>
      </c>
      <c r="Q26" s="1164"/>
      <c r="R26" s="1065" cm="1">
        <f t="array" ref="R26">IF(Cdlac[[#This Row],[Quantity]]&gt;0,INDEX(HudFmrs,$P$18,Cdlac[[#This Row],[Bedrooms]]+1),"")</f>
        <v>2454</v>
      </c>
      <c r="S26" s="1065">
        <f>IF(Cdlac[[#This Row],[Quantity]]&gt;0,MAX(0,Cdlac[[#This Row],[Fair Market Rent]]-IF(AND($G$37,$G$38,$G$38&lt;&gt;"",NOT(Cdlac[[#This Row],[Federal]]),Cdlac[[#This Row],[Preservation Rent]]&lt;&gt;""),Cdlac[[#This Row],[Preservation Rent]],Cdlac[[#This Row],[Restricted Rent]])),"")</f>
        <v>868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33</v>
      </c>
      <c r="G27" s="1072">
        <f>D27*F27</f>
        <v>49.5</v>
      </c>
      <c r="H27" s="1074"/>
      <c r="I27" s="1074"/>
      <c r="L27" s="1044">
        <f>IFERROR(MIN(4,MATCH(Application!B725,UnitSizes,0)-1),"")</f>
        <v>1</v>
      </c>
      <c r="M27" s="1065">
        <f>Application!G725</f>
        <v>4</v>
      </c>
      <c r="N27" s="1071">
        <f>Application!AC725</f>
        <v>0.6</v>
      </c>
      <c r="O27" s="1071">
        <f>IF(Cdlac[[#This Row],[Quantity]]&gt;0,IF(Cdlac[[#This Row],[Federal]],30%,IF(AND(OR(NOT($G$38),$G$38=""),$G$43),40%,Cdlac[[#This Row],[iAMI]])),"")</f>
        <v>0.6</v>
      </c>
      <c r="P27" s="1065" cm="1">
        <f t="array" ref="P27">IF(Cdlac[[#This Row],[Quantity]]&gt;0,INDEX(TcacRents,$P$18,Cdlac[[#This Row],[Bedrooms]]+1)*Cdlac[[#This Row],[AMI]],"")</f>
        <v>1903.1999999999998</v>
      </c>
      <c r="Q27" s="1164"/>
      <c r="R27" s="1065" cm="1">
        <f t="array" ref="R27">IF(Cdlac[[#This Row],[Quantity]]&gt;0,INDEX(HudFmrs,$P$18,Cdlac[[#This Row],[Bedrooms]]+1),"")</f>
        <v>2454</v>
      </c>
      <c r="S27" s="1065">
        <f>IF(Cdlac[[#This Row],[Quantity]]&gt;0,MAX(0,Cdlac[[#This Row],[Fair Market Rent]]-IF(AND($G$37,$G$38,$G$38&lt;&gt;"",NOT(Cdlac[[#This Row],[Federal]]),Cdlac[[#This Row],[Preservation Rent]]&lt;&gt;""),Cdlac[[#This Row],[Preservation Rent]],Cdlac[[#This Row],[Restricted Rent]])),"")</f>
        <v>550.80000000000018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1141.8</v>
      </c>
      <c r="Q28" s="1164"/>
      <c r="R28" s="1065" cm="1">
        <f t="array" ref="R28">IF(Cdlac[[#This Row],[Quantity]]&gt;0,INDEX(HudFmrs,$P$18,Cdlac[[#This Row],[Bedrooms]]+1),"")</f>
        <v>2903</v>
      </c>
      <c r="S28" s="1065">
        <f>IF(Cdlac[[#This Row],[Quantity]]&gt;0,MAX(0,Cdlac[[#This Row],[Fair Market Rent]]-IF(AND($G$37,$G$38,$G$38&lt;&gt;"",NOT(Cdlac[[#This Row],[Federal]]),Cdlac[[#This Row],[Preservation Rent]]&lt;&gt;""),Cdlac[[#This Row],[Preservation Rent]],Cdlac[[#This Row],[Restricted Rent]])),"")</f>
        <v>1761.2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90" t="s">
        <v>1586</v>
      </c>
      <c r="D29" s="2691"/>
      <c r="E29" s="1089">
        <f>SUM(E24:E28)</f>
        <v>112</v>
      </c>
      <c r="F29" s="1089">
        <f>SUM(F24:F28)</f>
        <v>112</v>
      </c>
      <c r="G29" s="1090">
        <f>SUMPRODUCT(D24:D28,F24:F28)</f>
        <v>142.25</v>
      </c>
      <c r="H29" s="1074"/>
      <c r="I29" s="1074"/>
      <c r="L29" s="1044">
        <f>IFERROR(MIN(4,MATCH(Application!B727,UnitSizes,0)-1),"")</f>
        <v>2</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1141.8</v>
      </c>
      <c r="Q29" s="1164"/>
      <c r="R29" s="1065" cm="1">
        <f t="array" ref="R29">IF(Cdlac[[#This Row],[Quantity]]&gt;0,INDEX(HudFmrs,$P$18,Cdlac[[#This Row],[Bedrooms]]+1),"")</f>
        <v>2903</v>
      </c>
      <c r="S29" s="1065">
        <f>IF(Cdlac[[#This Row],[Quantity]]&gt;0,MAX(0,Cdlac[[#This Row],[Fair Market Rent]]-IF(AND($G$37,$G$38,$G$38&lt;&gt;"",NOT(Cdlac[[#This Row],[Federal]]),Cdlac[[#This Row],[Preservation Rent]]&lt;&gt;""),Cdlac[[#This Row],[Preservation Rent]],Cdlac[[#This Row],[Restricted Rent]])),"")</f>
        <v>1761.2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v>
      </c>
      <c r="N30" s="1071">
        <f>Application!AC728</f>
        <v>0.4</v>
      </c>
      <c r="O30" s="1071">
        <f>IF(Cdlac[[#This Row],[Quantity]]&gt;0,IF(Cdlac[[#This Row],[Federal]],30%,IF(AND(OR(NOT($G$38),$G$38=""),$G$43),40%,Cdlac[[#This Row],[iAMI]])),"")</f>
        <v>0.4</v>
      </c>
      <c r="P30" s="1065" cm="1">
        <f t="array" ref="P30">IF(Cdlac[[#This Row],[Quantity]]&gt;0,INDEX(TcacRents,$P$18,Cdlac[[#This Row],[Bedrooms]]+1)*Cdlac[[#This Row],[AMI]],"")</f>
        <v>1522.4</v>
      </c>
      <c r="Q30" s="1164"/>
      <c r="R30" s="1065" cm="1">
        <f t="array" ref="R30">IF(Cdlac[[#This Row],[Quantity]]&gt;0,INDEX(HudFmrs,$P$18,Cdlac[[#This Row],[Bedrooms]]+1),"")</f>
        <v>2903</v>
      </c>
      <c r="S30" s="1065">
        <f>IF(Cdlac[[#This Row],[Quantity]]&gt;0,MAX(0,Cdlac[[#This Row],[Fair Market Rent]]-IF(AND($G$37,$G$38,$G$38&lt;&gt;"",NOT(Cdlac[[#This Row],[Federal]]),Cdlac[[#This Row],[Preservation Rent]]&lt;&gt;""),Cdlac[[#This Row],[Preservation Rent]],Cdlac[[#This Row],[Restricted Rent]])),"")</f>
        <v>1380.6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142.25</v>
      </c>
      <c r="H31" s="1074"/>
      <c r="I31" s="1074"/>
      <c r="L31" s="1044">
        <f>IFERROR(MIN(4,MATCH(Application!B729,UnitSizes,0)-1),"")</f>
        <v>2</v>
      </c>
      <c r="M31" s="1065">
        <f>Application!G729</f>
        <v>1</v>
      </c>
      <c r="N31" s="1071">
        <f>Application!AC729</f>
        <v>0.4</v>
      </c>
      <c r="O31" s="1071">
        <f>IF(Cdlac[[#This Row],[Quantity]]&gt;0,IF(Cdlac[[#This Row],[Federal]],30%,IF(AND(OR(NOT($G$38),$G$38=""),$G$43),40%,Cdlac[[#This Row],[iAMI]])),"")</f>
        <v>0.4</v>
      </c>
      <c r="P31" s="1065" cm="1">
        <f t="array" ref="P31">IF(Cdlac[[#This Row],[Quantity]]&gt;0,INDEX(TcacRents,$P$18,Cdlac[[#This Row],[Bedrooms]]+1)*Cdlac[[#This Row],[AMI]],"")</f>
        <v>1522.4</v>
      </c>
      <c r="Q31" s="1164"/>
      <c r="R31" s="1065" cm="1">
        <f t="array" ref="R31">IF(Cdlac[[#This Row],[Quantity]]&gt;0,INDEX(HudFmrs,$P$18,Cdlac[[#This Row],[Bedrooms]]+1),"")</f>
        <v>2903</v>
      </c>
      <c r="S31" s="1065">
        <f>IF(Cdlac[[#This Row],[Quantity]]&gt;0,MAX(0,Cdlac[[#This Row],[Fair Market Rent]]-IF(AND($G$37,$G$38,$G$38&lt;&gt;"",NOT(Cdlac[[#This Row],[Federal]]),Cdlac[[#This Row],[Preservation Rent]]&lt;&gt;""),Cdlac[[#This Row],[Preservation Rent]],Cdlac[[#This Row],[Restricted Rent]])),"")</f>
        <v>1380.6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2</v>
      </c>
      <c r="M32" s="1065">
        <f>Application!G730</f>
        <v>1</v>
      </c>
      <c r="N32" s="1071">
        <f>Application!AC730</f>
        <v>0.4</v>
      </c>
      <c r="O32" s="1071">
        <f>IF(Cdlac[[#This Row],[Quantity]]&gt;0,IF(Cdlac[[#This Row],[Federal]],30%,IF(AND(OR(NOT($G$38),$G$38=""),$G$43),40%,Cdlac[[#This Row],[iAMI]])),"")</f>
        <v>0.4</v>
      </c>
      <c r="P32" s="1065" cm="1">
        <f t="array" ref="P32">IF(Cdlac[[#This Row],[Quantity]]&gt;0,INDEX(TcacRents,$P$18,Cdlac[[#This Row],[Bedrooms]]+1)*Cdlac[[#This Row],[AMI]],"")</f>
        <v>1522.4</v>
      </c>
      <c r="Q32" s="1164"/>
      <c r="R32" s="1065" cm="1">
        <f t="array" ref="R32">IF(Cdlac[[#This Row],[Quantity]]&gt;0,INDEX(HudFmrs,$P$18,Cdlac[[#This Row],[Bedrooms]]+1),"")</f>
        <v>2903</v>
      </c>
      <c r="S32" s="1065">
        <f>IF(Cdlac[[#This Row],[Quantity]]&gt;0,MAX(0,Cdlac[[#This Row],[Fair Market Rent]]-IF(AND($G$37,$G$38,$G$38&lt;&gt;"",NOT(Cdlac[[#This Row],[Federal]]),Cdlac[[#This Row],[Preservation Rent]]&lt;&gt;""),Cdlac[[#This Row],[Preservation Rent]],Cdlac[[#This Row],[Restricted Rent]])),"")</f>
        <v>1380.6</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7112500</v>
      </c>
      <c r="H33" s="1074"/>
      <c r="I33" s="1074"/>
      <c r="L33" s="1044">
        <f>IFERROR(MIN(4,MATCH(Application!B731,UnitSizes,0)-1),"")</f>
        <v>2</v>
      </c>
      <c r="M33" s="1065">
        <f>Application!G731</f>
        <v>1</v>
      </c>
      <c r="N33" s="1071">
        <f>Application!AC731</f>
        <v>0.4</v>
      </c>
      <c r="O33" s="1071">
        <f>IF(Cdlac[[#This Row],[Quantity]]&gt;0,IF(Cdlac[[#This Row],[Federal]],30%,IF(AND(OR(NOT($G$38),$G$38=""),$G$43),40%,Cdlac[[#This Row],[iAMI]])),"")</f>
        <v>0.4</v>
      </c>
      <c r="P33" s="1065" cm="1">
        <f t="array" ref="P33">IF(Cdlac[[#This Row],[Quantity]]&gt;0,INDEX(TcacRents,$P$18,Cdlac[[#This Row],[Bedrooms]]+1)*Cdlac[[#This Row],[AMI]],"")</f>
        <v>1522.4</v>
      </c>
      <c r="Q33" s="1164"/>
      <c r="R33" s="1065" cm="1">
        <f t="array" ref="R33">IF(Cdlac[[#This Row],[Quantity]]&gt;0,INDEX(HudFmrs,$P$18,Cdlac[[#This Row],[Bedrooms]]+1),"")</f>
        <v>2903</v>
      </c>
      <c r="S33" s="1065">
        <f>IF(Cdlac[[#This Row],[Quantity]]&gt;0,MAX(0,Cdlac[[#This Row],[Fair Market Rent]]-IF(AND($G$37,$G$38,$G$38&lt;&gt;"",NOT(Cdlac[[#This Row],[Federal]]),Cdlac[[#This Row],[Preservation Rent]]&lt;&gt;""),Cdlac[[#This Row],[Preservation Rent]],Cdlac[[#This Row],[Restricted Rent]])),"")</f>
        <v>1380.6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1</v>
      </c>
      <c r="N34" s="1071">
        <f>Application!AC732</f>
        <v>0.5</v>
      </c>
      <c r="O34" s="1071">
        <f>IF(Cdlac[[#This Row],[Quantity]]&gt;0,IF(Cdlac[[#This Row],[Federal]],30%,IF(AND(OR(NOT($G$38),$G$38=""),$G$43),40%,Cdlac[[#This Row],[iAMI]])),"")</f>
        <v>0.5</v>
      </c>
      <c r="P34" s="1065" cm="1">
        <f t="array" ref="P34">IF(Cdlac[[#This Row],[Quantity]]&gt;0,INDEX(TcacRents,$P$18,Cdlac[[#This Row],[Bedrooms]]+1)*Cdlac[[#This Row],[AMI]],"")</f>
        <v>1903</v>
      </c>
      <c r="Q34" s="1164"/>
      <c r="R34" s="1065" cm="1">
        <f t="array" ref="R34">IF(Cdlac[[#This Row],[Quantity]]&gt;0,INDEX(HudFmrs,$P$18,Cdlac[[#This Row],[Bedrooms]]+1),"")</f>
        <v>2903</v>
      </c>
      <c r="S34" s="1065">
        <f>IF(Cdlac[[#This Row],[Quantity]]&gt;0,MAX(0,Cdlac[[#This Row],[Fair Market Rent]]-IF(AND($G$37,$G$38,$G$38&lt;&gt;"",NOT(Cdlac[[#This Row],[Federal]]),Cdlac[[#This Row],[Preservation Rent]]&lt;&gt;""),Cdlac[[#This Row],[Preservation Rent]],Cdlac[[#This Row],[Restricted Rent]])),"")</f>
        <v>1000</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4</v>
      </c>
      <c r="N35" s="1071">
        <f>Application!AC733</f>
        <v>0.5</v>
      </c>
      <c r="O35" s="1071">
        <f>IF(Cdlac[[#This Row],[Quantity]]&gt;0,IF(Cdlac[[#This Row],[Federal]],30%,IF(AND(OR(NOT($G$38),$G$38=""),$G$43),40%,Cdlac[[#This Row],[iAMI]])),"")</f>
        <v>0.5</v>
      </c>
      <c r="P35" s="1065" cm="1">
        <f t="array" ref="P35">IF(Cdlac[[#This Row],[Quantity]]&gt;0,INDEX(TcacRents,$P$18,Cdlac[[#This Row],[Bedrooms]]+1)*Cdlac[[#This Row],[AMI]],"")</f>
        <v>1903</v>
      </c>
      <c r="Q35" s="1164"/>
      <c r="R35" s="1065" cm="1">
        <f t="array" ref="R35">IF(Cdlac[[#This Row],[Quantity]]&gt;0,INDEX(HudFmrs,$P$18,Cdlac[[#This Row],[Bedrooms]]+1),"")</f>
        <v>2903</v>
      </c>
      <c r="S35" s="1065">
        <f>IF(Cdlac[[#This Row],[Quantity]]&gt;0,MAX(0,Cdlac[[#This Row],[Fair Market Rent]]-IF(AND($G$37,$G$38,$G$38&lt;&gt;"",NOT(Cdlac[[#This Row],[Federal]]),Cdlac[[#This Row],[Preservation Rent]]&lt;&gt;""),Cdlac[[#This Row],[Preservation Rent]],Cdlac[[#This Row],[Restricted Rent]])),"")</f>
        <v>1000</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4</v>
      </c>
      <c r="N36" s="1071">
        <f>Application!AC734</f>
        <v>0.5</v>
      </c>
      <c r="O36" s="1071">
        <f>IF(Cdlac[[#This Row],[Quantity]]&gt;0,IF(Cdlac[[#This Row],[Federal]],30%,IF(AND(OR(NOT($G$38),$G$38=""),$G$43),40%,Cdlac[[#This Row],[iAMI]])),"")</f>
        <v>0.5</v>
      </c>
      <c r="P36" s="1065" cm="1">
        <f t="array" ref="P36">IF(Cdlac[[#This Row],[Quantity]]&gt;0,INDEX(TcacRents,$P$18,Cdlac[[#This Row],[Bedrooms]]+1)*Cdlac[[#This Row],[AMI]],"")</f>
        <v>1903</v>
      </c>
      <c r="Q36" s="1164"/>
      <c r="R36" s="1065" cm="1">
        <f t="array" ref="R36">IF(Cdlac[[#This Row],[Quantity]]&gt;0,INDEX(HudFmrs,$P$18,Cdlac[[#This Row],[Bedrooms]]+1),"")</f>
        <v>2903</v>
      </c>
      <c r="S36" s="1065">
        <f>IF(Cdlac[[#This Row],[Quantity]]&gt;0,MAX(0,Cdlac[[#This Row],[Fair Market Rent]]-IF(AND($G$37,$G$38,$G$38&lt;&gt;"",NOT(Cdlac[[#This Row],[Federal]]),Cdlac[[#This Row],[Preservation Rent]]&lt;&gt;""),Cdlac[[#This Row],[Preservation Rent]],Cdlac[[#This Row],[Restricted Rent]])),"")</f>
        <v>1000</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11</v>
      </c>
      <c r="N37" s="1071">
        <f>Application!AC735</f>
        <v>0.5</v>
      </c>
      <c r="O37" s="1071">
        <f>IF(Cdlac[[#This Row],[Quantity]]&gt;0,IF(Cdlac[[#This Row],[Federal]],30%,IF(AND(OR(NOT($G$38),$G$38=""),$G$43),40%,Cdlac[[#This Row],[iAMI]])),"")</f>
        <v>0.5</v>
      </c>
      <c r="P37" s="1065" cm="1">
        <f t="array" ref="P37">IF(Cdlac[[#This Row],[Quantity]]&gt;0,INDEX(TcacRents,$P$18,Cdlac[[#This Row],[Bedrooms]]+1)*Cdlac[[#This Row],[AMI]],"")</f>
        <v>1903</v>
      </c>
      <c r="Q37" s="1164"/>
      <c r="R37" s="1065" cm="1">
        <f t="array" ref="R37">IF(Cdlac[[#This Row],[Quantity]]&gt;0,INDEX(HudFmrs,$P$18,Cdlac[[#This Row],[Bedrooms]]+1),"")</f>
        <v>2903</v>
      </c>
      <c r="S37" s="1065">
        <f>IF(Cdlac[[#This Row],[Quantity]]&gt;0,MAX(0,Cdlac[[#This Row],[Fair Market Rent]]-IF(AND($G$37,$G$38,$G$38&lt;&gt;"",NOT(Cdlac[[#This Row],[Federal]]),Cdlac[[#This Row],[Preservation Rent]]&lt;&gt;""),Cdlac[[#This Row],[Preservation Rent]],Cdlac[[#This Row],[Restricted Rent]])),"")</f>
        <v>1000</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2259</v>
      </c>
      <c r="G38" s="1163"/>
      <c r="L38" s="1044">
        <f>IFERROR(MIN(4,MATCH(Application!B736,UnitSizes,0)-1),"")</f>
        <v>2</v>
      </c>
      <c r="M38" s="1065">
        <f>Application!G736</f>
        <v>8</v>
      </c>
      <c r="N38" s="1071">
        <f>Application!AC736</f>
        <v>0.5</v>
      </c>
      <c r="O38" s="1071">
        <f>IF(Cdlac[[#This Row],[Quantity]]&gt;0,IF(Cdlac[[#This Row],[Federal]],30%,IF(AND(OR(NOT($G$38),$G$38=""),$G$43),40%,Cdlac[[#This Row],[iAMI]])),"")</f>
        <v>0.5</v>
      </c>
      <c r="P38" s="1065" cm="1">
        <f t="array" ref="P38">IF(Cdlac[[#This Row],[Quantity]]&gt;0,INDEX(TcacRents,$P$18,Cdlac[[#This Row],[Bedrooms]]+1)*Cdlac[[#This Row],[AMI]],"")</f>
        <v>1903</v>
      </c>
      <c r="Q38" s="1164"/>
      <c r="R38" s="1065" cm="1">
        <f t="array" ref="R38">IF(Cdlac[[#This Row],[Quantity]]&gt;0,INDEX(HudFmrs,$P$18,Cdlac[[#This Row],[Bedrooms]]+1),"")</f>
        <v>2903</v>
      </c>
      <c r="S38" s="1065">
        <f>IF(Cdlac[[#This Row],[Quantity]]&gt;0,MAX(0,Cdlac[[#This Row],[Fair Market Rent]]-IF(AND($G$37,$G$38,$G$38&lt;&gt;"",NOT(Cdlac[[#This Row],[Federal]]),Cdlac[[#This Row],[Preservation Rent]]&lt;&gt;""),Cdlac[[#This Row],[Preservation Rent]],Cdlac[[#This Row],[Restricted Rent]])),"")</f>
        <v>1000</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93" t="str">
        <f>IF(AND(G37,G38,G38&lt;&gt;""),"Enter the average rent charged for each unit type over the last three years, as documented with rent rolls or property audits, in cells Q20:Q44","")</f>
        <v/>
      </c>
      <c r="D39" s="2693"/>
      <c r="E39" s="2693"/>
      <c r="F39" s="2693"/>
      <c r="G39" s="2693"/>
      <c r="H39" s="2693"/>
      <c r="L39" s="1044">
        <f>IFERROR(MIN(4,MATCH(Application!B737,UnitSizes,0)-1),"")</f>
        <v>2</v>
      </c>
      <c r="M39" s="1065">
        <f>Application!G737</f>
        <v>4</v>
      </c>
      <c r="N39" s="1071">
        <f>Application!AC737</f>
        <v>0.5</v>
      </c>
      <c r="O39" s="1071">
        <f>IF(Cdlac[[#This Row],[Quantity]]&gt;0,IF(Cdlac[[#This Row],[Federal]],30%,IF(AND(OR(NOT($G$38),$G$38=""),$G$43),40%,Cdlac[[#This Row],[iAMI]])),"")</f>
        <v>0.5</v>
      </c>
      <c r="P39" s="1065" cm="1">
        <f t="array" ref="P39">IF(Cdlac[[#This Row],[Quantity]]&gt;0,INDEX(TcacRents,$P$18,Cdlac[[#This Row],[Bedrooms]]+1)*Cdlac[[#This Row],[AMI]],"")</f>
        <v>1903</v>
      </c>
      <c r="Q39" s="1164"/>
      <c r="R39" s="1065" cm="1">
        <f t="array" ref="R39">IF(Cdlac[[#This Row],[Quantity]]&gt;0,INDEX(HudFmrs,$P$18,Cdlac[[#This Row],[Bedrooms]]+1),"")</f>
        <v>2903</v>
      </c>
      <c r="S39" s="1065">
        <f>IF(Cdlac[[#This Row],[Quantity]]&gt;0,MAX(0,Cdlac[[#This Row],[Fair Market Rent]]-IF(AND($G$37,$G$38,$G$38&lt;&gt;"",NOT(Cdlac[[#This Row],[Federal]]),Cdlac[[#This Row],[Preservation Rent]]&lt;&gt;""),Cdlac[[#This Row],[Preservation Rent]],Cdlac[[#This Row],[Restricted Rent]])),"")</f>
        <v>1000</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93"/>
      <c r="D40" s="2693"/>
      <c r="E40" s="2693"/>
      <c r="F40" s="2693"/>
      <c r="G40" s="2693"/>
      <c r="H40" s="2693"/>
      <c r="L40" s="1044">
        <f>IFERROR(MIN(4,MATCH(Application!B738,UnitSizes,0)-1),"")</f>
        <v>2</v>
      </c>
      <c r="M40" s="1065">
        <f>Application!G738</f>
        <v>2</v>
      </c>
      <c r="N40" s="1071">
        <f>Application!AC738</f>
        <v>0.6</v>
      </c>
      <c r="O40" s="1071">
        <f>IF(Cdlac[[#This Row],[Quantity]]&gt;0,IF(Cdlac[[#This Row],[Federal]],30%,IF(AND(OR(NOT($G$38),$G$38=""),$G$43),40%,Cdlac[[#This Row],[iAMI]])),"")</f>
        <v>0.6</v>
      </c>
      <c r="P40" s="1065" cm="1">
        <f t="array" ref="P40">IF(Cdlac[[#This Row],[Quantity]]&gt;0,INDEX(TcacRents,$P$18,Cdlac[[#This Row],[Bedrooms]]+1)*Cdlac[[#This Row],[AMI]],"")</f>
        <v>2283.6</v>
      </c>
      <c r="Q40" s="1164"/>
      <c r="R40" s="1065" cm="1">
        <f t="array" ref="R40">IF(Cdlac[[#This Row],[Quantity]]&gt;0,INDEX(HudFmrs,$P$18,Cdlac[[#This Row],[Bedrooms]]+1),"")</f>
        <v>2903</v>
      </c>
      <c r="S40" s="1065">
        <f>IF(Cdlac[[#This Row],[Quantity]]&gt;0,MAX(0,Cdlac[[#This Row],[Fair Market Rent]]-IF(AND($G$37,$G$38,$G$38&lt;&gt;"",NOT(Cdlac[[#This Row],[Federal]]),Cdlac[[#This Row],[Preservation Rent]]&lt;&gt;""),Cdlac[[#This Row],[Preservation Rent]],Cdlac[[#This Row],[Restricted Rent]])),"")</f>
        <v>619.40000000000009</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0</v>
      </c>
    </row>
    <row r="41" spans="1:21" ht="15" customHeight="1">
      <c r="C41" s="2693"/>
      <c r="D41" s="2693"/>
      <c r="E41" s="2693"/>
      <c r="F41" s="2693"/>
      <c r="G41" s="2693"/>
      <c r="H41" s="2693"/>
      <c r="L41" s="1044">
        <f>IFERROR(MIN(4,MATCH(Application!B739,UnitSizes,0)-1),"")</f>
        <v>2</v>
      </c>
      <c r="M41" s="1065">
        <f>Application!G739</f>
        <v>8</v>
      </c>
      <c r="N41" s="1071">
        <f>Application!AC739</f>
        <v>0.6</v>
      </c>
      <c r="O41" s="1071">
        <f>IF(Cdlac[[#This Row],[Quantity]]&gt;0,IF(Cdlac[[#This Row],[Federal]],30%,IF(AND(OR(NOT($G$38),$G$38=""),$G$43),40%,Cdlac[[#This Row],[iAMI]])),"")</f>
        <v>0.6</v>
      </c>
      <c r="P41" s="1065" cm="1">
        <f t="array" ref="P41">IF(Cdlac[[#This Row],[Quantity]]&gt;0,INDEX(TcacRents,$P$18,Cdlac[[#This Row],[Bedrooms]]+1)*Cdlac[[#This Row],[AMI]],"")</f>
        <v>2283.6</v>
      </c>
      <c r="Q41" s="1164"/>
      <c r="R41" s="1065" cm="1">
        <f t="array" ref="R41">IF(Cdlac[[#This Row],[Quantity]]&gt;0,INDEX(HudFmrs,$P$18,Cdlac[[#This Row],[Bedrooms]]+1),"")</f>
        <v>2903</v>
      </c>
      <c r="S41" s="1065">
        <f>IF(Cdlac[[#This Row],[Quantity]]&gt;0,MAX(0,Cdlac[[#This Row],[Fair Market Rent]]-IF(AND($G$37,$G$38,$G$38&lt;&gt;"",NOT(Cdlac[[#This Row],[Federal]]),Cdlac[[#This Row],[Preservation Rent]]&lt;&gt;""),Cdlac[[#This Row],[Preservation Rent]],Cdlac[[#This Row],[Restricted Rent]])),"")</f>
        <v>619.40000000000009</v>
      </c>
      <c r="T41" s="1044">
        <f>IF(Cdlac[[#This Row],[Quantity]]&gt;0,AND(Application!AK739&lt;&gt;"N/A",Application!AK739&lt;&gt;"")*Cdlac[[#This Row],[Quantity]],"")</f>
        <v>0</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0.49642857142857139</v>
      </c>
      <c r="L42" s="1044">
        <f>IFERROR(MIN(4,MATCH(Application!B740,UnitSizes,0)-1),"")</f>
        <v>2</v>
      </c>
      <c r="M42" s="1065">
        <f>Application!G740</f>
        <v>1</v>
      </c>
      <c r="N42" s="1071">
        <f>Application!AC740</f>
        <v>0.6</v>
      </c>
      <c r="O42" s="1071">
        <f>IF(Cdlac[[#This Row],[Quantity]]&gt;0,IF(Cdlac[[#This Row],[Federal]],30%,IF(AND(OR(NOT($G$38),$G$38=""),$G$43),40%,Cdlac[[#This Row],[iAMI]])),"")</f>
        <v>0.6</v>
      </c>
      <c r="P42" s="1065" cm="1">
        <f t="array" ref="P42">IF(Cdlac[[#This Row],[Quantity]]&gt;0,INDEX(TcacRents,$P$18,Cdlac[[#This Row],[Bedrooms]]+1)*Cdlac[[#This Row],[AMI]],"")</f>
        <v>2283.6</v>
      </c>
      <c r="Q42" s="1164"/>
      <c r="R42" s="1065" cm="1">
        <f t="array" ref="R42">IF(Cdlac[[#This Row],[Quantity]]&gt;0,INDEX(HudFmrs,$P$18,Cdlac[[#This Row],[Bedrooms]]+1),"")</f>
        <v>2903</v>
      </c>
      <c r="S42" s="1065">
        <f>IF(Cdlac[[#This Row],[Quantity]]&gt;0,MAX(0,Cdlac[[#This Row],[Fair Market Rent]]-IF(AND($G$37,$G$38,$G$38&lt;&gt;"",NOT(Cdlac[[#This Row],[Federal]]),Cdlac[[#This Row],[Preservation Rent]]&lt;&gt;""),Cdlac[[#This Row],[Preservation Rent]],Cdlac[[#This Row],[Restricted Rent]])),"")</f>
        <v>619.40000000000009</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f>IFERROR(MIN(4,MATCH(Application!B741,UnitSizes,0)-1),"")</f>
        <v>3</v>
      </c>
      <c r="M43" s="1065">
        <f>Application!G741</f>
        <v>1</v>
      </c>
      <c r="N43" s="1071">
        <f>Application!AC741</f>
        <v>0.3</v>
      </c>
      <c r="O43" s="1071">
        <f>IF(Cdlac[[#This Row],[Quantity]]&gt;0,IF(Cdlac[[#This Row],[Federal]],30%,IF(AND(OR(NOT($G$38),$G$38=""),$G$43),40%,Cdlac[[#This Row],[iAMI]])),"")</f>
        <v>0.3</v>
      </c>
      <c r="P43" s="1065" cm="1">
        <f t="array" ref="P43">IF(Cdlac[[#This Row],[Quantity]]&gt;0,INDEX(TcacRents,$P$18,Cdlac[[#This Row],[Bedrooms]]+1)*Cdlac[[#This Row],[AMI]],"")</f>
        <v>1320</v>
      </c>
      <c r="Q43" s="1164"/>
      <c r="R43" s="1065" cm="1">
        <f t="array" ref="R43">IF(Cdlac[[#This Row],[Quantity]]&gt;0,INDEX(HudFmrs,$P$18,Cdlac[[#This Row],[Bedrooms]]+1),"")</f>
        <v>3927</v>
      </c>
      <c r="S43" s="1065">
        <f>IF(Cdlac[[#This Row],[Quantity]]&gt;0,MAX(0,Cdlac[[#This Row],[Fair Market Rent]]-IF(AND($G$37,$G$38,$G$38&lt;&gt;"",NOT(Cdlac[[#This Row],[Federal]]),Cdlac[[#This Row],[Preservation Rent]]&lt;&gt;""),Cdlac[[#This Row],[Preservation Rent]],Cdlac[[#This Row],[Restricted Rent]])),"")</f>
        <v>2607</v>
      </c>
      <c r="T43" s="1044">
        <f>IF(Cdlac[[#This Row],[Quantity]]&gt;0,AND(Application!AK741&lt;&gt;"N/A",Application!AK741&lt;&gt;"")*Cdlac[[#This Row],[Quantity]],"")</f>
        <v>0</v>
      </c>
      <c r="U43" s="1044" t="b">
        <f>AND('Subsidy Contract Calculation'!F27&gt;0,OR('Subsidy Contract Calculation'!C27="Federal",'Subsidy Contract Calculation'!C27="Local - Approved by ED"),Cdlac[[#This Row],[Quantity]]&gt;0)</f>
        <v>0</v>
      </c>
    </row>
    <row r="44" spans="1:21" ht="15" customHeight="1">
      <c r="L44" s="1044">
        <f>IFERROR(MIN(4,MATCH(Application!B742,UnitSizes,0)-1),"")</f>
        <v>3</v>
      </c>
      <c r="M44" s="1065">
        <f>Application!G742</f>
        <v>2</v>
      </c>
      <c r="N44" s="1071">
        <f>Application!AC742</f>
        <v>0.3</v>
      </c>
      <c r="O44" s="1071">
        <f>IF(Cdlac[[#This Row],[Quantity]]&gt;0,IF(Cdlac[[#This Row],[Federal]],30%,IF(AND(OR(NOT($G$38),$G$38=""),$G$43),40%,Cdlac[[#This Row],[iAMI]])),"")</f>
        <v>0.3</v>
      </c>
      <c r="P44" s="1065" cm="1">
        <f t="array" ref="P44">IF(Cdlac[[#This Row],[Quantity]]&gt;0,INDEX(TcacRents,$P$18,Cdlac[[#This Row],[Bedrooms]]+1)*Cdlac[[#This Row],[AMI]],"")</f>
        <v>1320</v>
      </c>
      <c r="Q44" s="1164"/>
      <c r="R44" s="1065" cm="1">
        <f t="array" ref="R44">IF(Cdlac[[#This Row],[Quantity]]&gt;0,INDEX(HudFmrs,$P$18,Cdlac[[#This Row],[Bedrooms]]+1),"")</f>
        <v>3927</v>
      </c>
      <c r="S44" s="1065">
        <f>IF(Cdlac[[#This Row],[Quantity]]&gt;0,MAX(0,Cdlac[[#This Row],[Fair Market Rent]]-IF(AND($G$37,$G$38,$G$38&lt;&gt;"",NOT(Cdlac[[#This Row],[Federal]]),Cdlac[[#This Row],[Preservation Rent]]&lt;&gt;""),Cdlac[[#This Row],[Preservation Rent]],Cdlac[[#This Row],[Restricted Rent]])),"")</f>
        <v>2607</v>
      </c>
      <c r="T44" s="1044">
        <f>IF(Cdlac[[#This Row],[Quantity]]&gt;0,AND(Application!AK742&lt;&gt;"N/A",Application!AK742&lt;&gt;"")*Cdlac[[#This Row],[Quantity]],"")</f>
        <v>0</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134757.59999999998</v>
      </c>
      <c r="L45" s="1044">
        <f>IFERROR(MIN(4,MATCH(Application!B743,UnitSizes,0)-1),"")</f>
        <v>3</v>
      </c>
      <c r="M45" s="1065">
        <f>Application!G743</f>
        <v>2</v>
      </c>
      <c r="N45" s="1071">
        <f>Application!AC743</f>
        <v>0.4</v>
      </c>
      <c r="O45" s="1071">
        <f>IF(Cdlac[[#This Row],[Quantity]]&gt;0,IF(Cdlac[[#This Row],[Federal]],30%,IF(AND(OR(NOT($G$38),$G$38=""),$G$43),40%,Cdlac[[#This Row],[iAMI]])),"")</f>
        <v>0.4</v>
      </c>
      <c r="P45" s="1065" cm="1">
        <f t="array" ref="P45">IF(Cdlac[[#This Row],[Quantity]]&gt;0,INDEX(TcacRents,$P$18,Cdlac[[#This Row],[Bedrooms]]+1)*Cdlac[[#This Row],[AMI]],"")</f>
        <v>1760</v>
      </c>
      <c r="Q45" s="1164"/>
      <c r="R45" s="1065" cm="1">
        <f t="array" ref="R45">IF(Cdlac[[#This Row],[Quantity]]&gt;0,INDEX(HudFmrs,$P$18,Cdlac[[#This Row],[Bedrooms]]+1),"")</f>
        <v>3927</v>
      </c>
      <c r="S45" s="1065">
        <f>IF(Cdlac[[#This Row],[Quantity]]&gt;0,MAX(0,Cdlac[[#This Row],[Fair Market Rent]]-IF(AND($G$37,$G$38,$G$38&lt;&gt;"",NOT(Cdlac[[#This Row],[Federal]]),Cdlac[[#This Row],[Preservation Rent]]&lt;&gt;""),Cdlac[[#This Row],[Preservation Rent]],Cdlac[[#This Row],[Restricted Rent]])),"")</f>
        <v>2167</v>
      </c>
      <c r="T45" s="1044">
        <f>IF(Cdlac[[#This Row],[Quantity]]&gt;0,AND(Application!AK743&lt;&gt;"N/A",Application!AK743&lt;&gt;"")*Cdlac[[#This Row],[Quantity]],"")</f>
        <v>0</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f>IFERROR(MIN(4,MATCH(Application!B744,UnitSizes,0)-1),"")</f>
        <v>3</v>
      </c>
      <c r="M46" s="1065">
        <f>Application!G744</f>
        <v>1</v>
      </c>
      <c r="N46" s="1071">
        <f>Application!AC744</f>
        <v>0.5</v>
      </c>
      <c r="O46" s="1071">
        <f>IF(Cdlac[[#This Row],[Quantity]]&gt;0,IF(Cdlac[[#This Row],[Federal]],30%,IF(AND(OR(NOT($G$38),$G$38=""),$G$43),40%,Cdlac[[#This Row],[iAMI]])),"")</f>
        <v>0.5</v>
      </c>
      <c r="P46" s="1065" cm="1">
        <f t="array" ref="P46">IF(Cdlac[[#This Row],[Quantity]]&gt;0,INDEX(TcacRents,$P$18,Cdlac[[#This Row],[Bedrooms]]+1)*Cdlac[[#This Row],[AMI]],"")</f>
        <v>2200</v>
      </c>
      <c r="Q46" s="1164"/>
      <c r="R46" s="1065" cm="1">
        <f t="array" ref="R46">IF(Cdlac[[#This Row],[Quantity]]&gt;0,INDEX(HudFmrs,$P$18,Cdlac[[#This Row],[Bedrooms]]+1),"")</f>
        <v>3927</v>
      </c>
      <c r="S46" s="1065">
        <f>IF(Cdlac[[#This Row],[Quantity]]&gt;0,MAX(0,Cdlac[[#This Row],[Fair Market Rent]]-IF(AND($G$37,$G$38,$G$38&lt;&gt;"",NOT(Cdlac[[#This Row],[Federal]]),Cdlac[[#This Row],[Preservation Rent]]&lt;&gt;""),Cdlac[[#This Row],[Preservation Rent]],Cdlac[[#This Row],[Restricted Rent]])),"")</f>
        <v>1727</v>
      </c>
      <c r="T46" s="1044">
        <f>IF(Cdlac[[#This Row],[Quantity]]&gt;0,AND(Application!AK744&lt;&gt;"N/A",Application!AK744&lt;&gt;"")*Cdlac[[#This Row],[Quantity]],"")</f>
        <v>0</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24256367.999999996</v>
      </c>
      <c r="L47" s="1044">
        <f>IFERROR(MIN(4,MATCH(Application!B745,UnitSizes,0)-1),"")</f>
        <v>3</v>
      </c>
      <c r="M47" s="1065">
        <f>Application!G745</f>
        <v>12</v>
      </c>
      <c r="N47" s="1071">
        <f>Application!AC745</f>
        <v>0.5</v>
      </c>
      <c r="O47" s="1071">
        <f>IF(Cdlac[[#This Row],[Quantity]]&gt;0,IF(Cdlac[[#This Row],[Federal]],30%,IF(AND(OR(NOT($G$38),$G$38=""),$G$43),40%,Cdlac[[#This Row],[iAMI]])),"")</f>
        <v>0.5</v>
      </c>
      <c r="P47" s="1065" cm="1">
        <f t="array" ref="P47">IF(Cdlac[[#This Row],[Quantity]]&gt;0,INDEX(TcacRents,$P$18,Cdlac[[#This Row],[Bedrooms]]+1)*Cdlac[[#This Row],[AMI]],"")</f>
        <v>2200</v>
      </c>
      <c r="Q47" s="1164"/>
      <c r="R47" s="1065" cm="1">
        <f t="array" ref="R47">IF(Cdlac[[#This Row],[Quantity]]&gt;0,INDEX(HudFmrs,$P$18,Cdlac[[#This Row],[Bedrooms]]+1),"")</f>
        <v>3927</v>
      </c>
      <c r="S47" s="1065">
        <f>IF(Cdlac[[#This Row],[Quantity]]&gt;0,MAX(0,Cdlac[[#This Row],[Fair Market Rent]]-IF(AND($G$37,$G$38,$G$38&lt;&gt;"",NOT(Cdlac[[#This Row],[Federal]]),Cdlac[[#This Row],[Preservation Rent]]&lt;&gt;""),Cdlac[[#This Row],[Preservation Rent]],Cdlac[[#This Row],[Restricted Rent]])),"")</f>
        <v>1727</v>
      </c>
      <c r="T47" s="1044">
        <f>IF(Cdlac[[#This Row],[Quantity]]&gt;0,AND(Application!AK745&lt;&gt;"N/A",Application!AK745&lt;&gt;"")*Cdlac[[#This Row],[Quantity]],"")</f>
        <v>0</v>
      </c>
      <c r="U47" s="1044" t="b">
        <f>AND('Subsidy Contract Calculation'!F31&gt;0,OR('Subsidy Contract Calculation'!C31="Federal",'Subsidy Contract Calculation'!C31="Local - Approved by ED"),Cdlac[[#This Row],[Quantity]]&gt;0)</f>
        <v>0</v>
      </c>
    </row>
    <row r="48" spans="1:21" ht="15" customHeight="1">
      <c r="L48" s="1044">
        <f>IFERROR(MIN(4,MATCH(Application!B746,UnitSizes,0)-1),"")</f>
        <v>3</v>
      </c>
      <c r="M48" s="1065">
        <f>Application!G746</f>
        <v>3</v>
      </c>
      <c r="N48" s="1071">
        <f>Application!AC746</f>
        <v>0.6</v>
      </c>
      <c r="O48" s="1071">
        <f>IF(Cdlac[[#This Row],[Quantity]]&gt;0,IF(Cdlac[[#This Row],[Federal]],30%,IF(AND(OR(NOT($G$38),$G$38=""),$G$43),40%,Cdlac[[#This Row],[iAMI]])),"")</f>
        <v>0.6</v>
      </c>
      <c r="P48" s="1065" cm="1">
        <f t="array" ref="P48">IF(Cdlac[[#This Row],[Quantity]]&gt;0,INDEX(TcacRents,$P$18,Cdlac[[#This Row],[Bedrooms]]+1)*Cdlac[[#This Row],[AMI]],"")</f>
        <v>2640</v>
      </c>
      <c r="Q48" s="1164"/>
      <c r="R48" s="1065" cm="1">
        <f t="array" ref="R48">IF(Cdlac[[#This Row],[Quantity]]&gt;0,INDEX(HudFmrs,$P$18,Cdlac[[#This Row],[Bedrooms]]+1),"")</f>
        <v>3927</v>
      </c>
      <c r="S48" s="1065">
        <f>IF(Cdlac[[#This Row],[Quantity]]&gt;0,MAX(0,Cdlac[[#This Row],[Fair Market Rent]]-IF(AND($G$37,$G$38,$G$38&lt;&gt;"",NOT(Cdlac[[#This Row],[Federal]]),Cdlac[[#This Row],[Preservation Rent]]&lt;&gt;""),Cdlac[[#This Row],[Preservation Rent]],Cdlac[[#This Row],[Restricted Rent]])),"")</f>
        <v>1287</v>
      </c>
      <c r="T48" s="1044">
        <f>IF(Cdlac[[#This Row],[Quantity]]&gt;0,AND(Application!AK746&lt;&gt;"N/A",Application!AK746&lt;&gt;"")*Cdlac[[#This Row],[Quantity]],"")</f>
        <v>0</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f>IFERROR(MIN(4,MATCH(Application!B747,UnitSizes,0)-1),"")</f>
        <v>3</v>
      </c>
      <c r="M49" s="1065">
        <f>Application!G747</f>
        <v>3</v>
      </c>
      <c r="N49" s="1071">
        <f>Application!AC747</f>
        <v>0.6</v>
      </c>
      <c r="O49" s="1071">
        <f>IF(Cdlac[[#This Row],[Quantity]]&gt;0,IF(Cdlac[[#This Row],[Federal]],30%,IF(AND(OR(NOT($G$38),$G$38=""),$G$43),40%,Cdlac[[#This Row],[iAMI]])),"")</f>
        <v>0.6</v>
      </c>
      <c r="P49" s="1065" cm="1">
        <f t="array" ref="P49">IF(Cdlac[[#This Row],[Quantity]]&gt;0,INDEX(TcacRents,$P$18,Cdlac[[#This Row],[Bedrooms]]+1)*Cdlac[[#This Row],[AMI]],"")</f>
        <v>2640</v>
      </c>
      <c r="Q49" s="1164"/>
      <c r="R49" s="1065" cm="1">
        <f t="array" ref="R49">IF(Cdlac[[#This Row],[Quantity]]&gt;0,INDEX(HudFmrs,$P$18,Cdlac[[#This Row],[Bedrooms]]+1),"")</f>
        <v>3927</v>
      </c>
      <c r="S49" s="1065">
        <f>IF(Cdlac[[#This Row],[Quantity]]&gt;0,MAX(0,Cdlac[[#This Row],[Fair Market Rent]]-IF(AND($G$37,$G$38,$G$38&lt;&gt;"",NOT(Cdlac[[#This Row],[Federal]]),Cdlac[[#This Row],[Preservation Rent]]&lt;&gt;""),Cdlac[[#This Row],[Preservation Rent]],Cdlac[[#This Row],[Restricted Rent]])),"")</f>
        <v>1287</v>
      </c>
      <c r="T49" s="1044">
        <f>IF(Cdlac[[#This Row],[Quantity]]&gt;0,AND(Application!AK747&lt;&gt;"N/A",Application!AK747&lt;&gt;"")*Cdlac[[#This Row],[Quantity]],"")</f>
        <v>0</v>
      </c>
      <c r="U49" s="1044" t="b">
        <f>AND('Subsidy Contract Calculation'!F33&gt;0,OR('Subsidy Contract Calculation'!C33="Federal",'Subsidy Contract Calculation'!C33="Local - Approved by ED"),Cdlac[[#This Row],[Quantity]]&gt;0)</f>
        <v>0</v>
      </c>
    </row>
    <row r="50" spans="2:21" ht="15" customHeight="1">
      <c r="L50" s="1044">
        <f>IFERROR(MIN(4,MATCH(Application!B748,UnitSizes,0)-1),"")</f>
        <v>3</v>
      </c>
      <c r="M50" s="1065">
        <f>Application!G748</f>
        <v>5</v>
      </c>
      <c r="N50" s="1071">
        <f>Application!AC748</f>
        <v>0.6</v>
      </c>
      <c r="O50" s="1071">
        <f>IF(Cdlac[[#This Row],[Quantity]]&gt;0,IF(Cdlac[[#This Row],[Federal]],30%,IF(AND(OR(NOT($G$38),$G$38=""),$G$43),40%,Cdlac[[#This Row],[iAMI]])),"")</f>
        <v>0.6</v>
      </c>
      <c r="P50" s="1065" cm="1">
        <f t="array" ref="P50">IF(Cdlac[[#This Row],[Quantity]]&gt;0,INDEX(TcacRents,$P$18,Cdlac[[#This Row],[Bedrooms]]+1)*Cdlac[[#This Row],[AMI]],"")</f>
        <v>2640</v>
      </c>
      <c r="Q50" s="1164"/>
      <c r="R50" s="1065" cm="1">
        <f t="array" ref="R50">IF(Cdlac[[#This Row],[Quantity]]&gt;0,INDEX(HudFmrs,$P$18,Cdlac[[#This Row],[Bedrooms]]+1),"")</f>
        <v>3927</v>
      </c>
      <c r="S50" s="1065">
        <f>IF(Cdlac[[#This Row],[Quantity]]&gt;0,MAX(0,Cdlac[[#This Row],[Fair Market Rent]]-IF(AND($G$37,$G$38,$G$38&lt;&gt;"",NOT(Cdlac[[#This Row],[Federal]]),Cdlac[[#This Row],[Preservation Rent]]&lt;&gt;""),Cdlac[[#This Row],[Preservation Rent]],Cdlac[[#This Row],[Restricted Rent]])),"")</f>
        <v>1287</v>
      </c>
      <c r="T50" s="1044">
        <f>IF(Cdlac[[#This Row],[Quantity]]&gt;0,AND(Application!AK748&lt;&gt;"N/A",Application!AK748&lt;&gt;"")*Cdlac[[#This Row],[Quantity]],"")</f>
        <v>0</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f>IFERROR(MIN(4,MATCH(Application!B749,UnitSizes,0)-1),"")</f>
        <v>3</v>
      </c>
      <c r="M51" s="1065">
        <f>Application!G749</f>
        <v>6</v>
      </c>
      <c r="N51" s="1071">
        <f>Application!AC749</f>
        <v>0.6</v>
      </c>
      <c r="O51" s="1071">
        <f>IF(Cdlac[[#This Row],[Quantity]]&gt;0,IF(Cdlac[[#This Row],[Federal]],30%,IF(AND(OR(NOT($G$38),$G$38=""),$G$43),40%,Cdlac[[#This Row],[iAMI]])),"")</f>
        <v>0.6</v>
      </c>
      <c r="P51" s="1065" cm="1">
        <f t="array" ref="P51">IF(Cdlac[[#This Row],[Quantity]]&gt;0,INDEX(TcacRents,$P$18,Cdlac[[#This Row],[Bedrooms]]+1)*Cdlac[[#This Row],[AMI]],"")</f>
        <v>2640</v>
      </c>
      <c r="Q51" s="1164"/>
      <c r="R51" s="1065" cm="1">
        <f t="array" ref="R51">IF(Cdlac[[#This Row],[Quantity]]&gt;0,INDEX(HudFmrs,$P$18,Cdlac[[#This Row],[Bedrooms]]+1),"")</f>
        <v>3927</v>
      </c>
      <c r="S51" s="1065">
        <f>IF(Cdlac[[#This Row],[Quantity]]&gt;0,MAX(0,Cdlac[[#This Row],[Fair Market Rent]]-IF(AND($G$37,$G$38,$G$38&lt;&gt;"",NOT(Cdlac[[#This Row],[Federal]]),Cdlac[[#This Row],[Preservation Rent]]&lt;&gt;""),Cdlac[[#This Row],[Preservation Rent]],Cdlac[[#This Row],[Restricted Rent]])),"")</f>
        <v>1287</v>
      </c>
      <c r="T51" s="1044">
        <f>IF(Cdlac[[#This Row],[Quantity]]&gt;0,AND(Application!AK749&lt;&gt;"N/A",Application!AK749&lt;&gt;"")*Cdlac[[#This Row],[Quantity]],"")</f>
        <v>0</v>
      </c>
      <c r="U51" s="1044" t="b">
        <f>AND('Subsidy Contract Calculation'!F35&gt;0,OR('Subsidy Contract Calculation'!C35="Federal",'Subsidy Contract Calculation'!C35="Local - Approved by ED"),Cdlac[[#This Row],[Quantity]]&gt;0)</f>
        <v>0</v>
      </c>
    </row>
    <row r="52" spans="2:21" ht="15" customHeight="1">
      <c r="E52" s="1117" t="s">
        <v>1994</v>
      </c>
      <c r="G52" s="1114">
        <f>ROUNDDOWN(E29*50%,0)</f>
        <v>56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12</v>
      </c>
    </row>
    <row r="61" spans="2:21" ht="15" customHeight="1">
      <c r="E61" s="1117" t="s">
        <v>1994</v>
      </c>
      <c r="G61" s="1079">
        <f>ROUNDDOWN(E29*50%,0)</f>
        <v>56</v>
      </c>
    </row>
    <row r="62" spans="2:21" ht="15" customHeight="1">
      <c r="E62" s="1117"/>
      <c r="G62" s="1079"/>
    </row>
    <row r="63" spans="2:21" ht="15" customHeight="1">
      <c r="E63" s="1117" t="s">
        <v>1954</v>
      </c>
      <c r="G63" s="1114">
        <f>MIN(G60:G61)</f>
        <v>12</v>
      </c>
    </row>
    <row r="64" spans="2:21" ht="15" customHeight="1">
      <c r="E64" s="1117" t="s">
        <v>1944</v>
      </c>
      <c r="F64" s="1113" t="s">
        <v>1992</v>
      </c>
      <c r="G64" s="1124">
        <v>20000</v>
      </c>
    </row>
    <row r="65" spans="2:14" ht="15" customHeight="1">
      <c r="E65" s="1118" t="s">
        <v>1976</v>
      </c>
      <c r="F65" s="1046"/>
      <c r="G65" s="1123">
        <f>G63*G64</f>
        <v>240000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670</v>
      </c>
    </row>
    <row r="70" spans="2:14" ht="15" customHeight="1">
      <c r="C70" s="1077" t="s">
        <v>1981</v>
      </c>
      <c r="G70" s="1081" t="str">
        <f>IF(Application!D211="Large Family","Yes","No")</f>
        <v>Yes</v>
      </c>
    </row>
    <row r="71" spans="2:14" ht="15" customHeight="1" thickBot="1">
      <c r="C71" s="1077" t="s">
        <v>1967</v>
      </c>
      <c r="G71" s="1043" t="s">
        <v>670</v>
      </c>
    </row>
    <row r="72" spans="2:14" ht="15" customHeight="1">
      <c r="C72" s="1077" t="s">
        <v>1968</v>
      </c>
      <c r="G72" s="1044" t="str">
        <f>Application!T193</f>
        <v>Low Resource</v>
      </c>
      <c r="L72" s="2663" t="s">
        <v>1969</v>
      </c>
      <c r="M72" s="2664"/>
      <c r="N72" s="1131">
        <v>30000</v>
      </c>
    </row>
    <row r="73" spans="2:14" ht="15" customHeight="1">
      <c r="C73" s="2665" t="s">
        <v>2261</v>
      </c>
      <c r="D73" s="2665"/>
      <c r="E73" s="2665"/>
      <c r="F73" s="2665"/>
      <c r="G73" s="1043" t="s">
        <v>670</v>
      </c>
      <c r="L73" s="2680" t="s">
        <v>1937</v>
      </c>
      <c r="M73" s="2681"/>
      <c r="N73" s="1132">
        <v>20000</v>
      </c>
    </row>
    <row r="74" spans="2:14" ht="15" customHeight="1" thickBot="1">
      <c r="C74" s="2665"/>
      <c r="D74" s="2665"/>
      <c r="E74" s="2665"/>
      <c r="F74" s="2665"/>
      <c r="L74" s="2655" t="s">
        <v>1970</v>
      </c>
      <c r="M74" s="2656"/>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142.25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546</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142.25</v>
      </c>
    </row>
    <row r="89" spans="2:9" ht="15" customHeight="1">
      <c r="E89" s="1084" t="s">
        <v>1944</v>
      </c>
      <c r="F89" s="1113" t="s">
        <v>1992</v>
      </c>
      <c r="G89" s="1050">
        <v>20000</v>
      </c>
    </row>
    <row r="90" spans="2:9" ht="15" customHeight="1">
      <c r="E90" s="1118" t="s">
        <v>2270</v>
      </c>
      <c r="F90" s="1046"/>
      <c r="G90" s="1123">
        <f>G86*G89*G88</f>
        <v>2845000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142.25</v>
      </c>
    </row>
    <row r="97" spans="2:14" ht="15" customHeight="1">
      <c r="E97" s="1118" t="s">
        <v>1961</v>
      </c>
      <c r="F97" s="1046"/>
      <c r="G97" s="1123">
        <f>G94*G95*G96</f>
        <v>3983000</v>
      </c>
      <c r="L97" s="1127" t="str">
        <f>'Points System'!H638</f>
        <v>(i)</v>
      </c>
      <c r="M97" s="2661" t="s">
        <v>1405</v>
      </c>
      <c r="N97" s="2662"/>
    </row>
    <row r="98" spans="2:14" ht="15" customHeight="1">
      <c r="C98" s="1077"/>
      <c r="G98" s="1114"/>
      <c r="L98" s="1128" t="str">
        <f>'Points System'!H650</f>
        <v>(i)</v>
      </c>
      <c r="M98" s="2657" t="s">
        <v>1956</v>
      </c>
      <c r="N98" s="2658"/>
    </row>
    <row r="99" spans="2:14" ht="15" customHeight="1">
      <c r="E99" s="1084" t="s">
        <v>1997</v>
      </c>
      <c r="G99" s="1126">
        <f>COUNTIFS(L97:L104,"(i)")</f>
        <v>4</v>
      </c>
      <c r="L99" s="1128" t="str">
        <f>'Points System'!H685</f>
        <v>(i)</v>
      </c>
      <c r="M99" s="2657" t="s">
        <v>1957</v>
      </c>
      <c r="N99" s="2658"/>
    </row>
    <row r="100" spans="2:14" ht="15" customHeight="1">
      <c r="E100" s="1084" t="s">
        <v>1944</v>
      </c>
      <c r="F100" s="1113" t="s">
        <v>1992</v>
      </c>
      <c r="G100" s="1124">
        <v>4000</v>
      </c>
      <c r="L100" s="1128" t="str">
        <f>IF(OR('Points System'!H709="(ii)",'Points System'!H709="(i)"),"(i)","N/A")</f>
        <v>(i)</v>
      </c>
      <c r="M100" s="2657" t="s">
        <v>1958</v>
      </c>
      <c r="N100" s="2658"/>
    </row>
    <row r="101" spans="2:14" ht="15" customHeight="1">
      <c r="E101" s="1118" t="s">
        <v>1962</v>
      </c>
      <c r="F101" s="1046"/>
      <c r="G101" s="1123">
        <f>G96*G99*G100</f>
        <v>2276000</v>
      </c>
      <c r="L101" s="1129" t="str">
        <f>'Points System'!H723</f>
        <v>N/A</v>
      </c>
      <c r="M101" s="2657" t="s">
        <v>1431</v>
      </c>
      <c r="N101" s="2658"/>
    </row>
    <row r="102" spans="2:14" ht="15" customHeight="1">
      <c r="L102" s="1128" t="str">
        <f>'Points System'!H735</f>
        <v>N/A</v>
      </c>
      <c r="M102" s="2657" t="s">
        <v>1959</v>
      </c>
      <c r="N102" s="2658"/>
    </row>
    <row r="103" spans="2:14" ht="15" customHeight="1">
      <c r="C103" s="1080" t="s">
        <v>1964</v>
      </c>
      <c r="L103" s="1128" t="str">
        <f>'Points System'!H751</f>
        <v>(ii)</v>
      </c>
      <c r="M103" s="2657" t="s">
        <v>1960</v>
      </c>
      <c r="N103" s="2658"/>
    </row>
    <row r="104" spans="2:14" ht="15" customHeight="1" thickBot="1">
      <c r="C104" s="1077" t="s">
        <v>1965</v>
      </c>
      <c r="G104" s="1043"/>
      <c r="L104" s="1130" t="str">
        <f>'Points System'!H763</f>
        <v>(ii)</v>
      </c>
      <c r="M104" s="2659" t="s">
        <v>1434</v>
      </c>
      <c r="N104" s="2660"/>
    </row>
    <row r="105" spans="2:14" ht="15" customHeight="1">
      <c r="C105" s="1077" t="s">
        <v>1966</v>
      </c>
      <c r="G105" s="1043"/>
    </row>
    <row r="106" spans="2:14" ht="15" customHeight="1">
      <c r="C106" s="1077" t="s">
        <v>2139</v>
      </c>
      <c r="G106" s="1043"/>
    </row>
    <row r="107" spans="2:14" ht="15" customHeight="1">
      <c r="C107" s="1077" t="s">
        <v>2140</v>
      </c>
      <c r="G107" s="1043" t="s">
        <v>546</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142.25</v>
      </c>
    </row>
    <row r="112" spans="2:14" ht="15" customHeight="1">
      <c r="E112" s="1084" t="s">
        <v>1944</v>
      </c>
      <c r="F112" s="1113" t="s">
        <v>1992</v>
      </c>
      <c r="G112" s="1124">
        <v>25000</v>
      </c>
    </row>
    <row r="113" spans="2:9" ht="15" customHeight="1">
      <c r="E113" s="1118" t="s">
        <v>1963</v>
      </c>
      <c r="F113" s="1046"/>
      <c r="G113" s="1123">
        <f>G109*G112*G96</f>
        <v>3556250</v>
      </c>
    </row>
    <row r="114" spans="2:9" ht="15" customHeight="1">
      <c r="C114" s="1077"/>
      <c r="E114" s="1077"/>
    </row>
    <row r="115" spans="2:9" ht="15" customHeight="1">
      <c r="E115" s="1118" t="s">
        <v>2271</v>
      </c>
      <c r="G115" s="1123">
        <f>G113+G101+G97</f>
        <v>9815250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2" t="s">
        <v>2226</v>
      </c>
      <c r="D119" s="2692"/>
      <c r="E119" s="2692"/>
      <c r="F119" s="2692"/>
    </row>
    <row r="120" spans="2:9" ht="15" customHeight="1">
      <c r="C120" s="2692"/>
      <c r="D120" s="2692"/>
      <c r="E120" s="2692"/>
      <c r="F120" s="2692"/>
      <c r="G120" s="1043"/>
    </row>
    <row r="121" spans="2:9" ht="15" customHeight="1"/>
    <row r="122" spans="2:9" ht="15" customHeight="1">
      <c r="C122" s="1044" t="s">
        <v>2228</v>
      </c>
      <c r="G122" s="2694"/>
      <c r="H122" s="2694"/>
    </row>
    <row r="123" spans="2:9" ht="15" customHeight="1">
      <c r="G123" s="2694"/>
      <c r="H123" s="2694"/>
    </row>
    <row r="124" spans="2:9" ht="15" customHeight="1">
      <c r="G124" s="2695"/>
      <c r="H124" s="2695"/>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Orange</v>
      </c>
    </row>
    <row r="129" spans="2:9">
      <c r="E129" s="1084"/>
      <c r="G129" s="1078"/>
    </row>
    <row r="130" spans="2:9">
      <c r="E130" s="1084" t="str">
        <f>"2-Bedroom "&amp;G128&amp;" County Basis Limit"</f>
        <v>2-Bedroom Orange County Basis Limit</v>
      </c>
      <c r="G130" s="1078">
        <f>Application!R988</f>
        <v>552000</v>
      </c>
    </row>
    <row r="131" spans="2:9">
      <c r="E131" s="1084" t="s">
        <v>2000</v>
      </c>
      <c r="G131" s="1078">
        <f>MEDIAN((Application!CU160:CU217))</f>
        <v>489600</v>
      </c>
    </row>
    <row r="132" spans="2:9" ht="15">
      <c r="D132" s="1046"/>
      <c r="E132" s="1118" t="s">
        <v>2002</v>
      </c>
      <c r="F132" s="1134"/>
      <c r="G132" s="1135">
        <f>((G130-G131)/G131)*0.25</f>
        <v>3.1862745098039214E-2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1</v>
      </c>
    </row>
    <row r="138" spans="2:9">
      <c r="C138" s="2689" t="s">
        <v>2274</v>
      </c>
      <c r="D138" s="2689"/>
      <c r="E138" s="2689"/>
      <c r="F138" s="2689"/>
    </row>
    <row r="139" spans="2:9">
      <c r="B139" s="1045"/>
      <c r="C139" s="2689"/>
      <c r="D139" s="2689"/>
      <c r="E139" s="2689"/>
      <c r="F139" s="2689"/>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1783959.4553717701</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8"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24140341</v>
      </c>
      <c r="C15" s="266">
        <f>'Sources and Uses Budget'!$C14</f>
        <v>24140341</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2571000</v>
      </c>
      <c r="C18" s="266">
        <f>'Sources and Uses Budget'!$C17</f>
        <v>2571000</v>
      </c>
      <c r="D18" s="270">
        <f t="shared" si="0"/>
        <v>0</v>
      </c>
      <c r="E18" s="268"/>
      <c r="F18" s="267"/>
    </row>
    <row r="19" spans="1:6" s="352" customFormat="1">
      <c r="A19" s="145" t="s">
        <v>600</v>
      </c>
      <c r="B19" s="266">
        <f>'Sources and Uses Budget'!$C18</f>
        <v>5777664</v>
      </c>
      <c r="C19" s="266">
        <f>'Sources and Uses Budget'!$C18</f>
        <v>5777664</v>
      </c>
      <c r="D19" s="270">
        <f t="shared" si="0"/>
        <v>0</v>
      </c>
      <c r="E19" s="268"/>
      <c r="F19" s="267"/>
    </row>
    <row r="20" spans="1:6" s="352" customFormat="1">
      <c r="A20" s="145" t="s">
        <v>601</v>
      </c>
      <c r="B20" s="266">
        <f>'Sources and Uses Budget'!$C19</f>
        <v>518920</v>
      </c>
      <c r="C20" s="266">
        <f>'Sources and Uses Budget'!$C19</f>
        <v>518920</v>
      </c>
      <c r="D20" s="270">
        <f t="shared" si="0"/>
        <v>0</v>
      </c>
      <c r="E20" s="268"/>
      <c r="F20" s="267"/>
    </row>
    <row r="21" spans="1:6" s="352" customFormat="1">
      <c r="A21" s="145" t="s">
        <v>137</v>
      </c>
      <c r="B21" s="266">
        <f>'Sources and Uses Budget'!$C20</f>
        <v>275028</v>
      </c>
      <c r="C21" s="266">
        <f>'Sources and Uses Budget'!$C20</f>
        <v>275028</v>
      </c>
      <c r="D21" s="270">
        <f t="shared" si="0"/>
        <v>0</v>
      </c>
      <c r="E21" s="268"/>
      <c r="F21" s="267"/>
    </row>
    <row r="22" spans="1:6" s="352" customFormat="1">
      <c r="A22" s="145" t="s">
        <v>138</v>
      </c>
      <c r="B22" s="266">
        <f>'Sources and Uses Budget'!$C21</f>
        <v>458379</v>
      </c>
      <c r="C22" s="266">
        <f>'Sources and Uses Budget'!$C21</f>
        <v>458379</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99009</v>
      </c>
      <c r="C24" s="266">
        <f>'Sources and Uses Budget'!$C23</f>
        <v>99009</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(Demolition)</v>
      </c>
      <c r="B26" s="266">
        <f>'Sources and Uses Budget'!$C25</f>
        <v>300000</v>
      </c>
      <c r="C26" s="266">
        <f>'Sources and Uses Budget'!$C25</f>
        <v>300000</v>
      </c>
      <c r="D26" s="270">
        <f t="shared" si="0"/>
        <v>0</v>
      </c>
      <c r="E26" s="268"/>
      <c r="F26" s="267"/>
    </row>
    <row r="27" spans="1:6" s="352" customFormat="1">
      <c r="A27" s="1018" t="s">
        <v>133</v>
      </c>
      <c r="B27" s="270">
        <f>SUM(B18:B26)</f>
        <v>10000000</v>
      </c>
      <c r="C27" s="270">
        <f>SUM(C18:C26)</f>
        <v>10000000</v>
      </c>
      <c r="D27" s="270">
        <f>SUM(D18:D26)</f>
        <v>0</v>
      </c>
      <c r="E27" s="268"/>
      <c r="F27" s="267"/>
    </row>
    <row r="28" spans="1:6" s="352" customFormat="1">
      <c r="A28" s="271" t="s">
        <v>141</v>
      </c>
      <c r="B28" s="266">
        <f>'Sources and Uses Budget'!$C$27</f>
        <v>1400000</v>
      </c>
      <c r="C28" s="266">
        <f>'Sources and Uses Budget'!$C$27</f>
        <v>1400000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955000</v>
      </c>
      <c r="C41" s="266">
        <f>'Sources and Uses Budget'!$C40</f>
        <v>955000</v>
      </c>
      <c r="D41" s="270">
        <f t="shared" si="0"/>
        <v>0</v>
      </c>
      <c r="E41" s="268"/>
      <c r="F41" s="267"/>
    </row>
    <row r="42" spans="1:6" s="352" customFormat="1">
      <c r="A42" s="269" t="s">
        <v>146</v>
      </c>
      <c r="B42" s="266">
        <f>'Sources and Uses Budget'!$C41</f>
        <v>295000</v>
      </c>
      <c r="C42" s="266">
        <f>'Sources and Uses Budget'!$C41</f>
        <v>295000</v>
      </c>
      <c r="D42" s="270">
        <f t="shared" si="0"/>
        <v>0</v>
      </c>
      <c r="E42" s="268"/>
      <c r="F42" s="267"/>
    </row>
    <row r="43" spans="1:6" s="352" customFormat="1">
      <c r="A43" s="271" t="s">
        <v>147</v>
      </c>
      <c r="B43" s="270">
        <f>SUM(B41:B42)</f>
        <v>1250000</v>
      </c>
      <c r="C43" s="270">
        <f>SUM(C41:C42)</f>
        <v>1250000</v>
      </c>
      <c r="D43" s="270">
        <f t="shared" si="0"/>
        <v>0</v>
      </c>
      <c r="E43" s="268"/>
      <c r="F43" s="267"/>
    </row>
    <row r="44" spans="1:6" s="352" customFormat="1">
      <c r="A44" s="271" t="s">
        <v>148</v>
      </c>
      <c r="B44" s="266">
        <f>'Sources and Uses Budget'!$C43</f>
        <v>579000</v>
      </c>
      <c r="C44" s="266">
        <f>'Sources and Uses Budget'!$C43</f>
        <v>579000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1797735</v>
      </c>
      <c r="C46" s="266">
        <f>'Sources and Uses Budget'!$C45</f>
        <v>1797735</v>
      </c>
      <c r="D46" s="270">
        <f t="shared" si="0"/>
        <v>0</v>
      </c>
      <c r="E46" s="268"/>
      <c r="F46" s="267"/>
    </row>
    <row r="47" spans="1:6" s="352" customFormat="1">
      <c r="A47" s="145" t="s">
        <v>151</v>
      </c>
      <c r="B47" s="266">
        <f>'Sources and Uses Budget'!$C46</f>
        <v>221000</v>
      </c>
      <c r="C47" s="266">
        <f>'Sources and Uses Budget'!$C46</f>
        <v>221000</v>
      </c>
      <c r="D47" s="270">
        <f t="shared" si="0"/>
        <v>0</v>
      </c>
      <c r="E47" s="268"/>
      <c r="F47" s="267"/>
    </row>
    <row r="48" spans="1:6" s="352" customFormat="1" ht="12" customHeight="1">
      <c r="A48" s="186" t="s">
        <v>152</v>
      </c>
      <c r="B48" s="266">
        <f>'Sources and Uses Budget'!$C47</f>
        <v>524000</v>
      </c>
      <c r="C48" s="266">
        <f>'Sources and Uses Budget'!$C47</f>
        <v>524000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65000</v>
      </c>
      <c r="C50" s="266">
        <f>'Sources and Uses Budget'!$C49</f>
        <v>65000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2607735</v>
      </c>
      <c r="C55" s="273">
        <f>SUM(C46:C54)</f>
        <v>2607735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(Permanent Loan Fees)</v>
      </c>
      <c r="B62" s="266">
        <f>'Sources and Uses Budget'!$C61</f>
        <v>118000</v>
      </c>
      <c r="C62" s="266">
        <f>'Sources and Uses Budget'!$C61</f>
        <v>118000</v>
      </c>
      <c r="D62" s="270">
        <f t="shared" si="0"/>
        <v>0</v>
      </c>
      <c r="E62" s="268"/>
      <c r="F62" s="267"/>
    </row>
    <row r="63" spans="1:6" s="352" customFormat="1" ht="13.7" customHeight="1">
      <c r="A63" s="271" t="s">
        <v>301</v>
      </c>
      <c r="B63" s="270">
        <f>SUM(B57:B62)</f>
        <v>143000</v>
      </c>
      <c r="C63" s="270">
        <f>SUM(C57:C62)</f>
        <v>143000</v>
      </c>
      <c r="D63" s="270">
        <f t="shared" si="0"/>
        <v>0</v>
      </c>
      <c r="E63" s="268"/>
      <c r="F63" s="267"/>
    </row>
    <row r="64" spans="1:6" s="352" customFormat="1">
      <c r="A64" s="274" t="s">
        <v>302</v>
      </c>
      <c r="B64" s="270">
        <f>SUM(B9+B12+B14+B15+B17+B26+B28+B39+B43+B44+B55+B63)</f>
        <v>30420076</v>
      </c>
      <c r="C64" s="270">
        <f>SUM(C9+C12+C14+C15+C17+C26+C28+C39+C43+C44+C55+C63)</f>
        <v>30420076</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241000</v>
      </c>
      <c r="C66" s="266">
        <f>'Sources and Uses Budget'!$C65</f>
        <v>241000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241000</v>
      </c>
      <c r="C71" s="270">
        <f>SUM(C66:C70)</f>
        <v>241000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780922</v>
      </c>
      <c r="C76" s="266">
        <f>'Sources and Uses Budget'!$C75</f>
        <v>780922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780922</v>
      </c>
      <c r="C78" s="270">
        <f>SUM(C73:C77)</f>
        <v>780922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1000000</v>
      </c>
      <c r="C80" s="266">
        <f>'Sources and Uses Budget'!$C79</f>
        <v>1000000</v>
      </c>
      <c r="D80" s="270">
        <f t="shared" si="1"/>
        <v>0</v>
      </c>
      <c r="E80" s="268"/>
      <c r="F80" s="267"/>
    </row>
    <row r="81" spans="1:6" s="352" customFormat="1">
      <c r="A81" s="510" t="s">
        <v>58</v>
      </c>
      <c r="B81" s="266">
        <f>'Sources and Uses Budget'!$C80</f>
        <v>322000</v>
      </c>
      <c r="C81" s="266">
        <f>'Sources and Uses Budget'!$C80</f>
        <v>322000</v>
      </c>
      <c r="D81" s="270">
        <f>C81-B81</f>
        <v>0</v>
      </c>
      <c r="E81" s="268"/>
      <c r="F81" s="267"/>
    </row>
    <row r="82" spans="1:6" s="352" customFormat="1">
      <c r="A82" s="271" t="s">
        <v>1209</v>
      </c>
      <c r="B82" s="270">
        <f>SUM(B80:B81)</f>
        <v>1322000</v>
      </c>
      <c r="C82" s="270">
        <f>SUM(C80:C81)</f>
        <v>1322000</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63000</v>
      </c>
      <c r="C84" s="266">
        <f>'Sources and Uses Budget'!$C83</f>
        <v>63000</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291000</v>
      </c>
      <c r="C87" s="266">
        <f>'Sources and Uses Budget'!$C86</f>
        <v>291000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20000</v>
      </c>
      <c r="C90" s="266">
        <f>'Sources and Uses Budget'!$C89</f>
        <v>20000</v>
      </c>
      <c r="D90" s="270">
        <f t="shared" si="1"/>
        <v>0</v>
      </c>
      <c r="E90" s="268"/>
      <c r="F90" s="267"/>
    </row>
    <row r="91" spans="1:6" s="352" customFormat="1">
      <c r="A91" s="269" t="s">
        <v>774</v>
      </c>
      <c r="B91" s="266">
        <f>'Sources and Uses Budget'!$C90</f>
        <v>11000</v>
      </c>
      <c r="C91" s="266">
        <f>'Sources and Uses Budget'!$C90</f>
        <v>11000</v>
      </c>
      <c r="D91" s="270">
        <f t="shared" si="1"/>
        <v>0</v>
      </c>
      <c r="E91" s="268"/>
      <c r="F91" s="267"/>
    </row>
    <row r="92" spans="1:6" s="352" customFormat="1">
      <c r="A92" s="269" t="s">
        <v>372</v>
      </c>
      <c r="B92" s="266">
        <f>'Sources and Uses Budget'!$C91</f>
        <v>91000</v>
      </c>
      <c r="C92" s="266">
        <f>'Sources and Uses Budget'!$C91</f>
        <v>91000</v>
      </c>
      <c r="D92" s="270">
        <f t="shared" si="1"/>
        <v>0</v>
      </c>
      <c r="E92" s="268"/>
      <c r="F92" s="267"/>
    </row>
    <row r="93" spans="1:6" s="352" customFormat="1">
      <c r="A93" s="510" t="s">
        <v>1211</v>
      </c>
      <c r="B93" s="266">
        <f>'Sources and Uses Budget'!$C92</f>
        <v>11000</v>
      </c>
      <c r="C93" s="266">
        <f>'Sources and Uses Budget'!$C92</f>
        <v>11000</v>
      </c>
      <c r="D93" s="270">
        <f t="shared" si="1"/>
        <v>0</v>
      </c>
      <c r="E93" s="268"/>
      <c r="F93" s="267"/>
    </row>
    <row r="94" spans="1:6" s="352" customFormat="1">
      <c r="A94" s="272" t="s">
        <v>34</v>
      </c>
      <c r="B94" s="266">
        <f>'Sources and Uses Budget'!$C93</f>
        <v>140000</v>
      </c>
      <c r="C94" s="266">
        <f>'Sources and Uses Budget'!$C93</f>
        <v>140000</v>
      </c>
      <c r="D94" s="270">
        <f t="shared" si="1"/>
        <v>0</v>
      </c>
      <c r="E94" s="268"/>
      <c r="F94" s="267"/>
    </row>
    <row r="95" spans="1:6" s="352" customFormat="1">
      <c r="A95" s="272" t="s">
        <v>34</v>
      </c>
      <c r="B95" s="266">
        <f>'Sources and Uses Budget'!$C94</f>
        <v>20000</v>
      </c>
      <c r="C95" s="266">
        <f>'Sources and Uses Budget'!$C94</f>
        <v>20000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697000</v>
      </c>
      <c r="C97" s="270">
        <f>SUM(C84:C96)</f>
        <v>697000</v>
      </c>
      <c r="D97" s="270">
        <f t="shared" si="1"/>
        <v>0</v>
      </c>
      <c r="E97" s="268"/>
      <c r="F97" s="267"/>
    </row>
    <row r="98" spans="1:6" s="352" customFormat="1">
      <c r="A98" s="271" t="s">
        <v>776</v>
      </c>
      <c r="B98" s="270">
        <f>SUM(B64+B71+B78+B82+B97)</f>
        <v>33460998</v>
      </c>
      <c r="C98" s="270">
        <f>SUM(C64+C71+C78+C82+C97)</f>
        <v>33460998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3000000</v>
      </c>
      <c r="C100" s="266">
        <f>'Sources and Uses Budget'!$C99</f>
        <v>3000000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3000000</v>
      </c>
      <c r="C105" s="270">
        <f>SUM(C100:C104)</f>
        <v>3000000</v>
      </c>
      <c r="D105" s="270">
        <f t="shared" si="1"/>
        <v>0</v>
      </c>
      <c r="E105" s="268"/>
      <c r="F105" s="267"/>
    </row>
    <row r="106" spans="1:6" s="352" customFormat="1">
      <c r="A106" s="271" t="s">
        <v>781</v>
      </c>
      <c r="B106" s="273">
        <f>SUM(B98+B105)</f>
        <v>36460998</v>
      </c>
      <c r="C106" s="273">
        <f>SUM(C98+C105)</f>
        <v>36460998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1868</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2046</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0" t="s">
        <v>1873</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1869</v>
      </c>
      <c r="B71" s="1277"/>
      <c r="C71" s="1277"/>
      <c r="D71" s="1277"/>
      <c r="E71" s="1277"/>
      <c r="F71" s="1277"/>
      <c r="G71" s="1277"/>
      <c r="H71" s="1277"/>
      <c r="I71" s="1277"/>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13" workbookViewId="0">
      <selection activeCell="D1054" sqref="D1054:F105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2785</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ht="14.25">
      <c r="A20" s="484"/>
      <c r="B20" s="485" t="s">
        <v>2785</v>
      </c>
      <c r="D20" s="1301" t="s">
        <v>1922</v>
      </c>
      <c r="E20" s="1301"/>
      <c r="F20" s="1301"/>
      <c r="I20" s="490"/>
    </row>
    <row r="21" spans="1:9" ht="14.25">
      <c r="A21" s="484"/>
      <c r="D21" s="1301"/>
      <c r="E21" s="1301"/>
      <c r="F21" s="1301"/>
      <c r="I21" s="490"/>
    </row>
    <row r="22" spans="1:9" ht="14.25">
      <c r="A22" s="484"/>
      <c r="D22" s="392"/>
      <c r="E22" s="96" t="s">
        <v>1918</v>
      </c>
      <c r="F22" s="392"/>
      <c r="I22" s="490"/>
    </row>
    <row r="23" spans="1:9" ht="14.25">
      <c r="A23" s="484"/>
      <c r="B23" s="484"/>
      <c r="D23" s="446"/>
      <c r="I23" s="490"/>
    </row>
    <row r="24" spans="1:9" ht="14.25">
      <c r="A24" s="484"/>
      <c r="B24" s="485" t="s">
        <v>2786</v>
      </c>
      <c r="D24" s="1301" t="s">
        <v>1091</v>
      </c>
      <c r="E24" s="1301"/>
      <c r="F24" s="1301"/>
      <c r="I24" s="490"/>
    </row>
    <row r="25" spans="1:9" ht="14.25">
      <c r="A25" s="484"/>
      <c r="B25" s="484"/>
      <c r="D25" s="1301"/>
      <c r="E25" s="1301"/>
      <c r="F25" s="1301"/>
      <c r="I25" s="490"/>
    </row>
    <row r="26" spans="1:9">
      <c r="I26" s="490"/>
    </row>
    <row r="27" spans="1:9" ht="14.25">
      <c r="A27" s="484"/>
      <c r="B27" s="485" t="s">
        <v>2785</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2786</v>
      </c>
      <c r="D33" s="1301" t="s">
        <v>2048</v>
      </c>
      <c r="E33" s="1301"/>
      <c r="F33" s="1301"/>
      <c r="I33" s="490"/>
    </row>
    <row r="34" spans="1:9">
      <c r="D34" s="1301"/>
      <c r="E34" s="1301"/>
      <c r="F34" s="1301"/>
      <c r="I34" s="490"/>
    </row>
    <row r="35" spans="1:9" ht="14.25">
      <c r="A35" s="484"/>
      <c r="B35" s="484"/>
      <c r="D35" s="447"/>
      <c r="I35" s="490"/>
    </row>
    <row r="36" spans="1:9" ht="14.45" customHeight="1">
      <c r="A36" s="484"/>
      <c r="B36" s="485" t="s">
        <v>2786</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2786</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2786</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2786</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2785</v>
      </c>
      <c r="D56" s="1324" t="s">
        <v>1095</v>
      </c>
      <c r="E56" s="1324"/>
      <c r="F56" s="1324"/>
      <c r="I56" s="490"/>
    </row>
    <row r="57" spans="1:9" ht="14.25">
      <c r="A57" s="484"/>
      <c r="B57" s="484"/>
      <c r="D57" s="1324"/>
      <c r="E57" s="1324"/>
      <c r="F57" s="1324"/>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2785</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2785</v>
      </c>
      <c r="D65" s="1301" t="s">
        <v>1097</v>
      </c>
      <c r="E65" s="1301"/>
      <c r="F65" s="1301"/>
      <c r="I65" s="490"/>
    </row>
    <row r="66" spans="1:9">
      <c r="D66" s="1301"/>
      <c r="E66" s="1301"/>
      <c r="F66" s="1301"/>
      <c r="I66" s="490"/>
    </row>
    <row r="67" spans="1:9">
      <c r="I67" s="490"/>
    </row>
    <row r="68" spans="1:9" ht="14.25">
      <c r="A68" s="484"/>
      <c r="B68" s="485" t="s">
        <v>2785</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2786</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2785</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2785</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2785</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2785</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2786</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2786</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2786</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2785</v>
      </c>
      <c r="C128" s="402"/>
      <c r="D128" s="1323" t="s">
        <v>2049</v>
      </c>
      <c r="E128" s="1323"/>
      <c r="F128" s="1323"/>
      <c r="I128" s="490"/>
    </row>
    <row r="129" spans="1:9" ht="14.25">
      <c r="A129" s="484"/>
      <c r="B129" s="484"/>
      <c r="C129" s="402"/>
      <c r="D129" s="1323"/>
      <c r="E129" s="1323"/>
      <c r="F129" s="1323"/>
      <c r="I129" s="490"/>
    </row>
    <row r="130" spans="1:9">
      <c r="I130" s="490"/>
    </row>
    <row r="131" spans="1:9" ht="14.25">
      <c r="A131" s="484"/>
      <c r="B131" s="485" t="s">
        <v>2785</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2785</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2786</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2072</v>
      </c>
      <c r="E169" s="1320"/>
      <c r="F169" s="1320"/>
      <c r="G169" s="507"/>
      <c r="I169" s="490"/>
    </row>
    <row r="170" spans="1:9" ht="13.7" customHeight="1">
      <c r="D170" s="1318"/>
      <c r="E170" s="1318"/>
      <c r="F170" s="1318"/>
      <c r="G170" s="1318"/>
      <c r="I170" s="490"/>
    </row>
    <row r="171" spans="1:9" ht="14.45" customHeight="1">
      <c r="A171" s="489"/>
      <c r="B171" s="485" t="s">
        <v>2786</v>
      </c>
      <c r="C171" s="476"/>
      <c r="D171" s="1272" t="s">
        <v>2212</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2785</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2786</v>
      </c>
      <c r="D182" s="1313" t="s">
        <v>2050</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2785</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2786</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2786</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2786</v>
      </c>
      <c r="D209" s="386" t="s">
        <v>1894</v>
      </c>
      <c r="E209" s="385"/>
      <c r="F209" s="385"/>
      <c r="I209" s="490"/>
    </row>
    <row r="210" spans="1:9" ht="14.25">
      <c r="A210" s="484"/>
      <c r="B210" s="484"/>
      <c r="D210" s="1288" t="s">
        <v>1901</v>
      </c>
      <c r="E210" s="1288"/>
      <c r="F210" s="1288"/>
      <c r="I210" s="490"/>
    </row>
    <row r="211" spans="1:9">
      <c r="D211" s="385"/>
      <c r="E211" s="1325" t="s">
        <v>1927</v>
      </c>
      <c r="F211" s="1325"/>
      <c r="I211" s="490"/>
    </row>
    <row r="212" spans="1:9">
      <c r="D212" s="447"/>
      <c r="I212" s="490"/>
    </row>
    <row r="213" spans="1:9">
      <c r="B213" s="485" t="s">
        <v>2786</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ht="14.25">
      <c r="A217" s="484"/>
      <c r="B217" s="485" t="s">
        <v>2786</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2785</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2785</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2785</v>
      </c>
      <c r="D245" s="1301" t="s">
        <v>2052</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2786</v>
      </c>
      <c r="D250" s="1301" t="s">
        <v>2053</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2785</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2785</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2785</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45" customHeight="1">
      <c r="A271" s="484"/>
      <c r="B271" s="485" t="s">
        <v>2786</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2786</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2785</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2786</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2786</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2786</v>
      </c>
      <c r="D305" s="1299" t="s">
        <v>1129</v>
      </c>
      <c r="E305" s="1299"/>
      <c r="F305" s="1299"/>
      <c r="I305" s="490"/>
    </row>
    <row r="306" spans="1:9" ht="14.25">
      <c r="A306" s="484"/>
      <c r="B306" s="484"/>
      <c r="D306" s="494"/>
      <c r="E306" s="495"/>
      <c r="F306" s="495"/>
      <c r="I306" s="490"/>
    </row>
    <row r="307" spans="1:9" ht="13.7" customHeight="1">
      <c r="B307" s="485" t="s">
        <v>2785</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2785</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2785</v>
      </c>
      <c r="D316" s="1299" t="s">
        <v>1131</v>
      </c>
      <c r="E316" s="1299"/>
      <c r="F316" s="1299"/>
      <c r="I316" s="490"/>
    </row>
    <row r="317" spans="1:9">
      <c r="E317" s="446"/>
      <c r="F317" s="446"/>
      <c r="I317" s="490"/>
    </row>
    <row r="318" spans="1:9" ht="14.25">
      <c r="A318" s="484"/>
      <c r="B318" s="485" t="s">
        <v>2785</v>
      </c>
      <c r="D318" s="1301" t="s">
        <v>2244</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2786</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2785</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2785</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2785</v>
      </c>
      <c r="C360" s="476"/>
      <c r="D360" s="1318" t="s">
        <v>2056</v>
      </c>
      <c r="E360" s="1318"/>
      <c r="F360" s="1318"/>
      <c r="I360" s="480"/>
    </row>
    <row r="361" spans="1:9">
      <c r="A361" s="476"/>
      <c r="B361" s="476"/>
      <c r="C361" s="476"/>
      <c r="D361" s="447"/>
      <c r="E361" s="447"/>
      <c r="F361" s="446"/>
      <c r="I361" s="490"/>
    </row>
    <row r="362" spans="1:9">
      <c r="A362" s="476"/>
      <c r="B362" s="485" t="s">
        <v>2785</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2785</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2786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2786</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2785</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2785</v>
      </c>
      <c r="D423" s="1272" t="s">
        <v>1881</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2785</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ht="14.25">
      <c r="A435" s="484"/>
      <c r="B435" s="485" t="s">
        <v>2786</v>
      </c>
      <c r="C435" s="487"/>
      <c r="D435" s="1301" t="s">
        <v>2058</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2786</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2786</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2786</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2786</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2786</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2786</v>
      </c>
      <c r="C486" s="402"/>
      <c r="D486" s="1301"/>
      <c r="E486" s="1301"/>
      <c r="F486" s="1301"/>
      <c r="I486" s="490"/>
    </row>
    <row r="487" spans="1:9">
      <c r="A487" s="402"/>
      <c r="C487" s="402"/>
      <c r="D487" s="1301"/>
      <c r="E487" s="1301"/>
      <c r="F487" s="1301"/>
      <c r="I487" s="490"/>
    </row>
    <row r="488" spans="1:9">
      <c r="A488" s="402"/>
      <c r="B488" s="485" t="s">
        <v>2786</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2786</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2785</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2785</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2785</v>
      </c>
      <c r="D509" s="1299" t="s">
        <v>1143</v>
      </c>
      <c r="E509" s="1299"/>
      <c r="F509" s="1299"/>
      <c r="I509" s="490"/>
    </row>
    <row r="510" spans="1:9" ht="14.25">
      <c r="A510" s="484"/>
      <c r="B510" s="484"/>
      <c r="D510" s="446"/>
      <c r="I510" s="490"/>
    </row>
    <row r="511" spans="1:9" ht="14.25">
      <c r="A511" s="484"/>
      <c r="B511" s="485" t="s">
        <v>2785</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2786</v>
      </c>
      <c r="D514" s="1299" t="s">
        <v>1145</v>
      </c>
      <c r="E514" s="1299"/>
      <c r="F514" s="1299"/>
      <c r="I514" s="490"/>
    </row>
    <row r="515" spans="1:9">
      <c r="D515" s="446"/>
      <c r="E515" s="446"/>
      <c r="F515" s="446"/>
      <c r="I515" s="490"/>
    </row>
    <row r="516" spans="1:9">
      <c r="B516" s="485" t="s">
        <v>2786</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2785</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2785</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2786</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2785</v>
      </c>
      <c r="C548" s="487"/>
      <c r="D548" s="1299" t="s">
        <v>885</v>
      </c>
      <c r="E548" s="1299"/>
      <c r="F548" s="1299"/>
      <c r="I548" s="490"/>
    </row>
    <row r="549" spans="1:9" ht="13.7" customHeight="1">
      <c r="A549" s="487"/>
      <c r="B549" s="487"/>
      <c r="C549" s="487"/>
      <c r="D549" s="446"/>
      <c r="I549" s="490"/>
    </row>
    <row r="550" spans="1:9" ht="14.25">
      <c r="A550" s="484"/>
      <c r="B550" s="485" t="s">
        <v>2785</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2785</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2785</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2785</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2786</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2785</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2785</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2785</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2785</v>
      </c>
      <c r="C578" s="487"/>
      <c r="D578" s="1301" t="s">
        <v>2062</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2785</v>
      </c>
      <c r="D588" s="1313" t="s">
        <v>889</v>
      </c>
      <c r="E588" s="1313"/>
      <c r="F588" s="1313"/>
      <c r="I588" s="490"/>
    </row>
    <row r="589" spans="1:9">
      <c r="A589" s="490"/>
      <c r="B589" s="490"/>
      <c r="D589" s="476"/>
      <c r="I589" s="490"/>
    </row>
    <row r="590" spans="1:9">
      <c r="A590" s="490"/>
      <c r="B590" s="485" t="s">
        <v>2785</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2786</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2785</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2786</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2785</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2785</v>
      </c>
      <c r="D620" s="1307" t="s">
        <v>1111</v>
      </c>
      <c r="E620" s="1307"/>
      <c r="F620" s="1307"/>
      <c r="I620" s="490"/>
    </row>
    <row r="621" spans="1:9">
      <c r="D621" s="1307"/>
      <c r="E621" s="1307"/>
      <c r="F621" s="1307"/>
      <c r="I621" s="490"/>
    </row>
    <row r="622" spans="1:9">
      <c r="I622" s="490"/>
    </row>
    <row r="623" spans="1:9">
      <c r="B623" s="485" t="s">
        <v>2785</v>
      </c>
      <c r="D623" s="1307" t="s">
        <v>1112</v>
      </c>
      <c r="E623" s="1307"/>
      <c r="F623" s="1307"/>
      <c r="I623" s="490"/>
    </row>
    <row r="624" spans="1:9">
      <c r="C624" s="500"/>
      <c r="D624" s="1307"/>
      <c r="E624" s="1307"/>
      <c r="F624" s="1307"/>
      <c r="I624" s="490"/>
    </row>
    <row r="625" spans="1:9">
      <c r="C625" s="500"/>
      <c r="I625" s="490"/>
    </row>
    <row r="626" spans="1:9">
      <c r="B626" s="485" t="s">
        <v>2786</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2785</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2786</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2786</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2786</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2786</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2786</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2786</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2786</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2785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2786</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2785</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2786</v>
      </c>
      <c r="C698" s="483"/>
      <c r="D698" s="1299" t="s">
        <v>2468</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2786</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2786</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2786</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2786</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2786</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2786</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2786</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2786</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2785</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2786</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2786</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2785</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2786</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2785</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2786</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2786</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2786</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2786</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2786</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2786</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2785</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2785</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2786</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2786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2786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2785</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2785</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2786</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2786</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2786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2786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2785</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2785</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2786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2786</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2786</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2786</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2785</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2785</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2785</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2786</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2786</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2786</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2786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2785</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2786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2786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2785</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2786</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2785</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2786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2786</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2785</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2786</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2786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2785</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2786</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2785</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2786</v>
      </c>
      <c r="C1062" s="402"/>
      <c r="D1062" s="402" t="s">
        <v>1812</v>
      </c>
      <c r="I1062" s="490"/>
    </row>
    <row r="1063" spans="1:9">
      <c r="A1063" s="402"/>
      <c r="B1063" s="402"/>
      <c r="C1063" s="402"/>
      <c r="I1063" s="490"/>
    </row>
    <row r="1064" spans="1:9">
      <c r="A1064" s="402"/>
      <c r="B1064" s="485" t="s">
        <v>2786</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2785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2786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2786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2786</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2786</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2786</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2786</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2785</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2786</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2786</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2786</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M251" sqref="M251:AE25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12</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2509</v>
      </c>
      <c r="BE8" s="1249">
        <f>SUMIF($AC$718:$AC$752,"&lt;=35%",$G$718:G$752)-SUM($BE$5:BE7)</f>
        <v>0</v>
      </c>
    </row>
    <row r="9" spans="1:58" ht="12.95" customHeight="1">
      <c r="A9" s="1372" t="s">
        <v>2076</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2501</v>
      </c>
      <c r="BE9" s="1249">
        <f>SUMIF($AC$718:$AC$752,"&lt;=40%",$G$718:G$752)-SUM($BE$5:BE8)</f>
        <v>12</v>
      </c>
    </row>
    <row r="10" spans="1:58" ht="12.95" customHeight="1">
      <c r="A10" s="1372" t="s">
        <v>2458</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2510</v>
      </c>
      <c r="BE10" s="1249">
        <f>SUMIF($AC$718:$AC$752,"&lt;=45%",$G$718:G$752)-SUM($BE$5:BE9)</f>
        <v>0</v>
      </c>
    </row>
    <row r="11" spans="1:58" ht="12.95" customHeight="1">
      <c r="A11" s="1372" t="s">
        <v>2604</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2502</v>
      </c>
      <c r="BE11" s="1249">
        <f>SUMIF($AC$718:$AC$752,"&lt;=50%",$G$718:G$752)-SUM($BE$5:BE10)</f>
        <v>56</v>
      </c>
    </row>
    <row r="12" spans="1:58" ht="12.95" customHeight="1">
      <c r="A12" s="1411" t="s">
        <v>2610</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2511</v>
      </c>
      <c r="BE12" s="1249">
        <f>SUMIF($AC$718:$AC$752,"&lt;=55%",$G$718:G$752)-SUM($BE$5:BE11)</f>
        <v>0</v>
      </c>
    </row>
    <row r="13" spans="1:58" ht="12.95"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32</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 xml:space="preserve">Hermosa Village Phase III </v>
      </c>
    </row>
    <row r="17" spans="1:58" ht="12.95" customHeight="1">
      <c r="BD17" s="1247" t="s">
        <v>2518</v>
      </c>
      <c r="BE17" s="1249">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2519</v>
      </c>
      <c r="BE18" s="1249">
        <f>'CalHFA Addendum'!N11</f>
        <v>0</v>
      </c>
    </row>
    <row r="19" spans="1:58" ht="12.95" customHeight="1">
      <c r="BD19" s="1247" t="s">
        <v>2520</v>
      </c>
      <c r="BE19" s="1249">
        <f>Application!M26</f>
        <v>1306690</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2521</v>
      </c>
      <c r="BE20" s="1249">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2522</v>
      </c>
      <c r="BE21" s="1249">
        <f>Application!AM554</f>
        <v>861267.58367106202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46160998</v>
      </c>
      <c r="BF22" s="3" t="s">
        <v>2595</v>
      </c>
    </row>
    <row r="23" spans="1:58" ht="12.95"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91152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418">
        <f>'Basis &amp; Credits'!AB56</f>
        <v>1306690</v>
      </c>
      <c r="N26" s="1418"/>
      <c r="O26" s="1418"/>
      <c r="P26" s="1418"/>
      <c r="Q26" s="1418"/>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7" t="s">
        <v>2098</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3" t="s">
        <v>2147</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2527</v>
      </c>
      <c r="BE29" s="1249"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670</v>
      </c>
      <c r="P33" s="1332"/>
      <c r="Q33" s="1414" t="s">
        <v>2148</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2596</v>
      </c>
      <c r="BE33" s="1249" t="str">
        <f>Application!D220</f>
        <v>Orange County</v>
      </c>
    </row>
    <row r="34" spans="1:57" ht="12.95" customHeight="1">
      <c r="A34" s="1413" t="s">
        <v>2149</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2530</v>
      </c>
      <c r="BE34" s="1249" t="str">
        <f>Application!I185</f>
        <v>1217 Lynne Avenue; 1309 Lynne Avenue; 1329 Lynne Avenue; 1513 Hampstead Streeet; 1525 Hampstead Street; 1543 Hampstead Street; 1614 Hampstead Street; 1619 Hampstead Street; 1620 Hampstead Street; 1630 Hampstead Street; 1624 Calle del Sol; 1630 Calle del Sol; 1607 Calle Del Mar; 1613 Calle del Mar; 1220 Cerritos Avenue; 1500 Ninth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2531</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2532</v>
      </c>
      <c r="BE36" s="1249" t="str">
        <f>Application!I189</f>
        <v xml:space="preserve">Anaheim </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2533</v>
      </c>
      <c r="BE37" s="1249" t="str">
        <f>Application!T189</f>
        <v>Orange</v>
      </c>
    </row>
    <row r="38" spans="1:57" ht="12.95" customHeight="1">
      <c r="A38" s="3"/>
      <c r="AZ38" s="20"/>
      <c r="BD38" s="1248" t="s">
        <v>2534</v>
      </c>
      <c r="BE38" s="1249">
        <f>Application!I190</f>
        <v>92802</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112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112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0.49642857142857133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0.49646310171397817</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412151.76785714284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16</v>
      </c>
    </row>
    <row r="46" spans="1:57" ht="12.95"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Related/Hermosa Village Phase III Development Co.,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Frank Cardone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The Related Companies of California</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National Community Renaissance of California</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Michael Ruane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National Community Renaissance Corporation</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Related Irvine Development Company,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18201 Von Karman Avenue, Suite 900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92612</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Frank Cardone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fcardone@related.com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0.82991744755546415</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Yes</v>
      </c>
    </row>
    <row r="65" spans="1:57" ht="12.95" customHeight="1">
      <c r="A65" s="1415" t="s">
        <v>2156</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2593</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2558</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5" t="s">
        <v>2157</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2561</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2562</v>
      </c>
      <c r="BE70" s="1249">
        <f>'Points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20</v>
      </c>
    </row>
    <row r="72" spans="1:57" ht="12.95" customHeight="1">
      <c r="A72" s="1413" t="s">
        <v>2158</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2564</v>
      </c>
      <c r="BE72" s="1249">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2565</v>
      </c>
      <c r="BE73" s="1249">
        <f>'Points System'!AF806</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91" t="s">
        <v>2159</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2567</v>
      </c>
      <c r="BE75" s="1249">
        <f>'Points System'!AF808</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2568</v>
      </c>
      <c r="BE76" s="1249">
        <f>'Points System'!AF811</f>
        <v>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5" t="s">
        <v>2160</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2571</v>
      </c>
      <c r="BE79" s="1249">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2572</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3.8447686837474886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 xml:space="preserve">City of Anaheim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James Vanderpool</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200 S. Anaheim Boulevard, Suite 733</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 xml:space="preserve">Anaheim </v>
      </c>
    </row>
    <row r="89" spans="1:57" ht="12.95" customHeight="1">
      <c r="A89" s="1790" t="s">
        <v>2163</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2581</v>
      </c>
      <c r="BE89" s="1249">
        <f>Application!O158</f>
        <v>92805</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2582</v>
      </c>
      <c r="BE90" s="1249" t="str">
        <f>Application!H16</f>
        <v xml:space="preserve">Hermosa Village Phase III Housing Partners, L.P. </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18201 Von Karman Avenue, Suite 900</v>
      </c>
    </row>
    <row r="92" spans="1:57" ht="12.95" customHeight="1">
      <c r="A92" s="1791" t="s">
        <v>2164</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2584</v>
      </c>
      <c r="BE92" s="1249" t="str">
        <f>Application!M234</f>
        <v>Irvine</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2585</v>
      </c>
      <c r="BE93" s="1249" t="str">
        <f>Application!W234</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2586</v>
      </c>
      <c r="BE94" s="1249">
        <f>Application!AC234</f>
        <v>92612</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2587</v>
      </c>
      <c r="BE95" s="1249" t="str">
        <f>Application!M235</f>
        <v>Frank Cardone</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2588</v>
      </c>
      <c r="BE96" s="1249" t="str">
        <f>Application!M237</f>
        <v>fcardone@related.com</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2589</v>
      </c>
      <c r="BE97" s="1249" t="str">
        <f>Application!M248</f>
        <v>fcardone@related.com</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2590</v>
      </c>
      <c r="BE98" s="1249" t="str">
        <f>Application!M256</f>
        <v>mruane@nationalcore.org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92" t="s">
        <v>2165</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2592</v>
      </c>
      <c r="BE100" s="1249" t="str">
        <f>Application!L279</f>
        <v>Ltakano@related.com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2597</v>
      </c>
      <c r="BE101">
        <f>'Sources and Uses Budget'!C105</f>
        <v>46160998</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2598</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2166</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t="s">
        <v>2687</v>
      </c>
      <c r="H113" s="1793"/>
      <c r="I113" s="3" t="s">
        <v>182</v>
      </c>
      <c r="L113" s="1793" t="s">
        <v>2688</v>
      </c>
      <c r="M113" s="1793"/>
      <c r="N113" s="1793"/>
      <c r="O113" s="1793"/>
      <c r="P113" s="1799" t="s">
        <v>2239</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2620</v>
      </c>
      <c r="D115" s="1804"/>
      <c r="E115" s="1804"/>
      <c r="F115" s="1804"/>
      <c r="G115" s="1804"/>
      <c r="H115" s="1804"/>
      <c r="I115" s="1804"/>
      <c r="J115" s="1804"/>
      <c r="K115" s="1804"/>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3"/>
      <c r="Z117" s="1793"/>
      <c r="AA117" s="1793"/>
      <c r="AB117" s="1793"/>
      <c r="AC117" s="1793"/>
      <c r="AD117" s="1793"/>
      <c r="AE117" s="1793"/>
      <c r="AF117" s="1793"/>
      <c r="AG117" s="1793"/>
      <c r="AH117" s="1793"/>
      <c r="AI117" s="1793"/>
      <c r="AJ117" s="1793"/>
      <c r="AK117" s="1793"/>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2686</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Orange</v>
      </c>
      <c r="DH122" s="1655"/>
      <c r="DI122" s="1655"/>
      <c r="DJ122" s="1655"/>
      <c r="DK122" s="1655"/>
      <c r="DL122" s="1655"/>
      <c r="DM122" s="1656"/>
    </row>
    <row r="123" spans="1:117" ht="12.95" customHeight="1">
      <c r="A123" s="3"/>
      <c r="B123" s="3"/>
      <c r="T123" s="3"/>
      <c r="U123" s="3"/>
      <c r="V123" s="3"/>
      <c r="W123" s="3"/>
      <c r="X123" s="3"/>
      <c r="Y123" s="1793" t="s">
        <v>2689</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646</v>
      </c>
      <c r="O153" s="1416" t="s">
        <v>2682</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546" t="s">
        <v>2683</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2467</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2" t="s">
        <v>441</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6" t="s">
        <v>2684</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2614</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v>92805</v>
      </c>
      <c r="P158" s="1796"/>
      <c r="Q158" s="1796"/>
      <c r="R158" s="179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2" t="s">
        <v>2685</v>
      </c>
      <c r="P159" s="1785"/>
      <c r="Q159" s="1785"/>
      <c r="R159" s="1785"/>
      <c r="S159" s="1785"/>
      <c r="T159" s="1785"/>
      <c r="V159" s="97" t="s">
        <v>271</v>
      </c>
      <c r="W159" s="1797"/>
      <c r="X159" s="179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5"/>
      <c r="P160" s="1785"/>
      <c r="Q160" s="1785"/>
      <c r="R160" s="1785"/>
      <c r="S160" s="1785"/>
      <c r="T160" s="178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9" t="s">
        <v>2615</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5" t="s">
        <v>2216</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371" t="s">
        <v>2101</v>
      </c>
      <c r="K174" s="1371"/>
      <c r="L174" s="1371"/>
      <c r="M174" s="1371"/>
      <c r="N174" s="1371"/>
      <c r="O174" s="1371"/>
      <c r="P174" s="1371"/>
      <c r="Q174" s="1371"/>
      <c r="R174" s="1371"/>
      <c r="S174" s="1371"/>
      <c r="T174" s="1371"/>
      <c r="U174" s="1371"/>
      <c r="V174" s="1371"/>
      <c r="W174" s="1371"/>
      <c r="X174" s="1371"/>
      <c r="Y174" s="1371"/>
      <c r="Z174" s="1371"/>
      <c r="AA174" s="1371"/>
      <c r="AB174" s="1371"/>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670</v>
      </c>
      <c r="V175" s="1332"/>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425"/>
      <c r="V176" s="1425"/>
      <c r="W176" s="1" t="s">
        <v>306</v>
      </c>
      <c r="X176" s="1788"/>
      <c r="Y176" s="1788"/>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787"/>
      <c r="AG178" s="1787"/>
      <c r="AH178" s="1" t="s">
        <v>306</v>
      </c>
      <c r="AI178" s="1808"/>
      <c r="AJ178" s="1808"/>
      <c r="AK178" s="1808"/>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332" t="s">
        <v>546</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 xml:space="preserve">Hermosa Village Phase III </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2616</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7"/>
      <c r="F188" s="1777"/>
      <c r="G188" s="1777"/>
      <c r="H188" s="1777"/>
      <c r="I188" s="1777"/>
      <c r="J188" s="1777"/>
      <c r="K188" s="1777"/>
      <c r="L188" s="1777"/>
      <c r="M188" s="1777"/>
      <c r="N188" s="1777"/>
      <c r="O188" s="1777"/>
      <c r="P188" s="1777"/>
      <c r="Q188" s="1777"/>
      <c r="R188" s="1777"/>
      <c r="S188" s="1777"/>
      <c r="T188" s="1777"/>
      <c r="U188" s="1777"/>
      <c r="V188" s="1777"/>
      <c r="W188" s="1777"/>
      <c r="X188" s="1777"/>
      <c r="Y188" s="1777"/>
      <c r="Z188" s="1777"/>
      <c r="AA188" s="1777"/>
      <c r="AB188" s="1777"/>
      <c r="AC188" s="1777"/>
      <c r="AD188" s="1777"/>
      <c r="AE188" s="177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2614</v>
      </c>
      <c r="J189" s="1371"/>
      <c r="K189" s="1371"/>
      <c r="L189" s="1371"/>
      <c r="M189" s="1371"/>
      <c r="N189" s="1371"/>
      <c r="O189" s="1371"/>
      <c r="P189" s="1371"/>
      <c r="Q189" t="s">
        <v>583</v>
      </c>
      <c r="T189" s="1371" t="s">
        <v>64</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92802</v>
      </c>
      <c r="J190" s="1348"/>
      <c r="K190" s="1348"/>
      <c r="L190" s="1348"/>
      <c r="M190" s="1348"/>
      <c r="N190" s="1348"/>
      <c r="O190" t="s">
        <v>586</v>
      </c>
      <c r="T190" s="1794">
        <v>875.05</v>
      </c>
      <c r="U190" s="1794"/>
      <c r="V190" s="1794"/>
      <c r="W190" s="1794"/>
      <c r="X190" s="1794"/>
      <c r="Y190" s="1794"/>
      <c r="Z190" s="1794"/>
      <c r="AA190" s="1794"/>
      <c r="AB190" s="1794"/>
      <c r="AC190" s="1794"/>
      <c r="AD190" s="1794"/>
      <c r="AE190" s="1794"/>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7" t="s">
        <v>2617</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7"/>
      <c r="O192" s="1777"/>
      <c r="P192" s="1777"/>
      <c r="Q192" s="1777"/>
      <c r="R192" s="1777"/>
      <c r="S192" s="1777"/>
      <c r="T192" s="1777"/>
      <c r="U192" s="1777"/>
      <c r="V192" s="1777"/>
      <c r="W192" s="1777"/>
      <c r="X192" s="1777"/>
      <c r="Y192" s="1777"/>
      <c r="Z192" s="1777"/>
      <c r="AA192" s="1777"/>
      <c r="AB192" s="1777"/>
      <c r="AC192" s="1777"/>
      <c r="AD192" s="1777"/>
      <c r="AE192" s="1777"/>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8" t="s">
        <v>2213</v>
      </c>
      <c r="U193" s="1798"/>
      <c r="V193" s="1798"/>
      <c r="W193" s="1798"/>
      <c r="X193" s="1798"/>
      <c r="Y193" s="1798"/>
      <c r="Z193" s="1798"/>
      <c r="AA193" s="1798"/>
      <c r="AB193" s="1798"/>
      <c r="AC193" s="1798"/>
      <c r="AD193" s="1798"/>
      <c r="AE193" s="1798"/>
      <c r="AF193" s="1798"/>
      <c r="AG193" s="1798"/>
      <c r="AH193" s="1798"/>
      <c r="AI193" s="1798"/>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46</v>
      </c>
      <c r="AI195" s="1332"/>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67</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34</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2">
        <v>0</v>
      </c>
      <c r="U198" s="1402"/>
      <c r="V198"/>
      <c r="X198" s="1413" t="s">
        <v>2513</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2" t="s">
        <v>670</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6">
        <f>M26</f>
        <v>1306690</v>
      </c>
      <c r="Q204" s="1786"/>
      <c r="R204" s="1786"/>
      <c r="S204" s="1786"/>
      <c r="T204" s="1786"/>
      <c r="U204" s="1786"/>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5" t="s">
        <v>1247</v>
      </c>
      <c r="E205" s="1358"/>
      <c r="F205" s="1358"/>
      <c r="G205" s="1358"/>
      <c r="H205" s="1358"/>
      <c r="I205" s="1358"/>
      <c r="J205" s="1358"/>
      <c r="K205" s="1358"/>
      <c r="L205" s="1358"/>
      <c r="M205" s="1358"/>
      <c r="P205" s="1786">
        <f>M27</f>
        <v>0</v>
      </c>
      <c r="Q205" s="1786"/>
      <c r="R205" s="1786"/>
      <c r="S205" s="1786"/>
      <c r="T205" s="1786"/>
      <c r="U205" s="1786"/>
      <c r="V205" s="28"/>
      <c r="W205" s="3" t="s">
        <v>1720</v>
      </c>
      <c r="Z205" s="1813" t="s">
        <v>2219</v>
      </c>
      <c r="AA205" s="1813"/>
      <c r="AB205" s="1813"/>
      <c r="AC205" s="1813"/>
      <c r="AD205" s="1813"/>
      <c r="AE205" s="1813"/>
      <c r="AF205" s="1813"/>
      <c r="AG205" s="1813"/>
      <c r="AH205" s="1813"/>
      <c r="AI205" s="1813"/>
      <c r="AJ205" s="1813"/>
      <c r="AK205" s="1813"/>
      <c r="AL205" s="1813"/>
      <c r="AM205" s="1813"/>
      <c r="AN205" s="1813"/>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2618</v>
      </c>
      <c r="E208" s="1417"/>
      <c r="F208" s="1417"/>
      <c r="G208" s="1417"/>
      <c r="H208" s="1417"/>
      <c r="I208" s="1417"/>
      <c r="J208" s="1417"/>
      <c r="K208" s="1417"/>
      <c r="L208" s="1417"/>
      <c r="M208" s="1417"/>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1041</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2">
        <v>0</v>
      </c>
      <c r="R212" s="1332"/>
      <c r="T212" s="1800">
        <f>IFERROR(Q212/AG440,0)</f>
        <v>0</v>
      </c>
      <c r="U212" s="180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592</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2233</v>
      </c>
      <c r="D218" s="28"/>
      <c r="AC218" s="2" t="s">
        <v>2462</v>
      </c>
      <c r="BC218" t="s">
        <v>530</v>
      </c>
    </row>
    <row r="219" spans="1:108" ht="12.95" customHeight="1">
      <c r="A219" s="2"/>
      <c r="C219" s="2"/>
      <c r="D219" s="3" t="s">
        <v>2463</v>
      </c>
      <c r="AZ219" s="3"/>
      <c r="BA219" s="3"/>
      <c r="BC219" t="s">
        <v>377</v>
      </c>
    </row>
    <row r="220" spans="1:108" ht="12.95" customHeight="1">
      <c r="A220" s="2"/>
      <c r="C220" s="2"/>
      <c r="D220" s="1417" t="s">
        <v>611</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4" t="s">
        <v>2464</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5" t="str">
        <f>H16</f>
        <v xml:space="preserve">Hermosa Village Phase III Housing Partners, L.P. </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2619</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2620</v>
      </c>
      <c r="N234" s="1417"/>
      <c r="O234" s="1417"/>
      <c r="P234" s="1417"/>
      <c r="Q234" s="1417"/>
      <c r="R234" s="1417"/>
      <c r="S234" s="1417"/>
      <c r="T234" s="1417"/>
      <c r="V234" s="33" t="s">
        <v>86</v>
      </c>
      <c r="W234" s="1546" t="s">
        <v>2621</v>
      </c>
      <c r="X234" s="1437"/>
      <c r="Y234" s="4" t="s">
        <v>584</v>
      </c>
      <c r="AC234" s="1417">
        <v>92612</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2622</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81" t="s">
        <v>2623</v>
      </c>
      <c r="N236" s="1346"/>
      <c r="O236" s="1346"/>
      <c r="P236" s="1346"/>
      <c r="Q236" s="1346"/>
      <c r="R236" s="1346"/>
      <c r="S236" s="4" t="s">
        <v>206</v>
      </c>
      <c r="T236" s="4"/>
      <c r="U236" s="1437"/>
      <c r="V236" s="1437"/>
      <c r="W236" s="1437"/>
      <c r="X236" s="4" t="s">
        <v>89</v>
      </c>
      <c r="Z236" s="1681" t="s">
        <v>2624</v>
      </c>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9" t="s">
        <v>2625</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79" t="s">
        <v>2632</v>
      </c>
      <c r="AB238" s="1780"/>
      <c r="AC238" s="1780"/>
      <c r="AD238" s="1780"/>
      <c r="AE238" s="1780"/>
      <c r="AF238" s="1780"/>
      <c r="AG238" s="1780"/>
      <c r="AH238" s="1780"/>
      <c r="AI238" s="1780"/>
      <c r="AJ238" s="1780"/>
      <c r="AK238" s="178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2627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2629</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2619</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2620</v>
      </c>
      <c r="N245" s="1417"/>
      <c r="O245" s="1417"/>
      <c r="P245" s="1417"/>
      <c r="Q245" s="1417"/>
      <c r="R245" s="1417"/>
      <c r="S245" s="1417"/>
      <c r="T245" s="1417"/>
      <c r="V245" s="33" t="s">
        <v>86</v>
      </c>
      <c r="W245" s="1546" t="s">
        <v>2621</v>
      </c>
      <c r="X245" s="1437"/>
      <c r="Y245" s="4" t="s">
        <v>584</v>
      </c>
      <c r="AC245" s="1417">
        <v>92612</v>
      </c>
      <c r="AD245" s="1417"/>
      <c r="AE245" s="1417"/>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2622</v>
      </c>
      <c r="N246" s="1417"/>
      <c r="O246" s="1417"/>
      <c r="P246" s="1417"/>
      <c r="Q246" s="1417"/>
      <c r="R246" s="1417"/>
      <c r="S246" s="1417"/>
      <c r="T246" s="1417"/>
      <c r="U246" s="1417"/>
      <c r="V246" s="1417"/>
      <c r="W246" s="1417"/>
      <c r="X246" s="1417"/>
      <c r="Y246" s="1417"/>
      <c r="Z246" s="1417"/>
      <c r="AA246" s="1417"/>
      <c r="AB246" s="1417"/>
      <c r="AC246" s="1417"/>
      <c r="AD246" s="1417"/>
      <c r="AE246" s="1417"/>
      <c r="AH246" s="1784">
        <v>8.0000000000000007E-5</v>
      </c>
      <c r="AI246" s="1782"/>
      <c r="AJ246" s="1782"/>
      <c r="AK246" s="1782"/>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681" t="s">
        <v>2623</v>
      </c>
      <c r="N247" s="1346"/>
      <c r="O247" s="1346"/>
      <c r="P247" s="1346"/>
      <c r="Q247" s="1346"/>
      <c r="R247" s="1346"/>
      <c r="S247" s="4" t="s">
        <v>206</v>
      </c>
      <c r="T247" s="4"/>
      <c r="U247" s="1437"/>
      <c r="V247" s="1437"/>
      <c r="W247" s="1437"/>
      <c r="X247" s="4" t="s">
        <v>89</v>
      </c>
      <c r="Z247" s="1681" t="s">
        <v>2628</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9" t="s">
        <v>2625</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79" t="s">
        <v>2626</v>
      </c>
      <c r="AB249" s="1780"/>
      <c r="AC249" s="1780"/>
      <c r="AD249" s="1780"/>
      <c r="AE249" s="1780"/>
      <c r="AF249" s="1780"/>
      <c r="AG249" s="1780"/>
      <c r="AH249" s="1780"/>
      <c r="AI249" s="1780"/>
      <c r="AJ249" s="1780"/>
      <c r="AK249" s="1780"/>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2631</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2691</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581</v>
      </c>
      <c r="E253" s="4"/>
      <c r="M253" s="1416" t="s">
        <v>2692</v>
      </c>
      <c r="N253" s="1417"/>
      <c r="O253" s="1417"/>
      <c r="P253" s="1417"/>
      <c r="Q253" s="1417"/>
      <c r="R253" s="1417"/>
      <c r="S253" s="1417"/>
      <c r="T253" s="1417"/>
      <c r="V253" s="33" t="s">
        <v>86</v>
      </c>
      <c r="W253" s="1546" t="s">
        <v>2621</v>
      </c>
      <c r="X253" s="1437"/>
      <c r="Y253" s="4" t="s">
        <v>584</v>
      </c>
      <c r="AC253" s="1417">
        <v>91730</v>
      </c>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2772</v>
      </c>
      <c r="N254" s="1417"/>
      <c r="O254" s="1417"/>
      <c r="P254" s="1417"/>
      <c r="Q254" s="1417"/>
      <c r="R254" s="1417"/>
      <c r="S254" s="1417"/>
      <c r="T254" s="1417"/>
      <c r="U254" s="1417"/>
      <c r="V254" s="1417"/>
      <c r="W254" s="1417"/>
      <c r="X254" s="1417"/>
      <c r="Y254" s="1417"/>
      <c r="Z254" s="1417"/>
      <c r="AA254" s="1417"/>
      <c r="AB254" s="1417"/>
      <c r="AC254" s="1417"/>
      <c r="AD254" s="1417"/>
      <c r="AE254" s="1417"/>
      <c r="AH254" s="1784">
        <v>2.0000000000000002E-5</v>
      </c>
      <c r="AI254" s="1782"/>
      <c r="AJ254" s="1782"/>
      <c r="AK254" s="1782"/>
      <c r="AL254" s="4"/>
      <c r="AM254" s="4"/>
      <c r="AN254" s="4"/>
      <c r="AO254" s="4"/>
      <c r="AP254" s="4"/>
      <c r="AQ254" s="4"/>
      <c r="AR254" s="4"/>
      <c r="AS254" s="4"/>
      <c r="AT254" s="4"/>
    </row>
    <row r="255" spans="1:67" ht="12.95" customHeight="1">
      <c r="A255" s="19"/>
      <c r="B255" s="4"/>
      <c r="C255" s="4"/>
      <c r="D255" s="4" t="s">
        <v>88</v>
      </c>
      <c r="E255" s="4"/>
      <c r="F255" s="4"/>
      <c r="M255" s="1681" t="s">
        <v>2773</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9" t="s">
        <v>2774</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9" t="s">
        <v>2775</v>
      </c>
      <c r="AB257" s="1780"/>
      <c r="AC257" s="1780"/>
      <c r="AD257" s="1780"/>
      <c r="AE257" s="1780"/>
      <c r="AF257" s="1780"/>
      <c r="AG257" s="1780"/>
      <c r="AH257" s="1780"/>
      <c r="AI257" s="1780"/>
      <c r="AJ257" s="1780"/>
      <c r="AK257" s="1780"/>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2"/>
      <c r="AI262" s="1782"/>
      <c r="AJ262" s="1782"/>
      <c r="AK262" s="178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81"/>
      <c r="AB265" s="1781"/>
      <c r="AC265" s="1781"/>
      <c r="AD265" s="1781"/>
      <c r="AE265" s="1781"/>
      <c r="AF265" s="1781"/>
      <c r="AG265" s="1781"/>
      <c r="AH265" s="1781"/>
      <c r="AI265" s="1781"/>
      <c r="AJ265" s="1781"/>
      <c r="AK265" s="17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3" t="str">
        <f>IFERROR(BO245,"")</f>
        <v>Joint Venture</v>
      </c>
      <c r="U267" s="1783"/>
      <c r="V267" s="1783"/>
      <c r="W267" s="1783"/>
      <c r="X267" s="1783"/>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2"/>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2632</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2620</v>
      </c>
      <c r="M276" s="1417"/>
      <c r="N276" s="1417"/>
      <c r="O276" s="1417"/>
      <c r="P276" s="1417"/>
      <c r="Q276" s="1417"/>
      <c r="R276" s="1417"/>
      <c r="S276" s="1417"/>
      <c r="U276" s="33" t="s">
        <v>86</v>
      </c>
      <c r="V276" s="1546" t="s">
        <v>2621</v>
      </c>
      <c r="W276" s="1437"/>
      <c r="X276" s="4" t="s">
        <v>584</v>
      </c>
      <c r="AB276" s="1417">
        <v>92612</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81" t="s">
        <v>2623</v>
      </c>
      <c r="M278" s="1346"/>
      <c r="N278" s="1346"/>
      <c r="O278" s="1346"/>
      <c r="P278" s="1346"/>
      <c r="Q278" s="1346"/>
      <c r="R278" s="4" t="s">
        <v>206</v>
      </c>
      <c r="S278" s="4"/>
      <c r="T278" s="1437"/>
      <c r="U278" s="1437"/>
      <c r="V278" s="1437"/>
      <c r="W278" s="4" t="s">
        <v>89</v>
      </c>
      <c r="Y278" s="1681" t="s">
        <v>2628</v>
      </c>
      <c r="Z278" s="1346"/>
      <c r="AA278" s="1346"/>
      <c r="AB278" s="1346"/>
      <c r="AC278" s="1346"/>
      <c r="AD278" s="1346"/>
    </row>
    <row r="279" spans="1:51" ht="12.95" customHeight="1">
      <c r="D279" s="4" t="s">
        <v>90</v>
      </c>
      <c r="E279" s="4"/>
      <c r="F279" s="4"/>
      <c r="L279" s="1789" t="s">
        <v>2635</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5" customHeight="1">
      <c r="D280" s="3" t="s">
        <v>624</v>
      </c>
      <c r="E280" s="3"/>
      <c r="F280" s="3"/>
      <c r="G280" s="3"/>
      <c r="H280" s="3"/>
      <c r="I280" s="3"/>
      <c r="L280" s="1546" t="s">
        <v>2636</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2637</v>
      </c>
      <c r="I287" s="1371"/>
      <c r="J287" s="1371"/>
      <c r="K287" s="1371"/>
      <c r="L287" s="1371"/>
      <c r="M287" s="1371"/>
      <c r="N287" s="1371"/>
      <c r="O287" s="1371"/>
      <c r="P287" s="1371"/>
      <c r="Q287" s="1371"/>
      <c r="R287" s="1371"/>
      <c r="T287" s="3" t="s">
        <v>568</v>
      </c>
      <c r="V287" s="3"/>
      <c r="W287" s="3"/>
      <c r="X287" s="3"/>
      <c r="Y287" s="3"/>
      <c r="AA287" s="1371" t="s">
        <v>2639</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2619</v>
      </c>
      <c r="I288" s="1348"/>
      <c r="J288" s="1348"/>
      <c r="K288" s="1348"/>
      <c r="L288" s="1348"/>
      <c r="M288" s="1348"/>
      <c r="N288" s="1348"/>
      <c r="O288" s="1348"/>
      <c r="P288" s="1348"/>
      <c r="Q288" s="1348"/>
      <c r="R288" s="1348"/>
      <c r="T288" s="3" t="s">
        <v>472</v>
      </c>
      <c r="V288" s="3"/>
      <c r="W288" s="3"/>
      <c r="X288" s="3"/>
      <c r="Y288" s="3"/>
      <c r="AA288" s="1348" t="s">
        <v>2693</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2638</v>
      </c>
      <c r="I289" s="1348"/>
      <c r="J289" s="1348"/>
      <c r="K289" s="1348"/>
      <c r="L289" s="1348"/>
      <c r="M289" s="1348"/>
      <c r="N289" s="1348"/>
      <c r="O289" s="1348"/>
      <c r="P289" s="1348"/>
      <c r="Q289" s="1348"/>
      <c r="R289" s="1348"/>
      <c r="T289" s="3" t="s">
        <v>75</v>
      </c>
      <c r="V289" s="3"/>
      <c r="W289" s="3"/>
      <c r="X289" s="3"/>
      <c r="Y289" s="3"/>
      <c r="AA289" s="1348" t="s">
        <v>2694</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2622</v>
      </c>
      <c r="I290" s="1348"/>
      <c r="J290" s="1348"/>
      <c r="K290" s="1348"/>
      <c r="L290" s="1348"/>
      <c r="M290" s="1348"/>
      <c r="N290" s="1348"/>
      <c r="O290" s="1348"/>
      <c r="P290" s="1348"/>
      <c r="Q290" s="1348"/>
      <c r="R290" s="1348"/>
      <c r="T290" s="3" t="s">
        <v>87</v>
      </c>
      <c r="V290" s="3"/>
      <c r="W290" s="3"/>
      <c r="X290" s="3"/>
      <c r="Y290" s="3"/>
      <c r="AA290" s="1348" t="s">
        <v>2695</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72" t="s">
        <v>2623</v>
      </c>
      <c r="I291" s="1423"/>
      <c r="J291" s="1423"/>
      <c r="K291" s="1423"/>
      <c r="L291" s="1423"/>
      <c r="M291" s="1423"/>
      <c r="N291" s="4" t="s">
        <v>206</v>
      </c>
      <c r="O291" s="4"/>
      <c r="P291" s="1417"/>
      <c r="Q291" s="1417"/>
      <c r="R291" s="1417"/>
      <c r="S291" s="3"/>
      <c r="T291" s="3" t="s">
        <v>88</v>
      </c>
      <c r="V291" s="3"/>
      <c r="W291" s="3"/>
      <c r="X291" s="3"/>
      <c r="Y291" s="3"/>
      <c r="AA291" s="1772" t="s">
        <v>2696</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681" t="s">
        <v>2628</v>
      </c>
      <c r="I292" s="1346"/>
      <c r="J292" s="1346"/>
      <c r="K292" s="1346"/>
      <c r="L292" s="1346"/>
      <c r="M292" s="1346"/>
      <c r="N292" s="4"/>
      <c r="O292" s="4"/>
      <c r="P292" s="35"/>
      <c r="Q292" s="35"/>
      <c r="R292" s="35"/>
      <c r="S292" s="3"/>
      <c r="T292" s="3" t="s">
        <v>89</v>
      </c>
      <c r="V292" s="3"/>
      <c r="W292" s="3"/>
      <c r="X292" s="3"/>
      <c r="Y292" s="3"/>
      <c r="AA292" s="1681" t="s">
        <v>592</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2625</v>
      </c>
      <c r="I293" s="1348"/>
      <c r="J293" s="1348"/>
      <c r="K293" s="1348"/>
      <c r="L293" s="1348"/>
      <c r="M293" s="1348"/>
      <c r="N293" s="1371"/>
      <c r="O293" s="1371"/>
      <c r="P293" s="1371"/>
      <c r="Q293" s="1371"/>
      <c r="R293" s="1371"/>
      <c r="S293" s="3"/>
      <c r="T293" s="3" t="s">
        <v>76</v>
      </c>
      <c r="V293" s="3"/>
      <c r="W293" s="3"/>
      <c r="X293" s="3"/>
      <c r="Y293" s="3"/>
      <c r="AA293" s="1348" t="s">
        <v>2697</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2640</v>
      </c>
      <c r="I295" s="1371"/>
      <c r="J295" s="1371"/>
      <c r="K295" s="1371"/>
      <c r="L295" s="1371"/>
      <c r="M295" s="1371"/>
      <c r="N295" s="1371"/>
      <c r="O295" s="1371"/>
      <c r="P295" s="1371"/>
      <c r="Q295" s="1371"/>
      <c r="R295" s="1371"/>
      <c r="T295" s="3" t="s">
        <v>364</v>
      </c>
      <c r="V295" s="3"/>
      <c r="W295" s="3"/>
      <c r="X295" s="3"/>
      <c r="Y295" s="3"/>
      <c r="AA295" s="1371" t="s">
        <v>2647</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2641</v>
      </c>
      <c r="I296" s="1348"/>
      <c r="J296" s="1348"/>
      <c r="K296" s="1348"/>
      <c r="L296" s="1348"/>
      <c r="M296" s="1348"/>
      <c r="N296" s="1348"/>
      <c r="O296" s="1348"/>
      <c r="P296" s="1348"/>
      <c r="Q296" s="1348"/>
      <c r="R296" s="1348"/>
      <c r="T296" s="3" t="s">
        <v>472</v>
      </c>
      <c r="V296" s="3"/>
      <c r="W296" s="3"/>
      <c r="X296" s="3"/>
      <c r="Y296" s="3"/>
      <c r="AA296" s="1348" t="s">
        <v>2648</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2642</v>
      </c>
      <c r="I297" s="1348"/>
      <c r="J297" s="1348"/>
      <c r="K297" s="1348"/>
      <c r="L297" s="1348"/>
      <c r="M297" s="1348"/>
      <c r="N297" s="1348"/>
      <c r="O297" s="1348"/>
      <c r="P297" s="1348"/>
      <c r="Q297" s="1348"/>
      <c r="R297" s="1348"/>
      <c r="T297" s="3" t="s">
        <v>75</v>
      </c>
      <c r="V297" s="3"/>
      <c r="W297" s="3"/>
      <c r="X297" s="3"/>
      <c r="Y297" s="3"/>
      <c r="AA297" s="1348" t="s">
        <v>2649</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2643</v>
      </c>
      <c r="I298" s="1348"/>
      <c r="J298" s="1348"/>
      <c r="K298" s="1348"/>
      <c r="L298" s="1348"/>
      <c r="M298" s="1348"/>
      <c r="N298" s="1348"/>
      <c r="O298" s="1348"/>
      <c r="P298" s="1348"/>
      <c r="Q298" s="1348"/>
      <c r="R298" s="1348"/>
      <c r="T298" s="3" t="s">
        <v>87</v>
      </c>
      <c r="V298" s="3"/>
      <c r="W298" s="3"/>
      <c r="X298" s="3"/>
      <c r="Y298" s="3"/>
      <c r="AA298" s="1348" t="s">
        <v>2787</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72" t="s">
        <v>2644</v>
      </c>
      <c r="I299" s="1423"/>
      <c r="J299" s="1423"/>
      <c r="K299" s="1423"/>
      <c r="L299" s="1423"/>
      <c r="M299" s="1423"/>
      <c r="N299" s="4" t="s">
        <v>206</v>
      </c>
      <c r="O299" s="4"/>
      <c r="P299" s="1417"/>
      <c r="Q299" s="1417"/>
      <c r="R299" s="1417"/>
      <c r="S299" s="3"/>
      <c r="T299" s="3" t="s">
        <v>88</v>
      </c>
      <c r="V299" s="3"/>
      <c r="W299" s="3"/>
      <c r="X299" s="3"/>
      <c r="Y299" s="3"/>
      <c r="AA299" s="1423">
        <v>9518700435</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681" t="s">
        <v>2645</v>
      </c>
      <c r="I300" s="1346"/>
      <c r="J300" s="1346"/>
      <c r="K300" s="1346"/>
      <c r="L300" s="1346"/>
      <c r="M300" s="1346"/>
      <c r="N300" s="4"/>
      <c r="O300" s="4"/>
      <c r="P300" s="35"/>
      <c r="Q300" s="35"/>
      <c r="R300" s="35"/>
      <c r="S300" s="3"/>
      <c r="T300" s="3" t="s">
        <v>89</v>
      </c>
      <c r="V300" s="3"/>
      <c r="W300" s="3"/>
      <c r="X300" s="3"/>
      <c r="Y300" s="3"/>
      <c r="AA300" s="1681" t="s">
        <v>592</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2646</v>
      </c>
      <c r="I301" s="1348"/>
      <c r="J301" s="1348"/>
      <c r="K301" s="1348"/>
      <c r="L301" s="1348"/>
      <c r="M301" s="1348"/>
      <c r="N301" s="1371"/>
      <c r="O301" s="1371"/>
      <c r="P301" s="1371"/>
      <c r="Q301" s="1371"/>
      <c r="R301" s="1371"/>
      <c r="S301" s="3"/>
      <c r="T301" s="3" t="s">
        <v>76</v>
      </c>
      <c r="V301" s="3"/>
      <c r="W301" s="3"/>
      <c r="X301" s="3"/>
      <c r="Y301" s="3"/>
      <c r="AA301" s="1348" t="s">
        <v>2788</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2640</v>
      </c>
      <c r="I303" s="1371"/>
      <c r="J303" s="1371"/>
      <c r="K303" s="1371"/>
      <c r="L303" s="1371"/>
      <c r="M303" s="1371"/>
      <c r="N303" s="1371"/>
      <c r="O303" s="1371"/>
      <c r="P303" s="1371"/>
      <c r="Q303" s="1371"/>
      <c r="R303" s="1371"/>
      <c r="T303" s="4" t="s">
        <v>879</v>
      </c>
      <c r="V303" s="3"/>
      <c r="W303" s="3"/>
      <c r="X303" s="3"/>
      <c r="Y303" s="3"/>
      <c r="AA303" s="1371" t="s">
        <v>2718</v>
      </c>
      <c r="AB303" s="1371"/>
      <c r="AC303" s="1371"/>
      <c r="AD303" s="1371"/>
      <c r="AE303" s="1371"/>
      <c r="AF303" s="1371"/>
      <c r="AG303" s="1371"/>
      <c r="AH303" s="1371"/>
      <c r="AI303" s="1371"/>
      <c r="AJ303" s="1371"/>
      <c r="AK303" s="1371"/>
    </row>
    <row r="304" spans="2:37" ht="12.95" customHeight="1">
      <c r="B304" s="3" t="s">
        <v>472</v>
      </c>
      <c r="C304" s="3"/>
      <c r="D304" s="3"/>
      <c r="E304" s="3"/>
      <c r="F304" s="3"/>
      <c r="H304" s="1348" t="s">
        <v>2641</v>
      </c>
      <c r="I304" s="1348"/>
      <c r="J304" s="1348"/>
      <c r="K304" s="1348"/>
      <c r="L304" s="1348"/>
      <c r="M304" s="1348"/>
      <c r="N304" s="1348"/>
      <c r="O304" s="1348"/>
      <c r="P304" s="1348"/>
      <c r="Q304" s="1348"/>
      <c r="R304" s="1348"/>
      <c r="T304" s="3" t="s">
        <v>472</v>
      </c>
      <c r="V304" s="3"/>
      <c r="W304" s="3"/>
      <c r="X304" s="3"/>
      <c r="Y304" s="3"/>
      <c r="AA304" s="1348" t="s">
        <v>2719</v>
      </c>
      <c r="AB304" s="1348"/>
      <c r="AC304" s="1348"/>
      <c r="AD304" s="1348"/>
      <c r="AE304" s="1348"/>
      <c r="AF304" s="1348"/>
      <c r="AG304" s="1348"/>
      <c r="AH304" s="1348"/>
      <c r="AI304" s="1348"/>
      <c r="AJ304" s="1348"/>
      <c r="AK304" s="1348"/>
    </row>
    <row r="305" spans="2:37" ht="12.95" customHeight="1">
      <c r="B305" s="3" t="s">
        <v>473</v>
      </c>
      <c r="C305" s="3"/>
      <c r="D305" s="3"/>
      <c r="E305" s="3"/>
      <c r="F305" s="3"/>
      <c r="H305" s="1348" t="s">
        <v>2650</v>
      </c>
      <c r="I305" s="1348"/>
      <c r="J305" s="1348"/>
      <c r="K305" s="1348"/>
      <c r="L305" s="1348"/>
      <c r="M305" s="1348"/>
      <c r="N305" s="1348"/>
      <c r="O305" s="1348"/>
      <c r="P305" s="1348"/>
      <c r="Q305" s="1348"/>
      <c r="R305" s="1348"/>
      <c r="T305" s="3" t="s">
        <v>75</v>
      </c>
      <c r="V305" s="3"/>
      <c r="W305" s="3"/>
      <c r="X305" s="3"/>
      <c r="Y305" s="3"/>
      <c r="AA305" s="1348" t="s">
        <v>2720</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2651</v>
      </c>
      <c r="I306" s="1348"/>
      <c r="J306" s="1348"/>
      <c r="K306" s="1348"/>
      <c r="L306" s="1348"/>
      <c r="M306" s="1348"/>
      <c r="N306" s="1348"/>
      <c r="O306" s="1348"/>
      <c r="P306" s="1348"/>
      <c r="Q306" s="1348"/>
      <c r="R306" s="1348"/>
      <c r="T306" s="3" t="s">
        <v>87</v>
      </c>
      <c r="V306" s="3"/>
      <c r="W306" s="3"/>
      <c r="X306" s="3"/>
      <c r="Y306" s="3"/>
      <c r="AA306" s="1348" t="s">
        <v>2721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2132398015</v>
      </c>
      <c r="I307" s="1423"/>
      <c r="J307" s="1423"/>
      <c r="K307" s="1423"/>
      <c r="L307" s="1423"/>
      <c r="M307" s="1423"/>
      <c r="N307" s="4" t="s">
        <v>206</v>
      </c>
      <c r="O307" s="4"/>
      <c r="P307" s="1417"/>
      <c r="Q307" s="1417"/>
      <c r="R307" s="1417"/>
      <c r="S307" s="3"/>
      <c r="T307" s="3" t="s">
        <v>88</v>
      </c>
      <c r="V307" s="3"/>
      <c r="W307" s="3"/>
      <c r="X307" s="3"/>
      <c r="Y307" s="3"/>
      <c r="AA307" s="1772" t="s">
        <v>2722</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v>2135590751</v>
      </c>
      <c r="I308" s="1346"/>
      <c r="J308" s="1346"/>
      <c r="K308" s="1346"/>
      <c r="L308" s="1346"/>
      <c r="M308" s="1346"/>
      <c r="N308" s="4"/>
      <c r="O308" s="4"/>
      <c r="P308" s="35"/>
      <c r="Q308" s="35"/>
      <c r="R308" s="35"/>
      <c r="S308" s="3"/>
      <c r="T308" s="3" t="s">
        <v>89</v>
      </c>
      <c r="V308" s="3"/>
      <c r="W308" s="3"/>
      <c r="X308" s="3"/>
      <c r="Y308" s="3"/>
      <c r="AA308" s="1681" t="s">
        <v>2723</v>
      </c>
      <c r="AB308" s="1346"/>
      <c r="AC308" s="1346"/>
      <c r="AD308" s="1346"/>
      <c r="AE308" s="1346"/>
      <c r="AF308" s="1346"/>
      <c r="AG308" s="4"/>
      <c r="AH308" s="4"/>
      <c r="AI308" s="35"/>
      <c r="AJ308" s="35"/>
      <c r="AK308" s="35"/>
    </row>
    <row r="309" spans="2:37" ht="12.95" customHeight="1">
      <c r="B309" s="3" t="s">
        <v>76</v>
      </c>
      <c r="C309" s="3"/>
      <c r="D309" s="3"/>
      <c r="E309" s="3"/>
      <c r="F309" s="3"/>
      <c r="G309" s="3"/>
      <c r="H309" s="1348" t="s">
        <v>2652</v>
      </c>
      <c r="I309" s="1348"/>
      <c r="J309" s="1348"/>
      <c r="K309" s="1348"/>
      <c r="L309" s="1348"/>
      <c r="M309" s="1348"/>
      <c r="N309" s="1371"/>
      <c r="O309" s="1371"/>
      <c r="P309" s="1371"/>
      <c r="Q309" s="1371"/>
      <c r="R309" s="1371"/>
      <c r="S309" s="3"/>
      <c r="T309" s="3" t="s">
        <v>76</v>
      </c>
      <c r="V309" s="3"/>
      <c r="W309" s="3"/>
      <c r="X309" s="3"/>
      <c r="Y309" s="3"/>
      <c r="AA309" s="1348" t="s">
        <v>2724</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2653</v>
      </c>
      <c r="I311" s="1371"/>
      <c r="J311" s="1371"/>
      <c r="K311" s="1371"/>
      <c r="L311" s="1371"/>
      <c r="M311" s="1371"/>
      <c r="N311" s="1371"/>
      <c r="O311" s="1371"/>
      <c r="P311" s="1371"/>
      <c r="Q311" s="1371"/>
      <c r="R311" s="1371"/>
      <c r="S311" s="3"/>
      <c r="T311" s="3" t="s">
        <v>365</v>
      </c>
      <c r="V311" s="3"/>
      <c r="W311" s="3"/>
      <c r="X311" s="3"/>
      <c r="Y311" s="3"/>
      <c r="AA311" s="1371" t="s">
        <v>2725</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2654</v>
      </c>
      <c r="I312" s="1348"/>
      <c r="J312" s="1348"/>
      <c r="K312" s="1348"/>
      <c r="L312" s="1348"/>
      <c r="M312" s="1348"/>
      <c r="N312" s="1348"/>
      <c r="O312" s="1348"/>
      <c r="P312" s="1348"/>
      <c r="Q312" s="1348"/>
      <c r="R312" s="1348"/>
      <c r="S312" s="3"/>
      <c r="T312" s="3" t="s">
        <v>472</v>
      </c>
      <c r="V312" s="3"/>
      <c r="W312" s="3"/>
      <c r="X312" s="3"/>
      <c r="Y312" s="3"/>
      <c r="AA312" s="1348" t="s">
        <v>2726</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2655</v>
      </c>
      <c r="I313" s="1348"/>
      <c r="J313" s="1348"/>
      <c r="K313" s="1348"/>
      <c r="L313" s="1348"/>
      <c r="M313" s="1348"/>
      <c r="N313" s="1348"/>
      <c r="O313" s="1348"/>
      <c r="P313" s="1348"/>
      <c r="Q313" s="1348"/>
      <c r="R313" s="1348"/>
      <c r="S313" s="3"/>
      <c r="T313" s="3" t="s">
        <v>75</v>
      </c>
      <c r="V313" s="3"/>
      <c r="W313" s="3"/>
      <c r="X313" s="3"/>
      <c r="Y313" s="3"/>
      <c r="AA313" s="1348" t="s">
        <v>2727</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2656</v>
      </c>
      <c r="I314" s="1348"/>
      <c r="J314" s="1348"/>
      <c r="K314" s="1348"/>
      <c r="L314" s="1348"/>
      <c r="M314" s="1348"/>
      <c r="N314" s="1348"/>
      <c r="O314" s="1348"/>
      <c r="P314" s="1348"/>
      <c r="Q314" s="1348"/>
      <c r="R314" s="1348"/>
      <c r="S314" s="3"/>
      <c r="T314" s="3" t="s">
        <v>87</v>
      </c>
      <c r="V314" s="3"/>
      <c r="W314" s="3"/>
      <c r="X314" s="3"/>
      <c r="Y314" s="3"/>
      <c r="AA314" s="1348" t="s">
        <v>2728</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3178196145</v>
      </c>
      <c r="I315" s="1423"/>
      <c r="J315" s="1423"/>
      <c r="K315" s="1423"/>
      <c r="L315" s="1423"/>
      <c r="M315" s="1423"/>
      <c r="N315" s="4" t="s">
        <v>206</v>
      </c>
      <c r="O315" s="4"/>
      <c r="P315" s="1417"/>
      <c r="Q315" s="1417"/>
      <c r="R315" s="1417"/>
      <c r="S315" s="3"/>
      <c r="T315" s="3" t="s">
        <v>88</v>
      </c>
      <c r="V315" s="3"/>
      <c r="W315" s="3"/>
      <c r="X315" s="3"/>
      <c r="Y315" s="3"/>
      <c r="AA315" s="1772" t="s">
        <v>2729</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v>3178156140</v>
      </c>
      <c r="I316" s="1346"/>
      <c r="J316" s="1346"/>
      <c r="K316" s="1346"/>
      <c r="L316" s="1346"/>
      <c r="M316" s="1346"/>
      <c r="N316" s="4"/>
      <c r="O316" s="4"/>
      <c r="P316" s="35"/>
      <c r="Q316" s="35"/>
      <c r="R316" s="35"/>
      <c r="S316" s="3"/>
      <c r="T316" s="3" t="s">
        <v>89</v>
      </c>
      <c r="V316" s="3"/>
      <c r="W316" s="3"/>
      <c r="X316" s="3"/>
      <c r="Y316" s="3"/>
      <c r="AA316" s="1681" t="s">
        <v>2730</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2657</v>
      </c>
      <c r="I317" s="1348"/>
      <c r="J317" s="1348"/>
      <c r="K317" s="1348"/>
      <c r="L317" s="1348"/>
      <c r="M317" s="1348"/>
      <c r="N317" s="1371"/>
      <c r="O317" s="1371"/>
      <c r="P317" s="1371"/>
      <c r="Q317" s="1371"/>
      <c r="R317" s="1371"/>
      <c r="S317" s="3"/>
      <c r="T317" s="3" t="s">
        <v>76</v>
      </c>
      <c r="V317" s="3"/>
      <c r="W317" s="3"/>
      <c r="X317" s="3"/>
      <c r="Y317" s="3"/>
      <c r="AA317" s="1348" t="s">
        <v>2731</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592</v>
      </c>
      <c r="I319" s="1371"/>
      <c r="J319" s="1371"/>
      <c r="K319" s="1371"/>
      <c r="L319" s="1371"/>
      <c r="M319" s="1371"/>
      <c r="N319" s="1371"/>
      <c r="O319" s="1371"/>
      <c r="P319" s="1371"/>
      <c r="Q319" s="1371"/>
      <c r="R319" s="1371"/>
      <c r="T319" s="3" t="s">
        <v>366</v>
      </c>
      <c r="V319" s="3"/>
      <c r="W319" s="3"/>
      <c r="X319" s="3"/>
      <c r="Y319" s="3"/>
      <c r="AA319" s="1371" t="s">
        <v>2704</v>
      </c>
      <c r="AB319" s="1371"/>
      <c r="AC319" s="1371"/>
      <c r="AD319" s="1371"/>
      <c r="AE319" s="1371"/>
      <c r="AF319" s="1371"/>
      <c r="AG319" s="1371"/>
      <c r="AH319" s="1371"/>
      <c r="AI319" s="1371"/>
      <c r="AJ319" s="1371"/>
      <c r="AK319" s="1371"/>
    </row>
    <row r="320" spans="2:37" ht="12.95" customHeight="1">
      <c r="B320" s="3" t="s">
        <v>472</v>
      </c>
      <c r="C320" s="3"/>
      <c r="D320" s="3"/>
      <c r="E320" s="3"/>
      <c r="F320" s="3"/>
      <c r="H320" s="1348" t="s">
        <v>592</v>
      </c>
      <c r="I320" s="1348"/>
      <c r="J320" s="1348"/>
      <c r="K320" s="1348"/>
      <c r="L320" s="1348"/>
      <c r="M320" s="1348"/>
      <c r="N320" s="1348"/>
      <c r="O320" s="1348"/>
      <c r="P320" s="1348"/>
      <c r="Q320" s="1348"/>
      <c r="R320" s="1348"/>
      <c r="T320" s="3" t="s">
        <v>472</v>
      </c>
      <c r="V320" s="3"/>
      <c r="W320" s="3"/>
      <c r="X320" s="3"/>
      <c r="Y320" s="3"/>
      <c r="AA320" s="1348" t="s">
        <v>2705</v>
      </c>
      <c r="AB320" s="1348"/>
      <c r="AC320" s="1348"/>
      <c r="AD320" s="1348"/>
      <c r="AE320" s="1348"/>
      <c r="AF320" s="1348"/>
      <c r="AG320" s="1348"/>
      <c r="AH320" s="1348"/>
      <c r="AI320" s="1348"/>
      <c r="AJ320" s="1348"/>
      <c r="AK320" s="1348"/>
    </row>
    <row r="321" spans="2:37" ht="12.95" customHeight="1">
      <c r="B321" s="3" t="s">
        <v>473</v>
      </c>
      <c r="C321" s="3"/>
      <c r="D321" s="3"/>
      <c r="E321" s="3"/>
      <c r="F321" s="3"/>
      <c r="H321" s="1348" t="s">
        <v>592</v>
      </c>
      <c r="I321" s="1348"/>
      <c r="J321" s="1348"/>
      <c r="K321" s="1348"/>
      <c r="L321" s="1348"/>
      <c r="M321" s="1348"/>
      <c r="N321" s="1348"/>
      <c r="O321" s="1348"/>
      <c r="P321" s="1348"/>
      <c r="Q321" s="1348"/>
      <c r="R321" s="1348"/>
      <c r="T321" s="3" t="s">
        <v>75</v>
      </c>
      <c r="V321" s="3"/>
      <c r="W321" s="3"/>
      <c r="X321" s="3"/>
      <c r="Y321" s="3"/>
      <c r="AA321" s="1348" t="s">
        <v>2706</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592</v>
      </c>
      <c r="I322" s="1348"/>
      <c r="J322" s="1348"/>
      <c r="K322" s="1348"/>
      <c r="L322" s="1348"/>
      <c r="M322" s="1348"/>
      <c r="N322" s="1348"/>
      <c r="O322" s="1348"/>
      <c r="P322" s="1348"/>
      <c r="Q322" s="1348"/>
      <c r="R322" s="1348"/>
      <c r="T322" s="3" t="s">
        <v>87</v>
      </c>
      <c r="V322" s="3"/>
      <c r="W322" s="3"/>
      <c r="X322" s="3"/>
      <c r="Y322" s="3"/>
      <c r="AA322" s="1348" t="s">
        <v>2707</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772" t="s">
        <v>592</v>
      </c>
      <c r="I323" s="1423"/>
      <c r="J323" s="1423"/>
      <c r="K323" s="1423"/>
      <c r="L323" s="1423"/>
      <c r="M323" s="1423"/>
      <c r="N323" s="4" t="s">
        <v>206</v>
      </c>
      <c r="O323" s="4"/>
      <c r="P323" s="1416"/>
      <c r="Q323" s="1417"/>
      <c r="R323" s="1417"/>
      <c r="S323" s="3"/>
      <c r="T323" s="3" t="s">
        <v>88</v>
      </c>
      <c r="V323" s="3"/>
      <c r="W323" s="3"/>
      <c r="X323" s="3"/>
      <c r="Y323" s="3"/>
      <c r="AA323" s="1772" t="s">
        <v>2708</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681" t="s">
        <v>592</v>
      </c>
      <c r="I324" s="1346"/>
      <c r="J324" s="1346"/>
      <c r="K324" s="1346"/>
      <c r="L324" s="1346"/>
      <c r="M324" s="1346"/>
      <c r="N324" s="4"/>
      <c r="O324" s="4"/>
      <c r="P324" s="35"/>
      <c r="Q324" s="35"/>
      <c r="R324" s="35"/>
      <c r="S324" s="3"/>
      <c r="T324" s="3" t="s">
        <v>89</v>
      </c>
      <c r="V324" s="3"/>
      <c r="W324" s="3"/>
      <c r="X324" s="3"/>
      <c r="Y324" s="3"/>
      <c r="AA324" s="1681" t="s">
        <v>2709</v>
      </c>
      <c r="AB324" s="1346"/>
      <c r="AC324" s="1346"/>
      <c r="AD324" s="1346"/>
      <c r="AE324" s="1346"/>
      <c r="AF324" s="1346"/>
      <c r="AG324" s="4"/>
      <c r="AH324" s="4"/>
      <c r="AI324" s="35"/>
      <c r="AJ324" s="35"/>
      <c r="AK324" s="35"/>
    </row>
    <row r="325" spans="2:37" ht="12.95" customHeight="1">
      <c r="B325" s="3" t="s">
        <v>76</v>
      </c>
      <c r="C325" s="3"/>
      <c r="D325" s="3"/>
      <c r="E325" s="3"/>
      <c r="F325" s="3"/>
      <c r="G325" s="3"/>
      <c r="H325" s="1348" t="s">
        <v>592</v>
      </c>
      <c r="I325" s="1348"/>
      <c r="J325" s="1348"/>
      <c r="K325" s="1348"/>
      <c r="L325" s="1348"/>
      <c r="M325" s="1348"/>
      <c r="N325" s="1371"/>
      <c r="O325" s="1371"/>
      <c r="P325" s="1371"/>
      <c r="Q325" s="1371"/>
      <c r="R325" s="1371"/>
      <c r="S325" s="3"/>
      <c r="T325" s="3" t="s">
        <v>76</v>
      </c>
      <c r="V325" s="3"/>
      <c r="W325" s="3"/>
      <c r="X325" s="3"/>
      <c r="Y325" s="3"/>
      <c r="AA325" s="1348" t="s">
        <v>2710</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592</v>
      </c>
      <c r="I327" s="1371"/>
      <c r="J327" s="1371"/>
      <c r="K327" s="1371"/>
      <c r="L327" s="1371"/>
      <c r="M327" s="1371"/>
      <c r="N327" s="1371"/>
      <c r="O327" s="1371"/>
      <c r="P327" s="1371"/>
      <c r="Q327" s="1371"/>
      <c r="R327" s="1371"/>
      <c r="T327" s="3" t="s">
        <v>368</v>
      </c>
      <c r="V327" s="3"/>
      <c r="W327" s="3"/>
      <c r="X327" s="3"/>
      <c r="Y327" s="3"/>
      <c r="AA327" s="1371" t="s">
        <v>2699</v>
      </c>
      <c r="AB327" s="1371"/>
      <c r="AC327" s="1371"/>
      <c r="AD327" s="1371"/>
      <c r="AE327" s="1371"/>
      <c r="AF327" s="1371"/>
      <c r="AG327" s="1371"/>
      <c r="AH327" s="1371"/>
      <c r="AI327" s="1371"/>
      <c r="AJ327" s="1371"/>
      <c r="AK327" s="1371"/>
    </row>
    <row r="328" spans="2:37" ht="12.95" customHeight="1">
      <c r="B328" s="3" t="s">
        <v>472</v>
      </c>
      <c r="C328" s="3"/>
      <c r="D328" s="3"/>
      <c r="E328" s="3"/>
      <c r="F328" s="3"/>
      <c r="H328" s="1348" t="s">
        <v>592</v>
      </c>
      <c r="I328" s="1348"/>
      <c r="J328" s="1348"/>
      <c r="K328" s="1348"/>
      <c r="L328" s="1348"/>
      <c r="M328" s="1348"/>
      <c r="N328" s="1348"/>
      <c r="O328" s="1348"/>
      <c r="P328" s="1348"/>
      <c r="Q328" s="1348"/>
      <c r="R328" s="1348"/>
      <c r="T328" s="3" t="s">
        <v>472</v>
      </c>
      <c r="V328" s="3"/>
      <c r="W328" s="3"/>
      <c r="X328" s="3"/>
      <c r="Y328" s="3"/>
      <c r="AA328" s="1348" t="s">
        <v>2702</v>
      </c>
      <c r="AB328" s="1348"/>
      <c r="AC328" s="1348"/>
      <c r="AD328" s="1348"/>
      <c r="AE328" s="1348"/>
      <c r="AF328" s="1348"/>
      <c r="AG328" s="1348"/>
      <c r="AH328" s="1348"/>
      <c r="AI328" s="1348"/>
      <c r="AJ328" s="1348"/>
      <c r="AK328" s="1348"/>
    </row>
    <row r="329" spans="2:37" ht="12.95" customHeight="1">
      <c r="B329" s="3" t="s">
        <v>473</v>
      </c>
      <c r="C329" s="3"/>
      <c r="D329" s="3"/>
      <c r="E329" s="3"/>
      <c r="F329" s="3"/>
      <c r="H329" s="1348" t="s">
        <v>592</v>
      </c>
      <c r="I329" s="1348"/>
      <c r="J329" s="1348"/>
      <c r="K329" s="1348"/>
      <c r="L329" s="1348"/>
      <c r="M329" s="1348"/>
      <c r="N329" s="1348"/>
      <c r="O329" s="1348"/>
      <c r="P329" s="1348"/>
      <c r="Q329" s="1348"/>
      <c r="R329" s="1348"/>
      <c r="T329" s="3" t="s">
        <v>75</v>
      </c>
      <c r="V329" s="3"/>
      <c r="W329" s="3"/>
      <c r="X329" s="3"/>
      <c r="Y329" s="3"/>
      <c r="AA329" s="1348" t="s">
        <v>2703</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592</v>
      </c>
      <c r="I330" s="1348"/>
      <c r="J330" s="1348"/>
      <c r="K330" s="1348"/>
      <c r="L330" s="1348"/>
      <c r="M330" s="1348"/>
      <c r="N330" s="1348"/>
      <c r="O330" s="1348"/>
      <c r="P330" s="1348"/>
      <c r="Q330" s="1348"/>
      <c r="R330" s="1348"/>
      <c r="T330" s="3" t="s">
        <v>87</v>
      </c>
      <c r="V330" s="3"/>
      <c r="W330" s="3"/>
      <c r="X330" s="3"/>
      <c r="Y330" s="3"/>
      <c r="AA330" s="1348" t="s">
        <v>2698</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772" t="s">
        <v>592</v>
      </c>
      <c r="I331" s="1423"/>
      <c r="J331" s="1423"/>
      <c r="K331" s="1423"/>
      <c r="L331" s="1423"/>
      <c r="M331" s="1423"/>
      <c r="N331" s="4" t="s">
        <v>206</v>
      </c>
      <c r="O331" s="4"/>
      <c r="P331" s="1416"/>
      <c r="Q331" s="1417"/>
      <c r="R331" s="1417"/>
      <c r="S331" s="3"/>
      <c r="T331" s="3" t="s">
        <v>88</v>
      </c>
      <c r="V331" s="3"/>
      <c r="W331" s="3"/>
      <c r="X331" s="3"/>
      <c r="Y331" s="3"/>
      <c r="AA331" s="1772" t="s">
        <v>2700</v>
      </c>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681" t="s">
        <v>592</v>
      </c>
      <c r="I332" s="1346"/>
      <c r="J332" s="1346"/>
      <c r="K332" s="1346"/>
      <c r="L332" s="1346"/>
      <c r="M332" s="1346"/>
      <c r="N332" s="4"/>
      <c r="O332" s="4"/>
      <c r="P332" s="35"/>
      <c r="Q332" s="35"/>
      <c r="R332" s="35"/>
      <c r="S332" s="3"/>
      <c r="T332" s="3" t="s">
        <v>89</v>
      </c>
      <c r="V332" s="3"/>
      <c r="W332" s="3"/>
      <c r="X332" s="3"/>
      <c r="Y332" s="3"/>
      <c r="AA332" s="1681" t="s">
        <v>592</v>
      </c>
      <c r="AB332" s="1346"/>
      <c r="AC332" s="1346"/>
      <c r="AD332" s="1346"/>
      <c r="AE332" s="1346"/>
      <c r="AF332" s="1346"/>
      <c r="AG332" s="4"/>
      <c r="AH332" s="4"/>
      <c r="AI332" s="35"/>
      <c r="AJ332" s="35"/>
      <c r="AK332" s="35"/>
    </row>
    <row r="333" spans="2:37" ht="12.95" customHeight="1">
      <c r="B333" s="3" t="s">
        <v>76</v>
      </c>
      <c r="C333" s="3"/>
      <c r="D333" s="3"/>
      <c r="E333" s="3"/>
      <c r="F333" s="3"/>
      <c r="G333" s="3"/>
      <c r="H333" s="1348" t="s">
        <v>592</v>
      </c>
      <c r="I333" s="1348"/>
      <c r="J333" s="1348"/>
      <c r="K333" s="1348"/>
      <c r="L333" s="1348"/>
      <c r="M333" s="1348"/>
      <c r="N333" s="1371"/>
      <c r="O333" s="1371"/>
      <c r="P333" s="1371"/>
      <c r="Q333" s="1371"/>
      <c r="R333" s="1371"/>
      <c r="S333" s="3"/>
      <c r="T333" s="3" t="s">
        <v>76</v>
      </c>
      <c r="V333" s="3"/>
      <c r="W333" s="3"/>
      <c r="X333" s="3"/>
      <c r="Y333" s="3"/>
      <c r="AA333" s="1348" t="s">
        <v>2701</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16" t="s">
        <v>2766</v>
      </c>
      <c r="I335" s="1371"/>
      <c r="J335" s="1371"/>
      <c r="K335" s="1371"/>
      <c r="L335" s="1371"/>
      <c r="M335" s="1371"/>
      <c r="N335" s="1371"/>
      <c r="O335" s="1371"/>
      <c r="P335" s="1371"/>
      <c r="Q335" s="1371"/>
      <c r="R335" s="1371"/>
      <c r="T335" s="204" t="s">
        <v>887</v>
      </c>
      <c r="V335" s="3"/>
      <c r="W335" s="3"/>
      <c r="X335" s="3"/>
      <c r="Y335" s="3"/>
      <c r="AA335" s="1371" t="s">
        <v>2658</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2776</v>
      </c>
      <c r="I336" s="1348"/>
      <c r="J336" s="1348"/>
      <c r="K336" s="1348"/>
      <c r="L336" s="1348"/>
      <c r="M336" s="1348"/>
      <c r="N336" s="1348"/>
      <c r="O336" s="1348"/>
      <c r="P336" s="1348"/>
      <c r="Q336" s="1348"/>
      <c r="R336" s="1348"/>
      <c r="T336" s="3" t="s">
        <v>472</v>
      </c>
      <c r="V336" s="3"/>
      <c r="W336" s="3"/>
      <c r="X336" s="3"/>
      <c r="Y336" s="3"/>
      <c r="AA336" s="1348" t="s">
        <v>2619</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2777</v>
      </c>
      <c r="I337" s="1348"/>
      <c r="J337" s="1348"/>
      <c r="K337" s="1348"/>
      <c r="L337" s="1348"/>
      <c r="M337" s="1348"/>
      <c r="N337" s="1348"/>
      <c r="O337" s="1348"/>
      <c r="P337" s="1348"/>
      <c r="Q337" s="1348"/>
      <c r="R337" s="1348"/>
      <c r="T337" s="3" t="s">
        <v>75</v>
      </c>
      <c r="V337" s="3"/>
      <c r="W337" s="3"/>
      <c r="X337" s="3"/>
      <c r="Y337" s="3"/>
      <c r="AA337" s="1348" t="s">
        <v>2638</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2778</v>
      </c>
      <c r="I338" s="1348"/>
      <c r="J338" s="1348"/>
      <c r="K338" s="1348"/>
      <c r="L338" s="1348"/>
      <c r="M338" s="1348"/>
      <c r="N338" s="1348"/>
      <c r="O338" s="1348"/>
      <c r="P338" s="1348"/>
      <c r="Q338" s="1348"/>
      <c r="R338" s="1348"/>
      <c r="T338" s="3" t="s">
        <v>87</v>
      </c>
      <c r="V338" s="3"/>
      <c r="W338" s="3"/>
      <c r="X338" s="3"/>
      <c r="Y338" s="3"/>
      <c r="AA338" s="1348" t="s">
        <v>2659</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72" t="s">
        <v>2779</v>
      </c>
      <c r="I339" s="1423"/>
      <c r="J339" s="1423"/>
      <c r="K339" s="1423"/>
      <c r="L339" s="1423"/>
      <c r="M339" s="1423"/>
      <c r="N339" s="4" t="s">
        <v>206</v>
      </c>
      <c r="O339" s="4"/>
      <c r="P339" s="1417"/>
      <c r="Q339" s="1417"/>
      <c r="R339" s="1417"/>
      <c r="S339" s="3"/>
      <c r="T339" s="3" t="s">
        <v>88</v>
      </c>
      <c r="V339" s="3"/>
      <c r="W339" s="3"/>
      <c r="X339" s="3"/>
      <c r="Y339" s="3"/>
      <c r="AA339" s="1772" t="s">
        <v>2623</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681"/>
      <c r="I340" s="1346"/>
      <c r="J340" s="1346"/>
      <c r="K340" s="1346"/>
      <c r="L340" s="1346"/>
      <c r="M340" s="1346"/>
      <c r="N340" s="4"/>
      <c r="O340" s="4"/>
      <c r="P340" s="35"/>
      <c r="Q340" s="35"/>
      <c r="R340" s="35"/>
      <c r="S340" s="3"/>
      <c r="T340" s="3" t="s">
        <v>89</v>
      </c>
      <c r="V340" s="3"/>
      <c r="W340" s="3"/>
      <c r="X340" s="3"/>
      <c r="Y340" s="3"/>
      <c r="AA340" s="1681" t="s">
        <v>2628</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2780</v>
      </c>
      <c r="I341" s="1348"/>
      <c r="J341" s="1348"/>
      <c r="K341" s="1348"/>
      <c r="L341" s="1348"/>
      <c r="M341" s="1348"/>
      <c r="N341" s="1371"/>
      <c r="O341" s="1371"/>
      <c r="P341" s="1371"/>
      <c r="Q341" s="1371"/>
      <c r="R341" s="1371"/>
      <c r="S341" s="3"/>
      <c r="T341" s="3" t="s">
        <v>76</v>
      </c>
      <c r="V341" s="3"/>
      <c r="W341" s="3"/>
      <c r="X341" s="3"/>
      <c r="Y341" s="3"/>
      <c r="AA341" s="1348" t="s">
        <v>2660</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t="s">
        <v>592</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t="s">
        <v>592</v>
      </c>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t="s">
        <v>592</v>
      </c>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t="s">
        <v>592</v>
      </c>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681" t="s">
        <v>592</v>
      </c>
      <c r="Q347" s="1346"/>
      <c r="R347" s="1346"/>
      <c r="S347" s="1346"/>
      <c r="T347" s="1346"/>
      <c r="U347" s="1346"/>
      <c r="V347" s="1346"/>
      <c r="W347" s="1346"/>
      <c r="X347" s="1346"/>
      <c r="Y347" s="1346"/>
      <c r="Z347" s="1346"/>
      <c r="AA347" s="4" t="s">
        <v>206</v>
      </c>
      <c r="AB347" s="4"/>
      <c r="AC347" s="1546" t="s">
        <v>592</v>
      </c>
      <c r="AD347" s="1437"/>
      <c r="AE347" s="1437"/>
      <c r="AF347" s="302"/>
      <c r="AG347" s="4"/>
      <c r="AH347" s="4"/>
      <c r="AI347" s="4"/>
      <c r="AJ347" s="4"/>
      <c r="AK347" s="4"/>
    </row>
    <row r="348" spans="1:66" ht="12.95" customHeight="1">
      <c r="B348" s="4"/>
      <c r="C348" s="4"/>
      <c r="D348" s="4"/>
      <c r="E348" s="4"/>
      <c r="F348" s="4"/>
      <c r="G348" s="4"/>
      <c r="H348" s="302"/>
      <c r="I348" s="4" t="s">
        <v>89</v>
      </c>
      <c r="P348" s="1681" t="s">
        <v>592</v>
      </c>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t="s">
        <v>592</v>
      </c>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2098</v>
      </c>
      <c r="M355" s="1332" t="s">
        <v>592</v>
      </c>
      <c r="N355" s="1332"/>
      <c r="P355" t="s">
        <v>1650</v>
      </c>
      <c r="AJ355" s="1332" t="s">
        <v>592</v>
      </c>
      <c r="AK355" s="1332"/>
    </row>
    <row r="356" spans="1:46" ht="12.95" customHeight="1">
      <c r="D356" s="3" t="s">
        <v>1639</v>
      </c>
      <c r="M356" s="1332" t="s">
        <v>592</v>
      </c>
      <c r="N356" s="1332"/>
      <c r="P356" s="3" t="s">
        <v>1719</v>
      </c>
      <c r="AJ356" s="1447"/>
      <c r="AK356" s="1447"/>
    </row>
    <row r="357" spans="1:46" ht="12.95" customHeight="1">
      <c r="D357" s="3" t="s">
        <v>705</v>
      </c>
      <c r="M357" s="1332" t="s">
        <v>592</v>
      </c>
      <c r="N357" s="1332"/>
      <c r="P357" t="s">
        <v>1649</v>
      </c>
      <c r="AJ357" s="1332" t="s">
        <v>670</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978</v>
      </c>
      <c r="Q365" s="1371" t="s">
        <v>2781</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670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771" t="s">
        <v>2782</v>
      </c>
      <c r="O370" s="1663"/>
      <c r="P370" s="1663"/>
      <c r="Q370" s="1663"/>
      <c r="R370" s="4"/>
      <c r="U370" s="4" t="s">
        <v>450</v>
      </c>
      <c r="V370" s="4"/>
      <c r="W370" s="4"/>
      <c r="X370" s="4"/>
      <c r="Y370" s="4"/>
      <c r="Z370" s="4"/>
      <c r="AA370" s="4"/>
      <c r="AB370" s="4"/>
      <c r="AC370" s="1663">
        <v>16</v>
      </c>
      <c r="AD370" s="1663"/>
      <c r="AE370" s="1663"/>
      <c r="AF370" s="1663"/>
    </row>
    <row r="371" spans="1:34" ht="12.95" customHeight="1">
      <c r="E371" s="4" t="s">
        <v>451</v>
      </c>
      <c r="F371" s="4"/>
      <c r="G371" s="4"/>
      <c r="H371" s="4"/>
      <c r="I371" s="4"/>
      <c r="J371" s="4"/>
      <c r="K371" s="4"/>
      <c r="L371" s="4"/>
      <c r="N371" s="1663">
        <v>16</v>
      </c>
      <c r="O371" s="1663"/>
      <c r="P371" s="1663"/>
      <c r="Q371" s="1663"/>
      <c r="R371" s="4"/>
      <c r="U371" s="4" t="s">
        <v>0</v>
      </c>
      <c r="V371" s="4"/>
      <c r="W371" s="4"/>
      <c r="X371" s="4"/>
      <c r="Y371" s="4"/>
      <c r="Z371" s="4"/>
      <c r="AA371" s="4"/>
      <c r="AB371" s="4"/>
      <c r="AC371" s="1663">
        <v>112</v>
      </c>
      <c r="AD371" s="1663"/>
      <c r="AE371" s="1663"/>
      <c r="AF371" s="1663"/>
    </row>
    <row r="372" spans="1:34" ht="12.95" customHeight="1">
      <c r="E372" s="4" t="s">
        <v>1</v>
      </c>
      <c r="F372" s="4"/>
      <c r="G372" s="4"/>
      <c r="H372" s="4"/>
      <c r="I372" s="4"/>
      <c r="J372" s="4"/>
      <c r="K372" s="4"/>
      <c r="L372" s="4"/>
      <c r="N372" s="1663">
        <v>2</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7" t="s">
        <v>2690</v>
      </c>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20">
        <v>2005</v>
      </c>
      <c r="T377" s="1820"/>
      <c r="U377" s="1" t="s">
        <v>306</v>
      </c>
      <c r="V377" s="1820">
        <v>65</v>
      </c>
      <c r="W377" s="1820"/>
      <c r="Y377" t="s">
        <v>2079</v>
      </c>
      <c r="AC377" s="27" t="s">
        <v>305</v>
      </c>
      <c r="AD377" s="1820">
        <v>2007</v>
      </c>
      <c r="AE377" s="1820"/>
      <c r="AF377" s="1" t="s">
        <v>306</v>
      </c>
      <c r="AG377" s="1820">
        <v>51</v>
      </c>
      <c r="AH377" s="1820"/>
    </row>
    <row r="378" spans="1:34" ht="12.95" customHeight="1">
      <c r="E378" s="4" t="s">
        <v>987</v>
      </c>
      <c r="F378" s="4"/>
      <c r="G378" s="4"/>
      <c r="H378" s="4"/>
      <c r="I378" s="4"/>
      <c r="J378" s="4"/>
      <c r="K378" s="4"/>
      <c r="L378" s="4"/>
      <c r="N378" s="1820">
        <v>2007</v>
      </c>
      <c r="O378" s="1820"/>
      <c r="P378" s="1820"/>
    </row>
    <row r="379" spans="1:34" ht="12.95" customHeight="1">
      <c r="E379" s="204" t="s">
        <v>2085</v>
      </c>
      <c r="F379" s="4"/>
      <c r="G379" s="4"/>
      <c r="H379" s="4"/>
      <c r="I379" s="4"/>
      <c r="J379" s="4"/>
      <c r="K379" s="4"/>
      <c r="L379" s="4"/>
      <c r="AG379" s="1808" t="s">
        <v>546</v>
      </c>
      <c r="AH379" s="1808"/>
    </row>
    <row r="380" spans="1:34" ht="12.95" customHeight="1">
      <c r="E380" s="4"/>
      <c r="F380" s="4"/>
      <c r="G380" s="4" t="s">
        <v>2086</v>
      </c>
      <c r="H380" s="4"/>
      <c r="I380" s="4"/>
      <c r="J380" s="4"/>
      <c r="K380" s="4"/>
      <c r="L380" s="4"/>
      <c r="AG380" s="1808" t="s">
        <v>670</v>
      </c>
      <c r="AH380" s="1808"/>
    </row>
    <row r="381" spans="1:34" ht="12.95" customHeight="1">
      <c r="E381" s="4"/>
      <c r="F381" s="4"/>
      <c r="G381" s="320" t="s">
        <v>988</v>
      </c>
      <c r="H381" s="4"/>
      <c r="I381" s="4"/>
      <c r="J381" s="4"/>
      <c r="K381" s="4"/>
      <c r="L381" s="4"/>
      <c r="V381" s="1332" t="s">
        <v>592</v>
      </c>
      <c r="W381" s="1332"/>
      <c r="Y381" s="22" t="s">
        <v>980</v>
      </c>
    </row>
    <row r="382" spans="1:34" ht="12.95" customHeight="1">
      <c r="E382" s="4" t="s">
        <v>981</v>
      </c>
      <c r="F382" s="4"/>
      <c r="G382" s="4"/>
      <c r="H382" s="4"/>
      <c r="I382" s="4"/>
      <c r="J382" s="4"/>
      <c r="K382" s="4"/>
      <c r="L382" s="4"/>
      <c r="V382" s="1332" t="s">
        <v>592</v>
      </c>
      <c r="W382" s="1332"/>
      <c r="Y382" s="4" t="s">
        <v>982</v>
      </c>
    </row>
    <row r="383" spans="1:34" ht="12.95" customHeight="1"/>
    <row r="384" spans="1:34" ht="12.95" customHeight="1">
      <c r="A384" s="2" t="s">
        <v>78</v>
      </c>
      <c r="B384" s="2"/>
    </row>
    <row r="385" spans="4:36" ht="12.95" customHeight="1">
      <c r="D385" t="s">
        <v>428</v>
      </c>
      <c r="J385" s="1371" t="s">
        <v>2713</v>
      </c>
      <c r="K385" s="1371"/>
      <c r="L385" s="1371"/>
      <c r="M385" s="1371"/>
      <c r="N385" s="1371"/>
      <c r="O385" s="1371"/>
      <c r="P385" s="1371"/>
      <c r="Q385" s="1371"/>
      <c r="R385" s="1371"/>
      <c r="S385" s="1371"/>
      <c r="T385" s="1371"/>
      <c r="U385" s="1371"/>
      <c r="V385" s="8" t="s">
        <v>83</v>
      </c>
      <c r="W385" s="8"/>
      <c r="X385" s="8"/>
      <c r="Y385" s="8"/>
      <c r="Z385" s="8"/>
      <c r="AA385" s="8"/>
      <c r="AB385" s="8"/>
      <c r="AC385" s="1371" t="s">
        <v>2716</v>
      </c>
      <c r="AD385" s="1371"/>
      <c r="AE385" s="1371"/>
      <c r="AF385" s="1371"/>
      <c r="AG385" s="1371"/>
      <c r="AH385" s="1371"/>
      <c r="AI385" s="1371"/>
      <c r="AJ385" s="1371"/>
    </row>
    <row r="386" spans="4:36" ht="12.95" customHeight="1">
      <c r="D386" s="3" t="s">
        <v>1182</v>
      </c>
      <c r="J386" s="1546" t="s">
        <v>2622</v>
      </c>
      <c r="K386" s="1348"/>
      <c r="L386" s="1348"/>
      <c r="M386" s="1348"/>
      <c r="N386" s="1348"/>
      <c r="O386" s="1348"/>
      <c r="P386" s="1348"/>
      <c r="Q386" s="1348"/>
      <c r="R386" s="1348"/>
      <c r="S386" s="1348"/>
      <c r="T386" s="1348"/>
      <c r="U386" s="1348"/>
      <c r="V386" s="3" t="s">
        <v>1182</v>
      </c>
      <c r="W386" s="8"/>
      <c r="X386" s="8"/>
      <c r="Y386" s="8"/>
      <c r="Z386" s="8"/>
      <c r="AA386" s="8"/>
      <c r="AB386" s="8"/>
      <c r="AC386" s="1371" t="s">
        <v>2716</v>
      </c>
      <c r="AD386" s="1371"/>
      <c r="AE386" s="1371"/>
      <c r="AF386" s="1371"/>
      <c r="AG386" s="1371"/>
      <c r="AH386" s="1371"/>
      <c r="AI386" s="1371"/>
      <c r="AJ386" s="1371"/>
    </row>
    <row r="387" spans="4:36" ht="12.95" customHeight="1">
      <c r="D387" s="3" t="s">
        <v>442</v>
      </c>
      <c r="J387" s="1546" t="s">
        <v>2714</v>
      </c>
      <c r="K387" s="1348"/>
      <c r="L387" s="1348"/>
      <c r="M387" s="1348"/>
      <c r="N387" s="1348"/>
      <c r="O387" s="1348"/>
      <c r="P387" s="1348"/>
      <c r="Q387" s="1348"/>
      <c r="R387" s="1348"/>
      <c r="S387" s="1348"/>
      <c r="T387" s="1348"/>
      <c r="U387" s="1348"/>
      <c r="V387" s="3" t="s">
        <v>442</v>
      </c>
      <c r="W387" s="8"/>
      <c r="X387" s="8"/>
      <c r="Y387" s="8"/>
      <c r="Z387" s="8"/>
      <c r="AA387" s="8"/>
      <c r="AB387" s="8"/>
      <c r="AC387" s="1371" t="s">
        <v>2714</v>
      </c>
      <c r="AD387" s="1371"/>
      <c r="AE387" s="1371"/>
      <c r="AF387" s="1371"/>
      <c r="AG387" s="1371"/>
      <c r="AH387" s="1371"/>
      <c r="AI387" s="1371"/>
      <c r="AJ387" s="1371"/>
    </row>
    <row r="388" spans="4:36" ht="12.95" customHeight="1">
      <c r="D388" t="s">
        <v>1178</v>
      </c>
      <c r="J388" s="1402" t="s">
        <v>2715</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45887</v>
      </c>
      <c r="R389" s="1752"/>
      <c r="S389" s="1752"/>
      <c r="T389" s="1752"/>
      <c r="U389" s="1752"/>
      <c r="V389" t="s">
        <v>309</v>
      </c>
      <c r="AI389" s="1332" t="s">
        <v>670</v>
      </c>
      <c r="AJ389" s="1332"/>
    </row>
    <row r="390" spans="4:36" ht="12.95" customHeight="1">
      <c r="D390" t="s">
        <v>5</v>
      </c>
      <c r="Q390" s="1534" t="s">
        <v>592</v>
      </c>
      <c r="R390" s="1825"/>
      <c r="S390" s="1825"/>
      <c r="T390" s="1825"/>
      <c r="U390" s="1825"/>
      <c r="W390" s="21" t="s">
        <v>74</v>
      </c>
      <c r="AG390" s="1822"/>
      <c r="AH390" s="1822"/>
      <c r="AI390" s="1822"/>
      <c r="AJ390" s="1822"/>
    </row>
    <row r="391" spans="4:36" ht="12.95" customHeight="1">
      <c r="D391" t="s">
        <v>427</v>
      </c>
      <c r="Q391" s="1834">
        <v>22140341</v>
      </c>
      <c r="R391" s="1834"/>
      <c r="S391" s="1834"/>
      <c r="T391" s="1834"/>
      <c r="U391" s="1834"/>
      <c r="V391" s="3" t="s">
        <v>1181</v>
      </c>
      <c r="AG391" s="1823">
        <v>46143</v>
      </c>
      <c r="AH391" s="1824"/>
      <c r="AI391" s="1824"/>
      <c r="AJ391" s="1824"/>
    </row>
    <row r="392" spans="4:36" ht="12.95" customHeight="1">
      <c r="D392" t="s">
        <v>88</v>
      </c>
      <c r="I392" s="1423">
        <v>9496607272</v>
      </c>
      <c r="J392" s="1423"/>
      <c r="K392" s="1423"/>
      <c r="L392" s="1423"/>
      <c r="M392" s="1423"/>
      <c r="N392" s="1423"/>
      <c r="Q392" s="4" t="s">
        <v>206</v>
      </c>
      <c r="S392" s="1833"/>
      <c r="T392" s="1833"/>
      <c r="U392" s="1833"/>
      <c r="V392" t="s">
        <v>73</v>
      </c>
      <c r="AI392" s="1332" t="s">
        <v>670</v>
      </c>
      <c r="AJ392" s="1332"/>
    </row>
    <row r="393" spans="4:36" ht="12.95" customHeight="1">
      <c r="D393" t="s">
        <v>310</v>
      </c>
      <c r="Q393" s="1408" t="s">
        <v>2784</v>
      </c>
      <c r="R393" s="1408"/>
      <c r="S393" s="1408"/>
      <c r="T393" s="1408"/>
      <c r="U393" s="1408"/>
      <c r="V393" t="s">
        <v>311</v>
      </c>
      <c r="AG393" s="1822">
        <v>0</v>
      </c>
      <c r="AH393" s="1822"/>
      <c r="AI393" s="1822"/>
      <c r="AJ393" s="1822"/>
    </row>
    <row r="394" spans="4:36" ht="12.95" customHeight="1">
      <c r="D394" t="s">
        <v>312</v>
      </c>
      <c r="Q394" s="1756" t="s">
        <v>2784</v>
      </c>
      <c r="R394" s="1757"/>
      <c r="S394" s="1757"/>
      <c r="T394" s="1757"/>
      <c r="U394" s="1757"/>
      <c r="V394" t="s">
        <v>1163</v>
      </c>
      <c r="AG394" s="1822">
        <v>0</v>
      </c>
      <c r="AH394" s="1822"/>
      <c r="AI394" s="1822"/>
      <c r="AJ394" s="1822"/>
    </row>
    <row r="395" spans="4:36" ht="12.95" customHeight="1">
      <c r="D395" t="s">
        <v>1162</v>
      </c>
      <c r="AG395" s="1822"/>
      <c r="AH395" s="1822"/>
      <c r="AI395" s="1822"/>
      <c r="AJ395" s="1822"/>
    </row>
    <row r="396" spans="4:36" ht="12.95" customHeight="1">
      <c r="AG396" s="456"/>
      <c r="AH396" s="456"/>
      <c r="AI396" s="456"/>
      <c r="AJ396" s="456"/>
    </row>
    <row r="397" spans="4:36" ht="12.95" customHeight="1">
      <c r="D397" s="3" t="s">
        <v>2142</v>
      </c>
      <c r="AG397" s="456"/>
      <c r="AH397" s="456"/>
      <c r="AI397" s="1332" t="s">
        <v>670</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546</v>
      </c>
      <c r="T401" s="1750"/>
      <c r="U401" s="1750"/>
      <c r="V401" t="s">
        <v>1661</v>
      </c>
      <c r="AG401" s="1827">
        <v>57</v>
      </c>
      <c r="AH401" s="1827"/>
      <c r="AI401" s="1827"/>
      <c r="AJ401" s="1827"/>
    </row>
    <row r="402" spans="1:36" ht="12.95" customHeight="1">
      <c r="D402" s="3" t="s">
        <v>1658</v>
      </c>
      <c r="S402" s="1750" t="s">
        <v>670</v>
      </c>
      <c r="T402" s="1750"/>
      <c r="U402" s="1750"/>
      <c r="V402" t="s">
        <v>1663</v>
      </c>
      <c r="AE402" s="1821" t="s">
        <v>2783</v>
      </c>
      <c r="AF402" s="1821"/>
      <c r="AG402" s="1821"/>
      <c r="AH402" s="1821"/>
      <c r="AI402" s="1821"/>
      <c r="AJ402" s="1821"/>
    </row>
    <row r="403" spans="1:36" ht="12.95" customHeight="1">
      <c r="D403" s="3" t="s">
        <v>1659</v>
      </c>
      <c r="K403" s="1802"/>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5" customHeight="1">
      <c r="D404" s="3" t="s">
        <v>1662</v>
      </c>
      <c r="K404" s="1802"/>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3" t="s">
        <v>1665</v>
      </c>
      <c r="E405" s="477"/>
      <c r="F405" s="477"/>
      <c r="G405" s="477"/>
      <c r="H405" s="477"/>
      <c r="I405" s="477"/>
      <c r="J405" s="477"/>
      <c r="K405" s="477"/>
      <c r="L405" s="477"/>
      <c r="M405" s="477"/>
      <c r="N405" s="477"/>
      <c r="O405" s="477"/>
      <c r="P405" s="477"/>
      <c r="Q405" s="477"/>
      <c r="R405" s="477"/>
      <c r="S405" s="1832" t="s">
        <v>1184</v>
      </c>
      <c r="T405" s="1832"/>
      <c r="U405" s="1832"/>
      <c r="V405" s="1832"/>
      <c r="W405" s="1832"/>
      <c r="X405" s="1832"/>
      <c r="Y405" s="1832"/>
      <c r="Z405" s="1832"/>
      <c r="AA405" s="1832"/>
      <c r="AB405" s="1832"/>
      <c r="AC405" s="1832"/>
      <c r="AD405" s="1832"/>
      <c r="AE405" s="1832"/>
      <c r="AF405" s="1832"/>
      <c r="AG405" s="1832"/>
      <c r="AH405" s="1832"/>
      <c r="AI405" s="1832"/>
      <c r="AJ405" s="1832"/>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16" t="s">
        <v>2717</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592</v>
      </c>
      <c r="S411" s="1332"/>
      <c r="AC411" s="27" t="s">
        <v>571</v>
      </c>
      <c r="AD411" s="1663"/>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20"/>
      <c r="F418" s="1820"/>
      <c r="G418" s="1820"/>
      <c r="H418" s="13" t="s">
        <v>115</v>
      </c>
      <c r="I418" s="1820"/>
      <c r="J418" s="1820"/>
      <c r="K418" s="1820"/>
      <c r="L418" t="s">
        <v>116</v>
      </c>
      <c r="N418" s="27" t="s">
        <v>576</v>
      </c>
      <c r="P418" s="1761">
        <v>3.23</v>
      </c>
      <c r="Q418" s="1761"/>
      <c r="R418" s="1761"/>
      <c r="S418" t="s">
        <v>117</v>
      </c>
      <c r="W418" s="1831">
        <f>IF(E418&gt;0,(E418*I418),(P418*43560))</f>
        <v>140698.79999999999</v>
      </c>
      <c r="X418" s="1831"/>
      <c r="Y418" s="1831"/>
      <c r="Z418" t="s">
        <v>118</v>
      </c>
      <c r="AF418" s="1762">
        <f>IFERROR(IF(P418&gt;0,(AG437/P418),(AG437/(W418/43560))),0)</f>
        <v>34.674922600619198</v>
      </c>
      <c r="AG418" s="1762"/>
      <c r="AH418" s="1762"/>
      <c r="AM418" s="3"/>
    </row>
    <row r="419" spans="1:39" ht="12.95" customHeight="1">
      <c r="E419" t="s">
        <v>51</v>
      </c>
    </row>
    <row r="420" spans="1:39" ht="12.95" customHeight="1">
      <c r="E420" s="1828"/>
      <c r="F420" s="1828"/>
      <c r="G420" s="1828"/>
      <c r="H420" s="1828"/>
      <c r="I420" s="1828"/>
      <c r="J420" s="1828"/>
      <c r="K420" s="1828"/>
      <c r="L420" s="1828"/>
      <c r="M420" s="1828"/>
      <c r="N420" s="1828"/>
      <c r="O420" s="1828"/>
      <c r="P420" s="1828"/>
      <c r="Q420" s="1828"/>
      <c r="R420" s="1828"/>
      <c r="S420" s="1828"/>
      <c r="T420" s="1828"/>
      <c r="U420" s="1828"/>
      <c r="V420" s="1828"/>
      <c r="W420" s="1828"/>
      <c r="X420" s="1828"/>
      <c r="Y420" s="1828"/>
      <c r="Z420" s="1828"/>
      <c r="AA420" s="1828"/>
      <c r="AB420" s="1828"/>
      <c r="AC420" s="1828"/>
      <c r="AD420" s="1828"/>
      <c r="AE420" s="1828"/>
      <c r="AF420" s="1828"/>
      <c r="AG420" s="1828"/>
      <c r="AH420" s="1828"/>
      <c r="AI420" s="1828"/>
      <c r="AJ420" s="1828"/>
    </row>
    <row r="421" spans="1:39" ht="12.95" customHeight="1">
      <c r="E421" s="118" t="s">
        <v>1736</v>
      </c>
      <c r="F421" s="1013"/>
      <c r="G421" s="1013"/>
      <c r="H421" s="1013"/>
      <c r="I421" s="1760">
        <v>3.23</v>
      </c>
      <c r="J421" s="1760"/>
      <c r="K421" s="1760"/>
      <c r="L421" s="1013"/>
      <c r="M421" s="118"/>
      <c r="N421" s="1013"/>
      <c r="O421" s="1013"/>
      <c r="P421" s="1441">
        <f>(DU755+DU778+DU800)/I421</f>
        <v>72.755417956656345</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16</v>
      </c>
      <c r="Q424" s="1332"/>
      <c r="S424" t="s">
        <v>189</v>
      </c>
      <c r="AE424" s="1332">
        <v>16</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7"/>
      <c r="G428" s="1777"/>
      <c r="H428" s="1777"/>
      <c r="I428" s="1777"/>
      <c r="J428" s="1777"/>
      <c r="K428" s="1777"/>
      <c r="L428" s="1777"/>
      <c r="M428" s="1777"/>
      <c r="N428" s="1777"/>
      <c r="O428" s="1777"/>
      <c r="P428" s="1777"/>
      <c r="Q428" s="1777"/>
      <c r="R428" s="1777"/>
      <c r="S428" s="1777"/>
      <c r="T428" s="1777"/>
      <c r="U428" s="1777"/>
      <c r="V428" s="1777"/>
      <c r="W428" s="1777"/>
      <c r="X428" s="1777"/>
      <c r="Y428" s="1777"/>
      <c r="Z428" s="1777"/>
      <c r="AA428" s="1777"/>
      <c r="AB428" s="1777"/>
      <c r="AC428" s="1777"/>
      <c r="AD428" s="1777"/>
      <c r="AE428" s="1777"/>
      <c r="AF428" s="1777"/>
      <c r="AG428" s="1777"/>
      <c r="AH428" s="1777"/>
    </row>
    <row r="429" spans="1:39" ht="12.95" customHeight="1">
      <c r="E429" t="s">
        <v>609</v>
      </c>
      <c r="P429" s="1"/>
      <c r="Q429" s="1332" t="s">
        <v>546</v>
      </c>
      <c r="R429" s="1332"/>
    </row>
    <row r="430" spans="1:39" ht="12.95" customHeight="1">
      <c r="F430" t="s">
        <v>610</v>
      </c>
      <c r="P430" s="1"/>
      <c r="Q430" s="1"/>
      <c r="AF430" s="1332" t="s">
        <v>592</v>
      </c>
      <c r="AG430" s="1829"/>
    </row>
    <row r="431" spans="1:39" ht="12.95" customHeight="1"/>
    <row r="432" spans="1:39" ht="12.95" customHeight="1">
      <c r="A432" s="2"/>
      <c r="B432" s="2"/>
      <c r="C432" s="2"/>
      <c r="E432" s="4" t="s">
        <v>308</v>
      </c>
      <c r="Z432" s="1332" t="s">
        <v>546</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6">
        <v>112</v>
      </c>
      <c r="AH437" s="1826"/>
      <c r="AI437" s="1826"/>
      <c r="AJ437" s="1826"/>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30">
        <v>0</v>
      </c>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6">
        <v>112</v>
      </c>
      <c r="AH439" s="1826"/>
      <c r="AI439" s="1826"/>
      <c r="AJ439" s="1826"/>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6">
        <v>112</v>
      </c>
      <c r="AH440" s="1826"/>
      <c r="AI440" s="1826"/>
      <c r="AJ440" s="1826"/>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10">
        <f>IF(ISERROR(AG440/AG439),0,AG440/AG439)</f>
        <v>1</v>
      </c>
      <c r="AH441" s="1810"/>
      <c r="AI441" s="1810"/>
      <c r="AJ441" s="1810"/>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91152</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91152</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10">
        <f>IF(ISERROR(AG443/AG442),0,AG443/AG442)</f>
        <v>1</v>
      </c>
      <c r="AH444" s="1810"/>
      <c r="AI444" s="1810"/>
      <c r="AJ444" s="1810"/>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10">
        <f>MIN(IF(AG441&gt;AG444,AG444,AG441),1)</f>
        <v>1</v>
      </c>
      <c r="AH445" s="1810"/>
      <c r="AI445" s="1810"/>
      <c r="AJ445" s="1810"/>
    </row>
    <row r="446" spans="1:55" ht="12.95" customHeight="1">
      <c r="D446" s="1742" t="s">
        <v>2087</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5">
        <v>0</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5">
        <v>0</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5">
        <v>0</v>
      </c>
      <c r="AH449" s="1695"/>
      <c r="AI449" s="1695"/>
      <c r="AJ449" s="1695"/>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50">
        <f>AG442+AG446+AG448+AG449</f>
        <v>91152</v>
      </c>
      <c r="AH450" s="1850"/>
      <c r="AI450" s="1850"/>
      <c r="AJ450" s="1850"/>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412151.76785714284</v>
      </c>
      <c r="AD454" s="1816"/>
      <c r="AE454" s="1816"/>
      <c r="AF454" s="181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412151.76785714284</v>
      </c>
      <c r="AD455" s="1816"/>
      <c r="AE455" s="1816"/>
      <c r="AF455" s="181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386822.95191176469</v>
      </c>
      <c r="AD456" s="1816"/>
      <c r="AE456" s="1816"/>
      <c r="AF456" s="1816"/>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2099</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2190</v>
      </c>
      <c r="E472" s="1854"/>
      <c r="F472" s="1854"/>
      <c r="G472" s="1854"/>
      <c r="H472" s="1854"/>
      <c r="I472" s="1854"/>
      <c r="J472" s="1854"/>
      <c r="K472" s="1854"/>
      <c r="L472" s="1854"/>
      <c r="M472" s="1854"/>
      <c r="N472" s="1854"/>
      <c r="O472" s="1854"/>
      <c r="P472" s="1854"/>
      <c r="Q472" s="1854"/>
      <c r="R472" s="1854"/>
      <c r="S472" s="1854"/>
      <c r="T472" s="1854"/>
      <c r="U472" s="1854"/>
      <c r="V472" s="1855"/>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7" t="s">
        <v>2661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2662</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2662</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8" t="s">
        <v>397</v>
      </c>
      <c r="C489" s="1839"/>
      <c r="D489" s="1839"/>
      <c r="E489" s="1839"/>
      <c r="F489" s="1839"/>
      <c r="G489" s="1839"/>
      <c r="H489" s="1839"/>
      <c r="I489" s="1839"/>
      <c r="J489" s="1839"/>
      <c r="K489" s="1839"/>
      <c r="L489" s="1839"/>
      <c r="M489" s="1839"/>
      <c r="N489" s="1839"/>
      <c r="O489" s="1839"/>
      <c r="P489" s="1840"/>
      <c r="Q489" s="1844" t="s">
        <v>670</v>
      </c>
      <c r="R489" s="1845"/>
      <c r="S489" s="1773" t="s">
        <v>166</v>
      </c>
      <c r="T489" s="1774"/>
      <c r="U489" s="1774"/>
      <c r="V489" s="1774"/>
      <c r="W489" s="1774"/>
      <c r="X489" s="1774"/>
      <c r="Y489" s="1774"/>
      <c r="Z489" s="1774"/>
      <c r="AA489" s="1774"/>
      <c r="AB489" s="1774"/>
      <c r="AC489" s="1774"/>
      <c r="AD489" s="1774"/>
      <c r="AE489" s="1774"/>
      <c r="AF489" s="1774"/>
      <c r="AG489" s="1774"/>
      <c r="AH489" s="1774"/>
      <c r="AI489" s="1774"/>
      <c r="AJ489" s="1774"/>
      <c r="AK489" s="1775"/>
      <c r="AZ489" s="3"/>
      <c r="BA489" s="3"/>
      <c r="BB489" s="3"/>
      <c r="BC489" s="3"/>
    </row>
    <row r="490" spans="1:55" ht="12.95" customHeight="1">
      <c r="B490" s="1841"/>
      <c r="C490" s="1842"/>
      <c r="D490" s="1842"/>
      <c r="E490" s="1842"/>
      <c r="F490" s="1842"/>
      <c r="G490" s="1842"/>
      <c r="H490" s="1842"/>
      <c r="I490" s="1842"/>
      <c r="J490" s="1842"/>
      <c r="K490" s="1842"/>
      <c r="L490" s="1842"/>
      <c r="M490" s="1842"/>
      <c r="N490" s="1842"/>
      <c r="O490" s="1842"/>
      <c r="P490" s="1843"/>
      <c r="Q490" s="1846"/>
      <c r="R490" s="1847"/>
      <c r="S490" s="1776"/>
      <c r="T490" s="1777"/>
      <c r="U490" s="1777"/>
      <c r="V490" s="1777"/>
      <c r="W490" s="1777"/>
      <c r="X490" s="1777"/>
      <c r="Y490" s="1777"/>
      <c r="Z490" s="1777"/>
      <c r="AA490" s="1777"/>
      <c r="AB490" s="1777"/>
      <c r="AC490" s="1777"/>
      <c r="AD490" s="1777"/>
      <c r="AE490" s="1777"/>
      <c r="AF490" s="1777"/>
      <c r="AG490" s="1777"/>
      <c r="AH490" s="1777"/>
      <c r="AI490" s="1777"/>
      <c r="AJ490" s="1777"/>
      <c r="AK490" s="1778"/>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51" t="s">
        <v>670</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2663</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2664</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180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1669</v>
      </c>
      <c r="C495" s="5"/>
      <c r="D495" s="5"/>
      <c r="E495" s="5"/>
      <c r="F495" s="5"/>
      <c r="G495" s="5"/>
      <c r="H495" s="5"/>
      <c r="I495" s="5"/>
      <c r="J495" s="5"/>
      <c r="K495" s="5"/>
      <c r="L495" s="5"/>
      <c r="M495" s="1446">
        <v>60</v>
      </c>
      <c r="N495" s="1447"/>
      <c r="O495" s="1447"/>
      <c r="P495" s="1448"/>
      <c r="Q495" s="121" t="s">
        <v>1670</v>
      </c>
      <c r="R495" s="5"/>
      <c r="S495" s="5"/>
      <c r="T495" s="5"/>
      <c r="U495" s="5"/>
      <c r="V495" s="5"/>
      <c r="W495" s="5"/>
      <c r="X495" s="5"/>
      <c r="Y495" s="5"/>
      <c r="Z495" s="5"/>
      <c r="AA495" s="5"/>
      <c r="AB495" s="5"/>
      <c r="AC495" s="5"/>
      <c r="AD495" s="5"/>
      <c r="AE495" s="5"/>
      <c r="AF495" s="5"/>
      <c r="AG495" s="5"/>
      <c r="AH495" s="1446">
        <v>120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2"/>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8</v>
      </c>
      <c r="AD502" s="1663"/>
      <c r="AE502" s="1663"/>
      <c r="AF502" s="1663"/>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3</v>
      </c>
      <c r="AD505" s="1663"/>
      <c r="AE505" s="1663"/>
      <c r="AF505" s="1663"/>
      <c r="AG505" s="13" t="s">
        <v>403</v>
      </c>
      <c r="AH505" s="1402">
        <v>2026</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592</v>
      </c>
      <c r="AD506" s="1663"/>
      <c r="AE506" s="1663"/>
      <c r="AF506" s="1663"/>
      <c r="AG506" s="13" t="s">
        <v>403</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4</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9"/>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6" t="s">
        <v>670</v>
      </c>
      <c r="AD509" s="1826"/>
      <c r="AE509" s="1826"/>
      <c r="AF509" s="1826"/>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5">
        <v>1</v>
      </c>
      <c r="AD512" s="1836"/>
      <c r="AE512" s="1836"/>
      <c r="AF512" s="1837"/>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8"/>
      <c r="AZ513" s="3"/>
      <c r="BA513" s="3"/>
      <c r="BB513" s="3"/>
      <c r="BC513" s="3"/>
      <c r="BD513" s="3"/>
      <c r="BE513" s="3"/>
      <c r="BF513" s="3"/>
      <c r="BG513" s="3"/>
      <c r="BH513" s="3"/>
      <c r="BI513" s="3"/>
      <c r="BJ513" s="3"/>
      <c r="BK513" s="3"/>
      <c r="BL513" s="3"/>
      <c r="BM513" s="3"/>
      <c r="BN513" s="3" t="s">
        <v>2104</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2105</v>
      </c>
    </row>
    <row r="515" spans="2:66" ht="12.95" customHeight="1">
      <c r="B515" s="1673"/>
      <c r="C515" s="1433"/>
      <c r="D515" s="1433"/>
      <c r="E515" s="1433"/>
      <c r="F515" s="1433"/>
      <c r="G515" s="1433"/>
      <c r="H515" s="1434"/>
      <c r="I515" t="s">
        <v>416</v>
      </c>
      <c r="AC515" s="1662">
        <v>8</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2106</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2107</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2108</v>
      </c>
    </row>
    <row r="518" spans="2:66" ht="12.95" customHeight="1">
      <c r="B518" s="1673"/>
      <c r="C518" s="1433"/>
      <c r="D518" s="1433"/>
      <c r="E518" s="1433"/>
      <c r="F518" s="1433"/>
      <c r="G518" s="1433"/>
      <c r="H518" s="1434"/>
      <c r="I518" t="s">
        <v>416</v>
      </c>
      <c r="AC518" s="1662">
        <v>8</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2109</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2">
        <v>2026</v>
      </c>
      <c r="AI519" s="1402"/>
      <c r="AJ519" s="1402"/>
      <c r="AK519" s="1403"/>
      <c r="BB519" s="3"/>
      <c r="BC519" s="3"/>
      <c r="BD519" s="3"/>
      <c r="BE519" s="3"/>
      <c r="BF519" s="3"/>
      <c r="BG519" s="3"/>
      <c r="BH519" s="3"/>
      <c r="BI519" s="3"/>
      <c r="BJ519" s="3"/>
      <c r="BK519" s="3"/>
      <c r="BL519" s="3"/>
      <c r="BM519" s="3"/>
      <c r="BN519" s="3" t="s">
        <v>2110</v>
      </c>
    </row>
    <row r="520" spans="2:66" ht="12.95" customHeight="1">
      <c r="B520" s="1672" t="s">
        <v>419</v>
      </c>
      <c r="C520" s="1431"/>
      <c r="D520" s="1431"/>
      <c r="E520" s="1431"/>
      <c r="F520" s="1431"/>
      <c r="G520" s="1431"/>
      <c r="H520" s="1432"/>
      <c r="I520" s="41" t="s">
        <v>420</v>
      </c>
      <c r="J520" s="42"/>
      <c r="K520" s="42"/>
      <c r="L520" s="42"/>
      <c r="M520" s="42"/>
      <c r="N520" s="42"/>
      <c r="O520" s="1749" t="s">
        <v>2732</v>
      </c>
      <c r="P520" s="1750"/>
      <c r="Q520" s="1750"/>
      <c r="R520" s="1750"/>
      <c r="S520" s="1750"/>
      <c r="T520" s="1750"/>
      <c r="U520" s="1750"/>
      <c r="V520" s="1750"/>
      <c r="W520" s="1750"/>
      <c r="X520" s="1750"/>
      <c r="Y520" s="1750"/>
      <c r="Z520" s="1750"/>
      <c r="AA520" s="1750"/>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2111</v>
      </c>
    </row>
    <row r="521" spans="2:66" ht="12.95" customHeight="1">
      <c r="B521" s="1673"/>
      <c r="C521" s="1433"/>
      <c r="D521" s="1433"/>
      <c r="E521" s="1433"/>
      <c r="F521" s="1433"/>
      <c r="G521" s="1433"/>
      <c r="H521" s="1434"/>
      <c r="I521" s="114" t="s">
        <v>421</v>
      </c>
      <c r="AB521" s="65"/>
      <c r="AC521" s="1662">
        <v>8</v>
      </c>
      <c r="AD521" s="1663"/>
      <c r="AE521" s="1663"/>
      <c r="AF521" s="1663"/>
      <c r="AG521" s="13" t="s">
        <v>403</v>
      </c>
      <c r="AH521" s="1402">
        <v>2025</v>
      </c>
      <c r="AI521" s="1402"/>
      <c r="AJ521" s="1402"/>
      <c r="AK521" s="1403"/>
      <c r="AZ521" s="3"/>
      <c r="BB521" s="3"/>
      <c r="BC521" s="3"/>
      <c r="BD521" s="3"/>
      <c r="BE521" s="3"/>
      <c r="BF521" s="3"/>
      <c r="BG521" s="3"/>
      <c r="BH521" s="3"/>
      <c r="BI521" s="3"/>
      <c r="BJ521" s="3"/>
      <c r="BK521" s="3"/>
      <c r="BL521" s="3"/>
      <c r="BM521" s="3"/>
      <c r="BN521" s="3" t="s">
        <v>2112</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5</v>
      </c>
      <c r="AD522" s="1663"/>
      <c r="AE522" s="1663"/>
      <c r="AF522" s="1663"/>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2113</v>
      </c>
    </row>
    <row r="523" spans="2:66" ht="12.95" customHeight="1">
      <c r="B523" s="1673"/>
      <c r="C523" s="1433"/>
      <c r="D523" s="1433"/>
      <c r="E523" s="1433"/>
      <c r="F523" s="1433"/>
      <c r="G523" s="1433"/>
      <c r="H523" s="1434"/>
      <c r="I523" s="42" t="s">
        <v>423</v>
      </c>
      <c r="J523" s="42"/>
      <c r="K523" s="42"/>
      <c r="L523" s="42"/>
      <c r="M523" s="42"/>
      <c r="N523" s="42"/>
      <c r="O523" s="1749" t="s">
        <v>2733</v>
      </c>
      <c r="P523" s="1750"/>
      <c r="Q523" s="1750"/>
      <c r="R523" s="1750"/>
      <c r="S523" s="1750"/>
      <c r="T523" s="1750"/>
      <c r="U523" s="1750"/>
      <c r="V523" s="1750"/>
      <c r="W523" s="1750"/>
      <c r="X523" s="1750"/>
      <c r="Y523" s="1750"/>
      <c r="Z523" s="1750"/>
      <c r="AA523" s="1750"/>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2114</v>
      </c>
    </row>
    <row r="524" spans="2:66" ht="12.95" customHeight="1">
      <c r="B524" s="1673"/>
      <c r="C524" s="1433"/>
      <c r="D524" s="1433"/>
      <c r="E524" s="1433"/>
      <c r="F524" s="1433"/>
      <c r="G524" s="1433"/>
      <c r="H524" s="1434"/>
      <c r="I524" t="s">
        <v>421</v>
      </c>
      <c r="AC524" s="1662">
        <v>8</v>
      </c>
      <c r="AD524" s="1663"/>
      <c r="AE524" s="1663"/>
      <c r="AF524" s="1663"/>
      <c r="AG524" s="13" t="s">
        <v>403</v>
      </c>
      <c r="AH524" s="1402">
        <v>2025</v>
      </c>
      <c r="AI524" s="1402"/>
      <c r="AJ524" s="1402"/>
      <c r="AK524" s="1403"/>
      <c r="AZ524" s="3"/>
      <c r="BA524" s="3"/>
      <c r="BB524" s="3"/>
      <c r="BC524" s="3"/>
      <c r="BD524" s="3"/>
      <c r="BE524" s="3"/>
      <c r="BF524" s="3"/>
      <c r="BG524" s="3"/>
      <c r="BH524" s="3"/>
      <c r="BI524" s="3"/>
      <c r="BJ524" s="3"/>
      <c r="BK524" s="3"/>
      <c r="BL524" s="3"/>
      <c r="BM524" s="3"/>
      <c r="BN524" s="3" t="s">
        <v>2115</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v>5</v>
      </c>
      <c r="AD525" s="1663"/>
      <c r="AE525" s="1663"/>
      <c r="AF525" s="1663"/>
      <c r="AG525" s="38" t="s">
        <v>403</v>
      </c>
      <c r="AH525" s="1402">
        <v>2026</v>
      </c>
      <c r="AI525" s="1402"/>
      <c r="AJ525" s="1402"/>
      <c r="AK525" s="1403"/>
      <c r="AZ525" s="3"/>
      <c r="BA525" s="3"/>
      <c r="BB525" s="3"/>
      <c r="BC525" s="3"/>
      <c r="BD525" s="3"/>
      <c r="BE525" s="3"/>
      <c r="BF525" s="3"/>
      <c r="BG525" s="3"/>
      <c r="BH525" s="3"/>
      <c r="BI525" s="3"/>
      <c r="BJ525" s="3"/>
      <c r="BK525" s="3"/>
      <c r="BL525" s="3"/>
      <c r="BM525" s="3"/>
      <c r="BN525" s="3" t="s">
        <v>2116</v>
      </c>
    </row>
    <row r="526" spans="2:66" ht="12.95" customHeight="1">
      <c r="B526" s="1673"/>
      <c r="C526" s="1433"/>
      <c r="D526" s="1433"/>
      <c r="E526" s="1433"/>
      <c r="F526" s="1433"/>
      <c r="G526" s="1433"/>
      <c r="H526" s="1434"/>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2117</v>
      </c>
    </row>
    <row r="527" spans="2:66" ht="12.95"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2118</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2119</v>
      </c>
    </row>
    <row r="529" spans="1:66" ht="12.95" customHeight="1">
      <c r="B529" s="1673"/>
      <c r="C529" s="1433"/>
      <c r="D529" s="1433"/>
      <c r="E529" s="1433"/>
      <c r="F529" s="1433"/>
      <c r="G529" s="1433"/>
      <c r="H529" s="1434"/>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2120</v>
      </c>
    </row>
    <row r="530" spans="1:66" ht="12.95"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2121</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2122</v>
      </c>
    </row>
    <row r="532" spans="1:66" ht="12.95" customHeight="1">
      <c r="B532" s="1673"/>
      <c r="C532" s="1433"/>
      <c r="D532" s="1433"/>
      <c r="E532" s="1433"/>
      <c r="F532" s="1433"/>
      <c r="G532" s="1433"/>
      <c r="H532" s="1434"/>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2123</v>
      </c>
    </row>
    <row r="533" spans="1:66" ht="12.95"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2124</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2125</v>
      </c>
    </row>
    <row r="535" spans="1:66" ht="12.95" customHeight="1">
      <c r="B535" s="1673"/>
      <c r="C535" s="1433"/>
      <c r="D535" s="1433"/>
      <c r="E535" s="1433"/>
      <c r="F535" s="1433"/>
      <c r="G535" s="1433"/>
      <c r="H535" s="1434"/>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2126</v>
      </c>
    </row>
    <row r="536" spans="1:66" ht="12.95"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2127</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2128</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t="s">
        <v>592</v>
      </c>
      <c r="AD538" s="1663"/>
      <c r="AE538" s="1663"/>
      <c r="AF538" s="1663"/>
      <c r="AG538" s="38" t="s">
        <v>403</v>
      </c>
      <c r="AH538" s="1402"/>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5</v>
      </c>
      <c r="AD539" s="1663"/>
      <c r="AE539" s="1663"/>
      <c r="AF539" s="1663"/>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5</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5</v>
      </c>
      <c r="AD541" s="1663"/>
      <c r="AE541" s="1663"/>
      <c r="AF541" s="1663"/>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8</v>
      </c>
      <c r="AD542" s="1663"/>
      <c r="AE542" s="1663"/>
      <c r="AF542" s="1663"/>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2102</v>
      </c>
      <c r="C551" s="1431"/>
      <c r="D551" s="1431"/>
      <c r="E551" s="1431"/>
      <c r="F551" s="1431"/>
      <c r="G551" s="1431"/>
      <c r="H551" s="1431"/>
      <c r="I551" s="1431"/>
      <c r="J551" s="1431"/>
      <c r="K551" s="1431"/>
      <c r="L551" s="1432"/>
      <c r="M551" s="1672" t="s">
        <v>2103</v>
      </c>
      <c r="N551" s="1431"/>
      <c r="O551" s="1431"/>
      <c r="P551" s="1432"/>
      <c r="Q551" s="1672" t="s">
        <v>2129</v>
      </c>
      <c r="R551" s="1431"/>
      <c r="S551" s="1432"/>
      <c r="T551" s="1672" t="s">
        <v>2130</v>
      </c>
      <c r="U551" s="1431"/>
      <c r="V551" s="1432"/>
      <c r="W551" s="1672" t="s">
        <v>454</v>
      </c>
      <c r="X551" s="1431"/>
      <c r="Y551" s="1432"/>
      <c r="Z551" s="1672" t="s">
        <v>1851</v>
      </c>
      <c r="AA551" s="1431"/>
      <c r="AB551" s="1431"/>
      <c r="AC551" s="1431"/>
      <c r="AD551" s="1432"/>
      <c r="AE551" s="1672" t="s">
        <v>1676</v>
      </c>
      <c r="AF551" s="1431"/>
      <c r="AG551" s="1431"/>
      <c r="AH551" s="1432"/>
      <c r="AI551" s="1672" t="s">
        <v>1677</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2676</v>
      </c>
      <c r="D554" s="1693"/>
      <c r="E554" s="1693"/>
      <c r="F554" s="1693"/>
      <c r="G554" s="1693"/>
      <c r="H554" s="1693"/>
      <c r="I554" s="1693"/>
      <c r="J554" s="1693"/>
      <c r="K554" s="1693"/>
      <c r="L554" s="1693"/>
      <c r="M554" s="1693" t="s">
        <v>2110</v>
      </c>
      <c r="N554" s="1693"/>
      <c r="O554" s="1693"/>
      <c r="P554" s="1693"/>
      <c r="Q554" s="1453"/>
      <c r="R554" s="1453"/>
      <c r="S554" s="1454"/>
      <c r="T554" s="1452"/>
      <c r="U554" s="1453"/>
      <c r="V554" s="1454"/>
      <c r="W554" s="1455"/>
      <c r="X554" s="1456"/>
      <c r="Y554" s="1457"/>
      <c r="Z554" s="1694" t="s">
        <v>592</v>
      </c>
      <c r="AA554" s="1694"/>
      <c r="AB554" s="1694"/>
      <c r="AC554" s="1694"/>
      <c r="AD554" s="1694"/>
      <c r="AE554" s="1675"/>
      <c r="AF554" s="1676"/>
      <c r="AG554" s="1676"/>
      <c r="AH554" s="1677"/>
      <c r="AI554" s="1678"/>
      <c r="AJ554" s="1679"/>
      <c r="AK554" s="1679"/>
      <c r="AL554" s="1680"/>
      <c r="AM554" s="1668">
        <v>861267.58367106202</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2" t="s">
        <v>2680</v>
      </c>
      <c r="D555" s="1682"/>
      <c r="E555" s="1682"/>
      <c r="F555" s="1682"/>
      <c r="G555" s="1682"/>
      <c r="H555" s="1682"/>
      <c r="I555" s="1682"/>
      <c r="J555" s="1682"/>
      <c r="K555" s="1682"/>
      <c r="L555" s="1682"/>
      <c r="M555" s="1693" t="s">
        <v>2119</v>
      </c>
      <c r="N555" s="1693"/>
      <c r="O555" s="1693"/>
      <c r="P555" s="1693"/>
      <c r="Q555" s="1452">
        <v>24</v>
      </c>
      <c r="R555" s="1453"/>
      <c r="S555" s="1454"/>
      <c r="T555" s="1452"/>
      <c r="U555" s="1453"/>
      <c r="V555" s="1454"/>
      <c r="W555" s="1455">
        <v>6.8500000000000005E-2</v>
      </c>
      <c r="X555" s="1456"/>
      <c r="Y555" s="1457"/>
      <c r="Z555" s="1694" t="s">
        <v>2674</v>
      </c>
      <c r="AA555" s="1694"/>
      <c r="AB555" s="1694"/>
      <c r="AC555" s="1694"/>
      <c r="AD555" s="1694"/>
      <c r="AE555" s="1675">
        <v>1</v>
      </c>
      <c r="AF555" s="1676"/>
      <c r="AG555" s="1676"/>
      <c r="AH555" s="1677"/>
      <c r="AI555" s="1678"/>
      <c r="AJ555" s="1679"/>
      <c r="AK555" s="1679"/>
      <c r="AL555" s="1680"/>
      <c r="AM555" s="1668">
        <v>11893063.035811801</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2" t="s">
        <v>2681</v>
      </c>
      <c r="D556" s="1682"/>
      <c r="E556" s="1682"/>
      <c r="F556" s="1682"/>
      <c r="G556" s="1682"/>
      <c r="H556" s="1682"/>
      <c r="I556" s="1682"/>
      <c r="J556" s="1682"/>
      <c r="K556" s="1682"/>
      <c r="L556" s="1682"/>
      <c r="M556" s="1693" t="s">
        <v>2118</v>
      </c>
      <c r="N556" s="1693"/>
      <c r="O556" s="1693"/>
      <c r="P556" s="1693"/>
      <c r="Q556" s="1452">
        <v>24</v>
      </c>
      <c r="R556" s="1453"/>
      <c r="S556" s="1454"/>
      <c r="T556" s="1452"/>
      <c r="U556" s="1453"/>
      <c r="V556" s="1454"/>
      <c r="W556" s="1455">
        <v>7.3499999999999996E-2</v>
      </c>
      <c r="X556" s="1456"/>
      <c r="Y556" s="1457"/>
      <c r="Z556" s="1694" t="s">
        <v>2674</v>
      </c>
      <c r="AA556" s="1694"/>
      <c r="AB556" s="1694"/>
      <c r="AC556" s="1694"/>
      <c r="AD556" s="1694"/>
      <c r="AE556" s="1675">
        <v>1</v>
      </c>
      <c r="AF556" s="1676"/>
      <c r="AG556" s="1676"/>
      <c r="AH556" s="1677"/>
      <c r="AI556" s="1678"/>
      <c r="AJ556" s="1679"/>
      <c r="AK556" s="1679"/>
      <c r="AL556" s="1680"/>
      <c r="AM556" s="1668">
        <f>10177117.3805172-AM565</f>
        <v>6377117.3805171996</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2" t="s">
        <v>2769</v>
      </c>
      <c r="D557" s="1682"/>
      <c r="E557" s="1682"/>
      <c r="F557" s="1682"/>
      <c r="G557" s="1682"/>
      <c r="H557" s="1682"/>
      <c r="I557" s="1682"/>
      <c r="J557" s="1682"/>
      <c r="K557" s="1682"/>
      <c r="L557" s="1682"/>
      <c r="M557" s="1693" t="s">
        <v>2115</v>
      </c>
      <c r="N557" s="1693"/>
      <c r="O557" s="1693"/>
      <c r="P557" s="1693"/>
      <c r="Q557" s="1452">
        <v>660</v>
      </c>
      <c r="R557" s="1453"/>
      <c r="S557" s="1454"/>
      <c r="T557" s="1452"/>
      <c r="U557" s="1453"/>
      <c r="V557" s="1454"/>
      <c r="W557" s="1455">
        <v>0.04</v>
      </c>
      <c r="X557" s="1456"/>
      <c r="Y557" s="1457"/>
      <c r="Z557" s="1694" t="s">
        <v>2673</v>
      </c>
      <c r="AA557" s="1694"/>
      <c r="AB557" s="1694"/>
      <c r="AC557" s="1694"/>
      <c r="AD557" s="1694"/>
      <c r="AE557" s="1675">
        <v>2</v>
      </c>
      <c r="AF557" s="1676"/>
      <c r="AG557" s="1676"/>
      <c r="AH557" s="1677"/>
      <c r="AI557" s="1678"/>
      <c r="AJ557" s="1679"/>
      <c r="AK557" s="1679"/>
      <c r="AL557" s="1680"/>
      <c r="AM557" s="1668">
        <v>18793383</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2" t="s">
        <v>2770</v>
      </c>
      <c r="D558" s="1682"/>
      <c r="E558" s="1682"/>
      <c r="F558" s="1682"/>
      <c r="G558" s="1682"/>
      <c r="H558" s="1682"/>
      <c r="I558" s="1682"/>
      <c r="J558" s="1682"/>
      <c r="K558" s="1682"/>
      <c r="L558" s="1682"/>
      <c r="M558" s="1693" t="s">
        <v>2104</v>
      </c>
      <c r="N558" s="1693"/>
      <c r="O558" s="1693"/>
      <c r="P558" s="1693"/>
      <c r="Q558" s="1452">
        <v>660</v>
      </c>
      <c r="R558" s="1453"/>
      <c r="S558" s="1454"/>
      <c r="T558" s="1452"/>
      <c r="U558" s="1453"/>
      <c r="V558" s="1454"/>
      <c r="W558" s="1455">
        <v>0.04</v>
      </c>
      <c r="X558" s="1456"/>
      <c r="Y558" s="1457"/>
      <c r="Z558" s="1694" t="s">
        <v>2673</v>
      </c>
      <c r="AA558" s="1694"/>
      <c r="AB558" s="1694"/>
      <c r="AC558" s="1694"/>
      <c r="AD558" s="1694"/>
      <c r="AE558" s="1675">
        <v>2</v>
      </c>
      <c r="AF558" s="1676"/>
      <c r="AG558" s="1676"/>
      <c r="AH558" s="1677"/>
      <c r="AI558" s="1678"/>
      <c r="AJ558" s="1679"/>
      <c r="AK558" s="1679"/>
      <c r="AL558" s="1680"/>
      <c r="AM558" s="1668">
        <v>831735</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2" t="s">
        <v>2665</v>
      </c>
      <c r="D559" s="1682"/>
      <c r="E559" s="1682"/>
      <c r="F559" s="1682"/>
      <c r="G559" s="1682"/>
      <c r="H559" s="1682"/>
      <c r="I559" s="1682"/>
      <c r="J559" s="1682"/>
      <c r="K559" s="1682"/>
      <c r="L559" s="1682"/>
      <c r="M559" s="1693" t="s">
        <v>2123</v>
      </c>
      <c r="N559" s="1693"/>
      <c r="O559" s="1693"/>
      <c r="P559" s="1693"/>
      <c r="Q559" s="1452"/>
      <c r="R559" s="1453"/>
      <c r="S559" s="1454"/>
      <c r="T559" s="1452"/>
      <c r="U559" s="1453"/>
      <c r="V559" s="1454"/>
      <c r="W559" s="1455"/>
      <c r="X559" s="1456"/>
      <c r="Y559" s="1457"/>
      <c r="Z559" s="1694" t="s">
        <v>592</v>
      </c>
      <c r="AA559" s="1694"/>
      <c r="AB559" s="1694"/>
      <c r="AC559" s="1694"/>
      <c r="AD559" s="1694"/>
      <c r="AE559" s="1675"/>
      <c r="AF559" s="1676"/>
      <c r="AG559" s="1676"/>
      <c r="AH559" s="1677"/>
      <c r="AI559" s="1678"/>
      <c r="AJ559" s="1679"/>
      <c r="AK559" s="1679"/>
      <c r="AL559" s="1680"/>
      <c r="AM559" s="1668">
        <v>240922</v>
      </c>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2" t="s">
        <v>2668</v>
      </c>
      <c r="D560" s="1682"/>
      <c r="E560" s="1682"/>
      <c r="F560" s="1682"/>
      <c r="G560" s="1682"/>
      <c r="H560" s="1682"/>
      <c r="I560" s="1682"/>
      <c r="J560" s="1682"/>
      <c r="K560" s="1682"/>
      <c r="L560" s="1682"/>
      <c r="M560" s="1693" t="s">
        <v>2121</v>
      </c>
      <c r="N560" s="1693"/>
      <c r="O560" s="1693"/>
      <c r="P560" s="1693"/>
      <c r="Q560" s="1452"/>
      <c r="R560" s="1453"/>
      <c r="S560" s="1454"/>
      <c r="T560" s="1452"/>
      <c r="U560" s="1453"/>
      <c r="V560" s="1454"/>
      <c r="W560" s="1455"/>
      <c r="X560" s="1456"/>
      <c r="Y560" s="1457"/>
      <c r="Z560" s="1694" t="s">
        <v>592</v>
      </c>
      <c r="AA560" s="1694"/>
      <c r="AB560" s="1694"/>
      <c r="AC560" s="1694"/>
      <c r="AD560" s="1694"/>
      <c r="AE560" s="1675"/>
      <c r="AF560" s="1676"/>
      <c r="AG560" s="1676"/>
      <c r="AH560" s="1677"/>
      <c r="AI560" s="1678"/>
      <c r="AJ560" s="1679"/>
      <c r="AK560" s="1679"/>
      <c r="AL560" s="1680"/>
      <c r="AM560" s="1668">
        <v>850410</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2" t="s">
        <v>2320</v>
      </c>
      <c r="D561" s="1682"/>
      <c r="E561" s="1682"/>
      <c r="F561" s="1682"/>
      <c r="G561" s="1682"/>
      <c r="H561" s="1682"/>
      <c r="I561" s="1682"/>
      <c r="J561" s="1682"/>
      <c r="K561" s="1682"/>
      <c r="L561" s="1682"/>
      <c r="M561" s="1693" t="s">
        <v>2106</v>
      </c>
      <c r="N561" s="1693"/>
      <c r="O561" s="1693"/>
      <c r="P561" s="1693"/>
      <c r="Q561" s="1452"/>
      <c r="R561" s="1453"/>
      <c r="S561" s="1454"/>
      <c r="T561" s="1452"/>
      <c r="U561" s="1453"/>
      <c r="V561" s="1454"/>
      <c r="W561" s="1455"/>
      <c r="X561" s="1456"/>
      <c r="Y561" s="1457"/>
      <c r="Z561" s="1694" t="s">
        <v>592</v>
      </c>
      <c r="AA561" s="1694"/>
      <c r="AB561" s="1694"/>
      <c r="AC561" s="1694"/>
      <c r="AD561" s="1694"/>
      <c r="AE561" s="1675"/>
      <c r="AF561" s="1676"/>
      <c r="AG561" s="1676"/>
      <c r="AH561" s="1677"/>
      <c r="AI561" s="1678"/>
      <c r="AJ561" s="1679"/>
      <c r="AK561" s="1679"/>
      <c r="AL561" s="1680"/>
      <c r="AM561" s="1668">
        <v>1927000</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2" t="s">
        <v>2666</v>
      </c>
      <c r="D562" s="1682"/>
      <c r="E562" s="1682"/>
      <c r="F562" s="1682"/>
      <c r="G562" s="1682"/>
      <c r="H562" s="1682"/>
      <c r="I562" s="1682"/>
      <c r="J562" s="1682"/>
      <c r="K562" s="1682"/>
      <c r="L562" s="1682"/>
      <c r="M562" s="1693" t="s">
        <v>2122</v>
      </c>
      <c r="N562" s="1693"/>
      <c r="O562" s="1693"/>
      <c r="P562" s="1693"/>
      <c r="Q562" s="1452"/>
      <c r="R562" s="1453"/>
      <c r="S562" s="1454"/>
      <c r="T562" s="1452"/>
      <c r="U562" s="1453"/>
      <c r="V562" s="1454"/>
      <c r="W562" s="1455"/>
      <c r="X562" s="1456"/>
      <c r="Y562" s="1457"/>
      <c r="Z562" s="1694" t="s">
        <v>592</v>
      </c>
      <c r="AA562" s="1694"/>
      <c r="AB562" s="1694"/>
      <c r="AC562" s="1694"/>
      <c r="AD562" s="1694"/>
      <c r="AE562" s="1675"/>
      <c r="AF562" s="1676"/>
      <c r="AG562" s="1676"/>
      <c r="AH562" s="1677"/>
      <c r="AI562" s="1678"/>
      <c r="AJ562" s="1679"/>
      <c r="AK562" s="1679"/>
      <c r="AL562" s="1680"/>
      <c r="AM562" s="1668">
        <v>540000</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2" t="s">
        <v>2667</v>
      </c>
      <c r="D563" s="1682"/>
      <c r="E563" s="1682"/>
      <c r="F563" s="1682"/>
      <c r="G563" s="1682"/>
      <c r="H563" s="1682"/>
      <c r="I563" s="1682"/>
      <c r="J563" s="1682"/>
      <c r="K563" s="1682"/>
      <c r="L563" s="1682"/>
      <c r="M563" s="1693" t="s">
        <v>2122</v>
      </c>
      <c r="N563" s="1693"/>
      <c r="O563" s="1693"/>
      <c r="P563" s="1693"/>
      <c r="Q563" s="1452"/>
      <c r="R563" s="1453"/>
      <c r="S563" s="1454"/>
      <c r="T563" s="1452"/>
      <c r="U563" s="1453"/>
      <c r="V563" s="1454"/>
      <c r="W563" s="1455"/>
      <c r="X563" s="1456"/>
      <c r="Y563" s="1457"/>
      <c r="Z563" s="1694" t="s">
        <v>592</v>
      </c>
      <c r="AA563" s="1694"/>
      <c r="AB563" s="1694"/>
      <c r="AC563" s="1694"/>
      <c r="AD563" s="1694"/>
      <c r="AE563" s="1675"/>
      <c r="AF563" s="1676"/>
      <c r="AG563" s="1676"/>
      <c r="AH563" s="1677"/>
      <c r="AI563" s="1678"/>
      <c r="AJ563" s="1679"/>
      <c r="AK563" s="1679"/>
      <c r="AL563" s="1680"/>
      <c r="AM563" s="1668">
        <v>46000</v>
      </c>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2" t="s">
        <v>2677</v>
      </c>
      <c r="D564" s="1682"/>
      <c r="E564" s="1682"/>
      <c r="F564" s="1682"/>
      <c r="G564" s="1682"/>
      <c r="H564" s="1682"/>
      <c r="I564" s="1682"/>
      <c r="J564" s="1682"/>
      <c r="K564" s="1682"/>
      <c r="L564" s="1682"/>
      <c r="M564" s="1693" t="s">
        <v>2109</v>
      </c>
      <c r="N564" s="1693"/>
      <c r="O564" s="1693"/>
      <c r="P564" s="1693"/>
      <c r="Q564" s="1452"/>
      <c r="R564" s="1453"/>
      <c r="S564" s="1454"/>
      <c r="T564" s="1452"/>
      <c r="U564" s="1453"/>
      <c r="V564" s="1454"/>
      <c r="W564" s="1455"/>
      <c r="X564" s="1456"/>
      <c r="Y564" s="1457"/>
      <c r="Z564" s="1694" t="s">
        <v>592</v>
      </c>
      <c r="AA564" s="1694"/>
      <c r="AB564" s="1694"/>
      <c r="AC564" s="1694"/>
      <c r="AD564" s="1694"/>
      <c r="AE564" s="1675"/>
      <c r="AF564" s="1676"/>
      <c r="AG564" s="1676"/>
      <c r="AH564" s="1677"/>
      <c r="AI564" s="1678"/>
      <c r="AJ564" s="1679"/>
      <c r="AK564" s="1679"/>
      <c r="AL564" s="1680"/>
      <c r="AM564" s="1668">
        <v>100</v>
      </c>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2" t="s">
        <v>2789</v>
      </c>
      <c r="D565" s="1682"/>
      <c r="E565" s="1682"/>
      <c r="F565" s="1682"/>
      <c r="G565" s="1682"/>
      <c r="H565" s="1682"/>
      <c r="I565" s="1682"/>
      <c r="J565" s="1682"/>
      <c r="K565" s="1682"/>
      <c r="L565" s="1682"/>
      <c r="M565" s="1693" t="s">
        <v>2120</v>
      </c>
      <c r="N565" s="1693"/>
      <c r="O565" s="1693"/>
      <c r="P565" s="1693"/>
      <c r="Q565" s="1452">
        <f>Q555</f>
        <v>24</v>
      </c>
      <c r="R565" s="1453"/>
      <c r="S565" s="1454"/>
      <c r="T565" s="1452"/>
      <c r="U565" s="1453"/>
      <c r="V565" s="1454"/>
      <c r="W565" s="1455">
        <f>W555</f>
        <v>6.8500000000000005E-2</v>
      </c>
      <c r="X565" s="1456"/>
      <c r="Y565" s="1457"/>
      <c r="Z565" s="1694" t="s">
        <v>2674</v>
      </c>
      <c r="AA565" s="1694"/>
      <c r="AB565" s="1694"/>
      <c r="AC565" s="1694"/>
      <c r="AD565" s="1694"/>
      <c r="AE565" s="1675">
        <v>1</v>
      </c>
      <c r="AF565" s="1676"/>
      <c r="AG565" s="1676"/>
      <c r="AH565" s="1677"/>
      <c r="AI565" s="1678"/>
      <c r="AJ565" s="1679"/>
      <c r="AK565" s="1679"/>
      <c r="AL565" s="1680"/>
      <c r="AM565" s="1668">
        <v>3800000</v>
      </c>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46160998.00000006</v>
      </c>
      <c r="AN566" s="1616"/>
      <c r="AO566" s="1616"/>
      <c r="AP566" s="1616"/>
      <c r="AQ566" s="1616"/>
      <c r="AR566" s="1616"/>
      <c r="AS566" s="1617"/>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58" t="str">
        <f>C554</f>
        <v>U.S. Bancorp Community Development Corporation - Tax Credit Equity</v>
      </c>
      <c r="H568" s="1358"/>
      <c r="I568" s="1358"/>
      <c r="J568" s="1358"/>
      <c r="K568" s="1358"/>
      <c r="L568" s="1358"/>
      <c r="M568" s="1358"/>
      <c r="N568" s="1358"/>
      <c r="O568" s="1358"/>
      <c r="P568" s="1358"/>
      <c r="Q568" s="1358"/>
      <c r="R568" s="1358"/>
      <c r="S568" s="8"/>
      <c r="T568" s="55" t="s">
        <v>113</v>
      </c>
      <c r="U568" t="s">
        <v>464</v>
      </c>
      <c r="Z568" s="1358" t="str">
        <f>C555</f>
        <v>U.S. Bank National Association - Tax-Exempt Construction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2726</v>
      </c>
      <c r="H569" s="1371"/>
      <c r="I569" s="1371"/>
      <c r="J569" s="1371"/>
      <c r="K569" s="1371"/>
      <c r="L569" s="1371"/>
      <c r="M569" s="1371"/>
      <c r="N569" s="1371"/>
      <c r="O569" s="1371"/>
      <c r="P569" s="1371"/>
      <c r="Q569" s="1371"/>
      <c r="R569" s="1371"/>
      <c r="S569" s="8"/>
      <c r="T569" s="22"/>
      <c r="U569" t="s">
        <v>85</v>
      </c>
      <c r="Z569" s="1371" t="s">
        <v>2736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2727</v>
      </c>
      <c r="H570" s="1371"/>
      <c r="I570" s="1371"/>
      <c r="J570" s="1371"/>
      <c r="K570" s="1371"/>
      <c r="L570" s="1371"/>
      <c r="M570" s="1371"/>
      <c r="N570" s="1371"/>
      <c r="O570" s="1371"/>
      <c r="P570" s="1371"/>
      <c r="Q570" s="1371"/>
      <c r="R570" s="1371"/>
      <c r="T570" s="22"/>
      <c r="U570" t="s">
        <v>581</v>
      </c>
      <c r="Z570" s="1348" t="s">
        <v>2711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2734</v>
      </c>
      <c r="H571" s="1371"/>
      <c r="I571" s="1371"/>
      <c r="J571" s="1371"/>
      <c r="K571" s="1371"/>
      <c r="L571" s="1371"/>
      <c r="M571" s="1371"/>
      <c r="N571" s="1371"/>
      <c r="O571" s="1371"/>
      <c r="P571" s="1371"/>
      <c r="Q571" s="1371"/>
      <c r="R571" s="1371"/>
      <c r="S571" s="8"/>
      <c r="T571" s="22"/>
      <c r="U571" t="s">
        <v>17</v>
      </c>
      <c r="Z571" s="1348" t="s">
        <v>2712</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681" t="s">
        <v>2729</v>
      </c>
      <c r="H572" s="1346"/>
      <c r="I572" s="1346"/>
      <c r="J572" s="1346"/>
      <c r="K572" s="1346"/>
      <c r="L572" s="1346"/>
      <c r="O572" s="33" t="s">
        <v>206</v>
      </c>
      <c r="P572" s="1437"/>
      <c r="Q572" s="1437"/>
      <c r="R572" s="1437"/>
      <c r="S572" s="10"/>
      <c r="T572" s="22"/>
      <c r="U572" t="s">
        <v>316</v>
      </c>
      <c r="Z572" s="1681" t="s">
        <v>2737</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1" t="s">
        <v>2735</v>
      </c>
      <c r="I573" s="1371"/>
      <c r="J573" s="1371"/>
      <c r="K573" s="1371"/>
      <c r="L573" s="1371"/>
      <c r="M573" s="1371"/>
      <c r="N573" s="1371"/>
      <c r="O573" s="1371"/>
      <c r="P573" s="1371"/>
      <c r="Q573" s="1371"/>
      <c r="R573" s="1371"/>
      <c r="S573" s="8"/>
      <c r="T573" s="22"/>
      <c r="U573" t="s">
        <v>18</v>
      </c>
      <c r="AA573" s="1371" t="s">
        <v>2738</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1185</v>
      </c>
      <c r="H574" s="8"/>
      <c r="I574" s="8"/>
      <c r="J574" s="8"/>
      <c r="K574" s="8"/>
      <c r="L574" s="8"/>
      <c r="M574" s="1696"/>
      <c r="N574" s="1696"/>
      <c r="O574" s="1696"/>
      <c r="P574" s="1696"/>
      <c r="Q574" s="1696"/>
      <c r="R574" s="1696"/>
      <c r="S574" s="8"/>
      <c r="T574" s="22"/>
      <c r="U574" s="320" t="s">
        <v>1185</v>
      </c>
      <c r="AA574" s="8"/>
      <c r="AB574" s="8"/>
      <c r="AC574" s="8"/>
      <c r="AD574" s="8"/>
      <c r="AE574" s="8"/>
      <c r="AF574" s="1696">
        <v>6.85</v>
      </c>
      <c r="AG574" s="1696"/>
      <c r="AH574" s="1696"/>
      <c r="AI574" s="1696"/>
      <c r="AJ574" s="1696"/>
      <c r="AK574" s="1696"/>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U.S. Bank National Association - Taxable Construction Loan</v>
      </c>
      <c r="H577" s="1358"/>
      <c r="I577" s="1358"/>
      <c r="J577" s="1358"/>
      <c r="K577" s="1358"/>
      <c r="L577" s="1358"/>
      <c r="M577" s="1358"/>
      <c r="N577" s="1358"/>
      <c r="O577" s="1358"/>
      <c r="P577" s="1358"/>
      <c r="Q577" s="1358"/>
      <c r="R577" s="1358"/>
      <c r="T577" s="55" t="s">
        <v>582</v>
      </c>
      <c r="U577" t="s">
        <v>464</v>
      </c>
      <c r="Z577" s="1358" t="str">
        <f>C557</f>
        <v>City of Anaheim - Residual Receipts Loan (Assumed Debt)</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2736</v>
      </c>
      <c r="H578" s="1371"/>
      <c r="I578" s="1371"/>
      <c r="J578" s="1371"/>
      <c r="K578" s="1371"/>
      <c r="L578" s="1371"/>
      <c r="M578" s="1371"/>
      <c r="N578" s="1371"/>
      <c r="O578" s="1371"/>
      <c r="P578" s="1371"/>
      <c r="Q578" s="1371"/>
      <c r="R578" s="1371"/>
      <c r="T578" s="22"/>
      <c r="U578" t="s">
        <v>85</v>
      </c>
      <c r="Z578" s="1371" t="s">
        <v>2742</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2739</v>
      </c>
      <c r="H579" s="1348"/>
      <c r="I579" s="1348"/>
      <c r="J579" s="1348"/>
      <c r="K579" s="1348"/>
      <c r="L579" s="1348"/>
      <c r="M579" s="1348"/>
      <c r="N579" s="1348"/>
      <c r="O579" s="1348"/>
      <c r="P579" s="1348"/>
      <c r="Q579" s="1348"/>
      <c r="R579" s="1348"/>
      <c r="T579" s="22"/>
      <c r="U579" t="s">
        <v>581</v>
      </c>
      <c r="Z579" s="1348" t="s">
        <v>2743</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2740</v>
      </c>
      <c r="H580" s="1348"/>
      <c r="I580" s="1348"/>
      <c r="J580" s="1348"/>
      <c r="K580" s="1348"/>
      <c r="L580" s="1348"/>
      <c r="M580" s="1348"/>
      <c r="N580" s="1348"/>
      <c r="O580" s="1348"/>
      <c r="P580" s="1348"/>
      <c r="Q580" s="1348"/>
      <c r="R580" s="1348"/>
      <c r="T580" s="22"/>
      <c r="U580" t="s">
        <v>17</v>
      </c>
      <c r="Z580" s="1348" t="s">
        <v>2744</v>
      </c>
      <c r="AA580" s="1348"/>
      <c r="AB580" s="1348"/>
      <c r="AC580" s="1348"/>
      <c r="AD580" s="1348"/>
      <c r="AE580" s="1348"/>
      <c r="AF580" s="1348"/>
      <c r="AG580" s="1348"/>
      <c r="AH580" s="1348"/>
      <c r="AI580" s="1348"/>
      <c r="AJ580" s="1348"/>
      <c r="AK580" s="1348"/>
      <c r="BB580" s="3"/>
      <c r="BC580" s="3"/>
    </row>
    <row r="581" spans="1:55" ht="12.95" customHeight="1">
      <c r="A581" s="22"/>
      <c r="B581" t="s">
        <v>316</v>
      </c>
      <c r="G581" s="1681" t="s">
        <v>2737</v>
      </c>
      <c r="H581" s="1346"/>
      <c r="I581" s="1346"/>
      <c r="J581" s="1346"/>
      <c r="K581" s="1346"/>
      <c r="L581" s="1346"/>
      <c r="O581" s="33" t="s">
        <v>206</v>
      </c>
      <c r="P581" s="1437"/>
      <c r="Q581" s="1437"/>
      <c r="R581" s="1437"/>
      <c r="T581" s="22"/>
      <c r="U581" t="s">
        <v>316</v>
      </c>
      <c r="Z581" s="1681" t="s">
        <v>2745</v>
      </c>
      <c r="AA581" s="1346"/>
      <c r="AB581" s="1346"/>
      <c r="AC581" s="1346"/>
      <c r="AD581" s="1346"/>
      <c r="AE581" s="1346"/>
      <c r="AH581" s="33" t="s">
        <v>206</v>
      </c>
      <c r="AI581" s="1437"/>
      <c r="AJ581" s="1437"/>
      <c r="AK581" s="1437"/>
      <c r="BB581" s="3"/>
      <c r="BC581" s="3"/>
    </row>
    <row r="582" spans="1:55" ht="12.95" customHeight="1">
      <c r="A582" s="22"/>
      <c r="B582" t="s">
        <v>18</v>
      </c>
      <c r="H582" s="1371" t="s">
        <v>2741</v>
      </c>
      <c r="I582" s="1371"/>
      <c r="J582" s="1371"/>
      <c r="K582" s="1371"/>
      <c r="L582" s="1371"/>
      <c r="M582" s="1371"/>
      <c r="N582" s="1371"/>
      <c r="O582" s="1371"/>
      <c r="P582" s="1371"/>
      <c r="Q582" s="1371"/>
      <c r="R582" s="1371"/>
      <c r="T582" s="22"/>
      <c r="U582" t="s">
        <v>18</v>
      </c>
      <c r="AA582" s="1371" t="s">
        <v>2746</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City of Anaheim - Residual Receipts Loan (Assumed Debt) and Ground Lease Extension Note Accrued Interest</v>
      </c>
      <c r="H585" s="1358"/>
      <c r="I585" s="1358"/>
      <c r="J585" s="1358"/>
      <c r="K585" s="1358"/>
      <c r="L585" s="1358"/>
      <c r="M585" s="1358"/>
      <c r="N585" s="1358"/>
      <c r="O585" s="1358"/>
      <c r="P585" s="1358"/>
      <c r="Q585" s="1358"/>
      <c r="R585" s="1358"/>
      <c r="T585" s="55" t="s">
        <v>585</v>
      </c>
      <c r="U585" t="s">
        <v>464</v>
      </c>
      <c r="Z585" s="1358" t="str">
        <f>C559</f>
        <v>Existing Replacement Reserves</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2742</v>
      </c>
      <c r="H586" s="1371"/>
      <c r="I586" s="1371"/>
      <c r="J586" s="1371"/>
      <c r="K586" s="1371"/>
      <c r="L586" s="1371"/>
      <c r="M586" s="1371"/>
      <c r="N586" s="1371"/>
      <c r="O586" s="1371"/>
      <c r="P586" s="1371"/>
      <c r="Q586" s="1371"/>
      <c r="R586" s="1371"/>
      <c r="T586" s="22"/>
      <c r="U586" t="s">
        <v>85</v>
      </c>
      <c r="Z586" s="1371" t="s">
        <v>2748</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2743</v>
      </c>
      <c r="H587" s="1371"/>
      <c r="I587" s="1371"/>
      <c r="J587" s="1371"/>
      <c r="K587" s="1371"/>
      <c r="L587" s="1371"/>
      <c r="M587" s="1371"/>
      <c r="N587" s="1371"/>
      <c r="O587" s="1371"/>
      <c r="P587" s="1371"/>
      <c r="Q587" s="1371"/>
      <c r="R587" s="1371"/>
      <c r="T587" s="22"/>
      <c r="U587" t="s">
        <v>581</v>
      </c>
      <c r="Z587" s="1348" t="s">
        <v>2749</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2744</v>
      </c>
      <c r="H588" s="1371"/>
      <c r="I588" s="1371"/>
      <c r="J588" s="1371"/>
      <c r="K588" s="1371"/>
      <c r="L588" s="1371"/>
      <c r="M588" s="1371"/>
      <c r="N588" s="1371"/>
      <c r="O588" s="1371"/>
      <c r="P588" s="1371"/>
      <c r="Q588" s="1371"/>
      <c r="R588" s="1371"/>
      <c r="T588" s="22"/>
      <c r="U588" t="s">
        <v>17</v>
      </c>
      <c r="Z588" s="1348" t="s">
        <v>2716</v>
      </c>
      <c r="AA588" s="1348"/>
      <c r="AB588" s="1348"/>
      <c r="AC588" s="1348"/>
      <c r="AD588" s="1348"/>
      <c r="AE588" s="1348"/>
      <c r="AF588" s="1348"/>
      <c r="AG588" s="1348"/>
      <c r="AH588" s="1348"/>
      <c r="AI588" s="1348"/>
      <c r="AJ588" s="1348"/>
      <c r="AK588" s="1348"/>
    </row>
    <row r="589" spans="1:55" ht="12.95" customHeight="1">
      <c r="A589" s="22"/>
      <c r="B589" t="s">
        <v>316</v>
      </c>
      <c r="G589" s="1681" t="s">
        <v>2745</v>
      </c>
      <c r="H589" s="1346"/>
      <c r="I589" s="1346"/>
      <c r="J589" s="1346"/>
      <c r="K589" s="1346"/>
      <c r="L589" s="1346"/>
      <c r="O589" s="33" t="s">
        <v>206</v>
      </c>
      <c r="P589" s="1437"/>
      <c r="Q589" s="1437"/>
      <c r="R589" s="1437"/>
      <c r="T589" s="22"/>
      <c r="U589" t="s">
        <v>316</v>
      </c>
      <c r="Z589" s="1346" t="s">
        <v>2623</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1" t="s">
        <v>2746</v>
      </c>
      <c r="I590" s="1371"/>
      <c r="J590" s="1371"/>
      <c r="K590" s="1371"/>
      <c r="L590" s="1371"/>
      <c r="M590" s="1371"/>
      <c r="N590" s="1371"/>
      <c r="O590" s="1371"/>
      <c r="P590" s="1371"/>
      <c r="Q590" s="1371"/>
      <c r="R590" s="1371"/>
      <c r="T590" s="22"/>
      <c r="U590" t="s">
        <v>18</v>
      </c>
      <c r="AA590" s="1371" t="s">
        <v>2751</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NOI During Construction</v>
      </c>
      <c r="H593" s="1358"/>
      <c r="I593" s="1358"/>
      <c r="J593" s="1358"/>
      <c r="K593" s="1358"/>
      <c r="L593" s="1358"/>
      <c r="M593" s="1358"/>
      <c r="N593" s="1358"/>
      <c r="O593" s="1358"/>
      <c r="P593" s="1358"/>
      <c r="Q593" s="1358"/>
      <c r="R593" s="1358"/>
      <c r="T593" s="55" t="s">
        <v>457</v>
      </c>
      <c r="U593" t="s">
        <v>464</v>
      </c>
      <c r="Z593" s="1358" t="str">
        <f>C561</f>
        <v>Deferred Developer Fee</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2748</v>
      </c>
      <c r="H594" s="1371"/>
      <c r="I594" s="1371"/>
      <c r="J594" s="1371"/>
      <c r="K594" s="1371"/>
      <c r="L594" s="1371"/>
      <c r="M594" s="1371"/>
      <c r="N594" s="1371"/>
      <c r="O594" s="1371"/>
      <c r="P594" s="1371"/>
      <c r="Q594" s="1371"/>
      <c r="R594" s="1371"/>
      <c r="S594"/>
      <c r="T594" s="22"/>
      <c r="U594" t="s">
        <v>85</v>
      </c>
      <c r="V594"/>
      <c r="W594"/>
      <c r="X594"/>
      <c r="Y594"/>
      <c r="Z594" s="1371" t="s">
        <v>2748</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
        <v>2749</v>
      </c>
      <c r="H595" s="1371"/>
      <c r="I595" s="1371"/>
      <c r="J595" s="1371"/>
      <c r="K595" s="1371"/>
      <c r="L595" s="1371"/>
      <c r="M595" s="1371"/>
      <c r="N595" s="1371"/>
      <c r="O595" s="1371"/>
      <c r="P595" s="1371"/>
      <c r="Q595" s="1371"/>
      <c r="R595" s="1371"/>
      <c r="S595"/>
      <c r="T595" s="22"/>
      <c r="U595" t="s">
        <v>581</v>
      </c>
      <c r="V595"/>
      <c r="W595"/>
      <c r="X595"/>
      <c r="Y595"/>
      <c r="Z595" s="1348" t="s">
        <v>2749</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2716</v>
      </c>
      <c r="H596" s="1371"/>
      <c r="I596" s="1371"/>
      <c r="J596" s="1371"/>
      <c r="K596" s="1371"/>
      <c r="L596" s="1371"/>
      <c r="M596" s="1371"/>
      <c r="N596" s="1371"/>
      <c r="O596" s="1371"/>
      <c r="P596" s="1371"/>
      <c r="Q596" s="1371"/>
      <c r="R596" s="1371"/>
      <c r="S596"/>
      <c r="T596" s="22"/>
      <c r="U596" t="s">
        <v>17</v>
      </c>
      <c r="V596"/>
      <c r="W596"/>
      <c r="X596"/>
      <c r="Y596"/>
      <c r="Z596" s="1348" t="s">
        <v>2716</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2623</v>
      </c>
      <c r="H597" s="1346"/>
      <c r="I597" s="1346"/>
      <c r="J597" s="1346"/>
      <c r="K597" s="1346"/>
      <c r="L597" s="1346"/>
      <c r="M597"/>
      <c r="N597"/>
      <c r="O597" s="33" t="s">
        <v>206</v>
      </c>
      <c r="P597" s="1437"/>
      <c r="Q597" s="1437"/>
      <c r="R597" s="1437"/>
      <c r="S597"/>
      <c r="T597" s="22"/>
      <c r="U597" t="s">
        <v>316</v>
      </c>
      <c r="V597"/>
      <c r="W597"/>
      <c r="X597"/>
      <c r="Y597"/>
      <c r="Z597" s="1346" t="s">
        <v>2623</v>
      </c>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2752</v>
      </c>
      <c r="I598" s="1371"/>
      <c r="J598" s="1371"/>
      <c r="K598" s="1371"/>
      <c r="L598" s="1371"/>
      <c r="M598" s="1371"/>
      <c r="N598" s="1371"/>
      <c r="O598" s="1371"/>
      <c r="P598" s="1371"/>
      <c r="Q598" s="1371"/>
      <c r="R598" s="1371"/>
      <c r="S598"/>
      <c r="T598" s="22"/>
      <c r="U598" t="s">
        <v>18</v>
      </c>
      <c r="V598"/>
      <c r="W598"/>
      <c r="X598"/>
      <c r="Y598"/>
      <c r="Z598"/>
      <c r="AA598" s="1371" t="s">
        <v>2320</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8" t="str">
        <f>C562</f>
        <v>Deferred Operating Reserve</v>
      </c>
      <c r="H601" s="1358"/>
      <c r="I601" s="1358"/>
      <c r="J601" s="1358"/>
      <c r="K601" s="1358"/>
      <c r="L601" s="1358"/>
      <c r="M601" s="1358"/>
      <c r="N601" s="1358"/>
      <c r="O601" s="1358"/>
      <c r="P601" s="1358"/>
      <c r="Q601" s="1358"/>
      <c r="R601" s="1358"/>
      <c r="T601" s="55" t="s">
        <v>647</v>
      </c>
      <c r="U601" t="s">
        <v>464</v>
      </c>
      <c r="Z601" s="1358" t="str">
        <f>C563</f>
        <v>Deferred TCAC Monitoring Fee</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t="s">
        <v>2748</v>
      </c>
      <c r="H602" s="1371"/>
      <c r="I602" s="1371"/>
      <c r="J602" s="1371"/>
      <c r="K602" s="1371"/>
      <c r="L602" s="1371"/>
      <c r="M602" s="1371"/>
      <c r="N602" s="1371"/>
      <c r="O602" s="1371"/>
      <c r="P602" s="1371"/>
      <c r="Q602" s="1371"/>
      <c r="R602" s="1371"/>
      <c r="T602" s="22"/>
      <c r="U602" t="s">
        <v>85</v>
      </c>
      <c r="Z602" s="1371" t="s">
        <v>2748</v>
      </c>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t="s">
        <v>2749</v>
      </c>
      <c r="H603" s="1371"/>
      <c r="I603" s="1371"/>
      <c r="J603" s="1371"/>
      <c r="K603" s="1371"/>
      <c r="L603" s="1371"/>
      <c r="M603" s="1371"/>
      <c r="N603" s="1371"/>
      <c r="O603" s="1371"/>
      <c r="P603" s="1371"/>
      <c r="Q603" s="1371"/>
      <c r="R603" s="1371"/>
      <c r="T603" s="22"/>
      <c r="U603" t="s">
        <v>581</v>
      </c>
      <c r="Z603" s="1348" t="s">
        <v>2749</v>
      </c>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t="s">
        <v>2622</v>
      </c>
      <c r="H604" s="1371"/>
      <c r="I604" s="1371"/>
      <c r="J604" s="1371"/>
      <c r="K604" s="1371"/>
      <c r="L604" s="1371"/>
      <c r="M604" s="1371"/>
      <c r="N604" s="1371"/>
      <c r="O604" s="1371"/>
      <c r="P604" s="1371"/>
      <c r="Q604" s="1371"/>
      <c r="R604" s="1371"/>
      <c r="T604" s="22"/>
      <c r="U604" t="s">
        <v>17</v>
      </c>
      <c r="Z604" s="1348" t="s">
        <v>2622</v>
      </c>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t="s">
        <v>2623</v>
      </c>
      <c r="H605" s="1346"/>
      <c r="I605" s="1346"/>
      <c r="J605" s="1346"/>
      <c r="K605" s="1346"/>
      <c r="L605" s="1346"/>
      <c r="M605"/>
      <c r="N605"/>
      <c r="O605" s="33" t="s">
        <v>206</v>
      </c>
      <c r="P605" s="1437"/>
      <c r="Q605" s="1437"/>
      <c r="R605" s="1437"/>
      <c r="S605"/>
      <c r="T605" s="22"/>
      <c r="U605" t="s">
        <v>316</v>
      </c>
      <c r="V605"/>
      <c r="W605"/>
      <c r="X605"/>
      <c r="Y605"/>
      <c r="Z605" s="1346" t="s">
        <v>2623</v>
      </c>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t="s">
        <v>2753</v>
      </c>
      <c r="I606" s="1371"/>
      <c r="J606" s="1371"/>
      <c r="K606" s="1371"/>
      <c r="L606" s="1371"/>
      <c r="M606" s="1371"/>
      <c r="N606" s="1371"/>
      <c r="O606" s="1371"/>
      <c r="P606" s="1371"/>
      <c r="Q606" s="1371"/>
      <c r="R606" s="1371"/>
      <c r="S606"/>
      <c r="T606" s="22"/>
      <c r="U606" t="s">
        <v>18</v>
      </c>
      <c r="V606"/>
      <c r="W606"/>
      <c r="X606"/>
      <c r="Y606"/>
      <c r="Z606"/>
      <c r="AA606" s="1371" t="s">
        <v>2667</v>
      </c>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546</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t="str">
        <f>C564</f>
        <v>General Partner Equity</v>
      </c>
      <c r="H609" s="1358"/>
      <c r="I609" s="1358"/>
      <c r="J609" s="1358"/>
      <c r="K609" s="1358"/>
      <c r="L609" s="1358"/>
      <c r="M609" s="1358"/>
      <c r="N609" s="1358"/>
      <c r="O609" s="1358"/>
      <c r="P609" s="1358"/>
      <c r="Q609" s="1358"/>
      <c r="R609" s="1358"/>
      <c r="T609" s="55" t="s">
        <v>363</v>
      </c>
      <c r="U609" t="s">
        <v>464</v>
      </c>
      <c r="Z609" s="1358" t="str">
        <f>C565</f>
        <v>U.S. Bank National Association - Tax-Exempt Construction Loan (Recycled Bonds)</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t="s">
        <v>2748</v>
      </c>
      <c r="H610" s="1371"/>
      <c r="I610" s="1371"/>
      <c r="J610" s="1371"/>
      <c r="K610" s="1371"/>
      <c r="L610" s="1371"/>
      <c r="M610" s="1371"/>
      <c r="N610" s="1371"/>
      <c r="O610" s="1371"/>
      <c r="P610" s="1371"/>
      <c r="Q610" s="1371"/>
      <c r="R610" s="1371"/>
      <c r="U610" t="s">
        <v>85</v>
      </c>
      <c r="Z610" s="1371" t="s">
        <v>2736</v>
      </c>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t="s">
        <v>2749</v>
      </c>
      <c r="H611" s="1371"/>
      <c r="I611" s="1371"/>
      <c r="J611" s="1371"/>
      <c r="K611" s="1371"/>
      <c r="L611" s="1371"/>
      <c r="M611" s="1371"/>
      <c r="N611" s="1371"/>
      <c r="O611" s="1371"/>
      <c r="P611" s="1371"/>
      <c r="Q611" s="1371"/>
      <c r="R611" s="1371"/>
      <c r="U611" t="s">
        <v>581</v>
      </c>
      <c r="Z611" s="1348" t="s">
        <v>2739</v>
      </c>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t="s">
        <v>2716</v>
      </c>
      <c r="H612" s="1371"/>
      <c r="I612" s="1371"/>
      <c r="J612" s="1371"/>
      <c r="K612" s="1371"/>
      <c r="L612" s="1371"/>
      <c r="M612" s="1371"/>
      <c r="N612" s="1371"/>
      <c r="O612" s="1371"/>
      <c r="P612" s="1371"/>
      <c r="Q612" s="1371"/>
      <c r="R612" s="1371"/>
      <c r="U612" t="s">
        <v>17</v>
      </c>
      <c r="Z612" s="1348" t="s">
        <v>2740</v>
      </c>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681" t="s">
        <v>2623</v>
      </c>
      <c r="H613" s="1346"/>
      <c r="I613" s="1346"/>
      <c r="J613" s="1346"/>
      <c r="K613" s="1346"/>
      <c r="L613" s="1346"/>
      <c r="O613" s="33" t="s">
        <v>206</v>
      </c>
      <c r="P613" s="1437"/>
      <c r="Q613" s="1437"/>
      <c r="R613" s="1437"/>
      <c r="U613" t="s">
        <v>316</v>
      </c>
      <c r="Z613" s="1681" t="s">
        <v>2737</v>
      </c>
      <c r="AA613" s="1346"/>
      <c r="AB613" s="1346"/>
      <c r="AC613" s="1346"/>
      <c r="AD613" s="1346"/>
      <c r="AE613" s="1346"/>
      <c r="AH613" s="33" t="s">
        <v>206</v>
      </c>
      <c r="AI613" s="1437"/>
      <c r="AJ613" s="1437"/>
      <c r="AK613" s="1437"/>
      <c r="AZ613" s="3"/>
      <c r="BA613" s="3"/>
      <c r="BB613" s="3"/>
      <c r="BC613" s="3"/>
    </row>
    <row r="614" spans="1:55" ht="12.95" customHeight="1">
      <c r="B614" t="s">
        <v>18</v>
      </c>
      <c r="H614" s="1371" t="s">
        <v>2750</v>
      </c>
      <c r="I614" s="1371"/>
      <c r="J614" s="1371"/>
      <c r="K614" s="1371"/>
      <c r="L614" s="1371"/>
      <c r="M614" s="1371"/>
      <c r="N614" s="1371"/>
      <c r="O614" s="1371"/>
      <c r="P614" s="1371"/>
      <c r="Q614" s="1371"/>
      <c r="R614" s="1371"/>
      <c r="U614" t="s">
        <v>18</v>
      </c>
      <c r="AA614" s="1371" t="s">
        <v>2790</v>
      </c>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546</v>
      </c>
      <c r="O615" s="1332"/>
      <c r="U615" t="s">
        <v>20</v>
      </c>
      <c r="AG615" s="1332" t="s">
        <v>546</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0" t="s">
        <v>2102</v>
      </c>
      <c r="C624" s="1700"/>
      <c r="D624" s="1700"/>
      <c r="E624" s="1700"/>
      <c r="F624" s="1700"/>
      <c r="G624" s="1700"/>
      <c r="H624" s="1700"/>
      <c r="I624" s="1700"/>
      <c r="J624" s="1700"/>
      <c r="K624" s="1700"/>
      <c r="L624" s="1700"/>
      <c r="M624" s="1442" t="s">
        <v>2103</v>
      </c>
      <c r="N624" s="1442"/>
      <c r="O624" s="1442"/>
      <c r="P624" s="1442"/>
      <c r="Q624" s="1442" t="s">
        <v>1852</v>
      </c>
      <c r="R624" s="1442"/>
      <c r="S624" s="1442"/>
      <c r="T624" s="1442" t="s">
        <v>1850</v>
      </c>
      <c r="U624" s="1442"/>
      <c r="V624" s="1442"/>
      <c r="W624" s="1701" t="s">
        <v>454</v>
      </c>
      <c r="X624" s="1701"/>
      <c r="Y624" s="1701"/>
      <c r="Z624" s="1431" t="s">
        <v>2132</v>
      </c>
      <c r="AA624" s="1431"/>
      <c r="AB624" s="1432"/>
      <c r="AC624" s="1683" t="s">
        <v>1676</v>
      </c>
      <c r="AD624" s="1684"/>
      <c r="AE624" s="1685"/>
      <c r="AF624" s="1672" t="s">
        <v>1930</v>
      </c>
      <c r="AG624" s="1431"/>
      <c r="AH624" s="1431"/>
      <c r="AI624" s="1431"/>
      <c r="AJ624" s="1432"/>
      <c r="AK624" s="1733" t="s">
        <v>1931</v>
      </c>
      <c r="AL624" s="1734"/>
      <c r="AM624" s="1734"/>
      <c r="AN624" s="1735"/>
      <c r="AO624" s="1442" t="s">
        <v>455</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6"/>
      <c r="AD625" s="1687"/>
      <c r="AE625" s="1688"/>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9"/>
      <c r="AD626" s="1690"/>
      <c r="AE626" s="1691"/>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430" t="s">
        <v>2678</v>
      </c>
      <c r="D627" s="1430"/>
      <c r="E627" s="1430"/>
      <c r="F627" s="1430"/>
      <c r="G627" s="1430"/>
      <c r="H627" s="1430"/>
      <c r="I627" s="1430"/>
      <c r="J627" s="1430"/>
      <c r="K627" s="1430"/>
      <c r="L627" s="1430"/>
      <c r="M627" s="1618" t="s">
        <v>2113</v>
      </c>
      <c r="N627" s="1618"/>
      <c r="O627" s="1618"/>
      <c r="P627" s="1618"/>
      <c r="Q627" s="1425">
        <v>180</v>
      </c>
      <c r="R627" s="1425"/>
      <c r="S627" s="1426"/>
      <c r="T627" s="1424">
        <v>420</v>
      </c>
      <c r="U627" s="1425"/>
      <c r="V627" s="1426"/>
      <c r="W627" s="1438">
        <v>7.0499999999999993E-2</v>
      </c>
      <c r="X627" s="1439"/>
      <c r="Y627" s="1440"/>
      <c r="Z627" s="1478" t="s">
        <v>2131</v>
      </c>
      <c r="AA627" s="1479"/>
      <c r="AB627" s="1480"/>
      <c r="AC627" s="1446">
        <v>1</v>
      </c>
      <c r="AD627" s="1447"/>
      <c r="AE627" s="1448"/>
      <c r="AF627" s="1475">
        <v>905426</v>
      </c>
      <c r="AG627" s="1476"/>
      <c r="AH627" s="1476"/>
      <c r="AI627" s="1476"/>
      <c r="AJ627" s="1477"/>
      <c r="AK627" s="1427"/>
      <c r="AL627" s="1428"/>
      <c r="AM627" s="1428"/>
      <c r="AN627" s="1429"/>
      <c r="AO627" s="1481">
        <v>11746000</v>
      </c>
      <c r="AP627" s="1481"/>
      <c r="AQ627" s="1481"/>
      <c r="AR627" s="1481"/>
      <c r="AS627" s="1481"/>
      <c r="AT627" s="3"/>
      <c r="AU627" s="3"/>
      <c r="AZ627" s="3"/>
      <c r="BA627" s="3"/>
      <c r="BB627" s="3"/>
      <c r="BC627" s="3"/>
      <c r="BD627" s="3"/>
    </row>
    <row r="628" spans="2:157" ht="12.95" customHeight="1">
      <c r="B628" s="52" t="s">
        <v>113</v>
      </c>
      <c r="C628" s="1430" t="s">
        <v>2769</v>
      </c>
      <c r="D628" s="1430"/>
      <c r="E628" s="1430"/>
      <c r="F628" s="1430"/>
      <c r="G628" s="1430"/>
      <c r="H628" s="1430"/>
      <c r="I628" s="1430"/>
      <c r="J628" s="1430"/>
      <c r="K628" s="1430"/>
      <c r="L628" s="1430"/>
      <c r="M628" s="1618" t="s">
        <v>2115</v>
      </c>
      <c r="N628" s="1618"/>
      <c r="O628" s="1618"/>
      <c r="P628" s="1618"/>
      <c r="Q628" s="1424">
        <v>660</v>
      </c>
      <c r="R628" s="1425"/>
      <c r="S628" s="1426"/>
      <c r="T628" s="1424"/>
      <c r="U628" s="1425"/>
      <c r="V628" s="1426"/>
      <c r="W628" s="1438">
        <v>0.04</v>
      </c>
      <c r="X628" s="1439"/>
      <c r="Y628" s="1440"/>
      <c r="Z628" s="1478" t="s">
        <v>458</v>
      </c>
      <c r="AA628" s="1479"/>
      <c r="AB628" s="1480"/>
      <c r="AC628" s="1446">
        <v>3</v>
      </c>
      <c r="AD628" s="1447"/>
      <c r="AE628" s="1448"/>
      <c r="AF628" s="1475"/>
      <c r="AG628" s="1476"/>
      <c r="AH628" s="1476"/>
      <c r="AI628" s="1476"/>
      <c r="AJ628" s="1477"/>
      <c r="AK628" s="1427"/>
      <c r="AL628" s="1428"/>
      <c r="AM628" s="1428"/>
      <c r="AN628" s="1429"/>
      <c r="AO628" s="1466">
        <v>18793383</v>
      </c>
      <c r="AP628" s="1467"/>
      <c r="AQ628" s="1467"/>
      <c r="AR628" s="1467"/>
      <c r="AS628" s="1468"/>
      <c r="AT628" s="1148" t="str">
        <f>IF(AND(NOT(C627=""),C628="",NOT(C629="")),"!","")</f>
        <v/>
      </c>
      <c r="AU628" s="3"/>
      <c r="AZ628" s="3"/>
      <c r="BA628" s="3"/>
      <c r="BB628" s="3"/>
      <c r="BC628" s="3"/>
      <c r="BD628" s="3"/>
    </row>
    <row r="629" spans="2:157" ht="12.95" customHeight="1">
      <c r="B629" s="52" t="s">
        <v>119</v>
      </c>
      <c r="C629" s="1430" t="s">
        <v>2770</v>
      </c>
      <c r="D629" s="1430"/>
      <c r="E629" s="1430"/>
      <c r="F629" s="1430"/>
      <c r="G629" s="1430"/>
      <c r="H629" s="1430"/>
      <c r="I629" s="1430"/>
      <c r="J629" s="1430"/>
      <c r="K629" s="1430"/>
      <c r="L629" s="1430"/>
      <c r="M629" s="1618" t="s">
        <v>2104</v>
      </c>
      <c r="N629" s="1618"/>
      <c r="O629" s="1618"/>
      <c r="P629" s="1618"/>
      <c r="Q629" s="1424">
        <v>660</v>
      </c>
      <c r="R629" s="1425"/>
      <c r="S629" s="1426"/>
      <c r="T629" s="1424"/>
      <c r="U629" s="1425"/>
      <c r="V629" s="1426"/>
      <c r="W629" s="1438">
        <v>0.04</v>
      </c>
      <c r="X629" s="1439"/>
      <c r="Y629" s="1440"/>
      <c r="Z629" s="1478" t="s">
        <v>458</v>
      </c>
      <c r="AA629" s="1479"/>
      <c r="AB629" s="1480"/>
      <c r="AC629" s="1446">
        <v>3</v>
      </c>
      <c r="AD629" s="1447"/>
      <c r="AE629" s="1448"/>
      <c r="AF629" s="1475"/>
      <c r="AG629" s="1476"/>
      <c r="AH629" s="1476"/>
      <c r="AI629" s="1476"/>
      <c r="AJ629" s="1477"/>
      <c r="AK629" s="1427"/>
      <c r="AL629" s="1428"/>
      <c r="AM629" s="1428"/>
      <c r="AN629" s="1429"/>
      <c r="AO629" s="1466">
        <v>831735</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430" t="s">
        <v>2679</v>
      </c>
      <c r="D630" s="1347"/>
      <c r="E630" s="1347"/>
      <c r="F630" s="1347"/>
      <c r="G630" s="1347"/>
      <c r="H630" s="1347"/>
      <c r="I630" s="1347"/>
      <c r="J630" s="1347"/>
      <c r="K630" s="1347"/>
      <c r="L630" s="1347"/>
      <c r="M630" s="1618" t="s">
        <v>2127</v>
      </c>
      <c r="N630" s="1618"/>
      <c r="O630" s="1618"/>
      <c r="P630" s="1618"/>
      <c r="Q630" s="1424">
        <v>360</v>
      </c>
      <c r="R630" s="1425"/>
      <c r="S630" s="1426"/>
      <c r="T630" s="1424"/>
      <c r="U630" s="1425"/>
      <c r="V630" s="1426"/>
      <c r="W630" s="1438">
        <v>0.04</v>
      </c>
      <c r="X630" s="1439"/>
      <c r="Y630" s="1440"/>
      <c r="Z630" s="1478" t="s">
        <v>2131</v>
      </c>
      <c r="AA630" s="1479"/>
      <c r="AB630" s="1480"/>
      <c r="AC630" s="1446">
        <v>2</v>
      </c>
      <c r="AD630" s="1447"/>
      <c r="AE630" s="1448"/>
      <c r="AF630" s="1475">
        <v>114580</v>
      </c>
      <c r="AG630" s="1476"/>
      <c r="AH630" s="1476"/>
      <c r="AI630" s="1476"/>
      <c r="AJ630" s="1477"/>
      <c r="AK630" s="1427"/>
      <c r="AL630" s="1428"/>
      <c r="AM630" s="1428"/>
      <c r="AN630" s="1429"/>
      <c r="AO630" s="1466">
        <v>2000000</v>
      </c>
      <c r="AP630" s="1467"/>
      <c r="AQ630" s="1467"/>
      <c r="AR630" s="1467"/>
      <c r="AS630" s="1468"/>
      <c r="AT630" s="1148" t="str">
        <f t="shared" si="1"/>
        <v/>
      </c>
      <c r="AU630" s="3"/>
      <c r="AZ630" s="3"/>
      <c r="BA630" s="3"/>
      <c r="BB630" s="3"/>
      <c r="BC630" s="3"/>
      <c r="BD630" s="3"/>
    </row>
    <row r="631" spans="2:157" ht="12.95" customHeight="1">
      <c r="B631" s="52" t="s">
        <v>764</v>
      </c>
      <c r="C631" s="1347" t="s">
        <v>2665</v>
      </c>
      <c r="D631" s="1347"/>
      <c r="E631" s="1347"/>
      <c r="F631" s="1347"/>
      <c r="G631" s="1347"/>
      <c r="H631" s="1347"/>
      <c r="I631" s="1347"/>
      <c r="J631" s="1347"/>
      <c r="K631" s="1347"/>
      <c r="L631" s="1347"/>
      <c r="M631" s="1618" t="s">
        <v>2123</v>
      </c>
      <c r="N631" s="1618"/>
      <c r="O631" s="1618"/>
      <c r="P631" s="1618"/>
      <c r="Q631" s="1424"/>
      <c r="R631" s="1425"/>
      <c r="S631" s="1426"/>
      <c r="T631" s="1424"/>
      <c r="U631" s="1425"/>
      <c r="V631" s="1426"/>
      <c r="W631" s="1438"/>
      <c r="X631" s="1439"/>
      <c r="Y631" s="1440"/>
      <c r="Z631" s="1478" t="s">
        <v>1184</v>
      </c>
      <c r="AA631" s="1479"/>
      <c r="AB631" s="1480"/>
      <c r="AC631" s="1446"/>
      <c r="AD631" s="1447"/>
      <c r="AE631" s="1448"/>
      <c r="AF631" s="1475"/>
      <c r="AG631" s="1476"/>
      <c r="AH631" s="1476"/>
      <c r="AI631" s="1476"/>
      <c r="AJ631" s="1477"/>
      <c r="AK631" s="1427"/>
      <c r="AL631" s="1428"/>
      <c r="AM631" s="1428"/>
      <c r="AN631" s="1429"/>
      <c r="AO631" s="1466">
        <v>240922</v>
      </c>
      <c r="AP631" s="1467"/>
      <c r="AQ631" s="1467"/>
      <c r="AR631" s="1467"/>
      <c r="AS631" s="1468"/>
      <c r="AT631" s="1148" t="str">
        <f t="shared" si="1"/>
        <v/>
      </c>
      <c r="AU631" s="3"/>
      <c r="AZ631" s="3"/>
      <c r="BA631" s="3"/>
      <c r="BB631" s="3"/>
      <c r="BC631" s="3"/>
      <c r="BD631" s="3"/>
    </row>
    <row r="632" spans="2:157" ht="12.95" customHeight="1">
      <c r="B632" s="52" t="s">
        <v>585</v>
      </c>
      <c r="C632" s="1430" t="s">
        <v>2668</v>
      </c>
      <c r="D632" s="1347"/>
      <c r="E632" s="1347"/>
      <c r="F632" s="1347"/>
      <c r="G632" s="1347"/>
      <c r="H632" s="1347"/>
      <c r="I632" s="1347"/>
      <c r="J632" s="1347"/>
      <c r="K632" s="1347"/>
      <c r="L632" s="1347"/>
      <c r="M632" s="1618" t="s">
        <v>2121</v>
      </c>
      <c r="N632" s="1618"/>
      <c r="O632" s="1618"/>
      <c r="P632" s="1618"/>
      <c r="Q632" s="1424"/>
      <c r="R632" s="1425"/>
      <c r="S632" s="1426"/>
      <c r="T632" s="1424"/>
      <c r="U632" s="1425"/>
      <c r="V632" s="1426"/>
      <c r="W632" s="1438"/>
      <c r="X632" s="1439"/>
      <c r="Y632" s="1440"/>
      <c r="Z632" s="1478" t="s">
        <v>1184</v>
      </c>
      <c r="AA632" s="1479"/>
      <c r="AB632" s="1480"/>
      <c r="AC632" s="1446"/>
      <c r="AD632" s="1447"/>
      <c r="AE632" s="1448"/>
      <c r="AF632" s="1475"/>
      <c r="AG632" s="1476"/>
      <c r="AH632" s="1476"/>
      <c r="AI632" s="1476"/>
      <c r="AJ632" s="1477"/>
      <c r="AK632" s="1427"/>
      <c r="AL632" s="1428"/>
      <c r="AM632" s="1428"/>
      <c r="AN632" s="1429"/>
      <c r="AO632" s="1466">
        <v>850410</v>
      </c>
      <c r="AP632" s="1467"/>
      <c r="AQ632" s="1467"/>
      <c r="AR632" s="1467"/>
      <c r="AS632" s="1468"/>
      <c r="AT632" s="1148" t="str">
        <f t="shared" si="1"/>
        <v/>
      </c>
      <c r="AU632" s="3"/>
      <c r="AZ632" s="3"/>
      <c r="BA632" s="3"/>
      <c r="BB632" s="3"/>
      <c r="BC632" s="3"/>
      <c r="BD632" s="3"/>
    </row>
    <row r="633" spans="2:157" ht="12.95" customHeight="1">
      <c r="B633" s="52" t="s">
        <v>456</v>
      </c>
      <c r="C633" s="1430" t="s">
        <v>2320</v>
      </c>
      <c r="D633" s="1347"/>
      <c r="E633" s="1347"/>
      <c r="F633" s="1347"/>
      <c r="G633" s="1347"/>
      <c r="H633" s="1347"/>
      <c r="I633" s="1347"/>
      <c r="J633" s="1347"/>
      <c r="K633" s="1347"/>
      <c r="L633" s="1347"/>
      <c r="M633" s="1618" t="s">
        <v>2106</v>
      </c>
      <c r="N633" s="1618"/>
      <c r="O633" s="1618"/>
      <c r="P633" s="1618"/>
      <c r="Q633" s="1424"/>
      <c r="R633" s="1425"/>
      <c r="S633" s="1426"/>
      <c r="T633" s="1424"/>
      <c r="U633" s="1425"/>
      <c r="V633" s="1426"/>
      <c r="W633" s="1438"/>
      <c r="X633" s="1439"/>
      <c r="Y633" s="1440"/>
      <c r="Z633" s="1478" t="s">
        <v>1184</v>
      </c>
      <c r="AA633" s="1479"/>
      <c r="AB633" s="1480"/>
      <c r="AC633" s="1446"/>
      <c r="AD633" s="1447"/>
      <c r="AE633" s="1448"/>
      <c r="AF633" s="1475"/>
      <c r="AG633" s="1476"/>
      <c r="AH633" s="1476"/>
      <c r="AI633" s="1476"/>
      <c r="AJ633" s="1477"/>
      <c r="AK633" s="1427"/>
      <c r="AL633" s="1428"/>
      <c r="AM633" s="1428"/>
      <c r="AN633" s="1429"/>
      <c r="AO633" s="1466">
        <v>854000</v>
      </c>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457</v>
      </c>
      <c r="C634" s="1430" t="s">
        <v>2677</v>
      </c>
      <c r="D634" s="1347"/>
      <c r="E634" s="1347"/>
      <c r="F634" s="1347"/>
      <c r="G634" s="1347"/>
      <c r="H634" s="1347"/>
      <c r="I634" s="1347"/>
      <c r="J634" s="1347"/>
      <c r="K634" s="1347"/>
      <c r="L634" s="1347"/>
      <c r="M634" s="1618" t="s">
        <v>2109</v>
      </c>
      <c r="N634" s="1618"/>
      <c r="O634" s="1618"/>
      <c r="P634" s="1618"/>
      <c r="Q634" s="1424"/>
      <c r="R634" s="1425"/>
      <c r="S634" s="1426"/>
      <c r="T634" s="1424"/>
      <c r="U634" s="1425"/>
      <c r="V634" s="1426"/>
      <c r="W634" s="1438"/>
      <c r="X634" s="1439"/>
      <c r="Y634" s="1440"/>
      <c r="Z634" s="1478" t="s">
        <v>1184</v>
      </c>
      <c r="AA634" s="1479"/>
      <c r="AB634" s="1480"/>
      <c r="AC634" s="1446"/>
      <c r="AD634" s="1447"/>
      <c r="AE634" s="1448"/>
      <c r="AF634" s="1475"/>
      <c r="AG634" s="1476"/>
      <c r="AH634" s="1476"/>
      <c r="AI634" s="1476"/>
      <c r="AJ634" s="1477"/>
      <c r="AK634" s="1427"/>
      <c r="AL634" s="1428"/>
      <c r="AM634" s="1428"/>
      <c r="AN634" s="1429"/>
      <c r="AO634" s="1466">
        <v>100</v>
      </c>
      <c r="AP634" s="1467"/>
      <c r="AQ634" s="1467"/>
      <c r="AR634" s="1467"/>
      <c r="AS634" s="1468"/>
      <c r="AT634" s="1148" t="str">
        <f t="shared" si="1"/>
        <v/>
      </c>
      <c r="AU634" s="3"/>
      <c r="AV634" s="3"/>
      <c r="AW634" s="3"/>
      <c r="AX634" s="3"/>
      <c r="AY634" s="3"/>
      <c r="AZ634" s="3"/>
      <c r="BA634" s="3" t="s">
        <v>1184</v>
      </c>
      <c r="BB634" s="3"/>
      <c r="BC634" s="3"/>
      <c r="BD634" s="3"/>
    </row>
    <row r="635" spans="2:157" ht="12.95" customHeight="1">
      <c r="B635" s="52" t="s">
        <v>462</v>
      </c>
      <c r="C635" s="1430"/>
      <c r="D635" s="1347"/>
      <c r="E635" s="1347"/>
      <c r="F635" s="1347"/>
      <c r="G635" s="1347"/>
      <c r="H635" s="1347"/>
      <c r="I635" s="1347"/>
      <c r="J635" s="1347"/>
      <c r="K635" s="1347"/>
      <c r="L635" s="1347"/>
      <c r="M635" s="1618" t="s">
        <v>1184</v>
      </c>
      <c r="N635" s="1618"/>
      <c r="O635" s="1618"/>
      <c r="P635" s="1618"/>
      <c r="Q635" s="1424"/>
      <c r="R635" s="1425"/>
      <c r="S635" s="1426"/>
      <c r="T635" s="1424"/>
      <c r="U635" s="1425"/>
      <c r="V635" s="1426"/>
      <c r="W635" s="1438"/>
      <c r="X635" s="1439"/>
      <c r="Y635" s="1440"/>
      <c r="Z635" s="1478" t="s">
        <v>1184</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74.583333333333329</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8" t="s">
        <v>1184</v>
      </c>
      <c r="N636" s="1618"/>
      <c r="O636" s="1618"/>
      <c r="P636" s="1618"/>
      <c r="Q636" s="1424"/>
      <c r="R636" s="1425"/>
      <c r="S636" s="1426"/>
      <c r="T636" s="1424"/>
      <c r="U636" s="1425"/>
      <c r="V636" s="1426"/>
      <c r="W636" s="1438"/>
      <c r="X636" s="1439"/>
      <c r="Y636" s="1440"/>
      <c r="Z636" s="1478" t="s">
        <v>1184</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37.041666666666664</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1184</v>
      </c>
      <c r="N637" s="1618"/>
      <c r="O637" s="1618"/>
      <c r="P637" s="1618"/>
      <c r="Q637" s="1424"/>
      <c r="R637" s="1425"/>
      <c r="S637" s="1426"/>
      <c r="T637" s="1424"/>
      <c r="U637" s="1425"/>
      <c r="V637" s="1426"/>
      <c r="W637" s="1438"/>
      <c r="X637" s="1439"/>
      <c r="Y637" s="1440"/>
      <c r="Z637" s="1478" t="s">
        <v>1184</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151.5</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1184</v>
      </c>
      <c r="N638" s="1618"/>
      <c r="O638" s="1618"/>
      <c r="P638" s="1618"/>
      <c r="Q638" s="1424"/>
      <c r="R638" s="1425"/>
      <c r="S638" s="1426"/>
      <c r="T638" s="1424"/>
      <c r="U638" s="1425"/>
      <c r="V638" s="1426"/>
      <c r="W638" s="1438"/>
      <c r="X638" s="1439"/>
      <c r="Y638" s="1440"/>
      <c r="Z638" s="1478" t="s">
        <v>1184</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50.25</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35316550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100.5</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10844448</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f t="shared" si="3"/>
        <v>191.125</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46160998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f t="shared" si="3"/>
        <v>507.66666666666663</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f t="shared" si="3"/>
        <v>306.83333333333331</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8" t="str">
        <f>C627</f>
        <v>U.S. Bank National Association - Permanent Loan</v>
      </c>
      <c r="H643" s="1358"/>
      <c r="I643" s="1358"/>
      <c r="J643" s="1358"/>
      <c r="K643" s="1358"/>
      <c r="L643" s="1358"/>
      <c r="M643" s="1358"/>
      <c r="N643" s="1358"/>
      <c r="O643" s="1358"/>
      <c r="P643" s="1358"/>
      <c r="Q643" s="1358"/>
      <c r="R643" s="1358"/>
      <c r="S643" s="8"/>
      <c r="T643" s="55" t="s">
        <v>113</v>
      </c>
      <c r="U643" t="s">
        <v>464</v>
      </c>
      <c r="Z643" s="1358" t="str">
        <f>C628</f>
        <v>City of Anaheim - Residual Receipts Loan (Assumed Debt)</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f t="shared" si="4"/>
        <v>80.905660377358487</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1" t="s">
        <v>2736</v>
      </c>
      <c r="H644" s="1371"/>
      <c r="I644" s="1371"/>
      <c r="J644" s="1371"/>
      <c r="K644" s="1371"/>
      <c r="L644" s="1371"/>
      <c r="M644" s="1371"/>
      <c r="N644" s="1371"/>
      <c r="O644" s="1371"/>
      <c r="P644" s="1371"/>
      <c r="Q644" s="1371"/>
      <c r="R644" s="1371"/>
      <c r="S644" s="8"/>
      <c r="T644" s="22"/>
      <c r="U644" t="s">
        <v>85</v>
      </c>
      <c r="Z644" s="1371" t="s">
        <v>2742</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40.339622641509429</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1" t="s">
        <v>2711</v>
      </c>
      <c r="H645" s="1371"/>
      <c r="I645" s="1371"/>
      <c r="J645" s="1371"/>
      <c r="K645" s="1371"/>
      <c r="L645" s="1371"/>
      <c r="M645" s="1371"/>
      <c r="N645" s="1371"/>
      <c r="O645" s="1371"/>
      <c r="P645" s="1371"/>
      <c r="Q645" s="1371"/>
      <c r="R645" s="1371"/>
      <c r="T645" s="22"/>
      <c r="U645" t="s">
        <v>581</v>
      </c>
      <c r="Z645" s="1348" t="s">
        <v>2743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f t="shared" si="4"/>
        <v>27.358490566037734</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1" t="s">
        <v>2712</v>
      </c>
      <c r="H646" s="1371"/>
      <c r="I646" s="1371"/>
      <c r="J646" s="1371"/>
      <c r="K646" s="1371"/>
      <c r="L646" s="1371"/>
      <c r="M646" s="1371"/>
      <c r="N646" s="1371"/>
      <c r="O646" s="1371"/>
      <c r="P646" s="1371"/>
      <c r="Q646" s="1371"/>
      <c r="R646" s="1371"/>
      <c r="S646" s="8"/>
      <c r="T646" s="22"/>
      <c r="U646" t="s">
        <v>17</v>
      </c>
      <c r="Z646" s="1348" t="s">
        <v>2771</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f t="shared" si="4"/>
        <v>27.358490566037734</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2737</v>
      </c>
      <c r="H647" s="1346"/>
      <c r="I647" s="1346"/>
      <c r="J647" s="1346"/>
      <c r="K647" s="1346"/>
      <c r="L647" s="1346"/>
      <c r="O647" s="33" t="s">
        <v>206</v>
      </c>
      <c r="P647" s="1437"/>
      <c r="Q647" s="1437"/>
      <c r="R647" s="1437"/>
      <c r="S647" s="10"/>
      <c r="T647" s="22"/>
      <c r="U647" t="s">
        <v>316</v>
      </c>
      <c r="Z647" s="1346" t="s">
        <v>2745</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f t="shared" si="4"/>
        <v>27.358490566037734</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2747</v>
      </c>
      <c r="I648" s="1371"/>
      <c r="J648" s="1371"/>
      <c r="K648" s="1371"/>
      <c r="L648" s="1371"/>
      <c r="M648" s="1371"/>
      <c r="N648" s="1371"/>
      <c r="O648" s="1371"/>
      <c r="P648" s="1371"/>
      <c r="Q648" s="1371"/>
      <c r="R648" s="1371"/>
      <c r="S648" s="8"/>
      <c r="T648" s="22"/>
      <c r="U648" t="s">
        <v>18</v>
      </c>
      <c r="AA648" s="1371" t="s">
        <v>2746</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f t="shared" si="4"/>
        <v>27.358490566037734</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f t="shared" si="4"/>
        <v>34.924528301886788</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f t="shared" si="4"/>
        <v>139.69811320754715</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8" t="str">
        <f>C629</f>
        <v>City of Anaheim - Residual Receipts Loan (Assumed Debt) and Ground Lease Extension Note Accrued Interest</v>
      </c>
      <c r="H651" s="1358"/>
      <c r="I651" s="1358"/>
      <c r="J651" s="1358"/>
      <c r="K651" s="1358"/>
      <c r="L651" s="1358"/>
      <c r="M651" s="1358"/>
      <c r="N651" s="1358"/>
      <c r="O651" s="1358"/>
      <c r="P651" s="1358"/>
      <c r="Q651" s="1358"/>
      <c r="R651" s="1358"/>
      <c r="T651" s="55" t="s">
        <v>582</v>
      </c>
      <c r="U651" t="s">
        <v>464</v>
      </c>
      <c r="Z651" s="1358" t="str">
        <f>C630</f>
        <v>City of Anaheim - Ground Lease Extension Note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f t="shared" si="4"/>
        <v>138.33962264150944</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1" t="s">
        <v>2742</v>
      </c>
      <c r="H652" s="1371"/>
      <c r="I652" s="1371"/>
      <c r="J652" s="1371"/>
      <c r="K652" s="1371"/>
      <c r="L652" s="1371"/>
      <c r="M652" s="1371"/>
      <c r="N652" s="1371"/>
      <c r="O652" s="1371"/>
      <c r="P652" s="1371"/>
      <c r="Q652" s="1371"/>
      <c r="R652" s="1371"/>
      <c r="T652" s="22"/>
      <c r="U652" t="s">
        <v>85</v>
      </c>
      <c r="Z652" s="1371" t="s">
        <v>2742</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f t="shared" si="4"/>
        <v>384.16981132075472</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8" t="s">
        <v>2743</v>
      </c>
      <c r="H653" s="1348"/>
      <c r="I653" s="1348"/>
      <c r="J653" s="1348"/>
      <c r="K653" s="1348"/>
      <c r="L653" s="1348"/>
      <c r="M653" s="1348"/>
      <c r="N653" s="1348"/>
      <c r="O653" s="1348"/>
      <c r="P653" s="1348"/>
      <c r="Q653" s="1348"/>
      <c r="R653" s="1348"/>
      <c r="T653" s="22"/>
      <c r="U653" t="s">
        <v>581</v>
      </c>
      <c r="Z653" s="1348" t="s">
        <v>2743</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f t="shared" si="4"/>
        <v>276.22641509433959</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8" t="s">
        <v>2744</v>
      </c>
      <c r="H654" s="1348"/>
      <c r="I654" s="1348"/>
      <c r="J654" s="1348"/>
      <c r="K654" s="1348"/>
      <c r="L654" s="1348"/>
      <c r="M654" s="1348"/>
      <c r="N654" s="1348"/>
      <c r="O654" s="1348"/>
      <c r="P654" s="1348"/>
      <c r="Q654" s="1348"/>
      <c r="R654" s="1348"/>
      <c r="T654" s="22"/>
      <c r="U654" t="s">
        <v>17</v>
      </c>
      <c r="Z654" s="1348" t="s">
        <v>2744</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f t="shared" si="4"/>
        <v>139.69811320754715</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t="s">
        <v>2745</v>
      </c>
      <c r="H655" s="1346"/>
      <c r="I655" s="1346"/>
      <c r="J655" s="1346"/>
      <c r="K655" s="1346"/>
      <c r="L655" s="1346"/>
      <c r="O655" s="33" t="s">
        <v>206</v>
      </c>
      <c r="P655" s="1437"/>
      <c r="Q655" s="1437"/>
      <c r="R655" s="1437"/>
      <c r="T655" s="22"/>
      <c r="U655" t="s">
        <v>316</v>
      </c>
      <c r="Z655" s="1346" t="s">
        <v>2745</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f t="shared" si="4"/>
        <v>84.226415094339615</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2746</v>
      </c>
      <c r="I656" s="1371"/>
      <c r="J656" s="1371"/>
      <c r="K656" s="1371"/>
      <c r="L656" s="1371"/>
      <c r="M656" s="1371"/>
      <c r="N656" s="1371"/>
      <c r="O656" s="1371"/>
      <c r="P656" s="1371"/>
      <c r="Q656" s="1371"/>
      <c r="R656" s="1371"/>
      <c r="T656" s="22"/>
      <c r="U656" t="s">
        <v>18</v>
      </c>
      <c r="AA656" s="1371" t="s">
        <v>2754</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f t="shared" si="4"/>
        <v>333.73584905660374</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f t="shared" si="4"/>
        <v>41.773584905660378</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f t="shared" si="5"/>
        <v>36.228571428571428</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8" t="str">
        <f>C631</f>
        <v>Existing Replacement Reserves</v>
      </c>
      <c r="H659" s="1358"/>
      <c r="I659" s="1358"/>
      <c r="J659" s="1358"/>
      <c r="K659" s="1358"/>
      <c r="L659" s="1358"/>
      <c r="M659" s="1358"/>
      <c r="N659" s="1358"/>
      <c r="O659" s="1358"/>
      <c r="P659" s="1358"/>
      <c r="Q659" s="1358"/>
      <c r="R659" s="1358"/>
      <c r="T659" s="55" t="s">
        <v>585</v>
      </c>
      <c r="U659" t="s">
        <v>464</v>
      </c>
      <c r="Z659" s="1358" t="str">
        <f>C632</f>
        <v>NOI During Construction</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f t="shared" si="5"/>
        <v>71.142857142857139</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1" t="s">
        <v>2748</v>
      </c>
      <c r="H660" s="1371"/>
      <c r="I660" s="1371"/>
      <c r="J660" s="1371"/>
      <c r="K660" s="1371"/>
      <c r="L660" s="1371"/>
      <c r="M660" s="1371"/>
      <c r="N660" s="1371"/>
      <c r="O660" s="1371"/>
      <c r="P660" s="1371"/>
      <c r="Q660" s="1371"/>
      <c r="R660" s="1371"/>
      <c r="T660" s="22"/>
      <c r="U660" t="s">
        <v>85</v>
      </c>
      <c r="Z660" s="1371" t="s">
        <v>2748</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f t="shared" si="5"/>
        <v>96.514285714285705</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1" t="s">
        <v>2749</v>
      </c>
      <c r="H661" s="1371"/>
      <c r="I661" s="1371"/>
      <c r="J661" s="1371"/>
      <c r="K661" s="1371"/>
      <c r="L661" s="1371"/>
      <c r="M661" s="1371"/>
      <c r="N661" s="1371"/>
      <c r="O661" s="1371"/>
      <c r="P661" s="1371"/>
      <c r="Q661" s="1371"/>
      <c r="R661" s="1371"/>
      <c r="T661" s="22"/>
      <c r="U661" t="s">
        <v>581</v>
      </c>
      <c r="Z661" s="1348" t="s">
        <v>2749</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f t="shared" si="5"/>
        <v>60.828571428571429</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1" t="s">
        <v>2716</v>
      </c>
      <c r="H662" s="1371"/>
      <c r="I662" s="1371"/>
      <c r="J662" s="1371"/>
      <c r="K662" s="1371"/>
      <c r="L662" s="1371"/>
      <c r="M662" s="1371"/>
      <c r="N662" s="1371"/>
      <c r="O662" s="1371"/>
      <c r="P662" s="1371"/>
      <c r="Q662" s="1371"/>
      <c r="R662" s="1371"/>
      <c r="T662" s="22"/>
      <c r="U662" t="s">
        <v>17</v>
      </c>
      <c r="Z662" s="1348" t="s">
        <v>2716</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f t="shared" si="5"/>
        <v>728.57142857142856</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t="s">
        <v>2623</v>
      </c>
      <c r="H663" s="1346"/>
      <c r="I663" s="1346"/>
      <c r="J663" s="1346"/>
      <c r="K663" s="1346"/>
      <c r="L663" s="1346"/>
      <c r="O663" s="33" t="s">
        <v>206</v>
      </c>
      <c r="P663" s="1437"/>
      <c r="Q663" s="1437"/>
      <c r="R663" s="1437"/>
      <c r="T663" s="22"/>
      <c r="U663" t="s">
        <v>316</v>
      </c>
      <c r="Z663" s="1346" t="s">
        <v>2623</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f t="shared" si="5"/>
        <v>221.82857142857142</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1" t="s">
        <v>2755</v>
      </c>
      <c r="I664" s="1371"/>
      <c r="J664" s="1371"/>
      <c r="K664" s="1371"/>
      <c r="L664" s="1371"/>
      <c r="M664" s="1371"/>
      <c r="N664" s="1371"/>
      <c r="O664" s="1371"/>
      <c r="P664" s="1371"/>
      <c r="Q664" s="1371"/>
      <c r="R664" s="1371"/>
      <c r="T664" s="22"/>
      <c r="U664" t="s">
        <v>18</v>
      </c>
      <c r="AA664" s="1371" t="s">
        <v>2752</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f t="shared" si="5"/>
        <v>220.2</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f t="shared" si="5"/>
        <v>367</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f t="shared" si="5"/>
        <v>439.71428571428572</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8" t="str">
        <f>C633</f>
        <v>Deferred Developer Fee</v>
      </c>
      <c r="H667" s="1358"/>
      <c r="I667" s="1358"/>
      <c r="J667" s="1358"/>
      <c r="K667" s="1358"/>
      <c r="L667" s="1358"/>
      <c r="M667" s="1358"/>
      <c r="N667" s="1358"/>
      <c r="O667" s="1358"/>
      <c r="P667" s="1358"/>
      <c r="Q667" s="1358"/>
      <c r="R667" s="1358"/>
      <c r="T667" s="55" t="s">
        <v>457</v>
      </c>
      <c r="U667" t="s">
        <v>464</v>
      </c>
      <c r="Z667" s="1358" t="str">
        <f>C634</f>
        <v>General Partner Equity</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1" t="s">
        <v>2748</v>
      </c>
      <c r="H668" s="1371"/>
      <c r="I668" s="1371"/>
      <c r="J668" s="1371"/>
      <c r="K668" s="1371"/>
      <c r="L668" s="1371"/>
      <c r="M668" s="1371"/>
      <c r="N668" s="1371"/>
      <c r="O668" s="1371"/>
      <c r="P668" s="1371"/>
      <c r="Q668" s="1371"/>
      <c r="R668" s="1371"/>
      <c r="T668" s="22"/>
      <c r="U668" t="s">
        <v>85</v>
      </c>
      <c r="Z668" s="1371" t="s">
        <v>2748</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1" t="s">
        <v>2749</v>
      </c>
      <c r="H669" s="1371"/>
      <c r="I669" s="1371"/>
      <c r="J669" s="1371"/>
      <c r="K669" s="1371"/>
      <c r="L669" s="1371"/>
      <c r="M669" s="1371"/>
      <c r="N669" s="1371"/>
      <c r="O669" s="1371"/>
      <c r="P669" s="1371"/>
      <c r="Q669" s="1371"/>
      <c r="R669" s="1371"/>
      <c r="T669" s="22"/>
      <c r="U669" t="s">
        <v>581</v>
      </c>
      <c r="Z669" s="1348" t="s">
        <v>2749</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1" t="s">
        <v>2716</v>
      </c>
      <c r="H670" s="1371"/>
      <c r="I670" s="1371"/>
      <c r="J670" s="1371"/>
      <c r="K670" s="1371"/>
      <c r="L670" s="1371"/>
      <c r="M670" s="1371"/>
      <c r="N670" s="1371"/>
      <c r="O670" s="1371"/>
      <c r="P670" s="1371"/>
      <c r="Q670" s="1371"/>
      <c r="R670" s="1371"/>
      <c r="T670" s="22"/>
      <c r="U670" t="s">
        <v>17</v>
      </c>
      <c r="Z670" s="1348" t="s">
        <v>2716</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1419.4999999999998</v>
      </c>
      <c r="ED670" s="1445"/>
      <c r="EE670" s="1445"/>
      <c r="EF670" s="1445"/>
      <c r="EG670" s="1445"/>
      <c r="EH670" s="1445">
        <f>SUMIF(EH635:EL669,"&gt;0")</f>
        <v>1803.4716981132071</v>
      </c>
      <c r="EI670" s="1445"/>
      <c r="EJ670" s="1445"/>
      <c r="EK670" s="1445"/>
      <c r="EL670" s="1445"/>
      <c r="EM670" s="1445">
        <f>SUMIF(EM635:EQ669,"&gt;0")</f>
        <v>2242.0285714285715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t="s">
        <v>2623</v>
      </c>
      <c r="H671" s="1346"/>
      <c r="I671" s="1346"/>
      <c r="J671" s="1346"/>
      <c r="K671" s="1346"/>
      <c r="L671" s="1346"/>
      <c r="O671" s="33" t="s">
        <v>206</v>
      </c>
      <c r="P671" s="1437"/>
      <c r="Q671" s="1437"/>
      <c r="R671" s="1437"/>
      <c r="T671" s="22"/>
      <c r="U671" t="s">
        <v>316</v>
      </c>
      <c r="Z671" s="1346" t="s">
        <v>2623</v>
      </c>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2756</v>
      </c>
      <c r="I672" s="1371"/>
      <c r="J672" s="1371"/>
      <c r="K672" s="1371"/>
      <c r="L672" s="1371"/>
      <c r="M672" s="1371"/>
      <c r="N672" s="1371"/>
      <c r="O672" s="1371"/>
      <c r="P672" s="1371"/>
      <c r="Q672" s="1371"/>
      <c r="R672" s="1371"/>
      <c r="T672" s="22"/>
      <c r="U672" t="s">
        <v>18</v>
      </c>
      <c r="AA672" s="1371" t="s">
        <v>2750</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2">
        <v>45909</v>
      </c>
      <c r="AF695" s="1692"/>
      <c r="AG695" s="1692"/>
      <c r="AH695" s="1692"/>
      <c r="AI695" s="1692"/>
    </row>
    <row r="696" spans="1:67" ht="12.95" customHeight="1">
      <c r="B696" s="135"/>
      <c r="C696" s="135"/>
      <c r="D696" s="317" t="s">
        <v>983</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817</v>
      </c>
      <c r="E698" s="135"/>
      <c r="F698" s="135"/>
      <c r="G698" s="135"/>
      <c r="H698" s="135"/>
      <c r="AE698" s="1692">
        <v>46160</v>
      </c>
      <c r="AF698" s="1692"/>
      <c r="AG698" s="1692"/>
      <c r="AH698" s="1692"/>
      <c r="AI698" s="1692"/>
    </row>
    <row r="699" spans="1:67" ht="12.95" customHeight="1">
      <c r="B699" s="135"/>
      <c r="C699" s="135"/>
      <c r="D699" s="136" t="s">
        <v>436</v>
      </c>
      <c r="E699" s="135"/>
      <c r="F699" s="135"/>
      <c r="G699" s="135"/>
      <c r="H699" s="135"/>
      <c r="AE699" s="1661">
        <v>0.27</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9" t="s">
        <v>1679</v>
      </c>
      <c r="L714" s="1720"/>
      <c r="M714" s="1720"/>
      <c r="N714" s="1721"/>
      <c r="O714" s="1362" t="s">
        <v>448</v>
      </c>
      <c r="P714" s="1363"/>
      <c r="Q714" s="1363"/>
      <c r="R714" s="1363"/>
      <c r="S714" s="1364"/>
      <c r="T714" s="1659" t="s">
        <v>1949</v>
      </c>
      <c r="U714" s="1363"/>
      <c r="V714" s="1363"/>
      <c r="W714" s="1364"/>
      <c r="X714" s="1659" t="s">
        <v>1951</v>
      </c>
      <c r="Y714" s="1363"/>
      <c r="Z714" s="1363"/>
      <c r="AA714" s="1363"/>
      <c r="AB714" s="1364"/>
      <c r="AC714" s="1659" t="s">
        <v>1950</v>
      </c>
      <c r="AD714" s="1363"/>
      <c r="AE714" s="1363"/>
      <c r="AF714" s="1363"/>
      <c r="AG714" s="1364"/>
      <c r="AH714" s="1659" t="s">
        <v>1952</v>
      </c>
      <c r="AI714" s="1363"/>
      <c r="AJ714" s="1364"/>
      <c r="AK714" s="1659"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2</v>
      </c>
      <c r="H718" s="1350"/>
      <c r="I718" s="1350"/>
      <c r="J718" s="1351"/>
      <c r="K718" s="1343">
        <v>529</v>
      </c>
      <c r="L718" s="1344"/>
      <c r="M718" s="1344"/>
      <c r="N718" s="1345"/>
      <c r="O718" s="1340">
        <v>895</v>
      </c>
      <c r="P718" s="1341"/>
      <c r="Q718" s="1341"/>
      <c r="R718" s="1341"/>
      <c r="S718" s="1342"/>
      <c r="T718" s="1340">
        <v>57</v>
      </c>
      <c r="U718" s="1341"/>
      <c r="V718" s="1341"/>
      <c r="W718" s="1342"/>
      <c r="X718" s="1352">
        <f t="shared" ref="X718:X741" si="8">O718+T718</f>
        <v>952</v>
      </c>
      <c r="Y718" s="1353"/>
      <c r="Z718" s="1353"/>
      <c r="AA718" s="1353"/>
      <c r="AB718" s="1354"/>
      <c r="AC718" s="1359">
        <v>0.3</v>
      </c>
      <c r="AD718" s="1360"/>
      <c r="AE718" s="1360"/>
      <c r="AF718" s="1360"/>
      <c r="AG718" s="1361"/>
      <c r="AH718" s="1355">
        <f>IF($AC718&gt;0,($X718/$AZ718), "")</f>
        <v>0.30012610340479196</v>
      </c>
      <c r="AI718" s="1356"/>
      <c r="AJ718" s="1357"/>
      <c r="AK718" s="1337" t="s">
        <v>592</v>
      </c>
      <c r="AL718" s="1338"/>
      <c r="AM718" s="1338"/>
      <c r="AN718" s="1338"/>
      <c r="AO718" s="1339"/>
      <c r="AP718" s="3"/>
      <c r="AQ718" s="3"/>
      <c r="AR718" s="3"/>
      <c r="AS718" s="3"/>
      <c r="AZ718" s="118">
        <f t="shared" ref="AZ718:AZ752" si="9">IF($G718=0,"N/A",VLOOKUP($T$189,TC_Rent,(MATCH($B718,bedrooms,FALSE)),FALSE))</f>
        <v>3172</v>
      </c>
      <c r="BA718" s="3"/>
      <c r="BB718" s="3"/>
      <c r="BC718" s="3"/>
      <c r="BD718" s="3"/>
      <c r="BE718" s="204"/>
      <c r="BF718" s="293">
        <f t="shared" ref="BF718:BF752" si="10">G718</f>
        <v>2</v>
      </c>
      <c r="BG718" s="297">
        <f t="shared" ref="BG718:BG752" si="11">IF($BF$753=0,0,BF718/$BF$753)</f>
        <v>1.7857142857142856E-2</v>
      </c>
      <c r="BH718" s="298">
        <f t="shared" ref="BH718:BH752" si="12">IF(BG718=0,"",BG718*AC718)</f>
        <v>5.3571428571428563E-3</v>
      </c>
      <c r="BI718" s="3"/>
      <c r="BJ718" s="3"/>
      <c r="BK718" s="3"/>
      <c r="BL718" s="3"/>
      <c r="BM718" s="3"/>
      <c r="BN718" s="3"/>
      <c r="BS718" s="293">
        <f t="shared" ref="BS718:BS752" si="13">G718</f>
        <v>2</v>
      </c>
      <c r="BT718" s="297">
        <f t="shared" ref="BT718:BT752" si="14">IF($BS$753=0,0,BS718/$BS$753)</f>
        <v>1.7857142857142856E-2</v>
      </c>
      <c r="BU718" s="298">
        <f t="shared" ref="BU718:BU752" si="15">IF(BT718=0,"",BT718*AH718)</f>
        <v>5.359394703656999E-3</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2</v>
      </c>
      <c r="CN718" s="1470"/>
      <c r="CO718" s="3"/>
      <c r="CP718" s="1458">
        <f t="shared" ref="CP718:CP752" si="18">IF(B718="SRO/Studio",G718,0)</f>
        <v>0</v>
      </c>
      <c r="CQ718" s="1459"/>
      <c r="CR718" s="1459"/>
      <c r="CS718" s="1459"/>
      <c r="CT718" s="1460"/>
      <c r="CU718" s="1443">
        <f t="shared" ref="CU718:CU752" si="19">IF(B718="1 Bedroom",G718,0)</f>
        <v>2</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2</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895</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325</v>
      </c>
      <c r="C719" s="1338"/>
      <c r="D719" s="1338"/>
      <c r="E719" s="1338"/>
      <c r="F719" s="1339"/>
      <c r="G719" s="1349">
        <v>1</v>
      </c>
      <c r="H719" s="1350"/>
      <c r="I719" s="1350"/>
      <c r="J719" s="1351"/>
      <c r="K719" s="1343">
        <v>529</v>
      </c>
      <c r="L719" s="1344"/>
      <c r="M719" s="1344"/>
      <c r="N719" s="1345"/>
      <c r="O719" s="1340">
        <v>889</v>
      </c>
      <c r="P719" s="1341"/>
      <c r="Q719" s="1341"/>
      <c r="R719" s="1341"/>
      <c r="S719" s="1342"/>
      <c r="T719" s="1340">
        <v>63</v>
      </c>
      <c r="U719" s="1341"/>
      <c r="V719" s="1341"/>
      <c r="W719" s="1342"/>
      <c r="X719" s="1352">
        <f t="shared" si="8"/>
        <v>952</v>
      </c>
      <c r="Y719" s="1353"/>
      <c r="Z719" s="1353"/>
      <c r="AA719" s="1353"/>
      <c r="AB719" s="1354"/>
      <c r="AC719" s="1359">
        <v>0.3</v>
      </c>
      <c r="AD719" s="1360"/>
      <c r="AE719" s="1360"/>
      <c r="AF719" s="1360"/>
      <c r="AG719" s="1361"/>
      <c r="AH719" s="1355">
        <f t="shared" ref="AH719:AH752" si="36">IF($AC719&gt;0,($X719/$AZ719), "")</f>
        <v>0.30012610340479196</v>
      </c>
      <c r="AI719" s="1356"/>
      <c r="AJ719" s="1357"/>
      <c r="AK719" s="1337" t="s">
        <v>592</v>
      </c>
      <c r="AL719" s="1338"/>
      <c r="AM719" s="1338"/>
      <c r="AN719" s="1338"/>
      <c r="AO719" s="1339"/>
      <c r="AP719" s="3"/>
      <c r="AQ719" s="3"/>
      <c r="AR719" s="3"/>
      <c r="AS719" s="3"/>
      <c r="AZ719" s="118">
        <f t="shared" si="9"/>
        <v>3172</v>
      </c>
      <c r="BA719" s="3"/>
      <c r="BB719" s="3"/>
      <c r="BC719" s="3"/>
      <c r="BD719" s="3"/>
      <c r="BE719" s="204"/>
      <c r="BF719" s="294">
        <f t="shared" si="10"/>
        <v>1</v>
      </c>
      <c r="BG719" s="297">
        <f t="shared" si="11"/>
        <v>8.9285714285714281E-3</v>
      </c>
      <c r="BH719" s="298">
        <f t="shared" si="12"/>
        <v>2.6785714285714282E-3</v>
      </c>
      <c r="BI719" s="3"/>
      <c r="BJ719" s="3"/>
      <c r="BK719" s="3"/>
      <c r="BL719" s="3"/>
      <c r="BM719" s="3"/>
      <c r="BN719" s="3"/>
      <c r="BS719" s="294">
        <f t="shared" si="13"/>
        <v>1</v>
      </c>
      <c r="BT719" s="297">
        <f t="shared" si="14"/>
        <v>8.9285714285714281E-3</v>
      </c>
      <c r="BU719" s="298">
        <f t="shared" si="15"/>
        <v>2.6796973518284995E-3</v>
      </c>
      <c r="CC719" s="3"/>
      <c r="CD719" s="3"/>
      <c r="CE719" s="3"/>
      <c r="CF719" s="3"/>
      <c r="CG719" s="1463">
        <f t="shared" ref="CG719:CG752" si="37">IF(AND(AC719&lt;=0.5,AC719&gt;=0.36),1,0)</f>
        <v>0</v>
      </c>
      <c r="CH719" s="1464"/>
      <c r="CI719" s="1469">
        <f t="shared" ref="CI719:CI752" si="38">IF(CG719=1,G719,0)</f>
        <v>0</v>
      </c>
      <c r="CJ719" s="1470"/>
      <c r="CK719" s="1463">
        <f t="shared" si="16"/>
        <v>1</v>
      </c>
      <c r="CL719" s="1464"/>
      <c r="CM719" s="1469">
        <f t="shared" si="17"/>
        <v>1</v>
      </c>
      <c r="CN719" s="1470"/>
      <c r="CO719" s="3"/>
      <c r="CP719" s="1458">
        <f t="shared" si="18"/>
        <v>0</v>
      </c>
      <c r="CQ719" s="1459"/>
      <c r="CR719" s="1459"/>
      <c r="CS719" s="1459"/>
      <c r="CT719" s="1460"/>
      <c r="CU719" s="1443">
        <f t="shared" si="19"/>
        <v>1</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1</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889</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325</v>
      </c>
      <c r="C720" s="1338"/>
      <c r="D720" s="1338"/>
      <c r="E720" s="1338"/>
      <c r="F720" s="1339"/>
      <c r="G720" s="1349">
        <v>3</v>
      </c>
      <c r="H720" s="1350"/>
      <c r="I720" s="1350"/>
      <c r="J720" s="1351"/>
      <c r="K720" s="1343">
        <v>529</v>
      </c>
      <c r="L720" s="1344"/>
      <c r="M720" s="1344"/>
      <c r="N720" s="1345"/>
      <c r="O720" s="1340">
        <v>1212</v>
      </c>
      <c r="P720" s="1341"/>
      <c r="Q720" s="1341"/>
      <c r="R720" s="1341"/>
      <c r="S720" s="1342"/>
      <c r="T720" s="1340">
        <v>57</v>
      </c>
      <c r="U720" s="1341"/>
      <c r="V720" s="1341"/>
      <c r="W720" s="1342"/>
      <c r="X720" s="1352">
        <f t="shared" si="8"/>
        <v>1269</v>
      </c>
      <c r="Y720" s="1353"/>
      <c r="Z720" s="1353"/>
      <c r="AA720" s="1353"/>
      <c r="AB720" s="1354"/>
      <c r="AC720" s="1359">
        <v>0.4</v>
      </c>
      <c r="AD720" s="1360"/>
      <c r="AE720" s="1360"/>
      <c r="AF720" s="1360"/>
      <c r="AG720" s="1361"/>
      <c r="AH720" s="1355">
        <f t="shared" si="36"/>
        <v>0.40006305170239598</v>
      </c>
      <c r="AI720" s="1356"/>
      <c r="AJ720" s="1357"/>
      <c r="AK720" s="1337" t="s">
        <v>592</v>
      </c>
      <c r="AL720" s="1338"/>
      <c r="AM720" s="1338"/>
      <c r="AN720" s="1338"/>
      <c r="AO720" s="1339"/>
      <c r="AP720" s="3"/>
      <c r="AQ720" s="3"/>
      <c r="AR720" s="3"/>
      <c r="AS720" s="3"/>
      <c r="AZ720" s="118">
        <f t="shared" si="9"/>
        <v>3172</v>
      </c>
      <c r="BA720" s="3"/>
      <c r="BB720" s="3"/>
      <c r="BC720" s="3"/>
      <c r="BD720" s="3"/>
      <c r="BE720" s="204"/>
      <c r="BF720" s="294">
        <f t="shared" si="10"/>
        <v>3</v>
      </c>
      <c r="BG720" s="297">
        <f t="shared" si="11"/>
        <v>2.6785714285714284E-2</v>
      </c>
      <c r="BH720" s="298">
        <f t="shared" si="12"/>
        <v>1.0714285714285714E-2</v>
      </c>
      <c r="BI720" s="3"/>
      <c r="BJ720" s="3"/>
      <c r="BK720" s="3"/>
      <c r="BL720" s="3"/>
      <c r="BM720" s="3"/>
      <c r="BN720" s="3"/>
      <c r="BS720" s="294">
        <f t="shared" si="13"/>
        <v>3</v>
      </c>
      <c r="BT720" s="297">
        <f t="shared" si="14"/>
        <v>2.6785714285714284E-2</v>
      </c>
      <c r="BU720" s="298">
        <f t="shared" si="15"/>
        <v>1.071597459917132E-2</v>
      </c>
      <c r="CC720" s="3"/>
      <c r="CD720" s="3"/>
      <c r="CE720" s="3"/>
      <c r="CF720" s="3"/>
      <c r="CG720" s="1463">
        <f t="shared" si="37"/>
        <v>1</v>
      </c>
      <c r="CH720" s="1464"/>
      <c r="CI720" s="1469">
        <f t="shared" si="38"/>
        <v>3</v>
      </c>
      <c r="CJ720" s="1470"/>
      <c r="CK720" s="1463">
        <f t="shared" si="16"/>
        <v>0</v>
      </c>
      <c r="CL720" s="1464"/>
      <c r="CM720" s="1469">
        <f t="shared" si="17"/>
        <v>0</v>
      </c>
      <c r="CN720" s="1470"/>
      <c r="CO720" s="3"/>
      <c r="CP720" s="1458">
        <f t="shared" si="18"/>
        <v>0</v>
      </c>
      <c r="CQ720" s="1459"/>
      <c r="CR720" s="1459"/>
      <c r="CS720" s="1459"/>
      <c r="CT720" s="1460"/>
      <c r="CU720" s="1443">
        <f t="shared" si="19"/>
        <v>3</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1212</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325</v>
      </c>
      <c r="C721" s="1338"/>
      <c r="D721" s="1338"/>
      <c r="E721" s="1338"/>
      <c r="F721" s="1339"/>
      <c r="G721" s="1349">
        <v>1</v>
      </c>
      <c r="H721" s="1350"/>
      <c r="I721" s="1350"/>
      <c r="J721" s="1351"/>
      <c r="K721" s="1343">
        <v>529</v>
      </c>
      <c r="L721" s="1344"/>
      <c r="M721" s="1344"/>
      <c r="N721" s="1345"/>
      <c r="O721" s="1340">
        <v>1206</v>
      </c>
      <c r="P721" s="1341"/>
      <c r="Q721" s="1341"/>
      <c r="R721" s="1341"/>
      <c r="S721" s="1342"/>
      <c r="T721" s="1340">
        <v>63</v>
      </c>
      <c r="U721" s="1341"/>
      <c r="V721" s="1341"/>
      <c r="W721" s="1342"/>
      <c r="X721" s="1352">
        <f t="shared" si="8"/>
        <v>1269</v>
      </c>
      <c r="Y721" s="1353"/>
      <c r="Z721" s="1353"/>
      <c r="AA721" s="1353"/>
      <c r="AB721" s="1354"/>
      <c r="AC721" s="1359">
        <v>0.4</v>
      </c>
      <c r="AD721" s="1360"/>
      <c r="AE721" s="1360"/>
      <c r="AF721" s="1360"/>
      <c r="AG721" s="1361"/>
      <c r="AH721" s="1355">
        <f t="shared" si="36"/>
        <v>0.40006305170239598</v>
      </c>
      <c r="AI721" s="1356"/>
      <c r="AJ721" s="1357"/>
      <c r="AK721" s="1337" t="s">
        <v>592</v>
      </c>
      <c r="AL721" s="1338"/>
      <c r="AM721" s="1338"/>
      <c r="AN721" s="1338"/>
      <c r="AO721" s="1339"/>
      <c r="AP721" s="3"/>
      <c r="AQ721" s="3"/>
      <c r="AR721" s="3"/>
      <c r="AS721" s="3"/>
      <c r="AY721" s="116"/>
      <c r="AZ721" s="118">
        <f t="shared" si="9"/>
        <v>3172</v>
      </c>
      <c r="BA721" s="3"/>
      <c r="BB721" s="3"/>
      <c r="BC721" s="3"/>
      <c r="BD721" s="3"/>
      <c r="BE721" s="204"/>
      <c r="BF721" s="294">
        <f t="shared" si="10"/>
        <v>1</v>
      </c>
      <c r="BG721" s="297">
        <f t="shared" si="11"/>
        <v>8.9285714285714281E-3</v>
      </c>
      <c r="BH721" s="298">
        <f t="shared" si="12"/>
        <v>3.5714285714285713E-3</v>
      </c>
      <c r="BI721" s="3"/>
      <c r="BJ721" s="3"/>
      <c r="BK721" s="3"/>
      <c r="BL721" s="3"/>
      <c r="BM721" s="3"/>
      <c r="BN721" s="3"/>
      <c r="BS721" s="294">
        <f t="shared" si="13"/>
        <v>1</v>
      </c>
      <c r="BT721" s="297">
        <f t="shared" si="14"/>
        <v>8.9285714285714281E-3</v>
      </c>
      <c r="BU721" s="298">
        <f t="shared" si="15"/>
        <v>3.5719915330571068E-3</v>
      </c>
      <c r="CC721" s="3"/>
      <c r="CD721" s="3"/>
      <c r="CE721" s="3"/>
      <c r="CF721" s="3"/>
      <c r="CG721" s="1463">
        <f t="shared" si="37"/>
        <v>1</v>
      </c>
      <c r="CH721" s="1464"/>
      <c r="CI721" s="1469">
        <f t="shared" si="38"/>
        <v>1</v>
      </c>
      <c r="CJ721" s="1470"/>
      <c r="CK721" s="1463">
        <f t="shared" si="16"/>
        <v>0</v>
      </c>
      <c r="CL721" s="1464"/>
      <c r="CM721" s="1469">
        <f t="shared" si="17"/>
        <v>0</v>
      </c>
      <c r="CN721" s="1470"/>
      <c r="CO721" s="3"/>
      <c r="CP721" s="1458">
        <f t="shared" si="18"/>
        <v>0</v>
      </c>
      <c r="CQ721" s="1459"/>
      <c r="CR721" s="1459"/>
      <c r="CS721" s="1459"/>
      <c r="CT721" s="1460"/>
      <c r="CU721" s="1443">
        <f t="shared" si="19"/>
        <v>1</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1206</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325</v>
      </c>
      <c r="C722" s="1338"/>
      <c r="D722" s="1338"/>
      <c r="E722" s="1338"/>
      <c r="F722" s="1339"/>
      <c r="G722" s="1349">
        <v>2</v>
      </c>
      <c r="H722" s="1350"/>
      <c r="I722" s="1350"/>
      <c r="J722" s="1351"/>
      <c r="K722" s="1343">
        <v>529</v>
      </c>
      <c r="L722" s="1344"/>
      <c r="M722" s="1344"/>
      <c r="N722" s="1345"/>
      <c r="O722" s="1340">
        <v>1206</v>
      </c>
      <c r="P722" s="1341"/>
      <c r="Q722" s="1341"/>
      <c r="R722" s="1341"/>
      <c r="S722" s="1342"/>
      <c r="T722" s="1340">
        <v>63</v>
      </c>
      <c r="U722" s="1341"/>
      <c r="V722" s="1341"/>
      <c r="W722" s="1342"/>
      <c r="X722" s="1352">
        <f t="shared" si="8"/>
        <v>1269</v>
      </c>
      <c r="Y722" s="1353"/>
      <c r="Z722" s="1353"/>
      <c r="AA722" s="1353"/>
      <c r="AB722" s="1354"/>
      <c r="AC722" s="1359">
        <v>0.4</v>
      </c>
      <c r="AD722" s="1360"/>
      <c r="AE722" s="1360"/>
      <c r="AF722" s="1360"/>
      <c r="AG722" s="1361"/>
      <c r="AH722" s="1355">
        <f t="shared" si="36"/>
        <v>0.40006305170239598</v>
      </c>
      <c r="AI722" s="1356"/>
      <c r="AJ722" s="1357"/>
      <c r="AK722" s="1337" t="s">
        <v>592</v>
      </c>
      <c r="AL722" s="1338"/>
      <c r="AM722" s="1338"/>
      <c r="AN722" s="1338"/>
      <c r="AO722" s="1339"/>
      <c r="AP722" s="3"/>
      <c r="AQ722" s="3"/>
      <c r="AR722" s="3"/>
      <c r="AS722" s="3"/>
      <c r="AY722" s="116"/>
      <c r="AZ722" s="118">
        <f t="shared" si="9"/>
        <v>3172</v>
      </c>
      <c r="BA722" s="3"/>
      <c r="BB722" s="3"/>
      <c r="BC722" s="3"/>
      <c r="BD722" s="3"/>
      <c r="BE722" s="204"/>
      <c r="BF722" s="294">
        <f t="shared" si="10"/>
        <v>2</v>
      </c>
      <c r="BG722" s="297">
        <f t="shared" si="11"/>
        <v>1.7857142857142856E-2</v>
      </c>
      <c r="BH722" s="298">
        <f t="shared" si="12"/>
        <v>7.1428571428571426E-3</v>
      </c>
      <c r="BI722" s="3"/>
      <c r="BJ722" s="3"/>
      <c r="BK722" s="3"/>
      <c r="BL722" s="3"/>
      <c r="BM722" s="3"/>
      <c r="BN722" s="3"/>
      <c r="BS722" s="294">
        <f t="shared" si="13"/>
        <v>2</v>
      </c>
      <c r="BT722" s="297">
        <f t="shared" si="14"/>
        <v>1.7857142857142856E-2</v>
      </c>
      <c r="BU722" s="298">
        <f t="shared" si="15"/>
        <v>7.1439830661142135E-3</v>
      </c>
      <c r="CC722" s="3"/>
      <c r="CD722" s="3"/>
      <c r="CE722" s="3"/>
      <c r="CF722" s="3"/>
      <c r="CG722" s="1463">
        <f t="shared" si="37"/>
        <v>1</v>
      </c>
      <c r="CH722" s="1464"/>
      <c r="CI722" s="1469">
        <f t="shared" si="38"/>
        <v>2</v>
      </c>
      <c r="CJ722" s="1470"/>
      <c r="CK722" s="1463">
        <f t="shared" si="16"/>
        <v>0</v>
      </c>
      <c r="CL722" s="1464"/>
      <c r="CM722" s="1469">
        <f t="shared" si="17"/>
        <v>0</v>
      </c>
      <c r="CN722" s="1470"/>
      <c r="CO722" s="3"/>
      <c r="CP722" s="1458">
        <f t="shared" si="18"/>
        <v>0</v>
      </c>
      <c r="CQ722" s="1459"/>
      <c r="CR722" s="1459"/>
      <c r="CS722" s="1459"/>
      <c r="CT722" s="1460"/>
      <c r="CU722" s="1443">
        <f t="shared" si="19"/>
        <v>2</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1206</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325</v>
      </c>
      <c r="C723" s="1338"/>
      <c r="D723" s="1338"/>
      <c r="E723" s="1338"/>
      <c r="F723" s="1339"/>
      <c r="G723" s="1349">
        <v>3</v>
      </c>
      <c r="H723" s="1350"/>
      <c r="I723" s="1350"/>
      <c r="J723" s="1351"/>
      <c r="K723" s="1343">
        <v>529</v>
      </c>
      <c r="L723" s="1344"/>
      <c r="M723" s="1344"/>
      <c r="N723" s="1345"/>
      <c r="O723" s="1340">
        <v>1529</v>
      </c>
      <c r="P723" s="1341"/>
      <c r="Q723" s="1341"/>
      <c r="R723" s="1341"/>
      <c r="S723" s="1342"/>
      <c r="T723" s="1340">
        <v>57</v>
      </c>
      <c r="U723" s="1341"/>
      <c r="V723" s="1341"/>
      <c r="W723" s="1342"/>
      <c r="X723" s="1352">
        <f t="shared" si="8"/>
        <v>1586</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3172</v>
      </c>
      <c r="BA723" s="3"/>
      <c r="BB723" s="3"/>
      <c r="BC723" s="3"/>
      <c r="BD723" s="3"/>
      <c r="BE723" s="204"/>
      <c r="BF723" s="294">
        <f t="shared" si="10"/>
        <v>3</v>
      </c>
      <c r="BG723" s="297">
        <f t="shared" si="11"/>
        <v>2.6785714285714284E-2</v>
      </c>
      <c r="BH723" s="298">
        <f t="shared" si="12"/>
        <v>1.3392857142857142E-2</v>
      </c>
      <c r="BI723" s="3"/>
      <c r="BJ723" s="3"/>
      <c r="BK723" s="3"/>
      <c r="BL723" s="3"/>
      <c r="BM723" s="3"/>
      <c r="BN723" s="3"/>
      <c r="BS723" s="294">
        <f t="shared" si="13"/>
        <v>3</v>
      </c>
      <c r="BT723" s="297">
        <f t="shared" si="14"/>
        <v>2.6785714285714284E-2</v>
      </c>
      <c r="BU723" s="298">
        <f t="shared" si="15"/>
        <v>1.3392857142857142E-2</v>
      </c>
      <c r="CC723" s="3"/>
      <c r="CD723" s="3"/>
      <c r="CE723" s="3"/>
      <c r="CF723" s="3"/>
      <c r="CG723" s="1463">
        <f t="shared" si="37"/>
        <v>1</v>
      </c>
      <c r="CH723" s="1464"/>
      <c r="CI723" s="1469">
        <f t="shared" si="38"/>
        <v>3</v>
      </c>
      <c r="CJ723" s="1470"/>
      <c r="CK723" s="1463">
        <f t="shared" si="16"/>
        <v>0</v>
      </c>
      <c r="CL723" s="1464"/>
      <c r="CM723" s="1469">
        <f t="shared" si="17"/>
        <v>0</v>
      </c>
      <c r="CN723" s="1470"/>
      <c r="CO723" s="3"/>
      <c r="CP723" s="1458">
        <f t="shared" si="18"/>
        <v>0</v>
      </c>
      <c r="CQ723" s="1459"/>
      <c r="CR723" s="1459"/>
      <c r="CS723" s="1459"/>
      <c r="CT723" s="1460"/>
      <c r="CU723" s="1443">
        <f t="shared" si="19"/>
        <v>3</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f t="shared" si="31"/>
        <v>1529</v>
      </c>
      <c r="FF723" s="1465"/>
      <c r="FG723" s="1465"/>
      <c r="FH723" s="1465"/>
      <c r="FI723" s="1464"/>
      <c r="FJ723" s="1463" t="str">
        <f t="shared" si="32"/>
        <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325</v>
      </c>
      <c r="C724" s="1338"/>
      <c r="D724" s="1338"/>
      <c r="E724" s="1338"/>
      <c r="F724" s="1339"/>
      <c r="G724" s="1349">
        <v>8</v>
      </c>
      <c r="H724" s="1350"/>
      <c r="I724" s="1350"/>
      <c r="J724" s="1351"/>
      <c r="K724" s="1343">
        <v>529</v>
      </c>
      <c r="L724" s="1344"/>
      <c r="M724" s="1344"/>
      <c r="N724" s="1345"/>
      <c r="O724" s="1340">
        <v>1523</v>
      </c>
      <c r="P724" s="1341"/>
      <c r="Q724" s="1341"/>
      <c r="R724" s="1341"/>
      <c r="S724" s="1342"/>
      <c r="T724" s="1340">
        <v>63</v>
      </c>
      <c r="U724" s="1341"/>
      <c r="V724" s="1341"/>
      <c r="W724" s="1342"/>
      <c r="X724" s="1352">
        <f t="shared" si="8"/>
        <v>1586</v>
      </c>
      <c r="Y724" s="1353"/>
      <c r="Z724" s="1353"/>
      <c r="AA724" s="1353"/>
      <c r="AB724" s="1354"/>
      <c r="AC724" s="1359">
        <v>0.5</v>
      </c>
      <c r="AD724" s="1360"/>
      <c r="AE724" s="1360"/>
      <c r="AF724" s="1360"/>
      <c r="AG724" s="1361"/>
      <c r="AH724" s="1355">
        <f t="shared" si="36"/>
        <v>0.5</v>
      </c>
      <c r="AI724" s="1356"/>
      <c r="AJ724" s="1357"/>
      <c r="AK724" s="1337" t="s">
        <v>592</v>
      </c>
      <c r="AL724" s="1338"/>
      <c r="AM724" s="1338"/>
      <c r="AN724" s="1338"/>
      <c r="AO724" s="1339"/>
      <c r="AP724" s="3"/>
      <c r="AQ724" s="3"/>
      <c r="AR724" s="3"/>
      <c r="AS724" s="3"/>
      <c r="AY724" s="116"/>
      <c r="AZ724" s="118">
        <f t="shared" si="9"/>
        <v>3172</v>
      </c>
      <c r="BA724" s="3"/>
      <c r="BB724" s="3"/>
      <c r="BC724" s="3"/>
      <c r="BD724" s="3"/>
      <c r="BE724" s="204"/>
      <c r="BF724" s="294">
        <f t="shared" si="10"/>
        <v>8</v>
      </c>
      <c r="BG724" s="297">
        <f t="shared" si="11"/>
        <v>7.1428571428571425E-2</v>
      </c>
      <c r="BH724" s="298">
        <f t="shared" si="12"/>
        <v>3.5714285714285712E-2</v>
      </c>
      <c r="BI724" s="3"/>
      <c r="BJ724" s="3"/>
      <c r="BK724" s="3"/>
      <c r="BL724" s="3"/>
      <c r="BM724" s="3"/>
      <c r="BN724" s="3"/>
      <c r="BS724" s="294">
        <f t="shared" si="13"/>
        <v>8</v>
      </c>
      <c r="BT724" s="297">
        <f t="shared" si="14"/>
        <v>7.1428571428571425E-2</v>
      </c>
      <c r="BU724" s="298">
        <f t="shared" si="15"/>
        <v>3.5714285714285712E-2</v>
      </c>
      <c r="CC724" s="3"/>
      <c r="CE724" s="3"/>
      <c r="CF724" s="3"/>
      <c r="CG724" s="1463">
        <f t="shared" si="37"/>
        <v>1</v>
      </c>
      <c r="CH724" s="1464"/>
      <c r="CI724" s="1469">
        <f t="shared" si="38"/>
        <v>8</v>
      </c>
      <c r="CJ724" s="1470"/>
      <c r="CK724" s="1463">
        <f t="shared" si="16"/>
        <v>0</v>
      </c>
      <c r="CL724" s="1464"/>
      <c r="CM724" s="1469">
        <f t="shared" si="17"/>
        <v>0</v>
      </c>
      <c r="CN724" s="1470"/>
      <c r="CO724" s="3"/>
      <c r="CP724" s="1458">
        <f t="shared" si="18"/>
        <v>0</v>
      </c>
      <c r="CQ724" s="1459"/>
      <c r="CR724" s="1459"/>
      <c r="CS724" s="1459"/>
      <c r="CT724" s="1460"/>
      <c r="CU724" s="1443">
        <f t="shared" si="19"/>
        <v>8</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f t="shared" si="31"/>
        <v>1523</v>
      </c>
      <c r="FF724" s="1465"/>
      <c r="FG724" s="1465"/>
      <c r="FH724" s="1465"/>
      <c r="FI724" s="1464"/>
      <c r="FJ724" s="1463" t="str">
        <f t="shared" si="32"/>
        <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325</v>
      </c>
      <c r="C725" s="1338"/>
      <c r="D725" s="1338"/>
      <c r="E725" s="1338"/>
      <c r="F725" s="1339"/>
      <c r="G725" s="1349">
        <v>4</v>
      </c>
      <c r="H725" s="1350"/>
      <c r="I725" s="1350"/>
      <c r="J725" s="1351"/>
      <c r="K725" s="1343">
        <v>529</v>
      </c>
      <c r="L725" s="1344"/>
      <c r="M725" s="1344"/>
      <c r="N725" s="1345"/>
      <c r="O725" s="1340">
        <v>1841</v>
      </c>
      <c r="P725" s="1341"/>
      <c r="Q725" s="1341"/>
      <c r="R725" s="1341"/>
      <c r="S725" s="1342"/>
      <c r="T725" s="1340">
        <v>63</v>
      </c>
      <c r="U725" s="1341"/>
      <c r="V725" s="1341"/>
      <c r="W725" s="1342"/>
      <c r="X725" s="1352">
        <f t="shared" si="8"/>
        <v>1904</v>
      </c>
      <c r="Y725" s="1353"/>
      <c r="Z725" s="1353"/>
      <c r="AA725" s="1353"/>
      <c r="AB725" s="1354"/>
      <c r="AC725" s="1359">
        <v>0.6</v>
      </c>
      <c r="AD725" s="1360"/>
      <c r="AE725" s="1360"/>
      <c r="AF725" s="1360"/>
      <c r="AG725" s="1361"/>
      <c r="AH725" s="1355">
        <f t="shared" si="36"/>
        <v>0.60025220680958391</v>
      </c>
      <c r="AI725" s="1356"/>
      <c r="AJ725" s="1357"/>
      <c r="AK725" s="1337" t="s">
        <v>592</v>
      </c>
      <c r="AL725" s="1338"/>
      <c r="AM725" s="1338"/>
      <c r="AN725" s="1338"/>
      <c r="AO725" s="1339"/>
      <c r="AP725" s="3"/>
      <c r="AQ725" s="3"/>
      <c r="AR725" s="3"/>
      <c r="AS725" s="3"/>
      <c r="AY725" s="1085"/>
      <c r="AZ725" s="118">
        <f t="shared" si="9"/>
        <v>3172</v>
      </c>
      <c r="BA725" s="3"/>
      <c r="BB725" s="3"/>
      <c r="BC725" s="3"/>
      <c r="BD725" s="3"/>
      <c r="BE725" s="204"/>
      <c r="BF725" s="294">
        <f t="shared" si="10"/>
        <v>4</v>
      </c>
      <c r="BG725" s="297">
        <f t="shared" si="11"/>
        <v>3.5714285714285712E-2</v>
      </c>
      <c r="BH725" s="298">
        <f t="shared" si="12"/>
        <v>2.1428571428571425E-2</v>
      </c>
      <c r="BI725" s="3"/>
      <c r="BJ725" s="3"/>
      <c r="BK725" s="3"/>
      <c r="BL725" s="3"/>
      <c r="BM725" s="3"/>
      <c r="BN725" s="3"/>
      <c r="BS725" s="294">
        <f t="shared" si="13"/>
        <v>4</v>
      </c>
      <c r="BT725" s="297">
        <f t="shared" si="14"/>
        <v>3.5714285714285712E-2</v>
      </c>
      <c r="BU725" s="298">
        <f t="shared" si="15"/>
        <v>2.1437578814627996E-2</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4</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f t="shared" si="31"/>
        <v>1841</v>
      </c>
      <c r="FF725" s="1465"/>
      <c r="FG725" s="1465"/>
      <c r="FH725" s="1465"/>
      <c r="FI725" s="1464"/>
      <c r="FJ725" s="1463" t="str">
        <f t="shared" si="32"/>
        <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t="s">
        <v>163</v>
      </c>
      <c r="C726" s="1338"/>
      <c r="D726" s="1338"/>
      <c r="E726" s="1338"/>
      <c r="F726" s="1339"/>
      <c r="G726" s="1349">
        <v>4</v>
      </c>
      <c r="H726" s="1350"/>
      <c r="I726" s="1350"/>
      <c r="J726" s="1351"/>
      <c r="K726" s="1343">
        <v>814</v>
      </c>
      <c r="L726" s="1344"/>
      <c r="M726" s="1344"/>
      <c r="N726" s="1345"/>
      <c r="O726" s="1340">
        <v>1072</v>
      </c>
      <c r="P726" s="1341"/>
      <c r="Q726" s="1341"/>
      <c r="R726" s="1341"/>
      <c r="S726" s="1342"/>
      <c r="T726" s="1340">
        <v>70</v>
      </c>
      <c r="U726" s="1341"/>
      <c r="V726" s="1341"/>
      <c r="W726" s="1342"/>
      <c r="X726" s="1352">
        <f t="shared" si="8"/>
        <v>1142</v>
      </c>
      <c r="Y726" s="1353"/>
      <c r="Z726" s="1353"/>
      <c r="AA726" s="1353"/>
      <c r="AB726" s="1354"/>
      <c r="AC726" s="1359">
        <v>0.3</v>
      </c>
      <c r="AD726" s="1360"/>
      <c r="AE726" s="1360"/>
      <c r="AF726" s="1360"/>
      <c r="AG726" s="1361"/>
      <c r="AH726" s="1355">
        <f t="shared" si="36"/>
        <v>0.30005254860746189</v>
      </c>
      <c r="AI726" s="1356"/>
      <c r="AJ726" s="1357"/>
      <c r="AK726" s="1337" t="s">
        <v>592</v>
      </c>
      <c r="AL726" s="1338"/>
      <c r="AM726" s="1338"/>
      <c r="AN726" s="1338"/>
      <c r="AO726" s="1339"/>
      <c r="AP726" s="3"/>
      <c r="AQ726" s="3"/>
      <c r="AR726" s="3"/>
      <c r="AS726" s="3"/>
      <c r="AY726" s="1085"/>
      <c r="AZ726" s="118">
        <f t="shared" si="9"/>
        <v>3806</v>
      </c>
      <c r="BA726" s="3"/>
      <c r="BB726" s="3"/>
      <c r="BC726" s="3"/>
      <c r="BD726" s="3"/>
      <c r="BE726" s="204"/>
      <c r="BF726" s="294">
        <f t="shared" si="10"/>
        <v>4</v>
      </c>
      <c r="BG726" s="297">
        <f t="shared" si="11"/>
        <v>3.5714285714285712E-2</v>
      </c>
      <c r="BH726" s="298">
        <f t="shared" si="12"/>
        <v>1.0714285714285713E-2</v>
      </c>
      <c r="BI726" s="3"/>
      <c r="BJ726" s="3"/>
      <c r="BK726" s="3"/>
      <c r="BL726" s="3"/>
      <c r="BM726" s="3"/>
      <c r="BN726" s="3"/>
      <c r="BS726" s="294">
        <f t="shared" si="13"/>
        <v>4</v>
      </c>
      <c r="BT726" s="297">
        <f t="shared" si="14"/>
        <v>3.5714285714285712E-2</v>
      </c>
      <c r="BU726" s="298">
        <f t="shared" si="15"/>
        <v>1.0716162450266496E-2</v>
      </c>
      <c r="BV726" s="3"/>
      <c r="BW726" s="3"/>
      <c r="BX726" s="3"/>
      <c r="BY726" s="3"/>
      <c r="BZ726" s="3"/>
      <c r="CA726" s="3"/>
      <c r="CB726" s="3"/>
      <c r="CC726" s="3"/>
      <c r="CE726" s="3"/>
      <c r="CF726" s="3"/>
      <c r="CG726" s="1463">
        <f t="shared" si="37"/>
        <v>0</v>
      </c>
      <c r="CH726" s="1464"/>
      <c r="CI726" s="1469">
        <f t="shared" si="38"/>
        <v>0</v>
      </c>
      <c r="CJ726" s="1470"/>
      <c r="CK726" s="1463">
        <f t="shared" si="16"/>
        <v>1</v>
      </c>
      <c r="CL726" s="1464"/>
      <c r="CM726" s="1469">
        <f t="shared" si="17"/>
        <v>4</v>
      </c>
      <c r="CN726" s="1470"/>
      <c r="CO726" s="3"/>
      <c r="CP726" s="1458">
        <f t="shared" si="18"/>
        <v>0</v>
      </c>
      <c r="CQ726" s="1459"/>
      <c r="CR726" s="1459"/>
      <c r="CS726" s="1459"/>
      <c r="CT726" s="1460"/>
      <c r="CU726" s="1443">
        <f t="shared" si="19"/>
        <v>0</v>
      </c>
      <c r="CV726" s="1443"/>
      <c r="CW726" s="1443"/>
      <c r="CX726" s="1443"/>
      <c r="CY726" s="1443"/>
      <c r="CZ726" s="1443">
        <f t="shared" si="20"/>
        <v>4</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4</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f t="shared" si="32"/>
        <v>1072</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t="s">
        <v>163</v>
      </c>
      <c r="C727" s="1338"/>
      <c r="D727" s="1338"/>
      <c r="E727" s="1338"/>
      <c r="F727" s="1339"/>
      <c r="G727" s="1349">
        <v>2</v>
      </c>
      <c r="H727" s="1350"/>
      <c r="I727" s="1350"/>
      <c r="J727" s="1351"/>
      <c r="K727" s="1343">
        <v>814</v>
      </c>
      <c r="L727" s="1344"/>
      <c r="M727" s="1344"/>
      <c r="N727" s="1345"/>
      <c r="O727" s="1340">
        <v>1069</v>
      </c>
      <c r="P727" s="1341"/>
      <c r="Q727" s="1341"/>
      <c r="R727" s="1341"/>
      <c r="S727" s="1342"/>
      <c r="T727" s="1340">
        <v>73</v>
      </c>
      <c r="U727" s="1341"/>
      <c r="V727" s="1341"/>
      <c r="W727" s="1342"/>
      <c r="X727" s="1352">
        <f t="shared" si="8"/>
        <v>1142</v>
      </c>
      <c r="Y727" s="1353"/>
      <c r="Z727" s="1353"/>
      <c r="AA727" s="1353"/>
      <c r="AB727" s="1354"/>
      <c r="AC727" s="1359">
        <v>0.3</v>
      </c>
      <c r="AD727" s="1360"/>
      <c r="AE727" s="1360"/>
      <c r="AF727" s="1360"/>
      <c r="AG727" s="1361"/>
      <c r="AH727" s="1355">
        <f t="shared" si="36"/>
        <v>0.30005254860746189</v>
      </c>
      <c r="AI727" s="1356"/>
      <c r="AJ727" s="1357"/>
      <c r="AK727" s="1337" t="s">
        <v>592</v>
      </c>
      <c r="AL727" s="1338"/>
      <c r="AM727" s="1338"/>
      <c r="AN727" s="1338"/>
      <c r="AO727" s="1339"/>
      <c r="AP727" s="3"/>
      <c r="AQ727" s="3"/>
      <c r="AR727" s="3"/>
      <c r="AS727" s="3"/>
      <c r="AY727" s="1085"/>
      <c r="AZ727" s="118">
        <f t="shared" si="9"/>
        <v>3806</v>
      </c>
      <c r="BA727" s="3"/>
      <c r="BB727" s="3"/>
      <c r="BC727" s="3"/>
      <c r="BD727" s="3"/>
      <c r="BE727" s="204"/>
      <c r="BF727" s="294">
        <f t="shared" si="10"/>
        <v>2</v>
      </c>
      <c r="BG727" s="297">
        <f t="shared" si="11"/>
        <v>1.7857142857142856E-2</v>
      </c>
      <c r="BH727" s="298">
        <f t="shared" si="12"/>
        <v>5.3571428571428563E-3</v>
      </c>
      <c r="BI727" s="3"/>
      <c r="BJ727" s="3"/>
      <c r="BK727" s="3"/>
      <c r="BL727" s="3"/>
      <c r="BM727" s="3"/>
      <c r="BN727" s="3"/>
      <c r="BS727" s="294">
        <f t="shared" si="13"/>
        <v>2</v>
      </c>
      <c r="BT727" s="297">
        <f t="shared" si="14"/>
        <v>1.7857142857142856E-2</v>
      </c>
      <c r="BU727" s="298">
        <f t="shared" si="15"/>
        <v>5.3580812251332478E-3</v>
      </c>
      <c r="BV727" s="3"/>
      <c r="BW727" s="3"/>
      <c r="BX727" s="3"/>
      <c r="BY727" s="3"/>
      <c r="BZ727" s="3"/>
      <c r="CA727" s="3"/>
      <c r="CB727" s="3"/>
      <c r="CC727" s="3"/>
      <c r="CE727" s="3"/>
      <c r="CF727" s="3"/>
      <c r="CG727" s="1463">
        <f t="shared" si="37"/>
        <v>0</v>
      </c>
      <c r="CH727" s="1464"/>
      <c r="CI727" s="1469">
        <f t="shared" si="38"/>
        <v>0</v>
      </c>
      <c r="CJ727" s="1470"/>
      <c r="CK727" s="1463">
        <f t="shared" si="16"/>
        <v>1</v>
      </c>
      <c r="CL727" s="1464"/>
      <c r="CM727" s="1469">
        <f t="shared" si="17"/>
        <v>2</v>
      </c>
      <c r="CN727" s="1470"/>
      <c r="CO727" s="3"/>
      <c r="CP727" s="1458">
        <f t="shared" si="18"/>
        <v>0</v>
      </c>
      <c r="CQ727" s="1459"/>
      <c r="CR727" s="1459"/>
      <c r="CS727" s="1459"/>
      <c r="CT727" s="1460"/>
      <c r="CU727" s="1443">
        <f t="shared" si="19"/>
        <v>0</v>
      </c>
      <c r="CV727" s="1443"/>
      <c r="CW727" s="1443"/>
      <c r="CX727" s="1443"/>
      <c r="CY727" s="1443"/>
      <c r="CZ727" s="1443">
        <f t="shared" si="20"/>
        <v>2</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2</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1069</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t="s">
        <v>163</v>
      </c>
      <c r="C728" s="1338"/>
      <c r="D728" s="1338"/>
      <c r="E728" s="1338"/>
      <c r="F728" s="1339"/>
      <c r="G728" s="1349">
        <v>1</v>
      </c>
      <c r="H728" s="1350"/>
      <c r="I728" s="1350"/>
      <c r="J728" s="1351"/>
      <c r="K728" s="1343">
        <v>814</v>
      </c>
      <c r="L728" s="1344"/>
      <c r="M728" s="1344"/>
      <c r="N728" s="1345"/>
      <c r="O728" s="1340">
        <v>1450</v>
      </c>
      <c r="P728" s="1341"/>
      <c r="Q728" s="1341"/>
      <c r="R728" s="1341"/>
      <c r="S728" s="1342"/>
      <c r="T728" s="1340">
        <v>73</v>
      </c>
      <c r="U728" s="1341"/>
      <c r="V728" s="1341"/>
      <c r="W728" s="1342"/>
      <c r="X728" s="1352">
        <f t="shared" si="8"/>
        <v>1523</v>
      </c>
      <c r="Y728" s="1353"/>
      <c r="Z728" s="1353"/>
      <c r="AA728" s="1353"/>
      <c r="AB728" s="1354"/>
      <c r="AC728" s="1359">
        <v>0.4</v>
      </c>
      <c r="AD728" s="1360"/>
      <c r="AE728" s="1360"/>
      <c r="AF728" s="1360"/>
      <c r="AG728" s="1361"/>
      <c r="AH728" s="1355">
        <f t="shared" si="36"/>
        <v>0.40015764582238572</v>
      </c>
      <c r="AI728" s="1356"/>
      <c r="AJ728" s="1357"/>
      <c r="AK728" s="1337" t="s">
        <v>592</v>
      </c>
      <c r="AL728" s="1338"/>
      <c r="AM728" s="1338"/>
      <c r="AN728" s="1338"/>
      <c r="AO728" s="1339"/>
      <c r="AP728" s="3"/>
      <c r="AQ728" s="3"/>
      <c r="AR728" s="3"/>
      <c r="AS728" s="3"/>
      <c r="AY728" s="1085"/>
      <c r="AZ728" s="118">
        <f t="shared" si="9"/>
        <v>3806</v>
      </c>
      <c r="BA728" s="3"/>
      <c r="BB728" s="3"/>
      <c r="BC728" s="3"/>
      <c r="BD728" s="3"/>
      <c r="BE728" s="204"/>
      <c r="BF728" s="294">
        <f t="shared" si="10"/>
        <v>1</v>
      </c>
      <c r="BG728" s="297">
        <f t="shared" si="11"/>
        <v>8.9285714285714281E-3</v>
      </c>
      <c r="BH728" s="298">
        <f t="shared" si="12"/>
        <v>3.5714285714285713E-3</v>
      </c>
      <c r="BI728" s="3"/>
      <c r="BJ728" s="3"/>
      <c r="BK728" s="3"/>
      <c r="BL728" s="3"/>
      <c r="BM728" s="3"/>
      <c r="BN728" s="3"/>
      <c r="BS728" s="294">
        <f t="shared" si="13"/>
        <v>1</v>
      </c>
      <c r="BT728" s="297">
        <f t="shared" si="14"/>
        <v>8.9285714285714281E-3</v>
      </c>
      <c r="BU728" s="298">
        <f t="shared" si="15"/>
        <v>3.572836123414158E-3</v>
      </c>
      <c r="BV728" s="3"/>
      <c r="BW728" s="3"/>
      <c r="BX728" s="3"/>
      <c r="BY728" s="3"/>
      <c r="BZ728" s="3"/>
      <c r="CA728" s="3"/>
      <c r="CB728" s="3"/>
      <c r="CC728" s="3"/>
      <c r="CE728" s="3"/>
      <c r="CF728" s="3"/>
      <c r="CG728" s="1463">
        <f t="shared" si="37"/>
        <v>1</v>
      </c>
      <c r="CH728" s="1464"/>
      <c r="CI728" s="1469">
        <f t="shared" si="38"/>
        <v>1</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1</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f t="shared" si="32"/>
        <v>1450</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t="s">
        <v>163</v>
      </c>
      <c r="C729" s="1338"/>
      <c r="D729" s="1338"/>
      <c r="E729" s="1338"/>
      <c r="F729" s="1339"/>
      <c r="G729" s="1349">
        <v>1</v>
      </c>
      <c r="H729" s="1350"/>
      <c r="I729" s="1350"/>
      <c r="J729" s="1351"/>
      <c r="K729" s="1343">
        <v>814</v>
      </c>
      <c r="L729" s="1344"/>
      <c r="M729" s="1344"/>
      <c r="N729" s="1345"/>
      <c r="O729" s="1340">
        <v>1450</v>
      </c>
      <c r="P729" s="1341"/>
      <c r="Q729" s="1341"/>
      <c r="R729" s="1341"/>
      <c r="S729" s="1342"/>
      <c r="T729" s="1340">
        <v>73</v>
      </c>
      <c r="U729" s="1341"/>
      <c r="V729" s="1341"/>
      <c r="W729" s="1342"/>
      <c r="X729" s="1352">
        <f t="shared" si="8"/>
        <v>1523</v>
      </c>
      <c r="Y729" s="1353"/>
      <c r="Z729" s="1353"/>
      <c r="AA729" s="1353"/>
      <c r="AB729" s="1354"/>
      <c r="AC729" s="1359">
        <v>0.4</v>
      </c>
      <c r="AD729" s="1360"/>
      <c r="AE729" s="1360"/>
      <c r="AF729" s="1360"/>
      <c r="AG729" s="1361"/>
      <c r="AH729" s="1355">
        <f t="shared" si="36"/>
        <v>0.40015764582238572</v>
      </c>
      <c r="AI729" s="1356"/>
      <c r="AJ729" s="1357"/>
      <c r="AK729" s="1337" t="s">
        <v>592</v>
      </c>
      <c r="AL729" s="1338"/>
      <c r="AM729" s="1338"/>
      <c r="AN729" s="1338"/>
      <c r="AO729" s="1339"/>
      <c r="AP729" s="3"/>
      <c r="AQ729" s="3"/>
      <c r="AR729" s="3"/>
      <c r="AS729" s="3"/>
      <c r="AY729" s="1085"/>
      <c r="AZ729" s="118">
        <f t="shared" si="9"/>
        <v>3806</v>
      </c>
      <c r="BA729" s="3"/>
      <c r="BB729" s="3"/>
      <c r="BC729" s="3"/>
      <c r="BD729" s="3"/>
      <c r="BE729" s="204"/>
      <c r="BF729" s="294">
        <f t="shared" si="10"/>
        <v>1</v>
      </c>
      <c r="BG729" s="297">
        <f t="shared" si="11"/>
        <v>8.9285714285714281E-3</v>
      </c>
      <c r="BH729" s="298">
        <f t="shared" si="12"/>
        <v>3.5714285714285713E-3</v>
      </c>
      <c r="BI729" s="3"/>
      <c r="BJ729" s="3"/>
      <c r="BK729" s="3"/>
      <c r="BL729" s="3"/>
      <c r="BM729" s="3"/>
      <c r="BN729" s="3"/>
      <c r="BS729" s="294">
        <f t="shared" si="13"/>
        <v>1</v>
      </c>
      <c r="BT729" s="297">
        <f t="shared" si="14"/>
        <v>8.9285714285714281E-3</v>
      </c>
      <c r="BU729" s="298">
        <f t="shared" si="15"/>
        <v>3.572836123414158E-3</v>
      </c>
      <c r="BV729" s="3"/>
      <c r="BW729" s="3"/>
      <c r="BX729" s="3"/>
      <c r="BY729" s="3"/>
      <c r="BZ729" s="3"/>
      <c r="CA729" s="3"/>
      <c r="CB729" s="3"/>
      <c r="CC729" s="3"/>
      <c r="CE729" s="3"/>
      <c r="CF729" s="3"/>
      <c r="CG729" s="1463">
        <f t="shared" si="37"/>
        <v>1</v>
      </c>
      <c r="CH729" s="1464"/>
      <c r="CI729" s="1469">
        <f t="shared" si="38"/>
        <v>1</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1</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f t="shared" si="32"/>
        <v>1450</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t="s">
        <v>163</v>
      </c>
      <c r="C730" s="1338"/>
      <c r="D730" s="1338"/>
      <c r="E730" s="1338"/>
      <c r="F730" s="1339"/>
      <c r="G730" s="1349">
        <v>1</v>
      </c>
      <c r="H730" s="1350"/>
      <c r="I730" s="1350"/>
      <c r="J730" s="1351"/>
      <c r="K730" s="1343">
        <v>814</v>
      </c>
      <c r="L730" s="1344"/>
      <c r="M730" s="1344"/>
      <c r="N730" s="1345"/>
      <c r="O730" s="1340">
        <v>1450</v>
      </c>
      <c r="P730" s="1341"/>
      <c r="Q730" s="1341"/>
      <c r="R730" s="1341"/>
      <c r="S730" s="1342"/>
      <c r="T730" s="1340">
        <v>73</v>
      </c>
      <c r="U730" s="1341"/>
      <c r="V730" s="1341"/>
      <c r="W730" s="1342"/>
      <c r="X730" s="1352">
        <f t="shared" si="8"/>
        <v>1523</v>
      </c>
      <c r="Y730" s="1353"/>
      <c r="Z730" s="1353"/>
      <c r="AA730" s="1353"/>
      <c r="AB730" s="1354"/>
      <c r="AC730" s="1359">
        <v>0.4</v>
      </c>
      <c r="AD730" s="1360"/>
      <c r="AE730" s="1360"/>
      <c r="AF730" s="1360"/>
      <c r="AG730" s="1361"/>
      <c r="AH730" s="1355">
        <f t="shared" si="36"/>
        <v>0.40015764582238572</v>
      </c>
      <c r="AI730" s="1356"/>
      <c r="AJ730" s="1357"/>
      <c r="AK730" s="1337" t="s">
        <v>592</v>
      </c>
      <c r="AL730" s="1338"/>
      <c r="AM730" s="1338"/>
      <c r="AN730" s="1338"/>
      <c r="AO730" s="1339"/>
      <c r="AP730" s="3"/>
      <c r="AQ730" s="3"/>
      <c r="AR730" s="3"/>
      <c r="AS730" s="3"/>
      <c r="AY730" s="1085"/>
      <c r="AZ730" s="118">
        <f t="shared" si="9"/>
        <v>3806</v>
      </c>
      <c r="BA730" s="3"/>
      <c r="BB730" s="3"/>
      <c r="BC730" s="3"/>
      <c r="BD730" s="3"/>
      <c r="BE730" s="204"/>
      <c r="BF730" s="294">
        <f t="shared" si="10"/>
        <v>1</v>
      </c>
      <c r="BG730" s="297">
        <f t="shared" si="11"/>
        <v>8.9285714285714281E-3</v>
      </c>
      <c r="BH730" s="298">
        <f t="shared" si="12"/>
        <v>3.5714285714285713E-3</v>
      </c>
      <c r="BI730" s="3"/>
      <c r="BJ730" s="3"/>
      <c r="BK730" s="3"/>
      <c r="BL730" s="3"/>
      <c r="BM730" s="3"/>
      <c r="BN730" s="3"/>
      <c r="BS730" s="294">
        <f t="shared" si="13"/>
        <v>1</v>
      </c>
      <c r="BT730" s="297">
        <f t="shared" si="14"/>
        <v>8.9285714285714281E-3</v>
      </c>
      <c r="BU730" s="298">
        <f t="shared" si="15"/>
        <v>3.572836123414158E-3</v>
      </c>
      <c r="BV730" s="3"/>
      <c r="BW730" s="3"/>
      <c r="BX730" s="3"/>
      <c r="BY730" s="3"/>
      <c r="BZ730" s="3"/>
      <c r="CA730" s="3"/>
      <c r="CB730" s="3"/>
      <c r="CC730" s="3"/>
      <c r="CE730" s="3"/>
      <c r="CF730" s="3"/>
      <c r="CG730" s="1463">
        <f t="shared" si="37"/>
        <v>1</v>
      </c>
      <c r="CH730" s="1464"/>
      <c r="CI730" s="1469">
        <f t="shared" si="38"/>
        <v>1</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1</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f t="shared" si="32"/>
        <v>1450</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t="s">
        <v>163</v>
      </c>
      <c r="C731" s="1338"/>
      <c r="D731" s="1338"/>
      <c r="E731" s="1338"/>
      <c r="F731" s="1339"/>
      <c r="G731" s="1349">
        <v>1</v>
      </c>
      <c r="H731" s="1350"/>
      <c r="I731" s="1350"/>
      <c r="J731" s="1351"/>
      <c r="K731" s="1343">
        <v>814</v>
      </c>
      <c r="L731" s="1344"/>
      <c r="M731" s="1344"/>
      <c r="N731" s="1345"/>
      <c r="O731" s="1340">
        <v>1450</v>
      </c>
      <c r="P731" s="1341"/>
      <c r="Q731" s="1341"/>
      <c r="R731" s="1341"/>
      <c r="S731" s="1342"/>
      <c r="T731" s="1340">
        <v>73</v>
      </c>
      <c r="U731" s="1341"/>
      <c r="V731" s="1341"/>
      <c r="W731" s="1342"/>
      <c r="X731" s="1352">
        <f t="shared" si="8"/>
        <v>1523</v>
      </c>
      <c r="Y731" s="1353"/>
      <c r="Z731" s="1353"/>
      <c r="AA731" s="1353"/>
      <c r="AB731" s="1354"/>
      <c r="AC731" s="1359">
        <v>0.4</v>
      </c>
      <c r="AD731" s="1360"/>
      <c r="AE731" s="1360"/>
      <c r="AF731" s="1360"/>
      <c r="AG731" s="1361"/>
      <c r="AH731" s="1355">
        <f t="shared" si="36"/>
        <v>0.40015764582238572</v>
      </c>
      <c r="AI731" s="1356"/>
      <c r="AJ731" s="1357"/>
      <c r="AK731" s="1337" t="s">
        <v>592</v>
      </c>
      <c r="AL731" s="1338"/>
      <c r="AM731" s="1338"/>
      <c r="AN731" s="1338"/>
      <c r="AO731" s="1339"/>
      <c r="AP731" s="3"/>
      <c r="AQ731" s="3"/>
      <c r="AR731" s="3"/>
      <c r="AS731" s="3"/>
      <c r="AY731" s="1085"/>
      <c r="AZ731" s="118">
        <f t="shared" si="9"/>
        <v>3806</v>
      </c>
      <c r="BA731" s="3"/>
      <c r="BB731" s="3"/>
      <c r="BC731" s="3"/>
      <c r="BD731" s="3"/>
      <c r="BE731" s="204"/>
      <c r="BF731" s="294">
        <f t="shared" si="10"/>
        <v>1</v>
      </c>
      <c r="BG731" s="297">
        <f t="shared" si="11"/>
        <v>8.9285714285714281E-3</v>
      </c>
      <c r="BH731" s="298">
        <f t="shared" si="12"/>
        <v>3.5714285714285713E-3</v>
      </c>
      <c r="BI731" s="3"/>
      <c r="BJ731" s="3"/>
      <c r="BK731" s="3"/>
      <c r="BL731" s="3"/>
      <c r="BM731" s="3"/>
      <c r="BN731" s="3"/>
      <c r="BS731" s="294">
        <f t="shared" si="13"/>
        <v>1</v>
      </c>
      <c r="BT731" s="297">
        <f t="shared" si="14"/>
        <v>8.9285714285714281E-3</v>
      </c>
      <c r="BU731" s="298">
        <f t="shared" si="15"/>
        <v>3.572836123414158E-3</v>
      </c>
      <c r="BV731" s="3"/>
      <c r="BW731" s="3"/>
      <c r="BX731" s="3"/>
      <c r="BY731" s="3"/>
      <c r="BZ731" s="3"/>
      <c r="CA731" s="3"/>
      <c r="CB731" s="3"/>
      <c r="CC731" s="3"/>
      <c r="CE731" s="3"/>
      <c r="CF731" s="3"/>
      <c r="CG731" s="1463">
        <f t="shared" si="37"/>
        <v>1</v>
      </c>
      <c r="CH731" s="1464"/>
      <c r="CI731" s="1469">
        <f t="shared" si="38"/>
        <v>1</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1</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f t="shared" si="32"/>
        <v>1450</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t="s">
        <v>163</v>
      </c>
      <c r="C732" s="1338"/>
      <c r="D732" s="1338"/>
      <c r="E732" s="1338"/>
      <c r="F732" s="1339"/>
      <c r="G732" s="1349">
        <v>1</v>
      </c>
      <c r="H732" s="1350"/>
      <c r="I732" s="1350"/>
      <c r="J732" s="1351"/>
      <c r="K732" s="1343">
        <v>814</v>
      </c>
      <c r="L732" s="1344"/>
      <c r="M732" s="1344"/>
      <c r="N732" s="1345"/>
      <c r="O732" s="1340">
        <v>1851</v>
      </c>
      <c r="P732" s="1341"/>
      <c r="Q732" s="1341"/>
      <c r="R732" s="1341"/>
      <c r="S732" s="1342"/>
      <c r="T732" s="1340">
        <v>52</v>
      </c>
      <c r="U732" s="1341"/>
      <c r="V732" s="1341"/>
      <c r="W732" s="1342"/>
      <c r="X732" s="1352">
        <f t="shared" si="8"/>
        <v>1903</v>
      </c>
      <c r="Y732" s="1353"/>
      <c r="Z732" s="1353"/>
      <c r="AA732" s="1353"/>
      <c r="AB732" s="1354"/>
      <c r="AC732" s="1359">
        <v>0.5</v>
      </c>
      <c r="AD732" s="1360"/>
      <c r="AE732" s="1360"/>
      <c r="AF732" s="1360"/>
      <c r="AG732" s="1361"/>
      <c r="AH732" s="1355">
        <f t="shared" si="36"/>
        <v>0.5</v>
      </c>
      <c r="AI732" s="1356"/>
      <c r="AJ732" s="1357"/>
      <c r="AK732" s="1337" t="s">
        <v>592</v>
      </c>
      <c r="AL732" s="1338"/>
      <c r="AM732" s="1338"/>
      <c r="AN732" s="1338"/>
      <c r="AO732" s="1339"/>
      <c r="AP732" s="3"/>
      <c r="AQ732" s="3"/>
      <c r="AR732" s="3"/>
      <c r="AS732" s="3"/>
      <c r="AY732" s="1085"/>
      <c r="AZ732" s="118">
        <f t="shared" si="9"/>
        <v>3806</v>
      </c>
      <c r="BA732" s="3"/>
      <c r="BB732" s="3"/>
      <c r="BC732" s="3"/>
      <c r="BD732" s="3"/>
      <c r="BE732" s="204"/>
      <c r="BF732" s="294">
        <f t="shared" si="10"/>
        <v>1</v>
      </c>
      <c r="BG732" s="297">
        <f t="shared" si="11"/>
        <v>8.9285714285714281E-3</v>
      </c>
      <c r="BH732" s="298">
        <f t="shared" si="12"/>
        <v>4.464285714285714E-3</v>
      </c>
      <c r="BI732" s="3"/>
      <c r="BJ732" s="3"/>
      <c r="BK732" s="3"/>
      <c r="BL732" s="3"/>
      <c r="BM732" s="3"/>
      <c r="BN732" s="3"/>
      <c r="BS732" s="294">
        <f t="shared" si="13"/>
        <v>1</v>
      </c>
      <c r="BT732" s="297">
        <f t="shared" si="14"/>
        <v>8.9285714285714281E-3</v>
      </c>
      <c r="BU732" s="298">
        <f t="shared" si="15"/>
        <v>4.464285714285714E-3</v>
      </c>
      <c r="BV732" s="3"/>
      <c r="BW732" s="3"/>
      <c r="BX732" s="3"/>
      <c r="BY732" s="3"/>
      <c r="BZ732" s="3"/>
      <c r="CA732" s="3"/>
      <c r="CB732" s="3"/>
      <c r="CC732" s="3"/>
      <c r="CE732" s="3"/>
      <c r="CF732" s="3"/>
      <c r="CG732" s="1463">
        <f t="shared" si="37"/>
        <v>1</v>
      </c>
      <c r="CH732" s="1464"/>
      <c r="CI732" s="1469">
        <f t="shared" si="38"/>
        <v>1</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1</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f t="shared" si="32"/>
        <v>1851</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t="s">
        <v>163</v>
      </c>
      <c r="C733" s="1338"/>
      <c r="D733" s="1338"/>
      <c r="E733" s="1338"/>
      <c r="F733" s="1339"/>
      <c r="G733" s="1349">
        <v>4</v>
      </c>
      <c r="H733" s="1350"/>
      <c r="I733" s="1350"/>
      <c r="J733" s="1351"/>
      <c r="K733" s="1343">
        <v>814</v>
      </c>
      <c r="L733" s="1344"/>
      <c r="M733" s="1344"/>
      <c r="N733" s="1345"/>
      <c r="O733" s="1340">
        <v>1851</v>
      </c>
      <c r="P733" s="1341"/>
      <c r="Q733" s="1341"/>
      <c r="R733" s="1341"/>
      <c r="S733" s="1342"/>
      <c r="T733" s="1340">
        <v>52</v>
      </c>
      <c r="U733" s="1341"/>
      <c r="V733" s="1341"/>
      <c r="W733" s="1342"/>
      <c r="X733" s="1352">
        <f t="shared" si="8"/>
        <v>1903</v>
      </c>
      <c r="Y733" s="1353"/>
      <c r="Z733" s="1353"/>
      <c r="AA733" s="1353"/>
      <c r="AB733" s="1354"/>
      <c r="AC733" s="1359">
        <v>0.5</v>
      </c>
      <c r="AD733" s="1360"/>
      <c r="AE733" s="1360"/>
      <c r="AF733" s="1360"/>
      <c r="AG733" s="1361"/>
      <c r="AH733" s="1355">
        <f t="shared" si="36"/>
        <v>0.5</v>
      </c>
      <c r="AI733" s="1356"/>
      <c r="AJ733" s="1357"/>
      <c r="AK733" s="1337" t="s">
        <v>592</v>
      </c>
      <c r="AL733" s="1338"/>
      <c r="AM733" s="1338"/>
      <c r="AN733" s="1338"/>
      <c r="AO733" s="1339"/>
      <c r="AP733" s="3"/>
      <c r="AQ733" s="3"/>
      <c r="AR733" s="3"/>
      <c r="AS733" s="3"/>
      <c r="AY733" s="1085"/>
      <c r="AZ733" s="118">
        <f t="shared" si="9"/>
        <v>3806</v>
      </c>
      <c r="BA733" s="3"/>
      <c r="BB733" s="3"/>
      <c r="BC733" s="3"/>
      <c r="BD733" s="3"/>
      <c r="BE733" s="204"/>
      <c r="BF733" s="294">
        <f t="shared" si="10"/>
        <v>4</v>
      </c>
      <c r="BG733" s="297">
        <f t="shared" si="11"/>
        <v>3.5714285714285712E-2</v>
      </c>
      <c r="BH733" s="298">
        <f t="shared" si="12"/>
        <v>1.7857142857142856E-2</v>
      </c>
      <c r="BI733" s="3"/>
      <c r="BJ733" s="3"/>
      <c r="BK733" s="3"/>
      <c r="BL733" s="3"/>
      <c r="BM733" s="3"/>
      <c r="BN733" s="3"/>
      <c r="BS733" s="294">
        <f t="shared" si="13"/>
        <v>4</v>
      </c>
      <c r="BT733" s="297">
        <f t="shared" si="14"/>
        <v>3.5714285714285712E-2</v>
      </c>
      <c r="BU733" s="298">
        <f t="shared" si="15"/>
        <v>1.7857142857142856E-2</v>
      </c>
      <c r="BV733" s="3"/>
      <c r="BW733" s="3"/>
      <c r="BX733" s="3"/>
      <c r="BY733" s="3"/>
      <c r="BZ733" s="3"/>
      <c r="CA733" s="3"/>
      <c r="CB733" s="3"/>
      <c r="CC733" s="3"/>
      <c r="CE733" s="3"/>
      <c r="CF733" s="3"/>
      <c r="CG733" s="1463">
        <f t="shared" si="37"/>
        <v>1</v>
      </c>
      <c r="CH733" s="1464"/>
      <c r="CI733" s="1469">
        <f t="shared" si="38"/>
        <v>4</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4</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f t="shared" si="32"/>
        <v>1851</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t="s">
        <v>163</v>
      </c>
      <c r="C734" s="1338"/>
      <c r="D734" s="1338"/>
      <c r="E734" s="1338"/>
      <c r="F734" s="1339"/>
      <c r="G734" s="1349">
        <v>4</v>
      </c>
      <c r="H734" s="1350"/>
      <c r="I734" s="1350"/>
      <c r="J734" s="1351"/>
      <c r="K734" s="1343">
        <v>814</v>
      </c>
      <c r="L734" s="1344"/>
      <c r="M734" s="1344"/>
      <c r="N734" s="1345"/>
      <c r="O734" s="1340">
        <v>1833</v>
      </c>
      <c r="P734" s="1341"/>
      <c r="Q734" s="1341"/>
      <c r="R734" s="1341"/>
      <c r="S734" s="1342"/>
      <c r="T734" s="1340">
        <v>70</v>
      </c>
      <c r="U734" s="1341"/>
      <c r="V734" s="1341"/>
      <c r="W734" s="1342"/>
      <c r="X734" s="1352">
        <f t="shared" si="8"/>
        <v>1903</v>
      </c>
      <c r="Y734" s="1353"/>
      <c r="Z734" s="1353"/>
      <c r="AA734" s="1353"/>
      <c r="AB734" s="1354"/>
      <c r="AC734" s="1359">
        <v>0.5</v>
      </c>
      <c r="AD734" s="1360"/>
      <c r="AE734" s="1360"/>
      <c r="AF734" s="1360"/>
      <c r="AG734" s="1361"/>
      <c r="AH734" s="1355">
        <f t="shared" si="36"/>
        <v>0.5</v>
      </c>
      <c r="AI734" s="1356"/>
      <c r="AJ734" s="1357"/>
      <c r="AK734" s="1337" t="s">
        <v>592</v>
      </c>
      <c r="AL734" s="1338"/>
      <c r="AM734" s="1338"/>
      <c r="AN734" s="1338"/>
      <c r="AO734" s="1339"/>
      <c r="AP734" s="3"/>
      <c r="AQ734" s="3"/>
      <c r="AR734" s="3"/>
      <c r="AS734" s="3"/>
      <c r="AY734" s="1085"/>
      <c r="AZ734" s="118">
        <f t="shared" si="9"/>
        <v>3806</v>
      </c>
      <c r="BA734" s="3"/>
      <c r="BB734" s="3"/>
      <c r="BC734" s="3"/>
      <c r="BD734" s="3"/>
      <c r="BE734" s="204"/>
      <c r="BF734" s="294">
        <f t="shared" si="10"/>
        <v>4</v>
      </c>
      <c r="BG734" s="297">
        <f t="shared" si="11"/>
        <v>3.5714285714285712E-2</v>
      </c>
      <c r="BH734" s="298">
        <f t="shared" si="12"/>
        <v>1.7857142857142856E-2</v>
      </c>
      <c r="BI734" s="3"/>
      <c r="BJ734" s="3"/>
      <c r="BK734" s="3"/>
      <c r="BL734" s="3"/>
      <c r="BM734" s="3"/>
      <c r="BN734" s="3"/>
      <c r="BS734" s="294">
        <f t="shared" si="13"/>
        <v>4</v>
      </c>
      <c r="BT734" s="297">
        <f t="shared" si="14"/>
        <v>3.5714285714285712E-2</v>
      </c>
      <c r="BU734" s="298">
        <f t="shared" si="15"/>
        <v>1.7857142857142856E-2</v>
      </c>
      <c r="BV734" s="3"/>
      <c r="BW734" s="3"/>
      <c r="BX734" s="3"/>
      <c r="BY734" s="3"/>
      <c r="BZ734" s="3"/>
      <c r="CA734" s="3"/>
      <c r="CB734" s="3"/>
      <c r="CC734" s="3"/>
      <c r="CE734" s="3"/>
      <c r="CF734" s="3"/>
      <c r="CG734" s="1463">
        <f t="shared" si="37"/>
        <v>1</v>
      </c>
      <c r="CH734" s="1464"/>
      <c r="CI734" s="1469">
        <f t="shared" si="38"/>
        <v>4</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4</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f t="shared" si="32"/>
        <v>1833</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t="s">
        <v>163</v>
      </c>
      <c r="C735" s="1338"/>
      <c r="D735" s="1338"/>
      <c r="E735" s="1338"/>
      <c r="F735" s="1339"/>
      <c r="G735" s="1349">
        <v>11</v>
      </c>
      <c r="H735" s="1350"/>
      <c r="I735" s="1350"/>
      <c r="J735" s="1351"/>
      <c r="K735" s="1343">
        <v>814</v>
      </c>
      <c r="L735" s="1344"/>
      <c r="M735" s="1344"/>
      <c r="N735" s="1345"/>
      <c r="O735" s="1340">
        <v>1851</v>
      </c>
      <c r="P735" s="1341"/>
      <c r="Q735" s="1341"/>
      <c r="R735" s="1341"/>
      <c r="S735" s="1342"/>
      <c r="T735" s="1340">
        <v>52</v>
      </c>
      <c r="U735" s="1341"/>
      <c r="V735" s="1341"/>
      <c r="W735" s="1342"/>
      <c r="X735" s="1352">
        <f t="shared" si="8"/>
        <v>1903</v>
      </c>
      <c r="Y735" s="1353"/>
      <c r="Z735" s="1353"/>
      <c r="AA735" s="1353"/>
      <c r="AB735" s="1354"/>
      <c r="AC735" s="1359">
        <v>0.5</v>
      </c>
      <c r="AD735" s="1360"/>
      <c r="AE735" s="1360"/>
      <c r="AF735" s="1360"/>
      <c r="AG735" s="1361"/>
      <c r="AH735" s="1355">
        <f t="shared" si="36"/>
        <v>0.5</v>
      </c>
      <c r="AI735" s="1356"/>
      <c r="AJ735" s="1357"/>
      <c r="AK735" s="1337" t="s">
        <v>592</v>
      </c>
      <c r="AL735" s="1338"/>
      <c r="AM735" s="1338"/>
      <c r="AN735" s="1338"/>
      <c r="AO735" s="1339"/>
      <c r="AP735" s="3"/>
      <c r="AQ735" s="3"/>
      <c r="AR735" s="3"/>
      <c r="AS735" s="3"/>
      <c r="AY735" s="1085"/>
      <c r="AZ735" s="118">
        <f t="shared" si="9"/>
        <v>3806</v>
      </c>
      <c r="BA735" s="3"/>
      <c r="BB735" s="3"/>
      <c r="BC735" s="3"/>
      <c r="BD735" s="3"/>
      <c r="BE735" s="204"/>
      <c r="BF735" s="294">
        <f t="shared" si="10"/>
        <v>11</v>
      </c>
      <c r="BG735" s="297">
        <f t="shared" si="11"/>
        <v>9.8214285714285712E-2</v>
      </c>
      <c r="BH735" s="298">
        <f t="shared" si="12"/>
        <v>4.9107142857142856E-2</v>
      </c>
      <c r="BI735" s="3"/>
      <c r="BJ735" s="3"/>
      <c r="BK735" s="3"/>
      <c r="BL735" s="3"/>
      <c r="BM735" s="3"/>
      <c r="BN735" s="3"/>
      <c r="BS735" s="294">
        <f t="shared" si="13"/>
        <v>11</v>
      </c>
      <c r="BT735" s="297">
        <f t="shared" si="14"/>
        <v>9.8214285714285712E-2</v>
      </c>
      <c r="BU735" s="298">
        <f t="shared" si="15"/>
        <v>4.9107142857142856E-2</v>
      </c>
      <c r="BV735" s="3"/>
      <c r="BW735" s="3"/>
      <c r="BX735" s="3"/>
      <c r="BY735" s="3"/>
      <c r="BZ735" s="3"/>
      <c r="CA735" s="3"/>
      <c r="CB735" s="3"/>
      <c r="CC735" s="3"/>
      <c r="CE735" s="3"/>
      <c r="CF735" s="3"/>
      <c r="CG735" s="1463">
        <f t="shared" si="37"/>
        <v>1</v>
      </c>
      <c r="CH735" s="1464"/>
      <c r="CI735" s="1469">
        <f t="shared" si="38"/>
        <v>11</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11</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f t="shared" si="32"/>
        <v>1851</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t="s">
        <v>163</v>
      </c>
      <c r="C736" s="1338"/>
      <c r="D736" s="1338"/>
      <c r="E736" s="1338"/>
      <c r="F736" s="1339"/>
      <c r="G736" s="1349">
        <v>8</v>
      </c>
      <c r="H736" s="1350"/>
      <c r="I736" s="1350"/>
      <c r="J736" s="1351"/>
      <c r="K736" s="1343">
        <v>814</v>
      </c>
      <c r="L736" s="1344"/>
      <c r="M736" s="1344"/>
      <c r="N736" s="1345"/>
      <c r="O736" s="1340">
        <v>1830</v>
      </c>
      <c r="P736" s="1341"/>
      <c r="Q736" s="1341"/>
      <c r="R736" s="1341"/>
      <c r="S736" s="1342"/>
      <c r="T736" s="1340">
        <v>73</v>
      </c>
      <c r="U736" s="1341"/>
      <c r="V736" s="1341"/>
      <c r="W736" s="1342"/>
      <c r="X736" s="1352">
        <f t="shared" si="8"/>
        <v>1903</v>
      </c>
      <c r="Y736" s="1353"/>
      <c r="Z736" s="1353"/>
      <c r="AA736" s="1353"/>
      <c r="AB736" s="1354"/>
      <c r="AC736" s="1359">
        <v>0.5</v>
      </c>
      <c r="AD736" s="1360"/>
      <c r="AE736" s="1360"/>
      <c r="AF736" s="1360"/>
      <c r="AG736" s="1361"/>
      <c r="AH736" s="1355">
        <f t="shared" si="36"/>
        <v>0.5</v>
      </c>
      <c r="AI736" s="1356"/>
      <c r="AJ736" s="1357"/>
      <c r="AK736" s="1337" t="s">
        <v>592</v>
      </c>
      <c r="AL736" s="1338"/>
      <c r="AM736" s="1338"/>
      <c r="AN736" s="1338"/>
      <c r="AO736" s="1339"/>
      <c r="AP736" s="3"/>
      <c r="AQ736" s="3"/>
      <c r="AR736" s="3"/>
      <c r="AS736" s="3"/>
      <c r="AY736" s="1085"/>
      <c r="AZ736" s="118">
        <f t="shared" si="9"/>
        <v>3806</v>
      </c>
      <c r="BA736" s="3"/>
      <c r="BB736" s="3"/>
      <c r="BC736" s="3"/>
      <c r="BD736" s="3"/>
      <c r="BE736" s="204"/>
      <c r="BF736" s="294">
        <f t="shared" si="10"/>
        <v>8</v>
      </c>
      <c r="BG736" s="297">
        <f t="shared" si="11"/>
        <v>7.1428571428571425E-2</v>
      </c>
      <c r="BH736" s="298">
        <f t="shared" si="12"/>
        <v>3.5714285714285712E-2</v>
      </c>
      <c r="BI736" s="3"/>
      <c r="BJ736" s="3"/>
      <c r="BK736" s="3"/>
      <c r="BL736" s="3"/>
      <c r="BM736" s="3"/>
      <c r="BN736" s="3"/>
      <c r="BS736" s="294">
        <f t="shared" si="13"/>
        <v>8</v>
      </c>
      <c r="BT736" s="297">
        <f t="shared" si="14"/>
        <v>7.1428571428571425E-2</v>
      </c>
      <c r="BU736" s="298">
        <f t="shared" si="15"/>
        <v>3.5714285714285712E-2</v>
      </c>
      <c r="BV736" s="3"/>
      <c r="BW736" s="3"/>
      <c r="BX736" s="3"/>
      <c r="BY736" s="3"/>
      <c r="BZ736" s="3"/>
      <c r="CA736" s="3"/>
      <c r="CB736" s="3"/>
      <c r="CC736" s="3"/>
      <c r="CE736" s="3"/>
      <c r="CF736" s="3"/>
      <c r="CG736" s="1463">
        <f t="shared" si="37"/>
        <v>1</v>
      </c>
      <c r="CH736" s="1464"/>
      <c r="CI736" s="1469">
        <f t="shared" si="38"/>
        <v>8</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8</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f t="shared" si="32"/>
        <v>1830</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t="s">
        <v>163</v>
      </c>
      <c r="C737" s="1338"/>
      <c r="D737" s="1338"/>
      <c r="E737" s="1338"/>
      <c r="F737" s="1339"/>
      <c r="G737" s="1349">
        <v>4</v>
      </c>
      <c r="H737" s="1350"/>
      <c r="I737" s="1350"/>
      <c r="J737" s="1351"/>
      <c r="K737" s="1343">
        <v>814</v>
      </c>
      <c r="L737" s="1344"/>
      <c r="M737" s="1344"/>
      <c r="N737" s="1345"/>
      <c r="O737" s="1340">
        <v>1851</v>
      </c>
      <c r="P737" s="1341"/>
      <c r="Q737" s="1341"/>
      <c r="R737" s="1341"/>
      <c r="S737" s="1342"/>
      <c r="T737" s="1340">
        <v>52</v>
      </c>
      <c r="U737" s="1341"/>
      <c r="V737" s="1341"/>
      <c r="W737" s="1342"/>
      <c r="X737" s="1352">
        <f t="shared" si="8"/>
        <v>1903</v>
      </c>
      <c r="Y737" s="1353"/>
      <c r="Z737" s="1353"/>
      <c r="AA737" s="1353"/>
      <c r="AB737" s="1354"/>
      <c r="AC737" s="1359">
        <v>0.5</v>
      </c>
      <c r="AD737" s="1360"/>
      <c r="AE737" s="1360"/>
      <c r="AF737" s="1360"/>
      <c r="AG737" s="1361"/>
      <c r="AH737" s="1355">
        <f t="shared" si="36"/>
        <v>0.5</v>
      </c>
      <c r="AI737" s="1356"/>
      <c r="AJ737" s="1357"/>
      <c r="AK737" s="1337" t="s">
        <v>592</v>
      </c>
      <c r="AL737" s="1338"/>
      <c r="AM737" s="1338"/>
      <c r="AN737" s="1338"/>
      <c r="AO737" s="1339"/>
      <c r="AP737" s="3"/>
      <c r="AQ737" s="3"/>
      <c r="AR737" s="3"/>
      <c r="AS737" s="3"/>
      <c r="AY737" s="1085"/>
      <c r="AZ737" s="118">
        <f t="shared" si="9"/>
        <v>3806</v>
      </c>
      <c r="BA737" s="3"/>
      <c r="BB737" s="3"/>
      <c r="BC737" s="3"/>
      <c r="BD737" s="3"/>
      <c r="BE737" s="204"/>
      <c r="BF737" s="294">
        <f t="shared" si="10"/>
        <v>4</v>
      </c>
      <c r="BG737" s="297">
        <f t="shared" si="11"/>
        <v>3.5714285714285712E-2</v>
      </c>
      <c r="BH737" s="298">
        <f t="shared" si="12"/>
        <v>1.7857142857142856E-2</v>
      </c>
      <c r="BI737" s="3"/>
      <c r="BJ737" s="3"/>
      <c r="BK737" s="3"/>
      <c r="BL737" s="3"/>
      <c r="BM737" s="3"/>
      <c r="BN737" s="3"/>
      <c r="BS737" s="294">
        <f t="shared" si="13"/>
        <v>4</v>
      </c>
      <c r="BT737" s="297">
        <f t="shared" si="14"/>
        <v>3.5714285714285712E-2</v>
      </c>
      <c r="BU737" s="298">
        <f t="shared" si="15"/>
        <v>1.7857142857142856E-2</v>
      </c>
      <c r="BV737" s="3"/>
      <c r="BW737" s="3"/>
      <c r="BX737" s="3"/>
      <c r="BY737" s="3"/>
      <c r="BZ737" s="3"/>
      <c r="CA737" s="3"/>
      <c r="CB737" s="3"/>
      <c r="CC737" s="3"/>
      <c r="CE737" s="3"/>
      <c r="CF737" s="3"/>
      <c r="CG737" s="1463">
        <f t="shared" si="37"/>
        <v>1</v>
      </c>
      <c r="CH737" s="1464"/>
      <c r="CI737" s="1469">
        <f t="shared" si="38"/>
        <v>4</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4</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f t="shared" si="32"/>
        <v>1851</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t="s">
        <v>163</v>
      </c>
      <c r="C738" s="1338"/>
      <c r="D738" s="1338"/>
      <c r="E738" s="1338"/>
      <c r="F738" s="1339"/>
      <c r="G738" s="1349">
        <v>2</v>
      </c>
      <c r="H738" s="1350"/>
      <c r="I738" s="1350"/>
      <c r="J738" s="1351"/>
      <c r="K738" s="1343">
        <v>814</v>
      </c>
      <c r="L738" s="1344"/>
      <c r="M738" s="1344"/>
      <c r="N738" s="1345"/>
      <c r="O738" s="1340">
        <v>2232</v>
      </c>
      <c r="P738" s="1341"/>
      <c r="Q738" s="1341"/>
      <c r="R738" s="1341"/>
      <c r="S738" s="1342"/>
      <c r="T738" s="1340">
        <v>52</v>
      </c>
      <c r="U738" s="1341"/>
      <c r="V738" s="1341"/>
      <c r="W738" s="1342"/>
      <c r="X738" s="1352">
        <f t="shared" si="8"/>
        <v>2284</v>
      </c>
      <c r="Y738" s="1353"/>
      <c r="Z738" s="1353"/>
      <c r="AA738" s="1353"/>
      <c r="AB738" s="1354"/>
      <c r="AC738" s="1359">
        <v>0.6</v>
      </c>
      <c r="AD738" s="1360"/>
      <c r="AE738" s="1360"/>
      <c r="AF738" s="1360"/>
      <c r="AG738" s="1361"/>
      <c r="AH738" s="1355">
        <f t="shared" si="36"/>
        <v>0.60010509721492378</v>
      </c>
      <c r="AI738" s="1356"/>
      <c r="AJ738" s="1357"/>
      <c r="AK738" s="1337" t="s">
        <v>592</v>
      </c>
      <c r="AL738" s="1338"/>
      <c r="AM738" s="1338"/>
      <c r="AN738" s="1338"/>
      <c r="AO738" s="1339"/>
      <c r="AP738" s="3"/>
      <c r="AQ738" s="3"/>
      <c r="AR738" s="3"/>
      <c r="AS738" s="3"/>
      <c r="AY738" s="1085"/>
      <c r="AZ738" s="118">
        <f t="shared" si="9"/>
        <v>3806</v>
      </c>
      <c r="BA738" s="3"/>
      <c r="BE738" s="204"/>
      <c r="BF738" s="294">
        <f t="shared" si="10"/>
        <v>2</v>
      </c>
      <c r="BG738" s="297">
        <f t="shared" si="11"/>
        <v>1.7857142857142856E-2</v>
      </c>
      <c r="BH738" s="298">
        <f t="shared" si="12"/>
        <v>1.0714285714285713E-2</v>
      </c>
      <c r="BK738" s="3"/>
      <c r="BL738" s="3"/>
      <c r="BM738" s="3"/>
      <c r="BN738" s="3"/>
      <c r="BS738" s="294">
        <f t="shared" si="13"/>
        <v>2</v>
      </c>
      <c r="BT738" s="297">
        <f t="shared" si="14"/>
        <v>1.7857142857142856E-2</v>
      </c>
      <c r="BU738" s="298">
        <f t="shared" si="15"/>
        <v>1.0716162450266496E-2</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2</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f t="shared" si="32"/>
        <v>2232</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t="s">
        <v>163</v>
      </c>
      <c r="C739" s="1338"/>
      <c r="D739" s="1338"/>
      <c r="E739" s="1338"/>
      <c r="F739" s="1339"/>
      <c r="G739" s="1349">
        <v>8</v>
      </c>
      <c r="H739" s="1350"/>
      <c r="I739" s="1350"/>
      <c r="J739" s="1351"/>
      <c r="K739" s="1343">
        <v>814</v>
      </c>
      <c r="L739" s="1344"/>
      <c r="M739" s="1344"/>
      <c r="N739" s="1345"/>
      <c r="O739" s="1340">
        <v>2211</v>
      </c>
      <c r="P739" s="1341"/>
      <c r="Q739" s="1341"/>
      <c r="R739" s="1341"/>
      <c r="S739" s="1342"/>
      <c r="T739" s="1340">
        <v>73</v>
      </c>
      <c r="U739" s="1341"/>
      <c r="V739" s="1341"/>
      <c r="W739" s="1342"/>
      <c r="X739" s="1352">
        <f t="shared" si="8"/>
        <v>2284</v>
      </c>
      <c r="Y739" s="1353"/>
      <c r="Z739" s="1353"/>
      <c r="AA739" s="1353"/>
      <c r="AB739" s="1354"/>
      <c r="AC739" s="1359">
        <v>0.6</v>
      </c>
      <c r="AD739" s="1360"/>
      <c r="AE739" s="1360"/>
      <c r="AF739" s="1360"/>
      <c r="AG739" s="1361"/>
      <c r="AH739" s="1355">
        <f t="shared" si="36"/>
        <v>0.60010509721492378</v>
      </c>
      <c r="AI739" s="1356"/>
      <c r="AJ739" s="1357"/>
      <c r="AK739" s="1337" t="s">
        <v>592</v>
      </c>
      <c r="AL739" s="1338"/>
      <c r="AM739" s="1338"/>
      <c r="AN739" s="1338"/>
      <c r="AO739" s="1339"/>
      <c r="AP739" s="3"/>
      <c r="AQ739" s="3"/>
      <c r="AR739" s="3"/>
      <c r="AS739" s="3"/>
      <c r="AY739" s="1085"/>
      <c r="AZ739" s="118">
        <f t="shared" si="9"/>
        <v>3806</v>
      </c>
      <c r="BA739" s="3"/>
      <c r="BE739" s="204"/>
      <c r="BF739" s="294">
        <f t="shared" si="10"/>
        <v>8</v>
      </c>
      <c r="BG739" s="297">
        <f t="shared" si="11"/>
        <v>7.1428571428571425E-2</v>
      </c>
      <c r="BH739" s="298">
        <f t="shared" si="12"/>
        <v>4.2857142857142851E-2</v>
      </c>
      <c r="BK739" s="3"/>
      <c r="BL739" s="3"/>
      <c r="BM739" s="3"/>
      <c r="BN739" s="3"/>
      <c r="BS739" s="294">
        <f t="shared" si="13"/>
        <v>8</v>
      </c>
      <c r="BT739" s="297">
        <f t="shared" si="14"/>
        <v>7.1428571428571425E-2</v>
      </c>
      <c r="BU739" s="298">
        <f t="shared" si="15"/>
        <v>4.2864649801065982E-2</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8</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f t="shared" si="32"/>
        <v>2211</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t="s">
        <v>163</v>
      </c>
      <c r="C740" s="1338"/>
      <c r="D740" s="1338"/>
      <c r="E740" s="1338"/>
      <c r="F740" s="1339"/>
      <c r="G740" s="1349">
        <v>1</v>
      </c>
      <c r="H740" s="1350"/>
      <c r="I740" s="1350"/>
      <c r="J740" s="1351"/>
      <c r="K740" s="1343">
        <v>814</v>
      </c>
      <c r="L740" s="1344"/>
      <c r="M740" s="1344"/>
      <c r="N740" s="1345"/>
      <c r="O740" s="1340">
        <v>2214</v>
      </c>
      <c r="P740" s="1341"/>
      <c r="Q740" s="1341"/>
      <c r="R740" s="1341"/>
      <c r="S740" s="1342"/>
      <c r="T740" s="1340">
        <v>70</v>
      </c>
      <c r="U740" s="1341"/>
      <c r="V740" s="1341"/>
      <c r="W740" s="1342"/>
      <c r="X740" s="1352">
        <f t="shared" si="8"/>
        <v>2284</v>
      </c>
      <c r="Y740" s="1353"/>
      <c r="Z740" s="1353"/>
      <c r="AA740" s="1353"/>
      <c r="AB740" s="1354"/>
      <c r="AC740" s="1359">
        <v>0.6</v>
      </c>
      <c r="AD740" s="1360"/>
      <c r="AE740" s="1360"/>
      <c r="AF740" s="1360"/>
      <c r="AG740" s="1361"/>
      <c r="AH740" s="1355">
        <f t="shared" si="36"/>
        <v>0.60010509721492378</v>
      </c>
      <c r="AI740" s="1356"/>
      <c r="AJ740" s="1357"/>
      <c r="AK740" s="1337" t="s">
        <v>592</v>
      </c>
      <c r="AL740" s="1338"/>
      <c r="AM740" s="1338"/>
      <c r="AN740" s="1338"/>
      <c r="AO740" s="1339"/>
      <c r="AP740" s="3"/>
      <c r="AQ740" s="3"/>
      <c r="AR740" s="3"/>
      <c r="AS740" s="3"/>
      <c r="AY740" s="1085"/>
      <c r="AZ740" s="118">
        <f t="shared" si="9"/>
        <v>3806</v>
      </c>
      <c r="BA740" s="3"/>
      <c r="BE740" s="204"/>
      <c r="BF740" s="294">
        <f t="shared" si="10"/>
        <v>1</v>
      </c>
      <c r="BG740" s="297">
        <f t="shared" si="11"/>
        <v>8.9285714285714281E-3</v>
      </c>
      <c r="BH740" s="298">
        <f t="shared" si="12"/>
        <v>5.3571428571428563E-3</v>
      </c>
      <c r="BK740" s="3"/>
      <c r="BL740" s="3"/>
      <c r="BM740" s="3"/>
      <c r="BN740" s="3"/>
      <c r="BS740" s="294">
        <f t="shared" si="13"/>
        <v>1</v>
      </c>
      <c r="BT740" s="297">
        <f t="shared" si="14"/>
        <v>8.9285714285714281E-3</v>
      </c>
      <c r="BU740" s="298">
        <f t="shared" si="15"/>
        <v>5.3580812251332478E-3</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1</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f t="shared" si="32"/>
        <v>2214</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t="s">
        <v>164</v>
      </c>
      <c r="C741" s="1338"/>
      <c r="D741" s="1338"/>
      <c r="E741" s="1338"/>
      <c r="F741" s="1339"/>
      <c r="G741" s="1349">
        <v>1</v>
      </c>
      <c r="H741" s="1350"/>
      <c r="I741" s="1350"/>
      <c r="J741" s="1351"/>
      <c r="K741" s="1343">
        <v>1004</v>
      </c>
      <c r="L741" s="1344"/>
      <c r="M741" s="1344"/>
      <c r="N741" s="1345"/>
      <c r="O741" s="1340">
        <v>1268</v>
      </c>
      <c r="P741" s="1341"/>
      <c r="Q741" s="1341"/>
      <c r="R741" s="1341"/>
      <c r="S741" s="1342"/>
      <c r="T741" s="1340">
        <v>52</v>
      </c>
      <c r="U741" s="1341"/>
      <c r="V741" s="1341"/>
      <c r="W741" s="1342"/>
      <c r="X741" s="1352">
        <f t="shared" si="8"/>
        <v>1320</v>
      </c>
      <c r="Y741" s="1353"/>
      <c r="Z741" s="1353"/>
      <c r="AA741" s="1353"/>
      <c r="AB741" s="1354"/>
      <c r="AC741" s="1359">
        <v>0.3</v>
      </c>
      <c r="AD741" s="1360"/>
      <c r="AE741" s="1360"/>
      <c r="AF741" s="1360"/>
      <c r="AG741" s="1361"/>
      <c r="AH741" s="1355">
        <f t="shared" si="36"/>
        <v>0.3</v>
      </c>
      <c r="AI741" s="1356"/>
      <c r="AJ741" s="1357"/>
      <c r="AK741" s="1337" t="s">
        <v>592</v>
      </c>
      <c r="AL741" s="1338"/>
      <c r="AM741" s="1338"/>
      <c r="AN741" s="1338"/>
      <c r="AO741" s="1339"/>
      <c r="AP741" s="3"/>
      <c r="AQ741" s="3"/>
      <c r="AR741" s="3"/>
      <c r="AS741" s="3"/>
      <c r="AY741" s="1085"/>
      <c r="AZ741" s="118">
        <f t="shared" si="9"/>
        <v>4400</v>
      </c>
      <c r="BA741" s="3"/>
      <c r="BE741" s="204"/>
      <c r="BF741" s="294">
        <f t="shared" si="10"/>
        <v>1</v>
      </c>
      <c r="BG741" s="297">
        <f t="shared" si="11"/>
        <v>8.9285714285714281E-3</v>
      </c>
      <c r="BH741" s="298">
        <f t="shared" si="12"/>
        <v>2.6785714285714282E-3</v>
      </c>
      <c r="BK741" s="3"/>
      <c r="BL741" s="3"/>
      <c r="BM741" s="3"/>
      <c r="BN741" s="3"/>
      <c r="BS741" s="294">
        <f t="shared" si="13"/>
        <v>1</v>
      </c>
      <c r="BT741" s="297">
        <f t="shared" si="14"/>
        <v>8.9285714285714281E-3</v>
      </c>
      <c r="BU741" s="298">
        <f t="shared" si="15"/>
        <v>2.6785714285714282E-3</v>
      </c>
      <c r="BV741" s="3"/>
      <c r="BW741" s="3"/>
      <c r="BX741" s="3"/>
      <c r="BY741" s="3"/>
      <c r="BZ741" s="3"/>
      <c r="CA741" s="3"/>
      <c r="CB741" s="3"/>
      <c r="CC741" s="3"/>
      <c r="CE741" s="3"/>
      <c r="CF741" s="3"/>
      <c r="CG741" s="1463">
        <f t="shared" si="37"/>
        <v>0</v>
      </c>
      <c r="CH741" s="1464"/>
      <c r="CI741" s="1469">
        <f t="shared" si="38"/>
        <v>0</v>
      </c>
      <c r="CJ741" s="1470"/>
      <c r="CK741" s="1463">
        <f t="shared" si="16"/>
        <v>1</v>
      </c>
      <c r="CL741" s="1464"/>
      <c r="CM741" s="1469">
        <f t="shared" si="17"/>
        <v>1</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1</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1</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f t="shared" si="33"/>
        <v>1268</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t="s">
        <v>164</v>
      </c>
      <c r="C742" s="1338"/>
      <c r="D742" s="1338"/>
      <c r="E742" s="1338"/>
      <c r="F742" s="1339"/>
      <c r="G742" s="1349">
        <v>2</v>
      </c>
      <c r="H742" s="1350"/>
      <c r="I742" s="1350"/>
      <c r="J742" s="1351"/>
      <c r="K742" s="1343">
        <v>1004</v>
      </c>
      <c r="L742" s="1344"/>
      <c r="M742" s="1344"/>
      <c r="N742" s="1345"/>
      <c r="O742" s="1340">
        <v>1245</v>
      </c>
      <c r="P742" s="1341"/>
      <c r="Q742" s="1341"/>
      <c r="R742" s="1341"/>
      <c r="S742" s="1342"/>
      <c r="T742" s="1340">
        <v>75</v>
      </c>
      <c r="U742" s="1341"/>
      <c r="V742" s="1341"/>
      <c r="W742" s="1342"/>
      <c r="X742" s="1352">
        <f t="shared" ref="X742:X751" si="39">O742+T742</f>
        <v>1320</v>
      </c>
      <c r="Y742" s="1353"/>
      <c r="Z742" s="1353"/>
      <c r="AA742" s="1353"/>
      <c r="AB742" s="1354"/>
      <c r="AC742" s="1359">
        <v>0.3</v>
      </c>
      <c r="AD742" s="1360"/>
      <c r="AE742" s="1360"/>
      <c r="AF742" s="1360"/>
      <c r="AG742" s="1361"/>
      <c r="AH742" s="1355">
        <f t="shared" si="36"/>
        <v>0.3</v>
      </c>
      <c r="AI742" s="1356"/>
      <c r="AJ742" s="1357"/>
      <c r="AK742" s="1337" t="s">
        <v>592</v>
      </c>
      <c r="AL742" s="1338"/>
      <c r="AM742" s="1338"/>
      <c r="AN742" s="1338"/>
      <c r="AO742" s="1339"/>
      <c r="AP742" s="3"/>
      <c r="AQ742" s="3"/>
      <c r="AR742" s="3"/>
      <c r="AS742" s="3"/>
      <c r="AY742" s="1085"/>
      <c r="AZ742" s="118">
        <f t="shared" si="9"/>
        <v>4400</v>
      </c>
      <c r="BA742" s="3"/>
      <c r="BB742" s="3"/>
      <c r="BE742" s="204"/>
      <c r="BF742" s="294">
        <f t="shared" si="10"/>
        <v>2</v>
      </c>
      <c r="BG742" s="297">
        <f t="shared" si="11"/>
        <v>1.7857142857142856E-2</v>
      </c>
      <c r="BH742" s="298">
        <f t="shared" si="12"/>
        <v>5.3571428571428563E-3</v>
      </c>
      <c r="BL742" s="3"/>
      <c r="BM742" s="3"/>
      <c r="BN742" s="3"/>
      <c r="BS742" s="294">
        <f t="shared" si="13"/>
        <v>2</v>
      </c>
      <c r="BT742" s="297">
        <f t="shared" si="14"/>
        <v>1.7857142857142856E-2</v>
      </c>
      <c r="BU742" s="298">
        <f t="shared" si="15"/>
        <v>5.3571428571428563E-3</v>
      </c>
      <c r="BV742" s="3"/>
      <c r="BW742" s="3"/>
      <c r="BX742" s="3"/>
      <c r="BY742" s="3"/>
      <c r="BZ742" s="3"/>
      <c r="CA742" s="3"/>
      <c r="CB742" s="3"/>
      <c r="CC742" s="3"/>
      <c r="CE742" s="3"/>
      <c r="CF742" s="3"/>
      <c r="CG742" s="1463">
        <f t="shared" si="37"/>
        <v>0</v>
      </c>
      <c r="CH742" s="1464"/>
      <c r="CI742" s="1469">
        <f t="shared" si="38"/>
        <v>0</v>
      </c>
      <c r="CJ742" s="1470"/>
      <c r="CK742" s="1463">
        <f t="shared" si="16"/>
        <v>1</v>
      </c>
      <c r="CL742" s="1464"/>
      <c r="CM742" s="1469">
        <f t="shared" si="17"/>
        <v>2</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2</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2</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f t="shared" si="33"/>
        <v>1245</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t="s">
        <v>164</v>
      </c>
      <c r="C743" s="1338"/>
      <c r="D743" s="1338"/>
      <c r="E743" s="1338"/>
      <c r="F743" s="1339"/>
      <c r="G743" s="1349">
        <v>2</v>
      </c>
      <c r="H743" s="1350"/>
      <c r="I743" s="1350"/>
      <c r="J743" s="1351"/>
      <c r="K743" s="1343">
        <v>1004</v>
      </c>
      <c r="L743" s="1344"/>
      <c r="M743" s="1344"/>
      <c r="N743" s="1345"/>
      <c r="O743" s="1340">
        <v>1689</v>
      </c>
      <c r="P743" s="1341"/>
      <c r="Q743" s="1341"/>
      <c r="R743" s="1341"/>
      <c r="S743" s="1342"/>
      <c r="T743" s="1340">
        <v>71</v>
      </c>
      <c r="U743" s="1341"/>
      <c r="V743" s="1341"/>
      <c r="W743" s="1342"/>
      <c r="X743" s="1352">
        <f t="shared" si="39"/>
        <v>1760</v>
      </c>
      <c r="Y743" s="1353"/>
      <c r="Z743" s="1353"/>
      <c r="AA743" s="1353"/>
      <c r="AB743" s="1354"/>
      <c r="AC743" s="1359">
        <v>0.4</v>
      </c>
      <c r="AD743" s="1360"/>
      <c r="AE743" s="1360"/>
      <c r="AF743" s="1360"/>
      <c r="AG743" s="1361"/>
      <c r="AH743" s="1355">
        <f t="shared" si="36"/>
        <v>0.4</v>
      </c>
      <c r="AI743" s="1356"/>
      <c r="AJ743" s="1357"/>
      <c r="AK743" s="1337" t="s">
        <v>592</v>
      </c>
      <c r="AL743" s="1338"/>
      <c r="AM743" s="1338"/>
      <c r="AN743" s="1338"/>
      <c r="AO743" s="1339"/>
      <c r="AT743"/>
      <c r="AU743"/>
      <c r="AV743"/>
      <c r="AW743"/>
      <c r="AX743"/>
      <c r="AY743" s="1085"/>
      <c r="AZ743" s="118">
        <f>IF($G743=0,"N/A",VLOOKUP($T$189,TC_Rent,(MATCH($B743,bedrooms,FALSE)),FALSE))</f>
        <v>4400</v>
      </c>
      <c r="BD743"/>
      <c r="BE743"/>
      <c r="BF743" s="294">
        <f t="shared" si="10"/>
        <v>2</v>
      </c>
      <c r="BG743" s="297">
        <f t="shared" si="11"/>
        <v>1.7857142857142856E-2</v>
      </c>
      <c r="BH743" s="298">
        <f t="shared" si="12"/>
        <v>7.1428571428571426E-3</v>
      </c>
      <c r="BI743"/>
      <c r="BJ743"/>
      <c r="BK743"/>
      <c r="BL743"/>
      <c r="BM743"/>
      <c r="BN743"/>
      <c r="BO743"/>
      <c r="BP743"/>
      <c r="BQ743"/>
      <c r="BR743"/>
      <c r="BS743" s="294">
        <f t="shared" si="13"/>
        <v>2</v>
      </c>
      <c r="BT743" s="297">
        <f t="shared" si="14"/>
        <v>1.7857142857142856E-2</v>
      </c>
      <c r="BU743" s="298">
        <f t="shared" si="15"/>
        <v>7.1428571428571426E-3</v>
      </c>
      <c r="CD743"/>
      <c r="CG743" s="1463">
        <f t="shared" si="37"/>
        <v>1</v>
      </c>
      <c r="CH743" s="1464"/>
      <c r="CI743" s="1469">
        <f t="shared" si="38"/>
        <v>2</v>
      </c>
      <c r="CJ743" s="1470"/>
      <c r="CK743" s="1463">
        <f t="shared" si="16"/>
        <v>0</v>
      </c>
      <c r="CL743" s="1464"/>
      <c r="CM743" s="1469">
        <f t="shared" si="17"/>
        <v>0</v>
      </c>
      <c r="CN743" s="1470"/>
      <c r="CP743" s="1458">
        <f>IF(B743="SRO/Studio",G743,0)</f>
        <v>0</v>
      </c>
      <c r="CQ743" s="1459"/>
      <c r="CR743" s="1459"/>
      <c r="CS743" s="1459"/>
      <c r="CT743" s="1460"/>
      <c r="CU743" s="1443">
        <f>IF(B743="1 Bedroom",G743,0)</f>
        <v>0</v>
      </c>
      <c r="CV743" s="1443"/>
      <c r="CW743" s="1443"/>
      <c r="CX743" s="1443"/>
      <c r="CY743" s="1443"/>
      <c r="CZ743" s="1443">
        <f>IF(B743="2 Bedrooms",G743,0)</f>
        <v>0</v>
      </c>
      <c r="DA743" s="1443"/>
      <c r="DB743" s="1443"/>
      <c r="DC743" s="1443"/>
      <c r="DD743" s="1443"/>
      <c r="DE743" s="1443">
        <f>IF(B743="3 Bedrooms",G743,0)</f>
        <v>2</v>
      </c>
      <c r="DF743" s="1443"/>
      <c r="DG743" s="1443"/>
      <c r="DH743" s="1443"/>
      <c r="DI743" s="1443"/>
      <c r="DJ743" s="1443">
        <f>IF(B743="4 Bedrooms",G743,0)</f>
        <v>0</v>
      </c>
      <c r="DK743" s="1443"/>
      <c r="DL743" s="1443"/>
      <c r="DM743" s="1443"/>
      <c r="DN743" s="1443"/>
      <c r="DO743" s="1443">
        <f>IF(B743="5 Bedrooms",G743,0)</f>
        <v>0</v>
      </c>
      <c r="DP743" s="1443"/>
      <c r="DQ743" s="1443"/>
      <c r="DR743" s="1443"/>
      <c r="DS743" s="1443"/>
      <c r="DT743" s="6"/>
      <c r="DU743" s="1444">
        <f>IF(AND(B743="SRO/Studio",AC743&lt;=0.3),G743,0)</f>
        <v>0</v>
      </c>
      <c r="DV743" s="1444"/>
      <c r="DW743" s="1444"/>
      <c r="DX743" s="1444"/>
      <c r="DY743" s="1444"/>
      <c r="DZ743" s="1444">
        <f>IF(AND(B743="1 Bedroom",AC743&lt;=0.3),G743,0)</f>
        <v>0</v>
      </c>
      <c r="EA743" s="1444"/>
      <c r="EB743" s="1444"/>
      <c r="EC743" s="1444"/>
      <c r="ED743" s="1444"/>
      <c r="EE743" s="1444">
        <f>IF(AND(B743="2 Bedrooms",AC743&lt;=0.3),G743,0)</f>
        <v>0</v>
      </c>
      <c r="EF743" s="1444"/>
      <c r="EG743" s="1444"/>
      <c r="EH743" s="1444"/>
      <c r="EI743" s="1444"/>
      <c r="EJ743" s="1444">
        <f>IF(AND(B743="3 Bedrooms",AC743&lt;=0.3),G743,0)</f>
        <v>0</v>
      </c>
      <c r="EK743" s="1444"/>
      <c r="EL743" s="1444"/>
      <c r="EM743" s="1444"/>
      <c r="EN743" s="1444"/>
      <c r="EO743" s="1444">
        <f>IF(AND(B743="4 Bedrooms",AC743&lt;=0.3),G743,0)</f>
        <v>0</v>
      </c>
      <c r="EP743" s="1444"/>
      <c r="EQ743" s="1444"/>
      <c r="ER743" s="1444"/>
      <c r="ES743" s="1444"/>
      <c r="ET743" s="1444">
        <f>IF(AND(B743="5 Bedrooms",AC743&lt;=0.3),G743,0)</f>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f t="shared" si="33"/>
        <v>1689</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t="s">
        <v>164</v>
      </c>
      <c r="C744" s="1338"/>
      <c r="D744" s="1338"/>
      <c r="E744" s="1338"/>
      <c r="F744" s="1339"/>
      <c r="G744" s="1349">
        <v>1</v>
      </c>
      <c r="H744" s="1350"/>
      <c r="I744" s="1350"/>
      <c r="J744" s="1351"/>
      <c r="K744" s="1343">
        <v>1004</v>
      </c>
      <c r="L744" s="1344"/>
      <c r="M744" s="1344"/>
      <c r="N744" s="1345"/>
      <c r="O744" s="1340">
        <v>2129</v>
      </c>
      <c r="P744" s="1341"/>
      <c r="Q744" s="1341"/>
      <c r="R744" s="1341"/>
      <c r="S744" s="1342"/>
      <c r="T744" s="1340">
        <v>71</v>
      </c>
      <c r="U744" s="1341"/>
      <c r="V744" s="1341"/>
      <c r="W744" s="1342"/>
      <c r="X744" s="1352">
        <f t="shared" si="39"/>
        <v>2200</v>
      </c>
      <c r="Y744" s="1353"/>
      <c r="Z744" s="1353"/>
      <c r="AA744" s="1353"/>
      <c r="AB744" s="1354"/>
      <c r="AC744" s="1359">
        <v>0.5</v>
      </c>
      <c r="AD744" s="1360"/>
      <c r="AE744" s="1360"/>
      <c r="AF744" s="1360"/>
      <c r="AG744" s="1361"/>
      <c r="AH744" s="1355">
        <f t="shared" si="36"/>
        <v>0.5</v>
      </c>
      <c r="AI744" s="1356"/>
      <c r="AJ744" s="1357"/>
      <c r="AK744" s="1337" t="s">
        <v>592</v>
      </c>
      <c r="AL744" s="1338"/>
      <c r="AM744" s="1338"/>
      <c r="AN744" s="1338"/>
      <c r="AO744" s="1339"/>
      <c r="AP744" s="3"/>
      <c r="AQ744" s="3"/>
      <c r="AR744" s="3"/>
      <c r="AS744" s="3"/>
      <c r="AY744" s="1085"/>
      <c r="AZ744" s="118">
        <f>IF($G744=0,"N/A",VLOOKUP($T$189,TC_Rent,(MATCH($B744,bedrooms,FALSE)),FALSE))</f>
        <v>4400</v>
      </c>
      <c r="BA744" s="3"/>
      <c r="BB744" s="3"/>
      <c r="BC744" s="3"/>
      <c r="BD744" s="3"/>
      <c r="BE744" s="3"/>
      <c r="BF744" s="294">
        <f t="shared" si="10"/>
        <v>1</v>
      </c>
      <c r="BG744" s="297">
        <f t="shared" si="11"/>
        <v>8.9285714285714281E-3</v>
      </c>
      <c r="BH744" s="298">
        <f t="shared" si="12"/>
        <v>4.464285714285714E-3</v>
      </c>
      <c r="BI744" s="3"/>
      <c r="BJ744" s="3"/>
      <c r="BK744" s="3"/>
      <c r="BL744" s="3"/>
      <c r="BM744" s="3"/>
      <c r="BN744" s="3"/>
      <c r="BS744" s="294">
        <f t="shared" si="13"/>
        <v>1</v>
      </c>
      <c r="BT744" s="297">
        <f t="shared" si="14"/>
        <v>8.9285714285714281E-3</v>
      </c>
      <c r="BU744" s="298">
        <f t="shared" si="15"/>
        <v>4.464285714285714E-3</v>
      </c>
      <c r="BV744" s="3"/>
      <c r="BW744" s="3"/>
      <c r="BX744" s="3"/>
      <c r="BY744" s="3"/>
      <c r="BZ744" s="3"/>
      <c r="CA744" s="3"/>
      <c r="CB744" s="3"/>
      <c r="CC744" s="3"/>
      <c r="CE744" s="3"/>
      <c r="CF744" s="3"/>
      <c r="CG744" s="1463">
        <f t="shared" si="37"/>
        <v>1</v>
      </c>
      <c r="CH744" s="1464"/>
      <c r="CI744" s="1469">
        <f t="shared" si="38"/>
        <v>1</v>
      </c>
      <c r="CJ744" s="1470"/>
      <c r="CK744" s="1463">
        <f t="shared" si="16"/>
        <v>0</v>
      </c>
      <c r="CL744" s="1464"/>
      <c r="CM744" s="1469">
        <f t="shared" si="17"/>
        <v>0</v>
      </c>
      <c r="CN744" s="1470"/>
      <c r="CO744" s="3"/>
      <c r="CP744" s="1458">
        <f>IF(B744="SRO/Studio",G744,0)</f>
        <v>0</v>
      </c>
      <c r="CQ744" s="1459"/>
      <c r="CR744" s="1459"/>
      <c r="CS744" s="1459"/>
      <c r="CT744" s="1460"/>
      <c r="CU744" s="1443">
        <f>IF(B744="1 Bedroom",G744,0)</f>
        <v>0</v>
      </c>
      <c r="CV744" s="1443"/>
      <c r="CW744" s="1443"/>
      <c r="CX744" s="1443"/>
      <c r="CY744" s="1443"/>
      <c r="CZ744" s="1443">
        <f>IF(B744="2 Bedrooms",G744,0)</f>
        <v>0</v>
      </c>
      <c r="DA744" s="1443"/>
      <c r="DB744" s="1443"/>
      <c r="DC744" s="1443"/>
      <c r="DD744" s="1443"/>
      <c r="DE744" s="1443">
        <f>IF(B744="3 Bedrooms",G744,0)</f>
        <v>1</v>
      </c>
      <c r="DF744" s="1443"/>
      <c r="DG744" s="1443"/>
      <c r="DH744" s="1443"/>
      <c r="DI744" s="1443"/>
      <c r="DJ744" s="1443">
        <f>IF(B744="4 Bedrooms",G744,0)</f>
        <v>0</v>
      </c>
      <c r="DK744" s="1443"/>
      <c r="DL744" s="1443"/>
      <c r="DM744" s="1443"/>
      <c r="DN744" s="1443"/>
      <c r="DO744" s="1443">
        <f>IF(B744="5 Bedrooms",G744,0)</f>
        <v>0</v>
      </c>
      <c r="DP744" s="1443"/>
      <c r="DQ744" s="1443"/>
      <c r="DR744" s="1443"/>
      <c r="DS744" s="1443"/>
      <c r="DT744" s="6"/>
      <c r="DU744" s="1444">
        <f>IF(AND(B744="SRO/Studio",AC744&lt;=0.3),G744,0)</f>
        <v>0</v>
      </c>
      <c r="DV744" s="1444"/>
      <c r="DW744" s="1444"/>
      <c r="DX744" s="1444"/>
      <c r="DY744" s="1444"/>
      <c r="DZ744" s="1444">
        <f>IF(AND(B744="1 Bedroom",AC744&lt;=0.3),G744,0)</f>
        <v>0</v>
      </c>
      <c r="EA744" s="1444"/>
      <c r="EB744" s="1444"/>
      <c r="EC744" s="1444"/>
      <c r="ED744" s="1444"/>
      <c r="EE744" s="1444">
        <f>IF(AND(B744="2 Bedrooms",AC744&lt;=0.3),G744,0)</f>
        <v>0</v>
      </c>
      <c r="EF744" s="1444"/>
      <c r="EG744" s="1444"/>
      <c r="EH744" s="1444"/>
      <c r="EI744" s="1444"/>
      <c r="EJ744" s="1444">
        <f>IF(AND(B744="3 Bedrooms",AC744&lt;=0.3),G744,0)</f>
        <v>0</v>
      </c>
      <c r="EK744" s="1444"/>
      <c r="EL744" s="1444"/>
      <c r="EM744" s="1444"/>
      <c r="EN744" s="1444"/>
      <c r="EO744" s="1444">
        <f>IF(AND(B744="4 Bedrooms",AC744&lt;=0.3),G744,0)</f>
        <v>0</v>
      </c>
      <c r="EP744" s="1444"/>
      <c r="EQ744" s="1444"/>
      <c r="ER744" s="1444"/>
      <c r="ES744" s="1444"/>
      <c r="ET744" s="1444">
        <f>IF(AND(B744="5 Bedrooms",AC744&lt;=0.3),G744,0)</f>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f t="shared" si="33"/>
        <v>2129</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t="s">
        <v>164</v>
      </c>
      <c r="C745" s="1338"/>
      <c r="D745" s="1338"/>
      <c r="E745" s="1338"/>
      <c r="F745" s="1339"/>
      <c r="G745" s="1349">
        <v>12</v>
      </c>
      <c r="H745" s="1350"/>
      <c r="I745" s="1350"/>
      <c r="J745" s="1351"/>
      <c r="K745" s="1343">
        <v>1004</v>
      </c>
      <c r="L745" s="1344"/>
      <c r="M745" s="1344"/>
      <c r="N745" s="1345"/>
      <c r="O745" s="1340">
        <v>2125</v>
      </c>
      <c r="P745" s="1341"/>
      <c r="Q745" s="1341"/>
      <c r="R745" s="1341"/>
      <c r="S745" s="1342"/>
      <c r="T745" s="1340">
        <v>75</v>
      </c>
      <c r="U745" s="1341"/>
      <c r="V745" s="1341"/>
      <c r="W745" s="1342"/>
      <c r="X745" s="1352">
        <f t="shared" si="39"/>
        <v>2200</v>
      </c>
      <c r="Y745" s="1353"/>
      <c r="Z745" s="1353"/>
      <c r="AA745" s="1353"/>
      <c r="AB745" s="1354"/>
      <c r="AC745" s="1359">
        <v>0.5</v>
      </c>
      <c r="AD745" s="1360"/>
      <c r="AE745" s="1360"/>
      <c r="AF745" s="1360"/>
      <c r="AG745" s="1361"/>
      <c r="AH745" s="1355">
        <f t="shared" si="36"/>
        <v>0.5</v>
      </c>
      <c r="AI745" s="1356"/>
      <c r="AJ745" s="1357"/>
      <c r="AK745" s="1337" t="s">
        <v>592</v>
      </c>
      <c r="AL745" s="1338"/>
      <c r="AM745" s="1338"/>
      <c r="AN745" s="1338"/>
      <c r="AO745" s="1339"/>
      <c r="AP745" s="3"/>
      <c r="AQ745" s="3"/>
      <c r="AR745" s="3"/>
      <c r="AS745" s="3"/>
      <c r="AY745" s="1085"/>
      <c r="AZ745" s="118">
        <f t="shared" si="9"/>
        <v>4400</v>
      </c>
      <c r="BA745" s="3"/>
      <c r="BB745" s="3"/>
      <c r="BC745" s="3"/>
      <c r="BD745" s="3"/>
      <c r="BE745" s="3"/>
      <c r="BF745" s="294">
        <f t="shared" si="10"/>
        <v>12</v>
      </c>
      <c r="BG745" s="297">
        <f t="shared" si="11"/>
        <v>0.10714285714285714</v>
      </c>
      <c r="BH745" s="298">
        <f t="shared" si="12"/>
        <v>5.3571428571428568E-2</v>
      </c>
      <c r="BI745" s="3"/>
      <c r="BJ745" s="3"/>
      <c r="BK745" s="3"/>
      <c r="BL745" s="3"/>
      <c r="BM745" s="3"/>
      <c r="BN745" s="3"/>
      <c r="BS745" s="294">
        <f t="shared" si="13"/>
        <v>12</v>
      </c>
      <c r="BT745" s="297">
        <f t="shared" si="14"/>
        <v>0.10714285714285714</v>
      </c>
      <c r="BU745" s="298">
        <f t="shared" si="15"/>
        <v>5.3571428571428568E-2</v>
      </c>
      <c r="BV745" s="3"/>
      <c r="BW745" s="3"/>
      <c r="BX745" s="3"/>
      <c r="BY745" s="3"/>
      <c r="BZ745" s="3"/>
      <c r="CA745" s="3"/>
      <c r="CB745" s="3"/>
      <c r="CC745" s="3"/>
      <c r="CE745" s="3"/>
      <c r="CF745" s="3"/>
      <c r="CG745" s="1463">
        <f t="shared" si="37"/>
        <v>1</v>
      </c>
      <c r="CH745" s="1464"/>
      <c r="CI745" s="1469">
        <f t="shared" si="38"/>
        <v>12</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12</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f t="shared" si="33"/>
        <v>2125</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t="s">
        <v>164</v>
      </c>
      <c r="C746" s="1338"/>
      <c r="D746" s="1338"/>
      <c r="E746" s="1338"/>
      <c r="F746" s="1339"/>
      <c r="G746" s="1349">
        <v>3</v>
      </c>
      <c r="H746" s="1350"/>
      <c r="I746" s="1350"/>
      <c r="J746" s="1351"/>
      <c r="K746" s="1343">
        <v>1004</v>
      </c>
      <c r="L746" s="1344"/>
      <c r="M746" s="1344"/>
      <c r="N746" s="1345"/>
      <c r="O746" s="1340">
        <v>2588</v>
      </c>
      <c r="P746" s="1341"/>
      <c r="Q746" s="1341"/>
      <c r="R746" s="1341"/>
      <c r="S746" s="1342"/>
      <c r="T746" s="1340">
        <v>52</v>
      </c>
      <c r="U746" s="1341"/>
      <c r="V746" s="1341"/>
      <c r="W746" s="1342"/>
      <c r="X746" s="1352">
        <f t="shared" si="39"/>
        <v>2640</v>
      </c>
      <c r="Y746" s="1353"/>
      <c r="Z746" s="1353"/>
      <c r="AA746" s="1353"/>
      <c r="AB746" s="1354"/>
      <c r="AC746" s="1359">
        <v>0.6</v>
      </c>
      <c r="AD746" s="1360"/>
      <c r="AE746" s="1360"/>
      <c r="AF746" s="1360"/>
      <c r="AG746" s="1361"/>
      <c r="AH746" s="1355">
        <f t="shared" si="36"/>
        <v>0.6</v>
      </c>
      <c r="AI746" s="1356"/>
      <c r="AJ746" s="1357"/>
      <c r="AK746" s="1337" t="s">
        <v>592</v>
      </c>
      <c r="AL746" s="1338"/>
      <c r="AM746" s="1338"/>
      <c r="AN746" s="1338"/>
      <c r="AO746" s="1339"/>
      <c r="AP746" s="3"/>
      <c r="AQ746" s="3"/>
      <c r="AR746" s="3"/>
      <c r="AS746" s="3"/>
      <c r="AY746" s="1085"/>
      <c r="AZ746" s="118">
        <f t="shared" si="9"/>
        <v>4400</v>
      </c>
      <c r="BA746" s="34"/>
      <c r="BB746" s="34"/>
      <c r="BC746" s="34"/>
      <c r="BD746" s="34"/>
      <c r="BE746" s="34"/>
      <c r="BF746" s="294">
        <f t="shared" si="10"/>
        <v>3</v>
      </c>
      <c r="BG746" s="297">
        <f t="shared" si="11"/>
        <v>2.6785714285714284E-2</v>
      </c>
      <c r="BH746" s="298">
        <f t="shared" si="12"/>
        <v>1.607142857142857E-2</v>
      </c>
      <c r="BI746" s="34"/>
      <c r="BJ746" s="34"/>
      <c r="BK746" s="34"/>
      <c r="BL746" s="34"/>
      <c r="BM746" s="34"/>
      <c r="BN746" s="34"/>
      <c r="BS746" s="294">
        <f t="shared" si="13"/>
        <v>3</v>
      </c>
      <c r="BT746" s="297">
        <f t="shared" si="14"/>
        <v>2.6785714285714284E-2</v>
      </c>
      <c r="BU746" s="298">
        <f t="shared" si="15"/>
        <v>1.607142857142857E-2</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3</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f t="shared" si="33"/>
        <v>2588</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t="s">
        <v>164</v>
      </c>
      <c r="C747" s="1338"/>
      <c r="D747" s="1338"/>
      <c r="E747" s="1338"/>
      <c r="F747" s="1339"/>
      <c r="G747" s="1349">
        <v>3</v>
      </c>
      <c r="H747" s="1350"/>
      <c r="I747" s="1350"/>
      <c r="J747" s="1351"/>
      <c r="K747" s="1343">
        <v>1004</v>
      </c>
      <c r="L747" s="1344"/>
      <c r="M747" s="1344"/>
      <c r="N747" s="1345"/>
      <c r="O747" s="1340">
        <v>2569</v>
      </c>
      <c r="P747" s="1341"/>
      <c r="Q747" s="1341"/>
      <c r="R747" s="1341"/>
      <c r="S747" s="1342"/>
      <c r="T747" s="1340">
        <v>71</v>
      </c>
      <c r="U747" s="1341"/>
      <c r="V747" s="1341"/>
      <c r="W747" s="1342"/>
      <c r="X747" s="1352">
        <f t="shared" si="39"/>
        <v>2640</v>
      </c>
      <c r="Y747" s="1353"/>
      <c r="Z747" s="1353"/>
      <c r="AA747" s="1353"/>
      <c r="AB747" s="1354"/>
      <c r="AC747" s="1359">
        <v>0.6</v>
      </c>
      <c r="AD747" s="1360"/>
      <c r="AE747" s="1360"/>
      <c r="AF747" s="1360"/>
      <c r="AG747" s="1361"/>
      <c r="AH747" s="1355">
        <f t="shared" si="36"/>
        <v>0.6</v>
      </c>
      <c r="AI747" s="1356"/>
      <c r="AJ747" s="1357"/>
      <c r="AK747" s="1337" t="s">
        <v>592</v>
      </c>
      <c r="AL747" s="1338"/>
      <c r="AM747" s="1338"/>
      <c r="AN747" s="1338"/>
      <c r="AO747" s="1339"/>
      <c r="AP747" s="3"/>
      <c r="AQ747" s="3"/>
      <c r="AR747" s="3"/>
      <c r="AS747" s="3"/>
      <c r="AY747" s="1085"/>
      <c r="AZ747" s="118">
        <f t="shared" si="9"/>
        <v>4400</v>
      </c>
      <c r="BA747" s="34"/>
      <c r="BB747" s="34"/>
      <c r="BC747" s="34"/>
      <c r="BD747" s="34"/>
      <c r="BE747" s="34"/>
      <c r="BF747" s="294">
        <f t="shared" si="10"/>
        <v>3</v>
      </c>
      <c r="BG747" s="297">
        <f t="shared" si="11"/>
        <v>2.6785714285714284E-2</v>
      </c>
      <c r="BH747" s="298">
        <f t="shared" si="12"/>
        <v>1.607142857142857E-2</v>
      </c>
      <c r="BI747" s="34"/>
      <c r="BJ747" s="34"/>
      <c r="BK747" s="34"/>
      <c r="BL747" s="34"/>
      <c r="BM747" s="34"/>
      <c r="BN747" s="34"/>
      <c r="BS747" s="294">
        <f t="shared" si="13"/>
        <v>3</v>
      </c>
      <c r="BT747" s="297">
        <f t="shared" si="14"/>
        <v>2.6785714285714284E-2</v>
      </c>
      <c r="BU747" s="298">
        <f t="shared" si="15"/>
        <v>1.607142857142857E-2</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3</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f t="shared" si="33"/>
        <v>2569</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t="s">
        <v>164</v>
      </c>
      <c r="C748" s="1338"/>
      <c r="D748" s="1338"/>
      <c r="E748" s="1338"/>
      <c r="F748" s="1339"/>
      <c r="G748" s="1349">
        <v>5</v>
      </c>
      <c r="H748" s="1350"/>
      <c r="I748" s="1350"/>
      <c r="J748" s="1351"/>
      <c r="K748" s="1343">
        <v>1004</v>
      </c>
      <c r="L748" s="1344"/>
      <c r="M748" s="1344"/>
      <c r="N748" s="1345"/>
      <c r="O748" s="1340">
        <v>2569</v>
      </c>
      <c r="P748" s="1341"/>
      <c r="Q748" s="1341"/>
      <c r="R748" s="1341"/>
      <c r="S748" s="1342"/>
      <c r="T748" s="1340">
        <v>71</v>
      </c>
      <c r="U748" s="1341"/>
      <c r="V748" s="1341"/>
      <c r="W748" s="1342"/>
      <c r="X748" s="1352">
        <f t="shared" si="39"/>
        <v>2640</v>
      </c>
      <c r="Y748" s="1353"/>
      <c r="Z748" s="1353"/>
      <c r="AA748" s="1353"/>
      <c r="AB748" s="1354"/>
      <c r="AC748" s="1359">
        <v>0.6</v>
      </c>
      <c r="AD748" s="1360"/>
      <c r="AE748" s="1360"/>
      <c r="AF748" s="1360"/>
      <c r="AG748" s="1361"/>
      <c r="AH748" s="1355">
        <f t="shared" si="36"/>
        <v>0.6</v>
      </c>
      <c r="AI748" s="1356"/>
      <c r="AJ748" s="1357"/>
      <c r="AK748" s="1337" t="s">
        <v>592</v>
      </c>
      <c r="AL748" s="1338"/>
      <c r="AM748" s="1338"/>
      <c r="AN748" s="1338"/>
      <c r="AO748" s="1339"/>
      <c r="AT748"/>
      <c r="AU748"/>
      <c r="AV748"/>
      <c r="AW748"/>
      <c r="AX748"/>
      <c r="AY748" s="1085"/>
      <c r="AZ748" s="118">
        <f t="shared" si="9"/>
        <v>4400</v>
      </c>
      <c r="BA748" s="34"/>
      <c r="BB748" s="34"/>
      <c r="BC748" s="34"/>
      <c r="BD748" s="34"/>
      <c r="BE748" s="34"/>
      <c r="BF748" s="294">
        <f t="shared" si="10"/>
        <v>5</v>
      </c>
      <c r="BG748" s="297">
        <f t="shared" si="11"/>
        <v>4.4642857142857144E-2</v>
      </c>
      <c r="BH748" s="298">
        <f t="shared" si="12"/>
        <v>2.6785714285714284E-2</v>
      </c>
      <c r="BJ748" s="34"/>
      <c r="BK748" s="34"/>
      <c r="BL748" s="34"/>
      <c r="BM748" s="34"/>
      <c r="BN748" s="34"/>
      <c r="BO748"/>
      <c r="BP748"/>
      <c r="BQ748"/>
      <c r="BR748"/>
      <c r="BS748" s="294">
        <f t="shared" si="13"/>
        <v>5</v>
      </c>
      <c r="BT748" s="297">
        <f t="shared" si="14"/>
        <v>4.4642857142857144E-2</v>
      </c>
      <c r="BU748" s="298">
        <f t="shared" si="15"/>
        <v>2.6785714285714284E-2</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5</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f t="shared" si="33"/>
        <v>2569</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t="s">
        <v>164</v>
      </c>
      <c r="C749" s="1338"/>
      <c r="D749" s="1338"/>
      <c r="E749" s="1338"/>
      <c r="F749" s="1339"/>
      <c r="G749" s="1349">
        <v>6</v>
      </c>
      <c r="H749" s="1350"/>
      <c r="I749" s="1350"/>
      <c r="J749" s="1351"/>
      <c r="K749" s="1343">
        <v>1004</v>
      </c>
      <c r="L749" s="1344"/>
      <c r="M749" s="1344"/>
      <c r="N749" s="1345"/>
      <c r="O749" s="1340">
        <v>2565</v>
      </c>
      <c r="P749" s="1341"/>
      <c r="Q749" s="1341"/>
      <c r="R749" s="1341"/>
      <c r="S749" s="1342"/>
      <c r="T749" s="1340">
        <v>75</v>
      </c>
      <c r="U749" s="1341"/>
      <c r="V749" s="1341"/>
      <c r="W749" s="1342"/>
      <c r="X749" s="1352">
        <f t="shared" si="39"/>
        <v>2640</v>
      </c>
      <c r="Y749" s="1353"/>
      <c r="Z749" s="1353"/>
      <c r="AA749" s="1353"/>
      <c r="AB749" s="1354"/>
      <c r="AC749" s="1359">
        <v>0.6</v>
      </c>
      <c r="AD749" s="1360"/>
      <c r="AE749" s="1360"/>
      <c r="AF749" s="1360"/>
      <c r="AG749" s="1361"/>
      <c r="AH749" s="1355">
        <f t="shared" si="36"/>
        <v>0.6</v>
      </c>
      <c r="AI749" s="1356"/>
      <c r="AJ749" s="1357"/>
      <c r="AK749" s="1337" t="s">
        <v>592</v>
      </c>
      <c r="AL749" s="1338"/>
      <c r="AM749" s="1338"/>
      <c r="AN749" s="1338"/>
      <c r="AO749" s="1339"/>
      <c r="AT749"/>
      <c r="AU749"/>
      <c r="AV749"/>
      <c r="AW749"/>
      <c r="AX749"/>
      <c r="AY749" s="1085"/>
      <c r="AZ749" s="118">
        <f t="shared" si="9"/>
        <v>4400</v>
      </c>
      <c r="BA749" s="34"/>
      <c r="BB749" s="34"/>
      <c r="BC749" s="34"/>
      <c r="BD749" s="34"/>
      <c r="BE749" s="34"/>
      <c r="BF749" s="294">
        <f t="shared" si="10"/>
        <v>6</v>
      </c>
      <c r="BG749" s="297">
        <f t="shared" si="11"/>
        <v>5.3571428571428568E-2</v>
      </c>
      <c r="BH749" s="298">
        <f t="shared" si="12"/>
        <v>3.214285714285714E-2</v>
      </c>
      <c r="BJ749" s="34"/>
      <c r="BK749" s="34"/>
      <c r="BL749" s="34"/>
      <c r="BM749" s="34"/>
      <c r="BN749" s="34"/>
      <c r="BO749"/>
      <c r="BP749"/>
      <c r="BQ749"/>
      <c r="BR749"/>
      <c r="BS749" s="294">
        <f t="shared" si="13"/>
        <v>6</v>
      </c>
      <c r="BT749" s="297">
        <f t="shared" si="14"/>
        <v>5.3571428571428568E-2</v>
      </c>
      <c r="BU749" s="298">
        <f t="shared" si="15"/>
        <v>3.214285714285714E-2</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6</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f t="shared" si="33"/>
        <v>2565</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112</v>
      </c>
      <c r="H753" s="1622"/>
      <c r="I753" s="1622"/>
      <c r="J753" s="1623"/>
      <c r="K753" s="902" t="s">
        <v>124</v>
      </c>
      <c r="L753" s="5"/>
      <c r="M753" s="5"/>
      <c r="N753" s="46"/>
      <c r="O753" s="1352">
        <f>SUMPRODUCT(G718:G752,O718:O752)</f>
        <v>208123</v>
      </c>
      <c r="P753" s="1353"/>
      <c r="Q753" s="1353"/>
      <c r="R753" s="1353"/>
      <c r="S753" s="1354"/>
      <c r="T753"/>
      <c r="U753"/>
      <c r="V753"/>
      <c r="W753"/>
      <c r="X753" s="904" t="s">
        <v>901</v>
      </c>
      <c r="Y753" s="903"/>
      <c r="Z753" s="903"/>
      <c r="AA753" s="903"/>
      <c r="AB753" s="905"/>
      <c r="AC753" s="1604">
        <f>BH753</f>
        <v>0.49642857142857133</v>
      </c>
      <c r="AD753" s="1605"/>
      <c r="AE753" s="1605"/>
      <c r="AF753" s="1605"/>
      <c r="AG753" s="1606"/>
      <c r="AH753" s="1604">
        <f>IFERROR(BU753,"")</f>
        <v>0.49646310171397817</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112</v>
      </c>
      <c r="BG753" s="300">
        <f>SUM(BG718:BG752)</f>
        <v>1</v>
      </c>
      <c r="BH753" s="300">
        <f>SUM(BH718:BH752)</f>
        <v>0.49642857142857133</v>
      </c>
      <c r="BI753"/>
      <c r="BJ753"/>
      <c r="BK753"/>
      <c r="BL753"/>
      <c r="BO753"/>
      <c r="BP753"/>
      <c r="BQ753"/>
      <c r="BR753"/>
      <c r="BS753" s="859">
        <f>SUM(BS718:BS752)</f>
        <v>112</v>
      </c>
      <c r="BT753" s="300">
        <f>SUM(BT718:BT752)</f>
        <v>1</v>
      </c>
      <c r="BU753" s="300">
        <f>SUM(BU718:BU752)</f>
        <v>0.49646310171397817</v>
      </c>
      <c r="CI753" s="1463">
        <f>SUM(CI718:CJ752)</f>
        <v>68</v>
      </c>
      <c r="CJ753" s="1464"/>
      <c r="CM753" s="1463">
        <f>SUM(CM718:CN752)</f>
        <v>12</v>
      </c>
      <c r="CN753" s="1464"/>
      <c r="CP753" s="1463">
        <f>SUM(CP718:CT752)</f>
        <v>0</v>
      </c>
      <c r="CQ753" s="1465"/>
      <c r="CR753" s="1465"/>
      <c r="CS753" s="1465"/>
      <c r="CT753" s="1464"/>
      <c r="CU753" s="1461">
        <f>SUM(CU718:CY752)</f>
        <v>24</v>
      </c>
      <c r="CV753" s="1461"/>
      <c r="CW753" s="1461"/>
      <c r="CX753" s="1461"/>
      <c r="CY753" s="1461"/>
      <c r="CZ753" s="1461">
        <f>SUM(CZ718:DD752)</f>
        <v>53</v>
      </c>
      <c r="DA753" s="1461"/>
      <c r="DB753" s="1461"/>
      <c r="DC753" s="1461"/>
      <c r="DD753" s="1461"/>
      <c r="DE753" s="1461">
        <f>SUM(DE718:DI752)</f>
        <v>35</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3</v>
      </c>
      <c r="EA753" s="1461"/>
      <c r="EB753" s="1461"/>
      <c r="EC753" s="1461"/>
      <c r="ED753" s="1461"/>
      <c r="EE753" s="1461">
        <f>SUM(EE718:EI752)</f>
        <v>6</v>
      </c>
      <c r="EF753" s="1461"/>
      <c r="EG753" s="1461"/>
      <c r="EH753" s="1461"/>
      <c r="EI753" s="1461"/>
      <c r="EJ753" s="1461">
        <f>SUM(EJ718:EN752)</f>
        <v>3</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10301</v>
      </c>
      <c r="FF753" s="1461"/>
      <c r="FG753" s="1461"/>
      <c r="FH753" s="1461"/>
      <c r="FI753" s="1461"/>
      <c r="FJ753" s="1461">
        <f>SUM(FJ718:FN752)</f>
        <v>25665</v>
      </c>
      <c r="FK753" s="1461"/>
      <c r="FL753" s="1461"/>
      <c r="FM753" s="1461"/>
      <c r="FN753" s="1461"/>
      <c r="FO753" s="1461">
        <f>SUM(FO718:FS752)</f>
        <v>18747</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3">
        <f>CP753+CU753+CZ753+DE753+DJ753+DO753</f>
        <v>112</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24</v>
      </c>
      <c r="CZ755" s="3"/>
      <c r="DA755" s="3"/>
      <c r="DB755" s="3"/>
      <c r="DC755" s="3"/>
      <c r="DD755" s="861">
        <f>CZ753*2</f>
        <v>106</v>
      </c>
      <c r="DE755" s="3"/>
      <c r="DF755" s="3"/>
      <c r="DG755" s="3"/>
      <c r="DH755" s="3"/>
      <c r="DI755" s="861">
        <f>DE753*3</f>
        <v>105</v>
      </c>
      <c r="DJ755" s="3"/>
      <c r="DK755" s="3"/>
      <c r="DL755" s="3"/>
      <c r="DM755" s="3"/>
      <c r="DN755" s="861">
        <f>DJ753*4</f>
        <v>0</v>
      </c>
      <c r="DO755" s="3"/>
      <c r="DP755" s="3"/>
      <c r="DQ755" s="3"/>
      <c r="DR755" s="3"/>
      <c r="DS755" s="861">
        <f>DO753*5</f>
        <v>0</v>
      </c>
      <c r="DU755" s="861">
        <f>CT755+CY755+DD755+DI755+DN755+DS755</f>
        <v>235</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1">
        <f>DU755</f>
        <v>235</v>
      </c>
      <c r="P756" s="1461"/>
      <c r="Q756" s="1461"/>
      <c r="R756" s="1461"/>
      <c r="S756" s="969"/>
      <c r="T756" s="969"/>
      <c r="U756" s="118" t="s">
        <v>1892</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19" t="s">
        <v>1679</v>
      </c>
      <c r="U769" s="1720"/>
      <c r="V769" s="1720"/>
      <c r="W769" s="1721"/>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0</v>
      </c>
      <c r="P773" s="1613"/>
      <c r="Q773" s="1613"/>
      <c r="R773" s="1613"/>
      <c r="S773" s="1613"/>
      <c r="T773" s="1343"/>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t="s">
        <v>163</v>
      </c>
      <c r="K774" s="1338"/>
      <c r="L774" s="1338"/>
      <c r="M774" s="1338"/>
      <c r="N774" s="1339"/>
      <c r="O774" s="1613">
        <v>0</v>
      </c>
      <c r="P774" s="1613"/>
      <c r="Q774" s="1613"/>
      <c r="R774" s="1613"/>
      <c r="S774" s="1613"/>
      <c r="T774" s="1343"/>
      <c r="U774" s="1344"/>
      <c r="V774" s="1344"/>
      <c r="W774" s="1345"/>
      <c r="X774" s="1340">
        <v>0</v>
      </c>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t="s">
        <v>163</v>
      </c>
      <c r="K775" s="1338"/>
      <c r="L775" s="1338"/>
      <c r="M775" s="1338"/>
      <c r="N775" s="1339"/>
      <c r="O775" s="1613">
        <v>0</v>
      </c>
      <c r="P775" s="1613"/>
      <c r="Q775" s="1613"/>
      <c r="R775" s="1613"/>
      <c r="S775" s="1613"/>
      <c r="T775" s="1343"/>
      <c r="U775" s="1344"/>
      <c r="V775" s="1344"/>
      <c r="W775" s="1345"/>
      <c r="X775" s="1340">
        <v>0</v>
      </c>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0</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0</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1861</v>
      </c>
    </row>
    <row r="779" spans="1:126" ht="12.95" customHeight="1">
      <c r="B779" s="56"/>
      <c r="C779" s="56"/>
      <c r="D779" s="56"/>
      <c r="E779" s="56"/>
      <c r="F779" s="56"/>
      <c r="G779" s="6"/>
      <c r="H779" s="6"/>
      <c r="I779" s="6"/>
      <c r="J779" s="1663" t="s">
        <v>670</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19" t="s">
        <v>1679</v>
      </c>
      <c r="U783" s="1720"/>
      <c r="V783" s="1720"/>
      <c r="W783" s="1721"/>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208123</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2497476</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24</v>
      </c>
      <c r="CV802" s="1473"/>
      <c r="CW802" s="1473"/>
      <c r="CX802" s="1473"/>
      <c r="CY802" s="1474"/>
      <c r="CZ802" s="1472">
        <f>CZ753+CZ777+CZ797</f>
        <v>53</v>
      </c>
      <c r="DA802" s="1473"/>
      <c r="DB802" s="1473"/>
      <c r="DC802" s="1473"/>
      <c r="DD802" s="1474"/>
      <c r="DE802" s="1472">
        <f>DE753+DE777+DE797</f>
        <v>35</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235</v>
      </c>
      <c r="DV802" s="57" t="s">
        <v>1863</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14918</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14918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2512394</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v>15</v>
      </c>
      <c r="R825" s="1642"/>
      <c r="S825" s="1642"/>
      <c r="T825" s="1642"/>
      <c r="U825" s="1642">
        <v>18</v>
      </c>
      <c r="V825" s="1642"/>
      <c r="W825" s="1642"/>
      <c r="X825" s="1642"/>
      <c r="Y825" s="1642">
        <v>20</v>
      </c>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2</v>
      </c>
      <c r="R827" s="1642"/>
      <c r="S827" s="1642"/>
      <c r="T827" s="1642"/>
      <c r="U827" s="1642">
        <v>3</v>
      </c>
      <c r="V827" s="1642"/>
      <c r="W827" s="1642"/>
      <c r="X827" s="1642"/>
      <c r="Y827" s="1642">
        <v>3</v>
      </c>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v>8</v>
      </c>
      <c r="R829" s="1642"/>
      <c r="S829" s="1642"/>
      <c r="T829" s="1642"/>
      <c r="U829" s="1642">
        <v>14</v>
      </c>
      <c r="V829" s="1642"/>
      <c r="W829" s="1642"/>
      <c r="X829" s="1642"/>
      <c r="Y829" s="1642">
        <v>14</v>
      </c>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2757</v>
      </c>
      <c r="G831" s="1594"/>
      <c r="H831" s="1594"/>
      <c r="I831" s="1594"/>
      <c r="J831" s="1594"/>
      <c r="K831" s="1594"/>
      <c r="L831" s="1594"/>
      <c r="M831" s="1642"/>
      <c r="N831" s="1642"/>
      <c r="O831" s="1642"/>
      <c r="P831" s="1642"/>
      <c r="Q831" s="1642">
        <v>38</v>
      </c>
      <c r="R831" s="1642"/>
      <c r="S831" s="1642"/>
      <c r="T831" s="1642"/>
      <c r="U831" s="1642">
        <v>38</v>
      </c>
      <c r="V831" s="1642"/>
      <c r="W831" s="1642"/>
      <c r="X831" s="1642"/>
      <c r="Y831" s="1642">
        <v>38</v>
      </c>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63</v>
      </c>
      <c r="R832" s="1636"/>
      <c r="S832" s="1636"/>
      <c r="T832" s="1636"/>
      <c r="U832" s="1636">
        <f>SUM(U825:X831)</f>
        <v>73</v>
      </c>
      <c r="V832" s="1636"/>
      <c r="W832" s="1636"/>
      <c r="X832" s="1636"/>
      <c r="Y832" s="1636">
        <f>SUM(Y825:AB831)</f>
        <v>75</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2767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335.4008</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8063.7187999999996</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25250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34151.857199999999</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2761</v>
      </c>
      <c r="N846" s="1594"/>
      <c r="O846" s="1594"/>
      <c r="P846" s="1594"/>
      <c r="Q846" s="1594"/>
      <c r="R846" s="1594"/>
      <c r="S846" s="1594"/>
      <c r="T846" s="1594"/>
      <c r="U846" s="1594"/>
      <c r="V846" s="1595"/>
      <c r="W846" s="1481">
        <v>33670.6704952</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101471.6472952</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143206.48079999999</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v>41744.521723067999</v>
      </c>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11617.21392</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v>74893.891027459205</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128255.62667052721</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99524.564432199099</v>
      </c>
      <c r="X857" s="1631"/>
      <c r="Y857" s="1631"/>
      <c r="Z857" s="1631"/>
      <c r="AA857" s="1631"/>
      <c r="AB857" s="1631"/>
      <c r="AC857" s="1632"/>
      <c r="AD857" s="528"/>
      <c r="AZ857" s="34"/>
      <c r="BA857" s="34"/>
      <c r="BB857" s="34"/>
      <c r="BC857" s="34"/>
    </row>
    <row r="858" spans="3:55" ht="12.95" customHeight="1">
      <c r="C858" s="2" t="s">
        <v>347</v>
      </c>
      <c r="J858" s="121" t="s">
        <v>1655</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127695.31702598299</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v>0</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2763</v>
      </c>
      <c r="N861" s="1594"/>
      <c r="O861" s="1594"/>
      <c r="P861" s="1594"/>
      <c r="Q861" s="1594"/>
      <c r="R861" s="1594"/>
      <c r="S861" s="1594"/>
      <c r="T861" s="1594"/>
      <c r="U861" s="1594"/>
      <c r="V861" s="1595"/>
      <c r="W861" s="1630">
        <v>81073.662382262395</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308293.54384044447</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126119.33125</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12245.238353700001</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73523.232799999998</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3640.9692</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42834.483800000002</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170</v>
      </c>
      <c r="K871" s="5"/>
      <c r="L871" s="5"/>
      <c r="M871" s="1593" t="s">
        <v>2762</v>
      </c>
      <c r="N871" s="1594"/>
      <c r="O871" s="1594"/>
      <c r="P871" s="1594"/>
      <c r="Q871" s="1594"/>
      <c r="R871" s="1594"/>
      <c r="S871" s="1594"/>
      <c r="T871" s="1594"/>
      <c r="U871" s="1594"/>
      <c r="V871" s="1595"/>
      <c r="W871" s="1481">
        <v>6485.3918000000003</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138729.31595370002</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3" t="s">
        <v>2765</v>
      </c>
      <c r="N874" s="1594"/>
      <c r="O874" s="1594"/>
      <c r="P874" s="1594"/>
      <c r="Q874" s="1594"/>
      <c r="R874" s="1594"/>
      <c r="S874" s="1594"/>
      <c r="T874" s="1594"/>
      <c r="U874" s="1594"/>
      <c r="V874" s="1595"/>
      <c r="W874" s="1466">
        <v>181099.5852</v>
      </c>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170</v>
      </c>
      <c r="K875" s="5"/>
      <c r="L875" s="5"/>
      <c r="M875" s="1593"/>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2758</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2760</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2760</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181099.5852</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1127175.5310098717</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112</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10064</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54000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33600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7840</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279</v>
      </c>
      <c r="AD891" s="1467"/>
      <c r="AE891" s="1467"/>
      <c r="AF891" s="1467"/>
      <c r="AG891" s="1467"/>
      <c r="AH891" s="1468"/>
      <c r="AZ891" s="34"/>
      <c r="BA891" s="34"/>
      <c r="BB891" s="34"/>
      <c r="BC891" s="34"/>
    </row>
    <row r="892" spans="3:55" ht="12.95" hidden="1" customHeight="1">
      <c r="C892" s="1449" t="s">
        <v>2232</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2759</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30000</v>
      </c>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v>0</v>
      </c>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v>0</v>
      </c>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v>0</v>
      </c>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AM555</f>
        <v>11893063.035811801</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546</v>
      </c>
      <c r="V919" s="1402"/>
      <c r="W919" s="1402"/>
      <c r="X919" s="1402"/>
      <c r="Y919" s="1402"/>
      <c r="Z919" s="1403"/>
      <c r="AA919" s="1407">
        <f>AM556</f>
        <v>6377117.3805171996</v>
      </c>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2192</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2193</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2194</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2195</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2196</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2197</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2201</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2202</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2198</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2199</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2200</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2203</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2204</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2191</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3" t="s">
        <v>2669</v>
      </c>
      <c r="J948" s="1537"/>
      <c r="K948" s="1537"/>
      <c r="L948" s="1537"/>
      <c r="M948" s="1537"/>
      <c r="N948" s="1537"/>
      <c r="O948" s="1537"/>
      <c r="P948" s="1537"/>
      <c r="Q948" s="1537"/>
      <c r="R948" s="1537"/>
      <c r="S948" s="1537"/>
      <c r="T948" s="1538"/>
      <c r="U948" s="1401" t="s">
        <v>546</v>
      </c>
      <c r="V948" s="1402"/>
      <c r="W948" s="1402"/>
      <c r="X948" s="1402"/>
      <c r="Y948" s="1402"/>
      <c r="Z948" s="1403"/>
      <c r="AA948" s="1407">
        <f>AM557</f>
        <v>18793383</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93" t="s">
        <v>2768</v>
      </c>
      <c r="J949" s="1537"/>
      <c r="K949" s="1537"/>
      <c r="L949" s="1537"/>
      <c r="M949" s="1537"/>
      <c r="N949" s="1537"/>
      <c r="O949" s="1537"/>
      <c r="P949" s="1537"/>
      <c r="Q949" s="1537"/>
      <c r="R949" s="1537"/>
      <c r="S949" s="1537"/>
      <c r="T949" s="1538"/>
      <c r="U949" s="1401" t="s">
        <v>546</v>
      </c>
      <c r="V949" s="1402"/>
      <c r="W949" s="1402"/>
      <c r="X949" s="1402"/>
      <c r="Y949" s="1402"/>
      <c r="Z949" s="1403"/>
      <c r="AA949" s="1407">
        <f>AM565</f>
        <v>3800000</v>
      </c>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t="s">
        <v>592</v>
      </c>
      <c r="N955" s="1534"/>
      <c r="O955" s="1534"/>
      <c r="P955" s="1534"/>
      <c r="Q955" s="1534"/>
      <c r="R955" s="1534"/>
      <c r="S955" s="1535"/>
      <c r="U955" s="66" t="s">
        <v>11</v>
      </c>
      <c r="V955" s="5"/>
      <c r="W955" s="5"/>
      <c r="X955" s="5"/>
      <c r="Y955" s="5"/>
      <c r="Z955" s="5"/>
      <c r="AA955" s="5"/>
      <c r="AB955" s="5"/>
      <c r="AC955" s="5"/>
      <c r="AD955" s="46"/>
      <c r="AE955" s="1533" t="s">
        <v>592</v>
      </c>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t="s">
        <v>592</v>
      </c>
      <c r="N967" s="1531"/>
      <c r="O967" s="1531"/>
      <c r="P967" s="1531"/>
      <c r="Q967" s="1531"/>
      <c r="R967" s="1531"/>
      <c r="S967" s="1532"/>
      <c r="T967" s="66" t="s">
        <v>791</v>
      </c>
      <c r="U967" s="5"/>
      <c r="V967" s="5"/>
      <c r="W967" s="5"/>
      <c r="X967" s="5"/>
      <c r="Y967" s="5"/>
      <c r="Z967" s="46"/>
      <c r="AA967" s="1530" t="s">
        <v>592</v>
      </c>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t="s">
        <v>592</v>
      </c>
      <c r="N968" s="1531"/>
      <c r="O968" s="1531"/>
      <c r="P968" s="1531"/>
      <c r="Q968" s="1531"/>
      <c r="R968" s="1531"/>
      <c r="S968" s="1532"/>
      <c r="T968" s="66" t="s">
        <v>790</v>
      </c>
      <c r="U968" s="5"/>
      <c r="V968" s="5"/>
      <c r="W968" s="5"/>
      <c r="X968" s="5"/>
      <c r="Y968" s="5"/>
      <c r="Z968" s="46"/>
      <c r="AA968" s="1530" t="s">
        <v>592</v>
      </c>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t="s">
        <v>592</v>
      </c>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t="s">
        <v>592</v>
      </c>
      <c r="N970" s="1531"/>
      <c r="O970" s="1531"/>
      <c r="P970" s="1531"/>
      <c r="Q970" s="1531"/>
      <c r="R970" s="1531"/>
      <c r="S970" s="1532"/>
      <c r="T970" s="45" t="s">
        <v>338</v>
      </c>
      <c r="U970" s="5"/>
      <c r="V970" s="5"/>
      <c r="W970" s="5"/>
      <c r="X970" s="5"/>
      <c r="Y970" s="5"/>
      <c r="Z970" s="46"/>
      <c r="AA970" s="1530" t="s">
        <v>592</v>
      </c>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t="s">
        <v>592</v>
      </c>
      <c r="N971" s="1531"/>
      <c r="O971" s="1531"/>
      <c r="P971" s="1531"/>
      <c r="Q971" s="1531"/>
      <c r="R971" s="1531"/>
      <c r="S971" s="1532"/>
      <c r="T971" s="45" t="s">
        <v>376</v>
      </c>
      <c r="U971" s="5"/>
      <c r="V971" s="5"/>
      <c r="W971" s="5"/>
      <c r="X971" s="5"/>
      <c r="Y971" s="5"/>
      <c r="Z971" s="46"/>
      <c r="AA971" s="1530" t="s">
        <v>592</v>
      </c>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t="s">
        <v>592</v>
      </c>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396888</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457608</v>
      </c>
      <c r="S987" s="1552"/>
      <c r="T987" s="1552"/>
      <c r="U987" s="1552"/>
      <c r="V987" s="1552"/>
      <c r="W987" s="1552"/>
      <c r="X987" s="1552"/>
      <c r="Y987" s="1552"/>
      <c r="Z987" s="1552"/>
      <c r="AA987" s="1552"/>
      <c r="AB987" s="1389">
        <f>CU802</f>
        <v>24</v>
      </c>
      <c r="AC987" s="1390"/>
      <c r="AD987" s="1390"/>
      <c r="AE987" s="1390"/>
      <c r="AF987" s="1390"/>
      <c r="AG987" s="1390"/>
      <c r="AH987" s="1390"/>
      <c r="AI987" s="1391"/>
      <c r="AJ987" s="1488">
        <f>IF(ISERROR((R987*AB987)),0,(R987*AB987))</f>
        <v>10982592</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552000</v>
      </c>
      <c r="S988" s="1552"/>
      <c r="T988" s="1552"/>
      <c r="U988" s="1552"/>
      <c r="V988" s="1552"/>
      <c r="W988" s="1552"/>
      <c r="X988" s="1552"/>
      <c r="Y988" s="1552"/>
      <c r="Z988" s="1552"/>
      <c r="AA988" s="1552"/>
      <c r="AB988" s="1389">
        <f>CZ802</f>
        <v>53</v>
      </c>
      <c r="AC988" s="1390"/>
      <c r="AD988" s="1390"/>
      <c r="AE988" s="1390"/>
      <c r="AF988" s="1390"/>
      <c r="AG988" s="1390"/>
      <c r="AH988" s="1390"/>
      <c r="AI988" s="1391"/>
      <c r="AJ988" s="1488">
        <f>IF(ISERROR((R988*AB988)),0,(R988*AB988))</f>
        <v>29256000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706560</v>
      </c>
      <c r="S989" s="1552"/>
      <c r="T989" s="1552"/>
      <c r="U989" s="1552"/>
      <c r="V989" s="1552"/>
      <c r="W989" s="1552"/>
      <c r="X989" s="1552"/>
      <c r="Y989" s="1552"/>
      <c r="Z989" s="1552"/>
      <c r="AA989" s="1552"/>
      <c r="AB989" s="1389">
        <f>DE802</f>
        <v>35</v>
      </c>
      <c r="AC989" s="1390"/>
      <c r="AD989" s="1390"/>
      <c r="AE989" s="1390"/>
      <c r="AF989" s="1390"/>
      <c r="AG989" s="1390"/>
      <c r="AH989" s="1390"/>
      <c r="AI989" s="1391"/>
      <c r="AJ989" s="1488">
        <f>IF(ISERROR((R989*AB989)),0,(R989*AB989))</f>
        <v>24729600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787152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112</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64968192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2234</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2205</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112</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0.6</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2606</v>
      </c>
    </row>
    <row r="1013" spans="1:52" ht="12.95"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2235</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74541.642857142855</v>
      </c>
      <c r="BB1038" s="1183" t="s">
        <v>2488</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0.7142857142857143</v>
      </c>
      <c r="BB1039" s="3" t="s">
        <v>2492</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2490</v>
      </c>
    </row>
    <row r="1042" spans="1:56" ht="12.95" customHeight="1">
      <c r="A1042" s="14"/>
      <c r="B1042" s="73"/>
      <c r="C1042" s="74"/>
      <c r="D1042" s="1507" t="s">
        <v>2144</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2491</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38980915.199999996</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2534398.5921176467</v>
      </c>
      <c r="BA1046" s="1182">
        <f>IF(BA1040,20%,15%)</f>
        <v>0.15</v>
      </c>
      <c r="BB1046" s="3" t="s">
        <v>2478</v>
      </c>
      <c r="BC1046" s="3" t="s">
        <v>2479</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0">
        <f>AY1003</f>
        <v>112</v>
      </c>
      <c r="J1048" s="1571"/>
      <c r="K1048" s="7"/>
      <c r="L1048" s="133"/>
      <c r="M1048" s="133"/>
      <c r="N1048" s="133"/>
      <c r="O1048" s="133"/>
      <c r="P1048" s="133"/>
      <c r="Q1048" s="133"/>
      <c r="R1048" s="133"/>
      <c r="S1048" s="133"/>
      <c r="T1048" s="133"/>
      <c r="U1048" s="133"/>
      <c r="V1048" s="134" t="s">
        <v>973</v>
      </c>
      <c r="W1048" s="48"/>
      <c r="X1048" s="1568">
        <f>CI753</f>
        <v>68</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1171409</v>
      </c>
      <c r="BA1048" s="1182" cm="1">
        <f t="array" ref="BA1048">_xlfn.IFS(X180="Yes",5%,$BA$1038&gt;50000,15%,BA1039&gt;=30%,15%,TRUE,5%)</f>
        <v>0.05</v>
      </c>
      <c r="BB1048" s="3" t="s">
        <v>2478</v>
      </c>
      <c r="BC1048" s="3" t="s">
        <v>2481</v>
      </c>
      <c r="BD1048" s="3"/>
    </row>
    <row r="1049" spans="1:56" ht="12.95" customHeight="1">
      <c r="A1049" s="14"/>
      <c r="B1049" s="79"/>
      <c r="C1049" s="131" t="s">
        <v>1685</v>
      </c>
      <c r="D1049" s="1494" t="s">
        <v>2170</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12993638.4</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112</v>
      </c>
      <c r="J1052" s="1571"/>
      <c r="K1052" s="14"/>
      <c r="L1052" s="133"/>
      <c r="M1052" s="133"/>
      <c r="N1052" s="133"/>
      <c r="O1052" s="133"/>
      <c r="P1052" s="133"/>
      <c r="Q1052" s="133"/>
      <c r="R1052" s="133"/>
      <c r="S1052" s="133"/>
      <c r="T1052" s="133"/>
      <c r="U1052" s="133"/>
      <c r="V1052" s="134" t="s">
        <v>974</v>
      </c>
      <c r="X1052" s="1568">
        <f>CM753</f>
        <v>12</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116942745.59999999</v>
      </c>
      <c r="AK1053" s="1580"/>
      <c r="AL1053" s="1580"/>
      <c r="AM1053" s="1580"/>
      <c r="AN1053" s="1580"/>
      <c r="AO1053" s="1580"/>
      <c r="AP1053" s="1580"/>
      <c r="AQ1053" s="1581"/>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'Sources and Uses Budget'!S107+'Sources and Uses Budget'!T107</f>
        <v>43324170.614117645</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3705807.5921176467</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IFERROR((AA1056-BA1059)/(AJ1053-AJ1045-AJ1049),"")</f>
        <v>0.65915595456492981</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'Sources and Uses Budget'!$S$104+'Sources and Uses Budget'!$T$104</f>
        <v>3000000</v>
      </c>
      <c r="BB1058" s="3" t="s">
        <v>2493</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MAX($BA$1058-$BA$1055,0)</f>
        <v>500000</v>
      </c>
      <c r="BB1059" s="3" t="s">
        <v>2494</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P78" zoomScaleNormal="100" workbookViewId="0">
      <selection activeCell="T105" sqref="T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1)U.S. Bank National Association - Permanent Loan</v>
      </c>
      <c r="G2" s="139" t="str">
        <f>Application!B628&amp;Application!C628</f>
        <v>2)City of Anaheim - Residual Receipts Loan (Assumed Debt)</v>
      </c>
      <c r="H2" s="139" t="str">
        <f>Application!B629&amp;Application!C629</f>
        <v>3)City of Anaheim - Residual Receipts Loan (Assumed Debt) and Ground Lease Extension Note Accrued Interest</v>
      </c>
      <c r="I2" s="139" t="str">
        <f>Application!B630&amp;Application!C630</f>
        <v>4)City of Anaheim - Ground Lease Extension Note</v>
      </c>
      <c r="J2" s="139" t="str">
        <f>Application!B631&amp;Application!C631</f>
        <v>5)Existing Replacement Reserves</v>
      </c>
      <c r="K2" s="139" t="str">
        <f>Application!B632&amp;Application!C632</f>
        <v>6)NOI During Construction</v>
      </c>
      <c r="L2" s="139" t="str">
        <f>Application!B633&amp;Application!C633</f>
        <v>7)Deferred Developer Fee</v>
      </c>
      <c r="M2" s="139" t="str">
        <f>Application!B634&amp;Application!C634</f>
        <v>8)General Partner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C4-SUM(F4:Q4)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v>0</v>
      </c>
      <c r="D5" s="147"/>
      <c r="E5" s="147">
        <f t="shared" ref="E5:E7" si="0">C5-SUM(F5:Q5)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595</v>
      </c>
      <c r="B9" s="146">
        <f>SUM(C9+D9)</f>
        <v>0</v>
      </c>
      <c r="C9" s="147"/>
      <c r="D9" s="147"/>
      <c r="E9" s="147">
        <f>C9-SUM(F9:Q9)</f>
        <v>0</v>
      </c>
      <c r="F9" s="147"/>
      <c r="G9" s="147"/>
      <c r="H9" s="147"/>
      <c r="I9" s="147"/>
      <c r="J9" s="147"/>
      <c r="K9" s="147"/>
      <c r="L9" s="147"/>
      <c r="M9" s="147"/>
      <c r="N9" s="147"/>
      <c r="O9" s="147"/>
      <c r="P9" s="147"/>
      <c r="Q9" s="147"/>
      <c r="R9" s="516">
        <f>SUM(E9:Q9)</f>
        <v>0</v>
      </c>
      <c r="S9" s="148"/>
      <c r="T9" s="147">
        <v>0</v>
      </c>
      <c r="U9" s="143"/>
    </row>
    <row r="10" spans="1:21" s="144" customFormat="1">
      <c r="A10" s="145" t="s">
        <v>596</v>
      </c>
      <c r="B10" s="146">
        <f>SUM(C10+D10)</f>
        <v>0</v>
      </c>
      <c r="C10" s="147">
        <v>0</v>
      </c>
      <c r="D10" s="147"/>
      <c r="E10" s="147">
        <f>C10-SUM(F10:Q10)</f>
        <v>0</v>
      </c>
      <c r="F10" s="147"/>
      <c r="G10" s="147"/>
      <c r="H10" s="147"/>
      <c r="I10" s="147"/>
      <c r="J10" s="147"/>
      <c r="K10" s="147"/>
      <c r="L10" s="147"/>
      <c r="M10" s="147"/>
      <c r="N10" s="147"/>
      <c r="O10" s="147"/>
      <c r="P10" s="147"/>
      <c r="Q10" s="147"/>
      <c r="R10" s="516">
        <f>SUM(E10:Q10)</f>
        <v>0</v>
      </c>
      <c r="S10" s="147"/>
      <c r="T10" s="147">
        <v>0</v>
      </c>
      <c r="U10" s="143"/>
    </row>
    <row r="11" spans="1:21" s="144" customFormat="1">
      <c r="A11" s="149" t="s">
        <v>597</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c r="A12" s="149" t="s">
        <v>84</v>
      </c>
      <c r="B12" s="146">
        <f t="shared" ref="B12:Q12" si="3">SUM(B8+B11)</f>
        <v>0</v>
      </c>
      <c r="C12" s="146">
        <f t="shared" si="3"/>
        <v>0</v>
      </c>
      <c r="D12" s="146">
        <f t="shared" si="3"/>
        <v>0</v>
      </c>
      <c r="E12" s="146">
        <f t="shared" si="3"/>
        <v>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0</v>
      </c>
      <c r="S12" s="148"/>
      <c r="T12" s="148"/>
      <c r="U12" s="143"/>
    </row>
    <row r="13" spans="1:21" s="144" customFormat="1">
      <c r="A13" s="287" t="s">
        <v>903</v>
      </c>
      <c r="B13" s="146">
        <f>SUM(C13+D13)</f>
        <v>0</v>
      </c>
      <c r="C13" s="147">
        <v>0</v>
      </c>
      <c r="D13" s="147"/>
      <c r="E13" s="147">
        <f>C13-SUM(F13:Q13)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24140341</v>
      </c>
      <c r="C14" s="147">
        <v>24140341</v>
      </c>
      <c r="D14" s="147"/>
      <c r="E14" s="147">
        <f t="shared" ref="E14:E15" si="4">C14-SUM(F14:Q14)</f>
        <v>0</v>
      </c>
      <c r="F14" s="147">
        <v>3346958</v>
      </c>
      <c r="G14" s="147">
        <v>18793383</v>
      </c>
      <c r="H14" s="147"/>
      <c r="I14" s="147">
        <v>2000000</v>
      </c>
      <c r="J14" s="147"/>
      <c r="K14" s="147"/>
      <c r="L14" s="147"/>
      <c r="M14" s="147"/>
      <c r="N14" s="147"/>
      <c r="O14" s="147"/>
      <c r="P14" s="147"/>
      <c r="Q14" s="147"/>
      <c r="R14" s="516">
        <f>SUM(E14:Q14)</f>
        <v>24140341</v>
      </c>
      <c r="S14" s="147"/>
      <c r="T14" s="147">
        <v>23416130</v>
      </c>
      <c r="U14" s="143"/>
    </row>
    <row r="15" spans="1:21" s="144" customFormat="1">
      <c r="A15" s="288" t="s">
        <v>1161</v>
      </c>
      <c r="B15" s="146">
        <f>SUM(C15+D15)</f>
        <v>0</v>
      </c>
      <c r="C15" s="147">
        <v>0</v>
      </c>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5">SUM(C17+D17)</f>
        <v>2571000</v>
      </c>
      <c r="C17" s="147">
        <v>2571000</v>
      </c>
      <c r="D17" s="147"/>
      <c r="E17" s="147">
        <f>C17-SUM(F17:Q17)</f>
        <v>0</v>
      </c>
      <c r="F17" s="147">
        <v>2571000</v>
      </c>
      <c r="G17" s="147"/>
      <c r="H17" s="147"/>
      <c r="I17" s="147"/>
      <c r="J17" s="147"/>
      <c r="K17" s="147"/>
      <c r="L17" s="147"/>
      <c r="M17" s="147"/>
      <c r="N17" s="147"/>
      <c r="O17" s="147"/>
      <c r="P17" s="147"/>
      <c r="Q17" s="147"/>
      <c r="R17" s="516">
        <f>SUM(E17:Q17)</f>
        <v>2571000</v>
      </c>
      <c r="S17" s="147">
        <v>2571000</v>
      </c>
      <c r="T17" s="147">
        <v>0</v>
      </c>
      <c r="U17" s="143"/>
    </row>
    <row r="18" spans="1:21" s="144" customFormat="1">
      <c r="A18" s="145" t="s">
        <v>600</v>
      </c>
      <c r="B18" s="146">
        <f t="shared" si="5"/>
        <v>5777664</v>
      </c>
      <c r="C18" s="147">
        <v>5777664</v>
      </c>
      <c r="D18" s="147"/>
      <c r="E18" s="147">
        <f t="shared" ref="E18:E25" si="6">C18-SUM(F18:Q18)</f>
        <v>0</v>
      </c>
      <c r="F18" s="147">
        <v>5536642</v>
      </c>
      <c r="G18" s="147"/>
      <c r="H18" s="147"/>
      <c r="I18" s="147"/>
      <c r="J18" s="147">
        <v>240922</v>
      </c>
      <c r="K18" s="147"/>
      <c r="L18" s="147"/>
      <c r="M18" s="147">
        <v>100</v>
      </c>
      <c r="N18" s="147"/>
      <c r="O18" s="147"/>
      <c r="P18" s="147"/>
      <c r="Q18" s="147"/>
      <c r="R18" s="516">
        <f>SUM(E18:Q18)</f>
        <v>5777664</v>
      </c>
      <c r="S18" s="147">
        <v>5777664</v>
      </c>
      <c r="T18" s="147">
        <v>0</v>
      </c>
      <c r="U18" s="143"/>
    </row>
    <row r="19" spans="1:21" s="144" customFormat="1">
      <c r="A19" s="145" t="s">
        <v>601</v>
      </c>
      <c r="B19" s="146">
        <f t="shared" si="5"/>
        <v>518920</v>
      </c>
      <c r="C19" s="147">
        <v>518920</v>
      </c>
      <c r="D19" s="147"/>
      <c r="E19" s="147">
        <f t="shared" si="6"/>
        <v>518920</v>
      </c>
      <c r="F19" s="147"/>
      <c r="G19" s="147"/>
      <c r="H19" s="147"/>
      <c r="I19" s="147"/>
      <c r="J19" s="147"/>
      <c r="K19" s="147"/>
      <c r="L19" s="147"/>
      <c r="M19" s="147"/>
      <c r="N19" s="147"/>
      <c r="O19" s="147"/>
      <c r="P19" s="147"/>
      <c r="Q19" s="147"/>
      <c r="R19" s="516">
        <f>SUM(E19:Q19)</f>
        <v>518920</v>
      </c>
      <c r="S19" s="147">
        <v>518920</v>
      </c>
      <c r="T19" s="147">
        <v>0</v>
      </c>
      <c r="U19" s="143"/>
    </row>
    <row r="20" spans="1:21" s="144" customFormat="1">
      <c r="A20" s="145" t="s">
        <v>137</v>
      </c>
      <c r="B20" s="146">
        <f t="shared" si="5"/>
        <v>275028</v>
      </c>
      <c r="C20" s="147">
        <v>275028</v>
      </c>
      <c r="D20" s="147"/>
      <c r="E20" s="147">
        <f t="shared" si="6"/>
        <v>275028</v>
      </c>
      <c r="F20" s="147"/>
      <c r="G20" s="147"/>
      <c r="H20" s="147"/>
      <c r="I20" s="147"/>
      <c r="J20" s="147"/>
      <c r="K20" s="147"/>
      <c r="L20" s="147"/>
      <c r="M20" s="147"/>
      <c r="N20" s="147"/>
      <c r="O20" s="147"/>
      <c r="P20" s="147"/>
      <c r="Q20" s="147"/>
      <c r="R20" s="516">
        <f t="shared" ref="R20:R27" si="7">SUM(E20:Q20)</f>
        <v>275028</v>
      </c>
      <c r="S20" s="147">
        <v>275028</v>
      </c>
      <c r="T20" s="147">
        <v>0</v>
      </c>
      <c r="U20" s="143"/>
    </row>
    <row r="21" spans="1:21" s="144" customFormat="1">
      <c r="A21" s="145" t="s">
        <v>138</v>
      </c>
      <c r="B21" s="146">
        <f t="shared" si="5"/>
        <v>458379</v>
      </c>
      <c r="C21" s="147">
        <v>458379</v>
      </c>
      <c r="D21" s="147"/>
      <c r="E21" s="147">
        <f t="shared" si="6"/>
        <v>458379</v>
      </c>
      <c r="F21" s="147"/>
      <c r="G21" s="147"/>
      <c r="H21" s="147"/>
      <c r="I21" s="147"/>
      <c r="J21" s="147"/>
      <c r="K21" s="147"/>
      <c r="L21" s="147"/>
      <c r="M21" s="147"/>
      <c r="N21" s="147"/>
      <c r="O21" s="147"/>
      <c r="P21" s="147"/>
      <c r="Q21" s="147"/>
      <c r="R21" s="516">
        <f t="shared" si="7"/>
        <v>458379</v>
      </c>
      <c r="S21" s="147">
        <v>458379</v>
      </c>
      <c r="T21" s="147">
        <v>0</v>
      </c>
      <c r="U21" s="143"/>
    </row>
    <row r="22" spans="1:21" s="144" customFormat="1">
      <c r="A22" s="145" t="s">
        <v>139</v>
      </c>
      <c r="B22" s="146">
        <f t="shared" si="5"/>
        <v>0</v>
      </c>
      <c r="C22" s="147">
        <v>0</v>
      </c>
      <c r="D22" s="147"/>
      <c r="E22" s="147">
        <f t="shared" si="6"/>
        <v>0</v>
      </c>
      <c r="F22" s="147"/>
      <c r="G22" s="147"/>
      <c r="H22" s="147"/>
      <c r="I22" s="147"/>
      <c r="J22" s="147"/>
      <c r="K22" s="147"/>
      <c r="L22" s="147"/>
      <c r="M22" s="147"/>
      <c r="N22" s="147"/>
      <c r="O22" s="147"/>
      <c r="P22" s="147"/>
      <c r="Q22" s="147"/>
      <c r="R22" s="516">
        <f t="shared" si="7"/>
        <v>0</v>
      </c>
      <c r="S22" s="147">
        <v>0</v>
      </c>
      <c r="T22" s="147">
        <v>0</v>
      </c>
      <c r="U22" s="143"/>
    </row>
    <row r="23" spans="1:21" s="144" customFormat="1">
      <c r="A23" s="145" t="s">
        <v>140</v>
      </c>
      <c r="B23" s="146">
        <f t="shared" si="5"/>
        <v>99009</v>
      </c>
      <c r="C23" s="147">
        <v>99009</v>
      </c>
      <c r="D23" s="147"/>
      <c r="E23" s="147">
        <f t="shared" si="6"/>
        <v>99009</v>
      </c>
      <c r="F23" s="147"/>
      <c r="G23" s="147"/>
      <c r="H23" s="147"/>
      <c r="I23" s="147"/>
      <c r="J23" s="147"/>
      <c r="K23" s="147"/>
      <c r="L23" s="147"/>
      <c r="M23" s="147"/>
      <c r="N23" s="147"/>
      <c r="O23" s="147"/>
      <c r="P23" s="147"/>
      <c r="Q23" s="147"/>
      <c r="R23" s="516">
        <f t="shared" si="7"/>
        <v>99009</v>
      </c>
      <c r="S23" s="147">
        <v>99009</v>
      </c>
      <c r="T23" s="147">
        <v>0</v>
      </c>
      <c r="U23" s="143"/>
    </row>
    <row r="24" spans="1:21" s="144" customFormat="1">
      <c r="A24" s="508" t="s">
        <v>1640</v>
      </c>
      <c r="B24" s="146">
        <f t="shared" si="5"/>
        <v>0</v>
      </c>
      <c r="C24" s="147"/>
      <c r="D24" s="147"/>
      <c r="E24" s="147">
        <f t="shared" si="6"/>
        <v>0</v>
      </c>
      <c r="F24" s="147"/>
      <c r="G24" s="147"/>
      <c r="H24" s="147"/>
      <c r="I24" s="147"/>
      <c r="J24" s="147"/>
      <c r="K24" s="147"/>
      <c r="L24" s="147"/>
      <c r="M24" s="147"/>
      <c r="N24" s="147"/>
      <c r="O24" s="147"/>
      <c r="P24" s="147"/>
      <c r="Q24" s="147"/>
      <c r="R24" s="516">
        <f t="shared" si="7"/>
        <v>0</v>
      </c>
      <c r="S24" s="147"/>
      <c r="T24" s="147">
        <v>0</v>
      </c>
      <c r="U24" s="143"/>
    </row>
    <row r="25" spans="1:21" s="144" customFormat="1">
      <c r="A25" s="1149" t="s">
        <v>2670</v>
      </c>
      <c r="B25" s="146">
        <f t="shared" si="5"/>
        <v>300000</v>
      </c>
      <c r="C25" s="147">
        <v>300000</v>
      </c>
      <c r="D25" s="147"/>
      <c r="E25" s="147">
        <f t="shared" si="6"/>
        <v>300000</v>
      </c>
      <c r="F25" s="147"/>
      <c r="G25" s="147"/>
      <c r="H25" s="147"/>
      <c r="I25" s="147"/>
      <c r="J25" s="147"/>
      <c r="K25" s="147"/>
      <c r="L25" s="147"/>
      <c r="M25" s="147"/>
      <c r="N25" s="147"/>
      <c r="O25" s="147"/>
      <c r="P25" s="147"/>
      <c r="Q25" s="147"/>
      <c r="R25" s="516">
        <f t="shared" si="7"/>
        <v>300000</v>
      </c>
      <c r="S25" s="147">
        <v>300000</v>
      </c>
      <c r="T25" s="147">
        <v>0</v>
      </c>
      <c r="U25" s="143"/>
    </row>
    <row r="26" spans="1:21" s="144" customFormat="1">
      <c r="A26" s="149" t="s">
        <v>133</v>
      </c>
      <c r="B26" s="146">
        <f t="shared" si="5"/>
        <v>10000000</v>
      </c>
      <c r="C26" s="146">
        <f>SUM(C17:C25)</f>
        <v>10000000</v>
      </c>
      <c r="D26" s="146">
        <f t="shared" ref="D26:Q26" si="8">SUM(D17:D25)</f>
        <v>0</v>
      </c>
      <c r="E26" s="146">
        <f t="shared" si="8"/>
        <v>1651336</v>
      </c>
      <c r="F26" s="146">
        <f t="shared" si="8"/>
        <v>8107642</v>
      </c>
      <c r="G26" s="146">
        <f t="shared" si="8"/>
        <v>0</v>
      </c>
      <c r="H26" s="146">
        <f t="shared" si="8"/>
        <v>0</v>
      </c>
      <c r="I26" s="146">
        <f t="shared" si="8"/>
        <v>0</v>
      </c>
      <c r="J26" s="146">
        <f t="shared" si="8"/>
        <v>240922</v>
      </c>
      <c r="K26" s="146">
        <f t="shared" si="8"/>
        <v>0</v>
      </c>
      <c r="L26" s="146">
        <f t="shared" si="8"/>
        <v>0</v>
      </c>
      <c r="M26" s="146">
        <f t="shared" si="8"/>
        <v>100</v>
      </c>
      <c r="N26" s="146">
        <f t="shared" si="8"/>
        <v>0</v>
      </c>
      <c r="O26" s="146">
        <f t="shared" si="8"/>
        <v>0</v>
      </c>
      <c r="P26" s="146">
        <f t="shared" si="8"/>
        <v>0</v>
      </c>
      <c r="Q26" s="146">
        <f t="shared" si="8"/>
        <v>0</v>
      </c>
      <c r="R26" s="342">
        <f>SUM(R17:R25)</f>
        <v>10000000</v>
      </c>
      <c r="S26" s="150">
        <f>SUM(S17:S25)</f>
        <v>10000000</v>
      </c>
      <c r="T26" s="150">
        <f>SUM(T17:T25)</f>
        <v>0</v>
      </c>
      <c r="U26" s="143"/>
    </row>
    <row r="27" spans="1:21" s="144" customFormat="1">
      <c r="A27" s="149" t="s">
        <v>141</v>
      </c>
      <c r="B27" s="146">
        <f>SUM(C27:D27)</f>
        <v>1400000</v>
      </c>
      <c r="C27" s="147">
        <v>1400000</v>
      </c>
      <c r="D27" s="147"/>
      <c r="E27" s="147">
        <f>C27-SUM(F27:Q27)</f>
        <v>1108600</v>
      </c>
      <c r="F27" s="147">
        <v>291400</v>
      </c>
      <c r="G27" s="147"/>
      <c r="H27" s="147"/>
      <c r="I27" s="147"/>
      <c r="J27" s="147"/>
      <c r="K27" s="147"/>
      <c r="L27" s="147"/>
      <c r="M27" s="147"/>
      <c r="N27" s="147"/>
      <c r="O27" s="147"/>
      <c r="P27" s="147"/>
      <c r="Q27" s="147"/>
      <c r="R27" s="516">
        <f t="shared" si="7"/>
        <v>1400000</v>
      </c>
      <c r="S27" s="147">
        <v>1400000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9">SUM(C29+D29)</f>
        <v>0</v>
      </c>
      <c r="C29" s="147">
        <v>0</v>
      </c>
      <c r="D29" s="147"/>
      <c r="E29" s="147">
        <f>C29-SUM(F29:Q29)</f>
        <v>0</v>
      </c>
      <c r="F29" s="147"/>
      <c r="G29" s="147"/>
      <c r="H29" s="147"/>
      <c r="I29" s="147"/>
      <c r="J29" s="147"/>
      <c r="K29" s="147"/>
      <c r="L29" s="147"/>
      <c r="M29" s="147"/>
      <c r="N29" s="147"/>
      <c r="O29" s="147"/>
      <c r="P29" s="147"/>
      <c r="Q29" s="147"/>
      <c r="R29" s="516">
        <f t="shared" ref="R29:R37" si="10">SUM(E29:Q29)</f>
        <v>0</v>
      </c>
      <c r="S29" s="147">
        <v>0</v>
      </c>
      <c r="T29" s="147">
        <v>0</v>
      </c>
      <c r="U29" s="143"/>
    </row>
    <row r="30" spans="1:21" s="144" customFormat="1">
      <c r="A30" s="145" t="s">
        <v>600</v>
      </c>
      <c r="B30" s="146">
        <f t="shared" si="9"/>
        <v>0</v>
      </c>
      <c r="C30" s="147">
        <v>0</v>
      </c>
      <c r="D30" s="147"/>
      <c r="E30" s="147">
        <f t="shared" ref="E30:E37" si="11">C30-SUM(F30:Q30)</f>
        <v>0</v>
      </c>
      <c r="F30" s="147"/>
      <c r="G30" s="147"/>
      <c r="H30" s="147"/>
      <c r="I30" s="147"/>
      <c r="J30" s="147"/>
      <c r="K30" s="147"/>
      <c r="L30" s="147"/>
      <c r="M30" s="147"/>
      <c r="N30" s="147"/>
      <c r="O30" s="147"/>
      <c r="P30" s="147"/>
      <c r="Q30" s="147"/>
      <c r="R30" s="516">
        <f t="shared" si="10"/>
        <v>0</v>
      </c>
      <c r="S30" s="147">
        <v>0</v>
      </c>
      <c r="T30" s="147">
        <v>0</v>
      </c>
      <c r="U30" s="143"/>
    </row>
    <row r="31" spans="1:21" s="144" customFormat="1">
      <c r="A31" s="145" t="s">
        <v>601</v>
      </c>
      <c r="B31" s="146">
        <f t="shared" si="9"/>
        <v>0</v>
      </c>
      <c r="C31" s="147">
        <v>0</v>
      </c>
      <c r="D31" s="147"/>
      <c r="E31" s="147">
        <f t="shared" si="11"/>
        <v>0</v>
      </c>
      <c r="F31" s="147"/>
      <c r="G31" s="147"/>
      <c r="H31" s="147"/>
      <c r="I31" s="147"/>
      <c r="J31" s="147"/>
      <c r="K31" s="147"/>
      <c r="L31" s="147"/>
      <c r="M31" s="147"/>
      <c r="N31" s="147"/>
      <c r="O31" s="147"/>
      <c r="P31" s="147"/>
      <c r="Q31" s="147"/>
      <c r="R31" s="516">
        <f t="shared" si="10"/>
        <v>0</v>
      </c>
      <c r="S31" s="147">
        <v>0</v>
      </c>
      <c r="T31" s="147">
        <v>0</v>
      </c>
      <c r="U31" s="143"/>
    </row>
    <row r="32" spans="1:21" s="144" customFormat="1">
      <c r="A32" s="145" t="s">
        <v>137</v>
      </c>
      <c r="B32" s="146">
        <f t="shared" si="9"/>
        <v>0</v>
      </c>
      <c r="C32" s="147">
        <v>0</v>
      </c>
      <c r="D32" s="147"/>
      <c r="E32" s="147">
        <f t="shared" si="11"/>
        <v>0</v>
      </c>
      <c r="F32" s="147"/>
      <c r="G32" s="147"/>
      <c r="H32" s="147"/>
      <c r="I32" s="147"/>
      <c r="J32" s="147"/>
      <c r="K32" s="147"/>
      <c r="L32" s="147"/>
      <c r="M32" s="147"/>
      <c r="N32" s="147"/>
      <c r="O32" s="147"/>
      <c r="P32" s="147"/>
      <c r="Q32" s="147"/>
      <c r="R32" s="516">
        <f t="shared" si="10"/>
        <v>0</v>
      </c>
      <c r="S32" s="147">
        <v>0</v>
      </c>
      <c r="T32" s="147">
        <v>0</v>
      </c>
      <c r="U32" s="143"/>
    </row>
    <row r="33" spans="1:21" s="144" customFormat="1">
      <c r="A33" s="145" t="s">
        <v>138</v>
      </c>
      <c r="B33" s="146">
        <f t="shared" si="9"/>
        <v>0</v>
      </c>
      <c r="C33" s="147">
        <v>0</v>
      </c>
      <c r="D33" s="147"/>
      <c r="E33" s="147">
        <f t="shared" si="11"/>
        <v>0</v>
      </c>
      <c r="F33" s="147"/>
      <c r="G33" s="147"/>
      <c r="H33" s="147"/>
      <c r="I33" s="147"/>
      <c r="J33" s="147"/>
      <c r="K33" s="147"/>
      <c r="L33" s="147"/>
      <c r="M33" s="147"/>
      <c r="N33" s="147"/>
      <c r="O33" s="147"/>
      <c r="P33" s="147"/>
      <c r="Q33" s="147"/>
      <c r="R33" s="516">
        <f t="shared" si="10"/>
        <v>0</v>
      </c>
      <c r="S33" s="147">
        <v>0</v>
      </c>
      <c r="T33" s="147">
        <v>0</v>
      </c>
      <c r="U33" s="143"/>
    </row>
    <row r="34" spans="1:21" s="144" customFormat="1">
      <c r="A34" s="145" t="s">
        <v>139</v>
      </c>
      <c r="B34" s="146">
        <f t="shared" si="9"/>
        <v>0</v>
      </c>
      <c r="C34" s="147">
        <v>0</v>
      </c>
      <c r="D34" s="147"/>
      <c r="E34" s="147">
        <f t="shared" si="11"/>
        <v>0</v>
      </c>
      <c r="F34" s="147"/>
      <c r="G34" s="147"/>
      <c r="H34" s="147"/>
      <c r="I34" s="147"/>
      <c r="J34" s="147"/>
      <c r="K34" s="147"/>
      <c r="L34" s="147"/>
      <c r="M34" s="147"/>
      <c r="N34" s="147"/>
      <c r="O34" s="147"/>
      <c r="P34" s="147"/>
      <c r="Q34" s="147"/>
      <c r="R34" s="516">
        <f t="shared" si="10"/>
        <v>0</v>
      </c>
      <c r="S34" s="147">
        <v>0</v>
      </c>
      <c r="T34" s="147">
        <v>0</v>
      </c>
      <c r="U34" s="143"/>
    </row>
    <row r="35" spans="1:21" s="144" customFormat="1">
      <c r="A35" s="145" t="s">
        <v>140</v>
      </c>
      <c r="B35" s="146">
        <f t="shared" si="9"/>
        <v>0</v>
      </c>
      <c r="C35" s="147">
        <v>0</v>
      </c>
      <c r="D35" s="147"/>
      <c r="E35" s="147">
        <f t="shared" si="11"/>
        <v>0</v>
      </c>
      <c r="F35" s="147"/>
      <c r="G35" s="147"/>
      <c r="H35" s="147"/>
      <c r="I35" s="147"/>
      <c r="J35" s="147"/>
      <c r="K35" s="147"/>
      <c r="L35" s="147"/>
      <c r="M35" s="147"/>
      <c r="N35" s="147"/>
      <c r="O35" s="147"/>
      <c r="P35" s="147"/>
      <c r="Q35" s="147"/>
      <c r="R35" s="516">
        <f t="shared" si="10"/>
        <v>0</v>
      </c>
      <c r="S35" s="147">
        <v>0</v>
      </c>
      <c r="T35" s="147">
        <v>0</v>
      </c>
      <c r="U35" s="143"/>
    </row>
    <row r="36" spans="1:21" s="144" customFormat="1">
      <c r="A36" s="283" t="s">
        <v>1640</v>
      </c>
      <c r="B36" s="146">
        <f t="shared" si="9"/>
        <v>0</v>
      </c>
      <c r="C36" s="147">
        <v>0</v>
      </c>
      <c r="D36" s="147"/>
      <c r="E36" s="147">
        <f t="shared" si="11"/>
        <v>0</v>
      </c>
      <c r="F36" s="147"/>
      <c r="G36" s="147"/>
      <c r="H36" s="147"/>
      <c r="I36" s="147"/>
      <c r="J36" s="147"/>
      <c r="K36" s="147"/>
      <c r="L36" s="147"/>
      <c r="M36" s="147"/>
      <c r="N36" s="147"/>
      <c r="O36" s="147"/>
      <c r="P36" s="147"/>
      <c r="Q36" s="147"/>
      <c r="R36" s="516">
        <f t="shared" si="10"/>
        <v>0</v>
      </c>
      <c r="S36" s="147">
        <v>0</v>
      </c>
      <c r="T36" s="147">
        <v>0</v>
      </c>
      <c r="U36" s="143"/>
    </row>
    <row r="37" spans="1:21" s="144" customFormat="1">
      <c r="A37" s="1149" t="s">
        <v>34</v>
      </c>
      <c r="B37" s="146">
        <f t="shared" si="9"/>
        <v>0</v>
      </c>
      <c r="C37" s="147">
        <v>0</v>
      </c>
      <c r="D37" s="147"/>
      <c r="E37" s="147">
        <f t="shared" si="11"/>
        <v>0</v>
      </c>
      <c r="F37" s="147"/>
      <c r="G37" s="147"/>
      <c r="H37" s="147"/>
      <c r="I37" s="147"/>
      <c r="J37" s="147"/>
      <c r="K37" s="147"/>
      <c r="L37" s="147"/>
      <c r="M37" s="147"/>
      <c r="N37" s="147"/>
      <c r="O37" s="147"/>
      <c r="P37" s="147"/>
      <c r="Q37" s="147"/>
      <c r="R37" s="516">
        <f t="shared" si="10"/>
        <v>0</v>
      </c>
      <c r="S37" s="147">
        <v>0</v>
      </c>
      <c r="T37" s="147">
        <v>0</v>
      </c>
      <c r="U37" s="143"/>
    </row>
    <row r="38" spans="1:21" s="144" customFormat="1">
      <c r="A38" s="149" t="s">
        <v>143</v>
      </c>
      <c r="B38" s="146">
        <f t="shared" si="9"/>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955000</v>
      </c>
      <c r="C40" s="147">
        <v>955000</v>
      </c>
      <c r="D40" s="147"/>
      <c r="E40" s="147">
        <f>C40-SUM(F40:Q40)</f>
        <v>955000</v>
      </c>
      <c r="F40" s="147"/>
      <c r="G40" s="147"/>
      <c r="H40" s="147"/>
      <c r="I40" s="147"/>
      <c r="J40" s="147"/>
      <c r="K40" s="147"/>
      <c r="L40" s="147"/>
      <c r="M40" s="147"/>
      <c r="N40" s="147"/>
      <c r="O40" s="147"/>
      <c r="P40" s="147"/>
      <c r="Q40" s="147"/>
      <c r="R40" s="516">
        <f>SUM(E40:Q40)</f>
        <v>955000</v>
      </c>
      <c r="S40" s="147">
        <v>955000</v>
      </c>
      <c r="T40" s="147">
        <v>0</v>
      </c>
      <c r="U40" s="143"/>
    </row>
    <row r="41" spans="1:21" s="144" customFormat="1">
      <c r="A41" s="145" t="s">
        <v>146</v>
      </c>
      <c r="B41" s="146">
        <f>SUM(C41+D41)</f>
        <v>295000</v>
      </c>
      <c r="C41" s="147">
        <v>295000</v>
      </c>
      <c r="D41" s="147"/>
      <c r="E41" s="147">
        <f>C41-SUM(F41:Q41)</f>
        <v>295000</v>
      </c>
      <c r="F41" s="147"/>
      <c r="G41" s="147"/>
      <c r="H41" s="147"/>
      <c r="I41" s="147"/>
      <c r="J41" s="147"/>
      <c r="K41" s="147"/>
      <c r="L41" s="147"/>
      <c r="M41" s="147"/>
      <c r="N41" s="147"/>
      <c r="O41" s="147"/>
      <c r="P41" s="147"/>
      <c r="Q41" s="147"/>
      <c r="R41" s="516">
        <f>SUM(E41:Q41)</f>
        <v>295000</v>
      </c>
      <c r="S41" s="147">
        <v>295000</v>
      </c>
      <c r="T41" s="147">
        <v>0</v>
      </c>
      <c r="U41" s="143"/>
    </row>
    <row r="42" spans="1:21" s="144" customFormat="1">
      <c r="A42" s="149" t="s">
        <v>147</v>
      </c>
      <c r="B42" s="146">
        <f>SUM(C42:D42)</f>
        <v>1250000</v>
      </c>
      <c r="C42" s="146">
        <f>SUM(C39:C41)</f>
        <v>1250000</v>
      </c>
      <c r="D42" s="146">
        <f>SUM(D39:D41)</f>
        <v>0</v>
      </c>
      <c r="E42" s="146">
        <f t="shared" ref="E42:T42" si="13">SUM(E40:E41)</f>
        <v>1250000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1250000</v>
      </c>
      <c r="S42" s="150">
        <f t="shared" si="13"/>
        <v>1250000</v>
      </c>
      <c r="T42" s="150">
        <f t="shared" si="13"/>
        <v>0</v>
      </c>
      <c r="U42" s="143"/>
    </row>
    <row r="43" spans="1:21" s="144" customFormat="1">
      <c r="A43" s="149" t="s">
        <v>148</v>
      </c>
      <c r="B43" s="146">
        <f>SUM(C43:D43)</f>
        <v>579000</v>
      </c>
      <c r="C43" s="147">
        <v>579000</v>
      </c>
      <c r="D43" s="147"/>
      <c r="E43" s="147">
        <f>C43-SUM(F43:Q43)</f>
        <v>579000</v>
      </c>
      <c r="F43" s="147"/>
      <c r="G43" s="147"/>
      <c r="H43" s="147"/>
      <c r="I43" s="147"/>
      <c r="J43" s="147"/>
      <c r="K43" s="147"/>
      <c r="L43" s="147"/>
      <c r="M43" s="147"/>
      <c r="N43" s="147"/>
      <c r="O43" s="147"/>
      <c r="P43" s="147"/>
      <c r="Q43" s="147"/>
      <c r="R43" s="516">
        <f>SUM(E43:Q43)</f>
        <v>579000</v>
      </c>
      <c r="S43" s="147">
        <v>579000</v>
      </c>
      <c r="T43" s="147">
        <v>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1797735</v>
      </c>
      <c r="C45" s="147">
        <v>1797735</v>
      </c>
      <c r="D45" s="147"/>
      <c r="E45" s="147">
        <f>C45-SUM(F45:Q45)</f>
        <v>115590</v>
      </c>
      <c r="F45" s="147"/>
      <c r="G45" s="147"/>
      <c r="H45" s="147">
        <v>831735</v>
      </c>
      <c r="I45" s="147"/>
      <c r="J45" s="147"/>
      <c r="K45" s="147">
        <v>850410</v>
      </c>
      <c r="L45" s="147"/>
      <c r="M45" s="147"/>
      <c r="N45" s="147"/>
      <c r="O45" s="147"/>
      <c r="P45" s="147"/>
      <c r="Q45" s="147"/>
      <c r="R45" s="516">
        <f t="shared" ref="R45:R53" si="15">SUM(E45:Q45)</f>
        <v>1797735</v>
      </c>
      <c r="S45" s="147">
        <v>1654735.32</v>
      </c>
      <c r="T45" s="147">
        <v>0</v>
      </c>
      <c r="U45" s="143"/>
    </row>
    <row r="46" spans="1:21" s="144" customFormat="1">
      <c r="A46" s="145" t="s">
        <v>151</v>
      </c>
      <c r="B46" s="146">
        <f t="shared" si="14"/>
        <v>221000</v>
      </c>
      <c r="C46" s="147">
        <v>221000</v>
      </c>
      <c r="D46" s="147"/>
      <c r="E46" s="147">
        <f t="shared" ref="E46:E53" si="16">C46-SUM(F46:Q46)</f>
        <v>221000</v>
      </c>
      <c r="F46" s="147"/>
      <c r="G46" s="147"/>
      <c r="H46" s="147"/>
      <c r="I46" s="147"/>
      <c r="J46" s="147"/>
      <c r="K46" s="147"/>
      <c r="L46" s="147"/>
      <c r="M46" s="147"/>
      <c r="N46" s="147"/>
      <c r="O46" s="147"/>
      <c r="P46" s="147"/>
      <c r="Q46" s="147"/>
      <c r="R46" s="516">
        <f t="shared" si="15"/>
        <v>221000</v>
      </c>
      <c r="S46" s="147">
        <v>103870</v>
      </c>
      <c r="T46" s="147">
        <v>0</v>
      </c>
      <c r="U46" s="143"/>
    </row>
    <row r="47" spans="1:21" s="144" customFormat="1">
      <c r="A47" s="186" t="s">
        <v>152</v>
      </c>
      <c r="B47" s="146">
        <f t="shared" si="14"/>
        <v>524000</v>
      </c>
      <c r="C47" s="147">
        <v>524000</v>
      </c>
      <c r="D47" s="147"/>
      <c r="E47" s="147">
        <f t="shared" si="16"/>
        <v>524000</v>
      </c>
      <c r="F47" s="147"/>
      <c r="G47" s="147"/>
      <c r="H47" s="147"/>
      <c r="I47" s="147"/>
      <c r="J47" s="147"/>
      <c r="K47" s="147"/>
      <c r="L47" s="147"/>
      <c r="M47" s="147"/>
      <c r="N47" s="147"/>
      <c r="O47" s="147"/>
      <c r="P47" s="147"/>
      <c r="Q47" s="147"/>
      <c r="R47" s="516">
        <f t="shared" si="15"/>
        <v>524000</v>
      </c>
      <c r="S47" s="147">
        <v>62235.294117647056</v>
      </c>
      <c r="T47" s="147">
        <v>0</v>
      </c>
      <c r="U47" s="143"/>
    </row>
    <row r="48" spans="1:21" s="144" customFormat="1">
      <c r="A48" s="145" t="s">
        <v>153</v>
      </c>
      <c r="B48" s="146">
        <f t="shared" si="14"/>
        <v>0</v>
      </c>
      <c r="C48" s="147">
        <v>0</v>
      </c>
      <c r="D48" s="147"/>
      <c r="E48" s="147">
        <f t="shared" si="16"/>
        <v>0</v>
      </c>
      <c r="F48" s="147"/>
      <c r="G48" s="147"/>
      <c r="H48" s="147"/>
      <c r="I48" s="147"/>
      <c r="J48" s="147"/>
      <c r="K48" s="147"/>
      <c r="L48" s="147"/>
      <c r="M48" s="147"/>
      <c r="N48" s="147"/>
      <c r="O48" s="147"/>
      <c r="P48" s="147"/>
      <c r="Q48" s="147"/>
      <c r="R48" s="516">
        <f t="shared" si="15"/>
        <v>0</v>
      </c>
      <c r="S48" s="147">
        <v>0</v>
      </c>
      <c r="T48" s="147">
        <v>0</v>
      </c>
      <c r="U48" s="143"/>
    </row>
    <row r="49" spans="1:21" s="144" customFormat="1">
      <c r="A49" s="145" t="s">
        <v>57</v>
      </c>
      <c r="B49" s="146">
        <f t="shared" si="14"/>
        <v>65000</v>
      </c>
      <c r="C49" s="147">
        <v>65000</v>
      </c>
      <c r="D49" s="147"/>
      <c r="E49" s="147">
        <f t="shared" si="16"/>
        <v>65000</v>
      </c>
      <c r="F49" s="147"/>
      <c r="G49" s="147"/>
      <c r="H49" s="147"/>
      <c r="I49" s="147"/>
      <c r="J49" s="147"/>
      <c r="K49" s="147"/>
      <c r="L49" s="147"/>
      <c r="M49" s="147"/>
      <c r="N49" s="147"/>
      <c r="O49" s="147"/>
      <c r="P49" s="147"/>
      <c r="Q49" s="147"/>
      <c r="R49" s="516">
        <f t="shared" si="15"/>
        <v>65000</v>
      </c>
      <c r="S49" s="147">
        <v>0</v>
      </c>
      <c r="T49" s="147">
        <v>0</v>
      </c>
      <c r="U49" s="143"/>
    </row>
    <row r="50" spans="1:21" s="144" customFormat="1">
      <c r="A50" s="145" t="s">
        <v>156</v>
      </c>
      <c r="B50" s="146">
        <f t="shared" si="14"/>
        <v>0</v>
      </c>
      <c r="C50" s="147">
        <v>0</v>
      </c>
      <c r="D50" s="147"/>
      <c r="E50" s="147">
        <f t="shared" si="16"/>
        <v>0</v>
      </c>
      <c r="F50" s="147"/>
      <c r="G50" s="147"/>
      <c r="H50" s="147"/>
      <c r="I50" s="147"/>
      <c r="J50" s="147"/>
      <c r="K50" s="147"/>
      <c r="L50" s="147"/>
      <c r="M50" s="147"/>
      <c r="N50" s="147"/>
      <c r="O50" s="147"/>
      <c r="P50" s="147"/>
      <c r="Q50" s="147"/>
      <c r="R50" s="516">
        <f t="shared" si="15"/>
        <v>0</v>
      </c>
      <c r="S50" s="147">
        <v>0</v>
      </c>
      <c r="T50" s="147">
        <v>0</v>
      </c>
      <c r="U50" s="143"/>
    </row>
    <row r="51" spans="1:21" s="144" customFormat="1">
      <c r="A51" s="283" t="s">
        <v>154</v>
      </c>
      <c r="B51" s="146">
        <f t="shared" si="14"/>
        <v>0</v>
      </c>
      <c r="C51" s="147">
        <v>0</v>
      </c>
      <c r="D51" s="147"/>
      <c r="E51" s="147">
        <f t="shared" si="16"/>
        <v>0</v>
      </c>
      <c r="F51" s="147"/>
      <c r="G51" s="147"/>
      <c r="H51" s="147"/>
      <c r="I51" s="147"/>
      <c r="J51" s="147"/>
      <c r="K51" s="147"/>
      <c r="L51" s="147"/>
      <c r="M51" s="147"/>
      <c r="N51" s="147"/>
      <c r="O51" s="147"/>
      <c r="P51" s="147"/>
      <c r="Q51" s="147"/>
      <c r="R51" s="516">
        <f t="shared" si="15"/>
        <v>0</v>
      </c>
      <c r="S51" s="147">
        <v>0</v>
      </c>
      <c r="T51" s="147">
        <v>0</v>
      </c>
      <c r="U51" s="143"/>
    </row>
    <row r="52" spans="1:21" s="144" customFormat="1">
      <c r="A52" s="145" t="s">
        <v>155</v>
      </c>
      <c r="B52" s="146">
        <f t="shared" si="14"/>
        <v>0</v>
      </c>
      <c r="C52" s="147">
        <v>0</v>
      </c>
      <c r="D52" s="147"/>
      <c r="E52" s="147">
        <f t="shared" si="16"/>
        <v>0</v>
      </c>
      <c r="F52" s="147"/>
      <c r="G52" s="147"/>
      <c r="H52" s="147"/>
      <c r="I52" s="147"/>
      <c r="J52" s="147"/>
      <c r="K52" s="147"/>
      <c r="L52" s="147"/>
      <c r="M52" s="147"/>
      <c r="N52" s="147"/>
      <c r="O52" s="147"/>
      <c r="P52" s="147"/>
      <c r="Q52" s="147"/>
      <c r="R52" s="516">
        <f t="shared" si="15"/>
        <v>0</v>
      </c>
      <c r="S52" s="147">
        <v>0</v>
      </c>
      <c r="T52" s="147">
        <v>0</v>
      </c>
      <c r="U52" s="143"/>
    </row>
    <row r="53" spans="1:21" s="144" customFormat="1">
      <c r="A53" s="1149" t="s">
        <v>34</v>
      </c>
      <c r="B53" s="146">
        <f t="shared" si="14"/>
        <v>0</v>
      </c>
      <c r="C53" s="147">
        <v>0</v>
      </c>
      <c r="D53" s="147"/>
      <c r="E53" s="147">
        <f t="shared" si="16"/>
        <v>0</v>
      </c>
      <c r="F53" s="147"/>
      <c r="G53" s="147"/>
      <c r="H53" s="147"/>
      <c r="I53" s="147"/>
      <c r="J53" s="147"/>
      <c r="K53" s="147"/>
      <c r="L53" s="147"/>
      <c r="M53" s="147"/>
      <c r="N53" s="147"/>
      <c r="O53" s="147"/>
      <c r="P53" s="147"/>
      <c r="Q53" s="147"/>
      <c r="R53" s="516">
        <f t="shared" si="15"/>
        <v>0</v>
      </c>
      <c r="S53" s="147">
        <v>0</v>
      </c>
      <c r="T53" s="147">
        <v>0</v>
      </c>
      <c r="U53" s="143"/>
    </row>
    <row r="54" spans="1:21" s="153" customFormat="1">
      <c r="A54" s="149" t="s">
        <v>157</v>
      </c>
      <c r="B54" s="150">
        <f>SUM(C54:D54)</f>
        <v>2607735</v>
      </c>
      <c r="C54" s="150">
        <f t="shared" ref="C54:T54" si="17">SUM(C45:C53)</f>
        <v>2607735</v>
      </c>
      <c r="D54" s="150">
        <f t="shared" si="17"/>
        <v>0</v>
      </c>
      <c r="E54" s="150">
        <f t="shared" si="17"/>
        <v>925590</v>
      </c>
      <c r="F54" s="150">
        <f t="shared" si="17"/>
        <v>0</v>
      </c>
      <c r="G54" s="150">
        <f t="shared" si="17"/>
        <v>0</v>
      </c>
      <c r="H54" s="150">
        <f t="shared" si="17"/>
        <v>831735</v>
      </c>
      <c r="I54" s="150">
        <f t="shared" si="17"/>
        <v>0</v>
      </c>
      <c r="J54" s="150">
        <f t="shared" si="17"/>
        <v>0</v>
      </c>
      <c r="K54" s="150">
        <f t="shared" si="17"/>
        <v>850410</v>
      </c>
      <c r="L54" s="150">
        <f t="shared" si="17"/>
        <v>0</v>
      </c>
      <c r="M54" s="150">
        <f t="shared" si="17"/>
        <v>0</v>
      </c>
      <c r="N54" s="150">
        <f t="shared" si="17"/>
        <v>0</v>
      </c>
      <c r="O54" s="150">
        <f t="shared" si="17"/>
        <v>0</v>
      </c>
      <c r="P54" s="150">
        <f t="shared" si="17"/>
        <v>0</v>
      </c>
      <c r="Q54" s="150">
        <f t="shared" si="17"/>
        <v>0</v>
      </c>
      <c r="R54" s="342">
        <f t="shared" si="17"/>
        <v>2607735</v>
      </c>
      <c r="S54" s="150">
        <f t="shared" si="17"/>
        <v>1820840.6141176471</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25000</v>
      </c>
      <c r="C56" s="147">
        <v>25000</v>
      </c>
      <c r="D56" s="147"/>
      <c r="E56" s="147">
        <f>C56-SUM(F56:Q56)</f>
        <v>25000</v>
      </c>
      <c r="F56" s="147"/>
      <c r="G56" s="147"/>
      <c r="H56" s="147"/>
      <c r="I56" s="147"/>
      <c r="J56" s="147"/>
      <c r="K56" s="147"/>
      <c r="L56" s="147"/>
      <c r="M56" s="147"/>
      <c r="N56" s="147"/>
      <c r="O56" s="147"/>
      <c r="P56" s="147"/>
      <c r="Q56" s="147"/>
      <c r="R56" s="516">
        <f t="shared" ref="R56:R61" si="19">SUM(E56:Q56)</f>
        <v>25000</v>
      </c>
      <c r="S56" s="148"/>
      <c r="T56" s="148"/>
      <c r="U56" s="143"/>
    </row>
    <row r="57" spans="1:21" s="192" customFormat="1">
      <c r="A57" s="186" t="s">
        <v>152</v>
      </c>
      <c r="B57" s="193">
        <f t="shared" si="18"/>
        <v>0</v>
      </c>
      <c r="C57" s="190">
        <v>0</v>
      </c>
      <c r="D57" s="190"/>
      <c r="E57" s="190">
        <f t="shared" ref="E57:E61" si="20">C57-SUM(F57:Q57)</f>
        <v>0</v>
      </c>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0</v>
      </c>
      <c r="C58" s="147">
        <v>0</v>
      </c>
      <c r="D58" s="147"/>
      <c r="E58" s="147">
        <f t="shared" si="20"/>
        <v>0</v>
      </c>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8"/>
        <v>0</v>
      </c>
      <c r="C59" s="147">
        <v>0</v>
      </c>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v>0</v>
      </c>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c r="A61" s="1149" t="s">
        <v>2675</v>
      </c>
      <c r="B61" s="146">
        <f t="shared" si="18"/>
        <v>118000</v>
      </c>
      <c r="C61" s="147">
        <v>118000</v>
      </c>
      <c r="D61" s="147"/>
      <c r="E61" s="147">
        <f t="shared" si="20"/>
        <v>118000</v>
      </c>
      <c r="F61" s="147"/>
      <c r="G61" s="147"/>
      <c r="H61" s="147"/>
      <c r="I61" s="147"/>
      <c r="J61" s="147"/>
      <c r="K61" s="147"/>
      <c r="L61" s="147"/>
      <c r="M61" s="147"/>
      <c r="N61" s="147"/>
      <c r="O61" s="147"/>
      <c r="P61" s="147"/>
      <c r="Q61" s="147"/>
      <c r="R61" s="516">
        <f t="shared" si="19"/>
        <v>118000</v>
      </c>
      <c r="S61" s="148"/>
      <c r="T61" s="148"/>
      <c r="U61" s="143"/>
    </row>
    <row r="62" spans="1:21" s="144" customFormat="1" ht="13.7" customHeight="1">
      <c r="A62" s="149" t="s">
        <v>301</v>
      </c>
      <c r="B62" s="146">
        <f>SUM(C62:D62)</f>
        <v>143000</v>
      </c>
      <c r="C62" s="146">
        <f t="shared" ref="C62:R62" si="21">SUM(C56:C61)</f>
        <v>143000</v>
      </c>
      <c r="D62" s="146">
        <f t="shared" si="21"/>
        <v>0</v>
      </c>
      <c r="E62" s="146">
        <f t="shared" si="21"/>
        <v>143000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143000</v>
      </c>
      <c r="S62" s="148"/>
      <c r="T62" s="148"/>
      <c r="U62" s="143"/>
    </row>
    <row r="63" spans="1:21" s="144" customFormat="1">
      <c r="A63" s="154" t="s">
        <v>302</v>
      </c>
      <c r="B63" s="146">
        <f t="shared" ref="B63:R63" si="22">SUM(B8+B11+B13+B14+B15+B26+B27+B38+B42+B43+B54+B62)</f>
        <v>40120076</v>
      </c>
      <c r="C63" s="146">
        <f t="shared" si="22"/>
        <v>40120076</v>
      </c>
      <c r="D63" s="146">
        <f t="shared" si="22"/>
        <v>0</v>
      </c>
      <c r="E63" s="146">
        <f t="shared" si="22"/>
        <v>5657526</v>
      </c>
      <c r="F63" s="146">
        <f t="shared" si="22"/>
        <v>11746000</v>
      </c>
      <c r="G63" s="146">
        <f t="shared" si="22"/>
        <v>18793383</v>
      </c>
      <c r="H63" s="146">
        <f t="shared" si="22"/>
        <v>831735</v>
      </c>
      <c r="I63" s="146">
        <f t="shared" si="22"/>
        <v>2000000</v>
      </c>
      <c r="J63" s="146">
        <f t="shared" si="22"/>
        <v>240922</v>
      </c>
      <c r="K63" s="146">
        <f t="shared" si="22"/>
        <v>850410</v>
      </c>
      <c r="L63" s="146">
        <f t="shared" si="22"/>
        <v>0</v>
      </c>
      <c r="M63" s="146">
        <f t="shared" si="22"/>
        <v>100</v>
      </c>
      <c r="N63" s="146">
        <f t="shared" si="22"/>
        <v>0</v>
      </c>
      <c r="O63" s="146">
        <f t="shared" si="22"/>
        <v>0</v>
      </c>
      <c r="P63" s="146">
        <f t="shared" si="22"/>
        <v>0</v>
      </c>
      <c r="Q63" s="146">
        <f t="shared" si="22"/>
        <v>0</v>
      </c>
      <c r="R63" s="342">
        <f t="shared" si="22"/>
        <v>40120076</v>
      </c>
      <c r="S63" s="146">
        <f>SUM(S10+S13+S14+S15+S26+S27+S38+S42+S43+S54)</f>
        <v>15049840.614117647</v>
      </c>
      <c r="T63" s="146">
        <f>SUM(T11+T13+T14+T15+T26+T27+T38+T42+T43+T54)</f>
        <v>23416130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241000</v>
      </c>
      <c r="C65" s="147">
        <v>241000</v>
      </c>
      <c r="D65" s="147"/>
      <c r="E65" s="147">
        <f>C65-SUM(F65:Q65)</f>
        <v>241000</v>
      </c>
      <c r="F65" s="147"/>
      <c r="G65" s="147"/>
      <c r="H65" s="147"/>
      <c r="I65" s="147"/>
      <c r="J65" s="147"/>
      <c r="K65" s="147"/>
      <c r="L65" s="147"/>
      <c r="M65" s="147"/>
      <c r="N65" s="147"/>
      <c r="O65" s="147"/>
      <c r="P65" s="147"/>
      <c r="Q65" s="147"/>
      <c r="R65" s="516">
        <f>SUM(E65:Q65)</f>
        <v>241000</v>
      </c>
      <c r="S65" s="147">
        <v>36150</v>
      </c>
      <c r="T65" s="147">
        <v>12050</v>
      </c>
      <c r="U65" s="143"/>
    </row>
    <row r="66" spans="1:21" s="144" customFormat="1" ht="24" customHeight="1">
      <c r="A66" s="283" t="s">
        <v>1641</v>
      </c>
      <c r="B66" s="146">
        <f>SUM(C66+D66)</f>
        <v>0</v>
      </c>
      <c r="C66" s="147">
        <v>0</v>
      </c>
      <c r="D66" s="147"/>
      <c r="E66" s="147">
        <f t="shared" ref="E66:E69" si="23">C66-SUM(F66:Q66)</f>
        <v>0</v>
      </c>
      <c r="F66" s="147"/>
      <c r="G66" s="147"/>
      <c r="H66" s="147"/>
      <c r="I66" s="147"/>
      <c r="J66" s="147"/>
      <c r="K66" s="147"/>
      <c r="L66" s="147"/>
      <c r="M66" s="147"/>
      <c r="N66" s="147"/>
      <c r="O66" s="147"/>
      <c r="P66" s="147"/>
      <c r="Q66" s="147"/>
      <c r="R66" s="516">
        <f>SUM(E66:Q66)</f>
        <v>0</v>
      </c>
      <c r="S66" s="147">
        <v>0</v>
      </c>
      <c r="T66" s="147">
        <v>0</v>
      </c>
      <c r="U66" s="143"/>
    </row>
    <row r="67" spans="1:21" s="144" customFormat="1" ht="24" customHeight="1">
      <c r="A67" s="283" t="s">
        <v>1642</v>
      </c>
      <c r="B67" s="146">
        <f>SUM(C67+D67)</f>
        <v>0</v>
      </c>
      <c r="C67" s="147">
        <v>0</v>
      </c>
      <c r="D67" s="147"/>
      <c r="E67" s="147">
        <f t="shared" si="23"/>
        <v>0</v>
      </c>
      <c r="F67" s="147"/>
      <c r="G67" s="147"/>
      <c r="H67" s="147"/>
      <c r="I67" s="147"/>
      <c r="J67" s="147"/>
      <c r="K67" s="147"/>
      <c r="L67" s="147"/>
      <c r="M67" s="147"/>
      <c r="N67" s="147"/>
      <c r="O67" s="147"/>
      <c r="P67" s="147"/>
      <c r="Q67" s="147"/>
      <c r="R67" s="516">
        <f>SUM(E67:Q67)</f>
        <v>0</v>
      </c>
      <c r="S67" s="147">
        <v>0</v>
      </c>
      <c r="T67" s="147">
        <v>0</v>
      </c>
      <c r="U67" s="143"/>
    </row>
    <row r="68" spans="1:21" s="144" customFormat="1" ht="12" customHeight="1">
      <c r="A68" s="283" t="s">
        <v>1648</v>
      </c>
      <c r="B68" s="146">
        <f>SUM(C68+D68)</f>
        <v>0</v>
      </c>
      <c r="C68" s="147">
        <v>0</v>
      </c>
      <c r="D68" s="147"/>
      <c r="E68" s="147">
        <f t="shared" si="23"/>
        <v>0</v>
      </c>
      <c r="F68" s="147"/>
      <c r="G68" s="147"/>
      <c r="H68" s="147"/>
      <c r="I68" s="147"/>
      <c r="J68" s="147"/>
      <c r="K68" s="147"/>
      <c r="L68" s="147"/>
      <c r="M68" s="147"/>
      <c r="N68" s="147"/>
      <c r="O68" s="147"/>
      <c r="P68" s="147"/>
      <c r="Q68" s="147"/>
      <c r="R68" s="516">
        <f>SUM(E68:Q68)</f>
        <v>0</v>
      </c>
      <c r="S68" s="147">
        <v>0</v>
      </c>
      <c r="T68" s="147">
        <v>0</v>
      </c>
      <c r="U68" s="143"/>
    </row>
    <row r="69" spans="1:21" s="144" customFormat="1">
      <c r="A69" s="1149" t="s">
        <v>34</v>
      </c>
      <c r="B69" s="146">
        <f>SUM(C69+D69)</f>
        <v>0</v>
      </c>
      <c r="C69" s="147">
        <v>0</v>
      </c>
      <c r="D69" s="147"/>
      <c r="E69" s="147">
        <f t="shared" si="23"/>
        <v>0</v>
      </c>
      <c r="F69" s="147"/>
      <c r="G69" s="147"/>
      <c r="H69" s="147"/>
      <c r="I69" s="147"/>
      <c r="J69" s="147"/>
      <c r="K69" s="147"/>
      <c r="L69" s="147"/>
      <c r="M69" s="147"/>
      <c r="N69" s="147"/>
      <c r="O69" s="147"/>
      <c r="P69" s="147"/>
      <c r="Q69" s="147"/>
      <c r="R69" s="516">
        <f>SUM(E69:Q69)</f>
        <v>0</v>
      </c>
      <c r="S69" s="147">
        <v>0</v>
      </c>
      <c r="T69" s="147">
        <v>0</v>
      </c>
      <c r="U69" s="143"/>
    </row>
    <row r="70" spans="1:21" s="144" customFormat="1">
      <c r="A70" s="149" t="s">
        <v>1645</v>
      </c>
      <c r="B70" s="146">
        <f>SUM(C70:D70)</f>
        <v>241000</v>
      </c>
      <c r="C70" s="146">
        <f>SUM(C65:C69)</f>
        <v>241000</v>
      </c>
      <c r="D70" s="146">
        <f>SUM(D65:D69)</f>
        <v>0</v>
      </c>
      <c r="E70" s="146">
        <f t="shared" ref="E70:T70" si="24">SUM(E65:E69)</f>
        <v>241000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241000</v>
      </c>
      <c r="S70" s="150">
        <f t="shared" si="24"/>
        <v>36150</v>
      </c>
      <c r="T70" s="150">
        <f t="shared" si="24"/>
        <v>12050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v>0</v>
      </c>
      <c r="D72" s="147"/>
      <c r="E72" s="147">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v>0</v>
      </c>
      <c r="D73" s="147"/>
      <c r="E73" s="147">
        <f t="shared" ref="E73:E76" si="25">C73-SUM(F73:Q73)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f t="shared" si="25"/>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780922</v>
      </c>
      <c r="C75" s="147">
        <v>780922</v>
      </c>
      <c r="D75" s="147"/>
      <c r="E75" s="147">
        <f t="shared" si="25"/>
        <v>780922</v>
      </c>
      <c r="F75" s="147"/>
      <c r="G75" s="147"/>
      <c r="H75" s="147"/>
      <c r="I75" s="147"/>
      <c r="J75" s="147"/>
      <c r="K75" s="147"/>
      <c r="L75" s="147"/>
      <c r="M75" s="147"/>
      <c r="N75" s="147"/>
      <c r="O75" s="147"/>
      <c r="P75" s="147"/>
      <c r="Q75" s="147"/>
      <c r="R75" s="516">
        <f>SUM(E75:Q75)</f>
        <v>780922</v>
      </c>
      <c r="S75" s="148"/>
      <c r="T75" s="148"/>
      <c r="U75" s="143"/>
    </row>
    <row r="76" spans="1:21" s="144" customFormat="1">
      <c r="A76" s="1149" t="s">
        <v>34</v>
      </c>
      <c r="B76" s="146">
        <f>SUM(C76+D76)</f>
        <v>0</v>
      </c>
      <c r="C76" s="147">
        <v>0</v>
      </c>
      <c r="D76" s="147"/>
      <c r="E76" s="147">
        <f t="shared" si="25"/>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780922</v>
      </c>
      <c r="C77" s="146">
        <f>SUM(C72:C76)</f>
        <v>780922</v>
      </c>
      <c r="D77" s="146">
        <f>SUM(D72:D76)</f>
        <v>0</v>
      </c>
      <c r="E77" s="146">
        <f t="shared" ref="E77:Q77" si="26">SUM(E72:E76)</f>
        <v>780922</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780922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1000000</v>
      </c>
      <c r="C79" s="147">
        <v>1000000</v>
      </c>
      <c r="D79" s="147"/>
      <c r="E79" s="147">
        <f>C79-SUM(F79:Q79)</f>
        <v>1000000</v>
      </c>
      <c r="F79" s="147"/>
      <c r="G79" s="147"/>
      <c r="H79" s="147"/>
      <c r="I79" s="147"/>
      <c r="J79" s="147"/>
      <c r="K79" s="147"/>
      <c r="L79" s="147"/>
      <c r="M79" s="147"/>
      <c r="N79" s="147"/>
      <c r="O79" s="147"/>
      <c r="P79" s="147"/>
      <c r="Q79" s="147"/>
      <c r="R79" s="516">
        <f>SUM(E79:Q79)</f>
        <v>1000000</v>
      </c>
      <c r="S79" s="147">
        <v>1000000</v>
      </c>
      <c r="T79" s="147">
        <v>0</v>
      </c>
      <c r="U79" s="143"/>
    </row>
    <row r="80" spans="1:21" s="144" customFormat="1">
      <c r="A80" s="283" t="s">
        <v>58</v>
      </c>
      <c r="B80" s="146">
        <f>SUM(C80:D80)</f>
        <v>322000</v>
      </c>
      <c r="C80" s="147">
        <v>322000</v>
      </c>
      <c r="D80" s="147"/>
      <c r="E80" s="147">
        <f>C80-SUM(F80:Q80)</f>
        <v>322000</v>
      </c>
      <c r="F80" s="147"/>
      <c r="G80" s="147"/>
      <c r="H80" s="147"/>
      <c r="I80" s="147"/>
      <c r="J80" s="147"/>
      <c r="K80" s="147"/>
      <c r="L80" s="147"/>
      <c r="M80" s="147"/>
      <c r="N80" s="147"/>
      <c r="O80" s="147"/>
      <c r="P80" s="147"/>
      <c r="Q80" s="147"/>
      <c r="R80" s="516">
        <f>SUM(E80:Q80)</f>
        <v>322000</v>
      </c>
      <c r="S80" s="147">
        <v>322000</v>
      </c>
      <c r="T80" s="147">
        <v>0</v>
      </c>
      <c r="U80" s="143"/>
    </row>
    <row r="81" spans="1:21" s="144" customFormat="1">
      <c r="A81" s="149" t="s">
        <v>1209</v>
      </c>
      <c r="B81" s="146">
        <f>SUM(C81:D81)</f>
        <v>1322000</v>
      </c>
      <c r="C81" s="509">
        <f>SUM(C79:C80)</f>
        <v>1322000</v>
      </c>
      <c r="D81" s="509">
        <f t="shared" ref="D81:T81" si="27">SUM(D79:D80)</f>
        <v>0</v>
      </c>
      <c r="E81" s="509">
        <f t="shared" si="27"/>
        <v>1322000</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1322000</v>
      </c>
      <c r="S81" s="509">
        <f t="shared" si="27"/>
        <v>1322000</v>
      </c>
      <c r="T81" s="509">
        <f t="shared" si="27"/>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8">SUM(C83+D83)</f>
        <v>63000</v>
      </c>
      <c r="C83" s="147">
        <v>63000</v>
      </c>
      <c r="D83" s="147"/>
      <c r="E83" s="147">
        <f>C83-SUM(F83:Q83)</f>
        <v>63000</v>
      </c>
      <c r="F83" s="147"/>
      <c r="G83" s="147"/>
      <c r="H83" s="147"/>
      <c r="I83" s="147"/>
      <c r="J83" s="147"/>
      <c r="K83" s="147"/>
      <c r="L83" s="147"/>
      <c r="M83" s="147"/>
      <c r="N83" s="147"/>
      <c r="O83" s="147"/>
      <c r="P83" s="147"/>
      <c r="Q83" s="147"/>
      <c r="R83" s="516">
        <f t="shared" ref="R83:R95" si="29">SUM(E83:Q83)</f>
        <v>63000</v>
      </c>
      <c r="S83" s="148"/>
      <c r="T83" s="148"/>
      <c r="U83" s="143"/>
    </row>
    <row r="84" spans="1:21" s="144" customFormat="1">
      <c r="A84" s="145" t="s">
        <v>768</v>
      </c>
      <c r="B84" s="146">
        <f t="shared" si="28"/>
        <v>0</v>
      </c>
      <c r="C84" s="147">
        <v>0</v>
      </c>
      <c r="D84" s="147"/>
      <c r="E84" s="147">
        <f t="shared" ref="E84:E95" si="30">C84-SUM(F84:Q84)</f>
        <v>0</v>
      </c>
      <c r="F84" s="147"/>
      <c r="G84" s="147"/>
      <c r="H84" s="147"/>
      <c r="I84" s="147"/>
      <c r="J84" s="147"/>
      <c r="K84" s="147"/>
      <c r="L84" s="147"/>
      <c r="M84" s="147"/>
      <c r="N84" s="147"/>
      <c r="O84" s="147"/>
      <c r="P84" s="147"/>
      <c r="Q84" s="147"/>
      <c r="R84" s="516">
        <f t="shared" si="29"/>
        <v>0</v>
      </c>
      <c r="S84" s="147">
        <v>0</v>
      </c>
      <c r="T84" s="147">
        <v>0</v>
      </c>
      <c r="U84" s="143"/>
    </row>
    <row r="85" spans="1:21" s="144" customFormat="1">
      <c r="A85" s="145" t="s">
        <v>769</v>
      </c>
      <c r="B85" s="146">
        <f t="shared" si="28"/>
        <v>0</v>
      </c>
      <c r="C85" s="147">
        <v>0</v>
      </c>
      <c r="D85" s="147"/>
      <c r="E85" s="147">
        <f t="shared" si="30"/>
        <v>0</v>
      </c>
      <c r="F85" s="147"/>
      <c r="G85" s="147"/>
      <c r="H85" s="147"/>
      <c r="I85" s="147"/>
      <c r="J85" s="147"/>
      <c r="K85" s="147"/>
      <c r="L85" s="147"/>
      <c r="M85" s="147"/>
      <c r="N85" s="147"/>
      <c r="O85" s="147"/>
      <c r="P85" s="147"/>
      <c r="Q85" s="147"/>
      <c r="R85" s="516">
        <f t="shared" si="29"/>
        <v>0</v>
      </c>
      <c r="S85" s="147">
        <v>0</v>
      </c>
      <c r="T85" s="147">
        <v>0</v>
      </c>
      <c r="U85" s="143"/>
    </row>
    <row r="86" spans="1:21" s="144" customFormat="1">
      <c r="A86" s="145" t="s">
        <v>770</v>
      </c>
      <c r="B86" s="146">
        <f t="shared" si="28"/>
        <v>291000</v>
      </c>
      <c r="C86" s="147">
        <v>291000</v>
      </c>
      <c r="D86" s="147"/>
      <c r="E86" s="147">
        <f t="shared" si="30"/>
        <v>291000</v>
      </c>
      <c r="F86" s="147"/>
      <c r="G86" s="147"/>
      <c r="H86" s="147"/>
      <c r="I86" s="147"/>
      <c r="J86" s="147"/>
      <c r="K86" s="147"/>
      <c r="L86" s="147"/>
      <c r="M86" s="147"/>
      <c r="N86" s="147"/>
      <c r="O86" s="147"/>
      <c r="P86" s="147"/>
      <c r="Q86" s="147"/>
      <c r="R86" s="516">
        <f t="shared" si="29"/>
        <v>291000</v>
      </c>
      <c r="S86" s="147">
        <v>291000</v>
      </c>
      <c r="T86" s="147">
        <v>0</v>
      </c>
      <c r="U86" s="143"/>
    </row>
    <row r="87" spans="1:21" s="144" customFormat="1">
      <c r="A87" s="145" t="s">
        <v>771</v>
      </c>
      <c r="B87" s="146">
        <f t="shared" si="28"/>
        <v>0</v>
      </c>
      <c r="C87" s="147">
        <v>0</v>
      </c>
      <c r="D87" s="147"/>
      <c r="E87" s="147">
        <f t="shared" si="30"/>
        <v>0</v>
      </c>
      <c r="F87" s="147"/>
      <c r="G87" s="147"/>
      <c r="H87" s="147"/>
      <c r="I87" s="147"/>
      <c r="J87" s="147"/>
      <c r="K87" s="147"/>
      <c r="L87" s="147"/>
      <c r="M87" s="147"/>
      <c r="N87" s="147"/>
      <c r="O87" s="147"/>
      <c r="P87" s="147"/>
      <c r="Q87" s="147"/>
      <c r="R87" s="516">
        <f t="shared" si="29"/>
        <v>0</v>
      </c>
      <c r="S87" s="147">
        <v>0</v>
      </c>
      <c r="T87" s="147">
        <v>0</v>
      </c>
      <c r="U87" s="143"/>
    </row>
    <row r="88" spans="1:21" s="144" customFormat="1">
      <c r="A88" s="145" t="s">
        <v>772</v>
      </c>
      <c r="B88" s="146">
        <f t="shared" si="28"/>
        <v>50000</v>
      </c>
      <c r="C88" s="147">
        <v>50000</v>
      </c>
      <c r="D88" s="147"/>
      <c r="E88" s="147">
        <f t="shared" si="30"/>
        <v>50000</v>
      </c>
      <c r="F88" s="147"/>
      <c r="G88" s="147"/>
      <c r="H88" s="147"/>
      <c r="I88" s="147"/>
      <c r="J88" s="147"/>
      <c r="K88" s="147"/>
      <c r="L88" s="147"/>
      <c r="M88" s="147"/>
      <c r="N88" s="147"/>
      <c r="O88" s="147"/>
      <c r="P88" s="147"/>
      <c r="Q88" s="147"/>
      <c r="R88" s="516">
        <f t="shared" si="29"/>
        <v>50000</v>
      </c>
      <c r="S88" s="148"/>
      <c r="T88" s="148"/>
      <c r="U88" s="143"/>
    </row>
    <row r="89" spans="1:21" s="144" customFormat="1">
      <c r="A89" s="145" t="s">
        <v>773</v>
      </c>
      <c r="B89" s="146">
        <f t="shared" si="28"/>
        <v>20000</v>
      </c>
      <c r="C89" s="147">
        <v>20000</v>
      </c>
      <c r="D89" s="147"/>
      <c r="E89" s="147">
        <f t="shared" si="30"/>
        <v>20000</v>
      </c>
      <c r="F89" s="147"/>
      <c r="G89" s="147"/>
      <c r="H89" s="147"/>
      <c r="I89" s="147"/>
      <c r="J89" s="147"/>
      <c r="K89" s="147"/>
      <c r="L89" s="147"/>
      <c r="M89" s="147"/>
      <c r="N89" s="147"/>
      <c r="O89" s="147"/>
      <c r="P89" s="147"/>
      <c r="Q89" s="147"/>
      <c r="R89" s="516">
        <f t="shared" si="29"/>
        <v>20000</v>
      </c>
      <c r="S89" s="147">
        <v>20000</v>
      </c>
      <c r="T89" s="147">
        <v>0</v>
      </c>
      <c r="U89" s="143"/>
    </row>
    <row r="90" spans="1:21" s="144" customFormat="1">
      <c r="A90" s="145" t="s">
        <v>774</v>
      </c>
      <c r="B90" s="146">
        <f t="shared" si="28"/>
        <v>11000</v>
      </c>
      <c r="C90" s="147">
        <v>11000</v>
      </c>
      <c r="D90" s="147"/>
      <c r="E90" s="147">
        <f t="shared" si="30"/>
        <v>11000</v>
      </c>
      <c r="F90" s="147"/>
      <c r="G90" s="147"/>
      <c r="H90" s="147"/>
      <c r="I90" s="147"/>
      <c r="J90" s="147"/>
      <c r="K90" s="147"/>
      <c r="L90" s="147"/>
      <c r="M90" s="147"/>
      <c r="N90" s="147"/>
      <c r="O90" s="147"/>
      <c r="P90" s="147"/>
      <c r="Q90" s="147"/>
      <c r="R90" s="516">
        <f t="shared" si="29"/>
        <v>11000</v>
      </c>
      <c r="S90" s="147">
        <v>11000</v>
      </c>
      <c r="T90" s="147">
        <v>0</v>
      </c>
      <c r="U90" s="143"/>
    </row>
    <row r="91" spans="1:21" s="144" customFormat="1">
      <c r="A91" s="145" t="s">
        <v>372</v>
      </c>
      <c r="B91" s="146">
        <f t="shared" si="28"/>
        <v>91000</v>
      </c>
      <c r="C91" s="147">
        <v>91000</v>
      </c>
      <c r="D91" s="147"/>
      <c r="E91" s="147">
        <f t="shared" si="30"/>
        <v>91000</v>
      </c>
      <c r="F91" s="147"/>
      <c r="G91" s="147"/>
      <c r="H91" s="147"/>
      <c r="I91" s="147"/>
      <c r="J91" s="147"/>
      <c r="K91" s="147"/>
      <c r="L91" s="147"/>
      <c r="M91" s="147"/>
      <c r="N91" s="147"/>
      <c r="O91" s="147"/>
      <c r="P91" s="147"/>
      <c r="Q91" s="147"/>
      <c r="R91" s="516">
        <f t="shared" si="29"/>
        <v>91000</v>
      </c>
      <c r="S91" s="147">
        <v>40000</v>
      </c>
      <c r="T91" s="147">
        <v>0</v>
      </c>
      <c r="U91" s="143"/>
    </row>
    <row r="92" spans="1:21" s="144" customFormat="1">
      <c r="A92" s="283" t="s">
        <v>1211</v>
      </c>
      <c r="B92" s="146">
        <f t="shared" si="28"/>
        <v>11000</v>
      </c>
      <c r="C92" s="147">
        <v>11000</v>
      </c>
      <c r="D92" s="147"/>
      <c r="E92" s="147">
        <f t="shared" si="30"/>
        <v>11000</v>
      </c>
      <c r="F92" s="147"/>
      <c r="G92" s="147"/>
      <c r="H92" s="147"/>
      <c r="I92" s="147"/>
      <c r="J92" s="147"/>
      <c r="K92" s="147"/>
      <c r="L92" s="147"/>
      <c r="M92" s="147"/>
      <c r="N92" s="147"/>
      <c r="O92" s="147"/>
      <c r="P92" s="147"/>
      <c r="Q92" s="147"/>
      <c r="R92" s="516">
        <f t="shared" si="29"/>
        <v>11000</v>
      </c>
      <c r="S92" s="147">
        <v>11000</v>
      </c>
      <c r="T92" s="147">
        <v>0</v>
      </c>
      <c r="U92" s="143"/>
    </row>
    <row r="93" spans="1:21" s="144" customFormat="1">
      <c r="A93" s="1149" t="s">
        <v>2671</v>
      </c>
      <c r="B93" s="146">
        <f t="shared" si="28"/>
        <v>140000</v>
      </c>
      <c r="C93" s="147">
        <v>140000</v>
      </c>
      <c r="D93" s="147"/>
      <c r="E93" s="147">
        <f t="shared" si="30"/>
        <v>140000</v>
      </c>
      <c r="F93" s="147"/>
      <c r="G93" s="147"/>
      <c r="H93" s="147"/>
      <c r="I93" s="147"/>
      <c r="J93" s="147"/>
      <c r="K93" s="147"/>
      <c r="L93" s="147"/>
      <c r="M93" s="147"/>
      <c r="N93" s="147"/>
      <c r="O93" s="147"/>
      <c r="P93" s="147"/>
      <c r="Q93" s="147"/>
      <c r="R93" s="516">
        <f t="shared" si="29"/>
        <v>140000</v>
      </c>
      <c r="S93" s="147">
        <v>100000</v>
      </c>
      <c r="T93" s="147">
        <v>0</v>
      </c>
      <c r="U93" s="143"/>
    </row>
    <row r="94" spans="1:21" s="144" customFormat="1">
      <c r="A94" s="1149" t="s">
        <v>2672</v>
      </c>
      <c r="B94" s="146">
        <f t="shared" si="28"/>
        <v>20000</v>
      </c>
      <c r="C94" s="147">
        <v>20000</v>
      </c>
      <c r="D94" s="147"/>
      <c r="E94" s="147">
        <f t="shared" si="30"/>
        <v>20000</v>
      </c>
      <c r="F94" s="147"/>
      <c r="G94" s="147"/>
      <c r="H94" s="147"/>
      <c r="I94" s="147"/>
      <c r="J94" s="147"/>
      <c r="K94" s="147"/>
      <c r="L94" s="147"/>
      <c r="M94" s="147"/>
      <c r="N94" s="147"/>
      <c r="O94" s="147"/>
      <c r="P94" s="147"/>
      <c r="Q94" s="147"/>
      <c r="R94" s="516">
        <f t="shared" si="29"/>
        <v>20000</v>
      </c>
      <c r="S94" s="147">
        <v>15000</v>
      </c>
      <c r="T94" s="147">
        <v>0</v>
      </c>
      <c r="U94" s="143"/>
    </row>
    <row r="95" spans="1:21" s="144" customFormat="1">
      <c r="A95" s="1149" t="s">
        <v>34</v>
      </c>
      <c r="B95" s="146">
        <f t="shared" si="28"/>
        <v>0</v>
      </c>
      <c r="C95" s="147"/>
      <c r="D95" s="147"/>
      <c r="E95" s="147">
        <f t="shared" si="30"/>
        <v>0</v>
      </c>
      <c r="F95" s="147"/>
      <c r="G95" s="147"/>
      <c r="H95" s="147"/>
      <c r="I95" s="147"/>
      <c r="J95" s="147"/>
      <c r="K95" s="147"/>
      <c r="L95" s="147"/>
      <c r="M95" s="147"/>
      <c r="N95" s="147"/>
      <c r="O95" s="147"/>
      <c r="P95" s="147"/>
      <c r="Q95" s="147"/>
      <c r="R95" s="516">
        <f t="shared" si="29"/>
        <v>0</v>
      </c>
      <c r="S95" s="147">
        <v>0</v>
      </c>
      <c r="T95" s="147">
        <v>0</v>
      </c>
      <c r="U95" s="143"/>
    </row>
    <row r="96" spans="1:21" s="144" customFormat="1">
      <c r="A96" s="149" t="s">
        <v>775</v>
      </c>
      <c r="B96" s="146">
        <f>SUM(C96:D96)</f>
        <v>697000</v>
      </c>
      <c r="C96" s="146">
        <f t="shared" ref="C96:R96" si="31">SUM(C83:C95)</f>
        <v>697000</v>
      </c>
      <c r="D96" s="146">
        <f t="shared" si="31"/>
        <v>0</v>
      </c>
      <c r="E96" s="146">
        <f t="shared" si="31"/>
        <v>697000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697000</v>
      </c>
      <c r="S96" s="150">
        <f>SUM(S84:S87,S89:S95)</f>
        <v>488000</v>
      </c>
      <c r="T96" s="146">
        <f>SUM(T84:T87,T89:T95)</f>
        <v>0</v>
      </c>
      <c r="U96" s="143"/>
    </row>
    <row r="97" spans="1:21" s="144" customFormat="1">
      <c r="A97" s="149" t="s">
        <v>776</v>
      </c>
      <c r="B97" s="146">
        <f>SUM(C97:D97)</f>
        <v>43160998</v>
      </c>
      <c r="C97" s="146">
        <f t="shared" ref="C97:R97" si="32">SUM(C63+C70+C77+C81+C96)</f>
        <v>43160998</v>
      </c>
      <c r="D97" s="146">
        <f t="shared" si="32"/>
        <v>0</v>
      </c>
      <c r="E97" s="146">
        <f t="shared" si="32"/>
        <v>8698448</v>
      </c>
      <c r="F97" s="146">
        <f t="shared" si="32"/>
        <v>11746000</v>
      </c>
      <c r="G97" s="146">
        <f t="shared" si="32"/>
        <v>18793383</v>
      </c>
      <c r="H97" s="146">
        <f t="shared" si="32"/>
        <v>831735</v>
      </c>
      <c r="I97" s="146">
        <f t="shared" si="32"/>
        <v>2000000</v>
      </c>
      <c r="J97" s="146">
        <f t="shared" si="32"/>
        <v>240922</v>
      </c>
      <c r="K97" s="146">
        <f t="shared" si="32"/>
        <v>850410</v>
      </c>
      <c r="L97" s="146">
        <f t="shared" si="32"/>
        <v>0</v>
      </c>
      <c r="M97" s="146">
        <f t="shared" si="32"/>
        <v>100</v>
      </c>
      <c r="N97" s="146">
        <f t="shared" si="32"/>
        <v>0</v>
      </c>
      <c r="O97" s="146">
        <f t="shared" si="32"/>
        <v>0</v>
      </c>
      <c r="P97" s="146">
        <f t="shared" si="32"/>
        <v>0</v>
      </c>
      <c r="Q97" s="146">
        <f t="shared" si="32"/>
        <v>0</v>
      </c>
      <c r="R97" s="146">
        <f t="shared" si="32"/>
        <v>43160998</v>
      </c>
      <c r="S97" s="146">
        <f>SUM(S63+S70+S81+S96)</f>
        <v>16895990.614117645</v>
      </c>
      <c r="T97" s="146">
        <f>SUM(T63+T70+T81+T96)</f>
        <v>23428180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3000000</v>
      </c>
      <c r="C99" s="979">
        <v>3000000</v>
      </c>
      <c r="D99" s="979"/>
      <c r="E99" s="979">
        <f>C99-SUM(F99:Q99)</f>
        <v>2146000</v>
      </c>
      <c r="F99" s="147">
        <v>0</v>
      </c>
      <c r="G99" s="147"/>
      <c r="H99" s="147"/>
      <c r="I99" s="147"/>
      <c r="J99" s="147"/>
      <c r="K99" s="147"/>
      <c r="L99" s="147">
        <v>854000</v>
      </c>
      <c r="M99" s="147"/>
      <c r="N99" s="147"/>
      <c r="O99" s="147"/>
      <c r="P99" s="147"/>
      <c r="Q99" s="147"/>
      <c r="R99" s="516">
        <f>SUM(E99:Q99)</f>
        <v>3000000</v>
      </c>
      <c r="S99" s="147">
        <v>3000000</v>
      </c>
      <c r="T99" s="147">
        <v>0</v>
      </c>
      <c r="U99" s="143"/>
    </row>
    <row r="100" spans="1:21" s="144" customFormat="1">
      <c r="A100" s="283" t="s">
        <v>1646</v>
      </c>
      <c r="B100" s="146">
        <f>SUM(C100+D100)</f>
        <v>0</v>
      </c>
      <c r="C100" s="147">
        <v>0</v>
      </c>
      <c r="D100" s="147"/>
      <c r="E100" s="147">
        <f t="shared" ref="E100:E103" si="33">C100-SUM(F100:Q100)</f>
        <v>0</v>
      </c>
      <c r="F100" s="147"/>
      <c r="G100" s="147"/>
      <c r="H100" s="147"/>
      <c r="I100" s="147"/>
      <c r="J100" s="147"/>
      <c r="K100" s="147"/>
      <c r="L100" s="147"/>
      <c r="M100" s="147"/>
      <c r="N100" s="147"/>
      <c r="O100" s="147"/>
      <c r="P100" s="147"/>
      <c r="Q100" s="147"/>
      <c r="R100" s="516">
        <f>SUM(E100:Q100)</f>
        <v>0</v>
      </c>
      <c r="S100" s="147">
        <v>0</v>
      </c>
      <c r="T100" s="147"/>
      <c r="U100" s="143"/>
    </row>
    <row r="101" spans="1:21" s="144" customFormat="1" ht="12" customHeight="1">
      <c r="A101" s="145" t="s">
        <v>779</v>
      </c>
      <c r="B101" s="146">
        <f>SUM(C101+D101)</f>
        <v>0</v>
      </c>
      <c r="C101" s="147">
        <v>0</v>
      </c>
      <c r="D101" s="147"/>
      <c r="E101" s="147">
        <f t="shared" si="33"/>
        <v>0</v>
      </c>
      <c r="F101" s="147"/>
      <c r="G101" s="147"/>
      <c r="H101" s="147"/>
      <c r="I101" s="147"/>
      <c r="J101" s="147"/>
      <c r="K101" s="147"/>
      <c r="L101" s="147"/>
      <c r="M101" s="147"/>
      <c r="N101" s="147"/>
      <c r="O101" s="147"/>
      <c r="P101" s="147"/>
      <c r="Q101" s="147"/>
      <c r="R101" s="516">
        <f>SUM(E101:Q101)</f>
        <v>0</v>
      </c>
      <c r="S101" s="147">
        <v>0</v>
      </c>
      <c r="T101" s="147"/>
      <c r="U101" s="143"/>
    </row>
    <row r="102" spans="1:21" s="144" customFormat="1">
      <c r="A102" s="283" t="s">
        <v>1647</v>
      </c>
      <c r="B102" s="146">
        <f>SUM(C102+D102)</f>
        <v>0</v>
      </c>
      <c r="C102" s="147">
        <v>0</v>
      </c>
      <c r="D102" s="147"/>
      <c r="E102" s="147">
        <f t="shared" si="33"/>
        <v>0</v>
      </c>
      <c r="F102" s="147"/>
      <c r="G102" s="147"/>
      <c r="H102" s="147"/>
      <c r="I102" s="147"/>
      <c r="J102" s="147"/>
      <c r="K102" s="147"/>
      <c r="L102" s="147"/>
      <c r="M102" s="147"/>
      <c r="N102" s="147"/>
      <c r="O102" s="147"/>
      <c r="P102" s="147"/>
      <c r="Q102" s="147"/>
      <c r="R102" s="516">
        <f>SUM(E102:Q102)</f>
        <v>0</v>
      </c>
      <c r="S102" s="147">
        <v>0</v>
      </c>
      <c r="T102" s="147"/>
      <c r="U102" s="143"/>
    </row>
    <row r="103" spans="1:21" s="144" customFormat="1">
      <c r="A103" s="1149" t="s">
        <v>34</v>
      </c>
      <c r="B103" s="146">
        <f>SUM(C103+D103)</f>
        <v>0</v>
      </c>
      <c r="C103" s="147">
        <v>0</v>
      </c>
      <c r="D103" s="147"/>
      <c r="E103" s="147">
        <f t="shared" si="33"/>
        <v>0</v>
      </c>
      <c r="F103" s="147"/>
      <c r="G103" s="147"/>
      <c r="H103" s="147"/>
      <c r="I103" s="147"/>
      <c r="J103" s="147"/>
      <c r="K103" s="147"/>
      <c r="L103" s="147"/>
      <c r="M103" s="147"/>
      <c r="N103" s="147"/>
      <c r="O103" s="147"/>
      <c r="P103" s="147"/>
      <c r="Q103" s="147"/>
      <c r="R103" s="516">
        <f>SUM(E103:Q103)</f>
        <v>0</v>
      </c>
      <c r="S103" s="147">
        <v>0</v>
      </c>
      <c r="T103" s="147"/>
      <c r="U103" s="143"/>
    </row>
    <row r="104" spans="1:21" s="144" customFormat="1">
      <c r="A104" s="149" t="s">
        <v>780</v>
      </c>
      <c r="B104" s="146">
        <f>SUM(C104:D104)</f>
        <v>3000000</v>
      </c>
      <c r="C104" s="146">
        <f>SUM(C99:C103)</f>
        <v>3000000</v>
      </c>
      <c r="D104" s="146">
        <f t="shared" ref="D104:T104" si="34">SUM(D99:D103)</f>
        <v>0</v>
      </c>
      <c r="E104" s="146">
        <f t="shared" si="34"/>
        <v>2146000</v>
      </c>
      <c r="F104" s="146">
        <f t="shared" si="34"/>
        <v>0</v>
      </c>
      <c r="G104" s="146">
        <f t="shared" si="34"/>
        <v>0</v>
      </c>
      <c r="H104" s="146">
        <f t="shared" si="34"/>
        <v>0</v>
      </c>
      <c r="I104" s="146">
        <f t="shared" si="34"/>
        <v>0</v>
      </c>
      <c r="J104" s="146">
        <f t="shared" si="34"/>
        <v>0</v>
      </c>
      <c r="K104" s="146">
        <f t="shared" si="34"/>
        <v>0</v>
      </c>
      <c r="L104" s="146">
        <f t="shared" si="34"/>
        <v>854000</v>
      </c>
      <c r="M104" s="146">
        <f t="shared" si="34"/>
        <v>0</v>
      </c>
      <c r="N104" s="146">
        <f t="shared" si="34"/>
        <v>0</v>
      </c>
      <c r="O104" s="146">
        <f t="shared" si="34"/>
        <v>0</v>
      </c>
      <c r="P104" s="146">
        <f t="shared" si="34"/>
        <v>0</v>
      </c>
      <c r="Q104" s="146">
        <f t="shared" si="34"/>
        <v>0</v>
      </c>
      <c r="R104" s="342">
        <f t="shared" si="34"/>
        <v>3000000</v>
      </c>
      <c r="S104" s="150">
        <f t="shared" si="34"/>
        <v>3000000</v>
      </c>
      <c r="T104" s="150">
        <f t="shared" si="34"/>
        <v>0</v>
      </c>
      <c r="U104" s="143"/>
    </row>
    <row r="105" spans="1:21" s="144" customFormat="1">
      <c r="A105" s="149" t="s">
        <v>781</v>
      </c>
      <c r="B105" s="150">
        <f>SUM(C105:D105)</f>
        <v>46160998</v>
      </c>
      <c r="C105" s="150">
        <f t="shared" ref="C105:R105" si="35">SUM(C97+C104)</f>
        <v>46160998</v>
      </c>
      <c r="D105" s="150">
        <f t="shared" si="35"/>
        <v>0</v>
      </c>
      <c r="E105" s="150">
        <f t="shared" si="35"/>
        <v>10844448</v>
      </c>
      <c r="F105" s="150">
        <f t="shared" si="35"/>
        <v>11746000</v>
      </c>
      <c r="G105" s="150">
        <f t="shared" si="35"/>
        <v>18793383</v>
      </c>
      <c r="H105" s="150">
        <f t="shared" si="35"/>
        <v>831735</v>
      </c>
      <c r="I105" s="150">
        <f t="shared" si="35"/>
        <v>2000000</v>
      </c>
      <c r="J105" s="150">
        <f t="shared" si="35"/>
        <v>240922</v>
      </c>
      <c r="K105" s="150">
        <f t="shared" si="35"/>
        <v>850410</v>
      </c>
      <c r="L105" s="150">
        <f t="shared" si="35"/>
        <v>854000</v>
      </c>
      <c r="M105" s="150">
        <f t="shared" si="35"/>
        <v>100</v>
      </c>
      <c r="N105" s="150">
        <f t="shared" si="35"/>
        <v>0</v>
      </c>
      <c r="O105" s="150">
        <f t="shared" si="35"/>
        <v>0</v>
      </c>
      <c r="P105" s="150">
        <f t="shared" si="35"/>
        <v>0</v>
      </c>
      <c r="Q105" s="150">
        <f t="shared" si="35"/>
        <v>0</v>
      </c>
      <c r="R105" s="342">
        <f t="shared" si="35"/>
        <v>46160998</v>
      </c>
      <c r="S105" s="150">
        <f>S97+S104</f>
        <v>19895990.614117645</v>
      </c>
      <c r="T105" s="150">
        <f>T97+T104</f>
        <v>23428180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19895990.614117645</v>
      </c>
      <c r="T107" s="150">
        <f>T105+T106</f>
        <v>23428180</v>
      </c>
    </row>
    <row r="108" spans="1:21" s="189" customFormat="1">
      <c r="A108" s="162" t="s">
        <v>880</v>
      </c>
      <c r="B108" s="157"/>
      <c r="C108" s="157"/>
      <c r="D108" s="157"/>
      <c r="E108" s="301">
        <f>Application!AO640</f>
        <v>10844448</v>
      </c>
      <c r="F108" s="301">
        <f>Application!AO627</f>
        <v>11746000</v>
      </c>
      <c r="G108" s="301">
        <f>Application!AO628</f>
        <v>18793383</v>
      </c>
      <c r="H108" s="301">
        <f>Application!AO629</f>
        <v>831735</v>
      </c>
      <c r="I108" s="301">
        <f>Application!AO630</f>
        <v>2000000</v>
      </c>
      <c r="J108" s="301">
        <f>Application!AO631</f>
        <v>240922</v>
      </c>
      <c r="K108" s="301">
        <f>Application!AO632</f>
        <v>850410</v>
      </c>
      <c r="L108" s="301">
        <f>Application!AO633</f>
        <v>854000</v>
      </c>
      <c r="M108" s="301">
        <f>Application!AO634</f>
        <v>100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2" t="s">
        <v>1224</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992</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993</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2" workbookViewId="0">
      <selection activeCell="G107" sqref="G107"/>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f>B7</f>
        <v>0</v>
      </c>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c r="A9" s="364" t="s">
        <v>595</v>
      </c>
      <c r="B9" s="361">
        <f>'Sources and Uses Budget'!C9</f>
        <v>0</v>
      </c>
      <c r="C9" s="362"/>
      <c r="D9" s="362">
        <v>0</v>
      </c>
      <c r="E9" s="363"/>
      <c r="F9" s="363"/>
      <c r="G9" s="363"/>
      <c r="H9" s="361">
        <f>'Sources and Uses Budget'!T9</f>
        <v>0</v>
      </c>
      <c r="I9" s="362"/>
      <c r="J9" s="362"/>
      <c r="K9" s="359"/>
    </row>
    <row r="10" spans="1:11" s="360" customFormat="1">
      <c r="A10" s="364" t="s">
        <v>596</v>
      </c>
      <c r="B10" s="361">
        <f>'Sources and Uses Budget'!C10</f>
        <v>0</v>
      </c>
      <c r="C10" s="362"/>
      <c r="D10" s="362">
        <v>0</v>
      </c>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24140341</v>
      </c>
      <c r="C14" s="362"/>
      <c r="D14" s="362">
        <f>B14</f>
        <v>24140341</v>
      </c>
      <c r="E14" s="361">
        <f>'Sources and Uses Budget'!S14</f>
        <v>0</v>
      </c>
      <c r="F14" s="362"/>
      <c r="G14" s="362"/>
      <c r="H14" s="361">
        <f>'Sources and Uses Budget'!T14</f>
        <v>23416130</v>
      </c>
      <c r="I14" s="362"/>
      <c r="J14" s="362">
        <f>H14</f>
        <v>23416130</v>
      </c>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2571000</v>
      </c>
      <c r="C17" s="362"/>
      <c r="D17" s="362">
        <f>B17</f>
        <v>2571000</v>
      </c>
      <c r="E17" s="361">
        <f>'Sources and Uses Budget'!S17</f>
        <v>2571000</v>
      </c>
      <c r="F17" s="362"/>
      <c r="G17" s="362">
        <f>E17</f>
        <v>2571000</v>
      </c>
      <c r="H17" s="361">
        <f>'Sources and Uses Budget'!T17</f>
        <v>0</v>
      </c>
      <c r="I17" s="362">
        <v>0</v>
      </c>
      <c r="J17" s="362">
        <v>0</v>
      </c>
      <c r="K17" s="359"/>
    </row>
    <row r="18" spans="1:11" s="360" customFormat="1">
      <c r="A18" s="364" t="s">
        <v>600</v>
      </c>
      <c r="B18" s="361">
        <f>'Sources and Uses Budget'!C18</f>
        <v>5777664</v>
      </c>
      <c r="C18" s="362"/>
      <c r="D18" s="362">
        <f t="shared" ref="D18:D21" si="0">B18</f>
        <v>5777664</v>
      </c>
      <c r="E18" s="361">
        <f>'Sources and Uses Budget'!S18</f>
        <v>5777664</v>
      </c>
      <c r="F18" s="362"/>
      <c r="G18" s="362">
        <f t="shared" ref="G18:G25" si="1">E18</f>
        <v>5777664</v>
      </c>
      <c r="H18" s="361">
        <f>'Sources and Uses Budget'!T18</f>
        <v>0</v>
      </c>
      <c r="I18" s="362">
        <v>0</v>
      </c>
      <c r="J18" s="362">
        <v>0</v>
      </c>
      <c r="K18" s="359"/>
    </row>
    <row r="19" spans="1:11" s="360" customFormat="1">
      <c r="A19" s="364" t="s">
        <v>601</v>
      </c>
      <c r="B19" s="361">
        <f>'Sources and Uses Budget'!C19</f>
        <v>518920</v>
      </c>
      <c r="C19" s="362"/>
      <c r="D19" s="362">
        <f t="shared" si="0"/>
        <v>518920</v>
      </c>
      <c r="E19" s="361">
        <f>'Sources and Uses Budget'!S19</f>
        <v>518920</v>
      </c>
      <c r="F19" s="362"/>
      <c r="G19" s="362">
        <f t="shared" si="1"/>
        <v>518920</v>
      </c>
      <c r="H19" s="361">
        <f>'Sources and Uses Budget'!T19</f>
        <v>0</v>
      </c>
      <c r="I19" s="362">
        <v>0</v>
      </c>
      <c r="J19" s="362">
        <v>0</v>
      </c>
      <c r="K19" s="359"/>
    </row>
    <row r="20" spans="1:11" s="360" customFormat="1">
      <c r="A20" s="364" t="s">
        <v>137</v>
      </c>
      <c r="B20" s="361">
        <f>'Sources and Uses Budget'!C20</f>
        <v>275028</v>
      </c>
      <c r="C20" s="362"/>
      <c r="D20" s="362">
        <f t="shared" si="0"/>
        <v>275028</v>
      </c>
      <c r="E20" s="361">
        <f>'Sources and Uses Budget'!S20</f>
        <v>275028</v>
      </c>
      <c r="F20" s="362"/>
      <c r="G20" s="362">
        <f t="shared" si="1"/>
        <v>275028</v>
      </c>
      <c r="H20" s="361">
        <f>'Sources and Uses Budget'!T20</f>
        <v>0</v>
      </c>
      <c r="I20" s="362">
        <v>0</v>
      </c>
      <c r="J20" s="362">
        <v>0</v>
      </c>
      <c r="K20" s="359"/>
    </row>
    <row r="21" spans="1:11" s="360" customFormat="1">
      <c r="A21" s="364" t="s">
        <v>138</v>
      </c>
      <c r="B21" s="361">
        <f>'Sources and Uses Budget'!C21</f>
        <v>458379</v>
      </c>
      <c r="C21" s="362"/>
      <c r="D21" s="362">
        <f t="shared" si="0"/>
        <v>458379</v>
      </c>
      <c r="E21" s="361">
        <f>'Sources and Uses Budget'!S21</f>
        <v>458379</v>
      </c>
      <c r="F21" s="362"/>
      <c r="G21" s="362">
        <f t="shared" si="1"/>
        <v>458379</v>
      </c>
      <c r="H21" s="361">
        <f>'Sources and Uses Budget'!T21</f>
        <v>0</v>
      </c>
      <c r="I21" s="362">
        <v>0</v>
      </c>
      <c r="J21" s="362">
        <v>0</v>
      </c>
      <c r="K21" s="359"/>
    </row>
    <row r="22" spans="1:11" s="360" customFormat="1">
      <c r="A22" s="364" t="s">
        <v>139</v>
      </c>
      <c r="B22" s="361">
        <f>'Sources and Uses Budget'!C22</f>
        <v>0</v>
      </c>
      <c r="C22" s="362"/>
      <c r="D22" s="362"/>
      <c r="E22" s="361">
        <f>'Sources and Uses Budget'!S22</f>
        <v>0</v>
      </c>
      <c r="F22" s="362"/>
      <c r="G22" s="362"/>
      <c r="H22" s="361">
        <f>'Sources and Uses Budget'!T22</f>
        <v>0</v>
      </c>
      <c r="I22" s="362">
        <v>0</v>
      </c>
      <c r="J22" s="362">
        <v>0</v>
      </c>
      <c r="K22" s="359"/>
    </row>
    <row r="23" spans="1:11" s="360" customFormat="1">
      <c r="A23" s="364" t="s">
        <v>140</v>
      </c>
      <c r="B23" s="361">
        <f>'Sources and Uses Budget'!C23</f>
        <v>99009</v>
      </c>
      <c r="C23" s="362"/>
      <c r="D23" s="362">
        <f>B23</f>
        <v>99009</v>
      </c>
      <c r="E23" s="361">
        <f>'Sources and Uses Budget'!S23</f>
        <v>99009</v>
      </c>
      <c r="F23" s="362"/>
      <c r="G23" s="362">
        <f>E23</f>
        <v>99009</v>
      </c>
      <c r="H23" s="361">
        <f>'Sources and Uses Budget'!T23</f>
        <v>0</v>
      </c>
      <c r="I23" s="362">
        <v>0</v>
      </c>
      <c r="J23" s="362">
        <v>0</v>
      </c>
      <c r="K23" s="359"/>
    </row>
    <row r="24" spans="1:11" s="360" customFormat="1">
      <c r="A24" s="508" t="s">
        <v>1640</v>
      </c>
      <c r="B24" s="361">
        <f>'Sources and Uses Budget'!C24</f>
        <v>0</v>
      </c>
      <c r="C24" s="362"/>
      <c r="D24" s="362"/>
      <c r="E24" s="361">
        <f>'Sources and Uses Budget'!S24</f>
        <v>0</v>
      </c>
      <c r="F24" s="362"/>
      <c r="G24" s="362"/>
      <c r="H24" s="361">
        <f>'Sources and Uses Budget'!T24</f>
        <v>0</v>
      </c>
      <c r="I24" s="362">
        <v>0</v>
      </c>
      <c r="J24" s="362">
        <v>0</v>
      </c>
      <c r="K24" s="359"/>
    </row>
    <row r="25" spans="1:11" s="360" customFormat="1">
      <c r="A25" s="364" t="str">
        <f>'Sources and Uses Budget'!$A25</f>
        <v>Other: (Demolition)</v>
      </c>
      <c r="B25" s="361">
        <f>'Sources and Uses Budget'!C25</f>
        <v>300000</v>
      </c>
      <c r="C25" s="362"/>
      <c r="D25" s="362">
        <f>B25</f>
        <v>300000</v>
      </c>
      <c r="E25" s="361">
        <f>'Sources and Uses Budget'!S25</f>
        <v>300000</v>
      </c>
      <c r="F25" s="362"/>
      <c r="G25" s="362">
        <f t="shared" si="1"/>
        <v>300000</v>
      </c>
      <c r="H25" s="361">
        <f>'Sources and Uses Budget'!T25</f>
        <v>0</v>
      </c>
      <c r="I25" s="362">
        <v>0</v>
      </c>
      <c r="J25" s="362">
        <v>0</v>
      </c>
      <c r="K25" s="359"/>
    </row>
    <row r="26" spans="1:11" s="360" customFormat="1">
      <c r="A26" s="365" t="s">
        <v>133</v>
      </c>
      <c r="B26" s="361">
        <f>'Sources and Uses Budget'!C26</f>
        <v>10000000</v>
      </c>
      <c r="C26" s="361">
        <f>SUM(C17:C25)</f>
        <v>0</v>
      </c>
      <c r="D26" s="361">
        <f>SUM(D17:D25)</f>
        <v>10000000</v>
      </c>
      <c r="E26" s="361">
        <f>'Sources and Uses Budget'!S26</f>
        <v>10000000</v>
      </c>
      <c r="F26" s="367">
        <f>SUM(F17:F25)</f>
        <v>0</v>
      </c>
      <c r="G26" s="367">
        <f>SUM(G17:G25)</f>
        <v>10000000</v>
      </c>
      <c r="H26" s="361">
        <f>'Sources and Uses Budget'!T26</f>
        <v>0</v>
      </c>
      <c r="I26" s="367">
        <f>SUM(I17:I25)</f>
        <v>0</v>
      </c>
      <c r="J26" s="367">
        <f>SUM(J17:J25)</f>
        <v>0</v>
      </c>
      <c r="K26" s="359"/>
    </row>
    <row r="27" spans="1:11" s="360" customFormat="1">
      <c r="A27" s="365" t="s">
        <v>141</v>
      </c>
      <c r="B27" s="361">
        <f>'Sources and Uses Budget'!C27</f>
        <v>1400000</v>
      </c>
      <c r="C27" s="362"/>
      <c r="D27" s="362">
        <f>B27</f>
        <v>1400000</v>
      </c>
      <c r="E27" s="361">
        <f>'Sources and Uses Budget'!S27</f>
        <v>1400000</v>
      </c>
      <c r="F27" s="362"/>
      <c r="G27" s="362">
        <f>E27</f>
        <v>1400000</v>
      </c>
      <c r="H27" s="361">
        <f>'Sources and Uses Budget'!T27</f>
        <v>0</v>
      </c>
      <c r="I27" s="362">
        <v>0</v>
      </c>
      <c r="J27" s="362">
        <v>0</v>
      </c>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v>0</v>
      </c>
      <c r="J29" s="362">
        <v>0</v>
      </c>
      <c r="K29" s="359"/>
    </row>
    <row r="30" spans="1:11" s="360" customFormat="1">
      <c r="A30" s="145" t="s">
        <v>600</v>
      </c>
      <c r="B30" s="361">
        <f>'Sources and Uses Budget'!C30</f>
        <v>0</v>
      </c>
      <c r="C30" s="362"/>
      <c r="D30" s="362"/>
      <c r="E30" s="361">
        <f>'Sources and Uses Budget'!S30</f>
        <v>0</v>
      </c>
      <c r="F30" s="362"/>
      <c r="G30" s="362"/>
      <c r="H30" s="361">
        <f>'Sources and Uses Budget'!T30</f>
        <v>0</v>
      </c>
      <c r="I30" s="362">
        <v>0</v>
      </c>
      <c r="J30" s="362">
        <v>0</v>
      </c>
      <c r="K30" s="359"/>
    </row>
    <row r="31" spans="1:11" s="360" customFormat="1">
      <c r="A31" s="145" t="s">
        <v>601</v>
      </c>
      <c r="B31" s="361">
        <f>'Sources and Uses Budget'!C31</f>
        <v>0</v>
      </c>
      <c r="C31" s="362"/>
      <c r="D31" s="362"/>
      <c r="E31" s="361">
        <f>'Sources and Uses Budget'!S31</f>
        <v>0</v>
      </c>
      <c r="F31" s="362"/>
      <c r="G31" s="362"/>
      <c r="H31" s="361">
        <f>'Sources and Uses Budget'!T31</f>
        <v>0</v>
      </c>
      <c r="I31" s="362">
        <v>0</v>
      </c>
      <c r="J31" s="362">
        <v>0</v>
      </c>
      <c r="K31" s="359"/>
    </row>
    <row r="32" spans="1:11" s="360" customFormat="1">
      <c r="A32" s="145" t="s">
        <v>137</v>
      </c>
      <c r="B32" s="361">
        <f>'Sources and Uses Budget'!C32</f>
        <v>0</v>
      </c>
      <c r="C32" s="362"/>
      <c r="D32" s="362"/>
      <c r="E32" s="361">
        <f>'Sources and Uses Budget'!S32</f>
        <v>0</v>
      </c>
      <c r="F32" s="362"/>
      <c r="G32" s="362"/>
      <c r="H32" s="361">
        <f>'Sources and Uses Budget'!T32</f>
        <v>0</v>
      </c>
      <c r="I32" s="362">
        <v>0</v>
      </c>
      <c r="J32" s="362">
        <v>0</v>
      </c>
      <c r="K32" s="359"/>
    </row>
    <row r="33" spans="1:11" s="360" customFormat="1">
      <c r="A33" s="145" t="s">
        <v>138</v>
      </c>
      <c r="B33" s="361">
        <f>'Sources and Uses Budget'!C33</f>
        <v>0</v>
      </c>
      <c r="C33" s="362"/>
      <c r="D33" s="362"/>
      <c r="E33" s="361">
        <f>'Sources and Uses Budget'!S33</f>
        <v>0</v>
      </c>
      <c r="F33" s="362"/>
      <c r="G33" s="362"/>
      <c r="H33" s="361">
        <f>'Sources and Uses Budget'!T33</f>
        <v>0</v>
      </c>
      <c r="I33" s="362">
        <v>0</v>
      </c>
      <c r="J33" s="362">
        <v>0</v>
      </c>
      <c r="K33" s="359"/>
    </row>
    <row r="34" spans="1:11" s="360" customFormat="1">
      <c r="A34" s="145" t="s">
        <v>139</v>
      </c>
      <c r="B34" s="361">
        <f>'Sources and Uses Budget'!C34</f>
        <v>0</v>
      </c>
      <c r="C34" s="362"/>
      <c r="D34" s="362"/>
      <c r="E34" s="361">
        <f>'Sources and Uses Budget'!S34</f>
        <v>0</v>
      </c>
      <c r="F34" s="362"/>
      <c r="G34" s="362"/>
      <c r="H34" s="361">
        <f>'Sources and Uses Budget'!T34</f>
        <v>0</v>
      </c>
      <c r="I34" s="362">
        <v>0</v>
      </c>
      <c r="J34" s="362">
        <v>0</v>
      </c>
      <c r="K34" s="359"/>
    </row>
    <row r="35" spans="1:11" s="360" customFormat="1">
      <c r="A35" s="145" t="s">
        <v>140</v>
      </c>
      <c r="B35" s="361">
        <f>'Sources and Uses Budget'!C35</f>
        <v>0</v>
      </c>
      <c r="C35" s="362"/>
      <c r="D35" s="362"/>
      <c r="E35" s="361">
        <f>'Sources and Uses Budget'!S35</f>
        <v>0</v>
      </c>
      <c r="F35" s="362"/>
      <c r="G35" s="362"/>
      <c r="H35" s="361">
        <f>'Sources and Uses Budget'!T35</f>
        <v>0</v>
      </c>
      <c r="I35" s="362">
        <v>0</v>
      </c>
      <c r="J35" s="362">
        <v>0</v>
      </c>
      <c r="K35" s="359"/>
    </row>
    <row r="36" spans="1:11" s="360" customFormat="1">
      <c r="A36" s="508" t="s">
        <v>1640</v>
      </c>
      <c r="B36" s="361">
        <f>'Sources and Uses Budget'!C36</f>
        <v>0</v>
      </c>
      <c r="C36" s="362"/>
      <c r="D36" s="362"/>
      <c r="E36" s="361">
        <f>'Sources and Uses Budget'!S36</f>
        <v>0</v>
      </c>
      <c r="F36" s="362"/>
      <c r="G36" s="362"/>
      <c r="H36" s="361">
        <f>'Sources and Uses Budget'!T36</f>
        <v>0</v>
      </c>
      <c r="I36" s="362">
        <v>0</v>
      </c>
      <c r="J36" s="362">
        <v>0</v>
      </c>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v>0</v>
      </c>
      <c r="J37" s="362">
        <v>0</v>
      </c>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955000</v>
      </c>
      <c r="C40" s="362"/>
      <c r="D40" s="362">
        <f>B40</f>
        <v>955000</v>
      </c>
      <c r="E40" s="361">
        <f>'Sources and Uses Budget'!S40</f>
        <v>955000</v>
      </c>
      <c r="F40" s="362"/>
      <c r="G40" s="362">
        <f>E40</f>
        <v>955000</v>
      </c>
      <c r="H40" s="361">
        <f>'Sources and Uses Budget'!T40</f>
        <v>0</v>
      </c>
      <c r="I40" s="362"/>
      <c r="J40" s="362"/>
      <c r="K40" s="359"/>
    </row>
    <row r="41" spans="1:11" s="360" customFormat="1">
      <c r="A41" s="364" t="s">
        <v>146</v>
      </c>
      <c r="B41" s="361">
        <f>'Sources and Uses Budget'!C41</f>
        <v>295000</v>
      </c>
      <c r="C41" s="362"/>
      <c r="D41" s="362">
        <f>B41</f>
        <v>295000</v>
      </c>
      <c r="E41" s="361">
        <f>'Sources and Uses Budget'!S41</f>
        <v>295000</v>
      </c>
      <c r="F41" s="362"/>
      <c r="G41" s="362">
        <f>E41</f>
        <v>295000</v>
      </c>
      <c r="H41" s="361">
        <f>'Sources and Uses Budget'!T41</f>
        <v>0</v>
      </c>
      <c r="I41" s="362"/>
      <c r="J41" s="362"/>
      <c r="K41" s="359"/>
    </row>
    <row r="42" spans="1:11" s="360" customFormat="1">
      <c r="A42" s="365" t="s">
        <v>147</v>
      </c>
      <c r="B42" s="361">
        <f>'Sources and Uses Budget'!C42</f>
        <v>1250000</v>
      </c>
      <c r="C42" s="361">
        <f>SUM(C39:C41)</f>
        <v>0</v>
      </c>
      <c r="D42" s="361">
        <f>SUM(D39:D41)</f>
        <v>1250000</v>
      </c>
      <c r="E42" s="361">
        <f>'Sources and Uses Budget'!S42</f>
        <v>1250000</v>
      </c>
      <c r="F42" s="367">
        <f>SUM(F40:F41)</f>
        <v>0</v>
      </c>
      <c r="G42" s="367">
        <f>SUM(G40:G41)</f>
        <v>1250000</v>
      </c>
      <c r="H42" s="361">
        <f>'Sources and Uses Budget'!T42</f>
        <v>0</v>
      </c>
      <c r="I42" s="367">
        <f>SUM(I40:I41)</f>
        <v>0</v>
      </c>
      <c r="J42" s="367">
        <f>SUM(J40:J41)</f>
        <v>0</v>
      </c>
      <c r="K42" s="359"/>
    </row>
    <row r="43" spans="1:11" s="360" customFormat="1">
      <c r="A43" s="365" t="s">
        <v>148</v>
      </c>
      <c r="B43" s="361">
        <f>'Sources and Uses Budget'!C43</f>
        <v>579000</v>
      </c>
      <c r="C43" s="362"/>
      <c r="D43" s="362">
        <f>B43</f>
        <v>579000</v>
      </c>
      <c r="E43" s="361">
        <f>'Sources and Uses Budget'!S43</f>
        <v>579000</v>
      </c>
      <c r="F43" s="362"/>
      <c r="G43" s="362">
        <f>E43</f>
        <v>579000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1797735</v>
      </c>
      <c r="C45" s="362"/>
      <c r="D45" s="362">
        <f>B45</f>
        <v>1797735</v>
      </c>
      <c r="E45" s="361">
        <f>'Sources and Uses Budget'!S45</f>
        <v>1654735.32</v>
      </c>
      <c r="F45" s="362"/>
      <c r="G45" s="362">
        <f>E45</f>
        <v>1654735.32</v>
      </c>
      <c r="H45" s="361">
        <f>'Sources and Uses Budget'!T45</f>
        <v>0</v>
      </c>
      <c r="I45" s="362"/>
      <c r="J45" s="362"/>
      <c r="K45" s="359"/>
    </row>
    <row r="46" spans="1:11" s="360" customFormat="1">
      <c r="A46" s="364" t="s">
        <v>151</v>
      </c>
      <c r="B46" s="361">
        <f>'Sources and Uses Budget'!C46</f>
        <v>221000</v>
      </c>
      <c r="C46" s="362"/>
      <c r="D46" s="362">
        <f t="shared" ref="D46:D47" si="2">B46</f>
        <v>221000</v>
      </c>
      <c r="E46" s="361">
        <f>'Sources and Uses Budget'!S46</f>
        <v>103870</v>
      </c>
      <c r="F46" s="362"/>
      <c r="G46" s="362">
        <f t="shared" ref="G46:G47" si="3">E46</f>
        <v>103870</v>
      </c>
      <c r="H46" s="361">
        <f>'Sources and Uses Budget'!T46</f>
        <v>0</v>
      </c>
      <c r="I46" s="362"/>
      <c r="J46" s="362"/>
      <c r="K46" s="359"/>
    </row>
    <row r="47" spans="1:11" s="360" customFormat="1" ht="12" customHeight="1">
      <c r="A47" s="364" t="s">
        <v>152</v>
      </c>
      <c r="B47" s="361">
        <f>'Sources and Uses Budget'!C47</f>
        <v>524000</v>
      </c>
      <c r="C47" s="362"/>
      <c r="D47" s="362">
        <f t="shared" si="2"/>
        <v>524000</v>
      </c>
      <c r="E47" s="361">
        <f>'Sources and Uses Budget'!S47</f>
        <v>62235.294117647056</v>
      </c>
      <c r="F47" s="362"/>
      <c r="G47" s="362">
        <f t="shared" si="3"/>
        <v>62235.294117647056</v>
      </c>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65000</v>
      </c>
      <c r="C49" s="362"/>
      <c r="D49" s="362">
        <f>B49</f>
        <v>65000</v>
      </c>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2607735</v>
      </c>
      <c r="C54" s="367">
        <f>SUM(C45:C53)</f>
        <v>0</v>
      </c>
      <c r="D54" s="367">
        <f>SUM(D45:D53)</f>
        <v>2607735</v>
      </c>
      <c r="E54" s="361">
        <f>'Sources and Uses Budget'!S54</f>
        <v>1820840.6141176471</v>
      </c>
      <c r="F54" s="367">
        <f>SUM(F45:F53)</f>
        <v>0</v>
      </c>
      <c r="G54" s="367">
        <f>SUM(G45:G53)</f>
        <v>1820840.6141176471</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25000</v>
      </c>
      <c r="C56" s="362"/>
      <c r="D56" s="362">
        <f>B56</f>
        <v>25000</v>
      </c>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(Permanent Loan Fees)</v>
      </c>
      <c r="B61" s="361">
        <f>'Sources and Uses Budget'!C61</f>
        <v>118000</v>
      </c>
      <c r="C61" s="362"/>
      <c r="D61" s="362">
        <f t="shared" ref="D61" si="4">B61</f>
        <v>118000</v>
      </c>
      <c r="E61" s="363"/>
      <c r="F61" s="363"/>
      <c r="G61" s="363"/>
      <c r="H61" s="363"/>
      <c r="I61" s="363"/>
      <c r="J61" s="363"/>
      <c r="K61" s="359"/>
    </row>
    <row r="62" spans="1:11" s="360" customFormat="1" ht="13.7" customHeight="1">
      <c r="A62" s="365" t="s">
        <v>301</v>
      </c>
      <c r="B62" s="361">
        <f>'Sources and Uses Budget'!C62</f>
        <v>143000</v>
      </c>
      <c r="C62" s="361">
        <f>SUM(C56:C61)</f>
        <v>0</v>
      </c>
      <c r="D62" s="361">
        <f>SUM(D56:D61)</f>
        <v>143000</v>
      </c>
      <c r="E62" s="363"/>
      <c r="F62" s="363"/>
      <c r="G62" s="363"/>
      <c r="H62" s="363"/>
      <c r="I62" s="363"/>
      <c r="J62" s="363"/>
      <c r="K62" s="359"/>
    </row>
    <row r="63" spans="1:11" s="360" customFormat="1">
      <c r="A63" s="370" t="s">
        <v>302</v>
      </c>
      <c r="B63" s="361">
        <f>'Sources and Uses Budget'!C63</f>
        <v>40120076</v>
      </c>
      <c r="C63" s="361">
        <f>SUM(C8+C11+C13+C14+C15+C26+C27+C38+C42+C43+C54+C62)</f>
        <v>0</v>
      </c>
      <c r="D63" s="361">
        <f>SUM(D8+D11+D13+D14+D15+D26+D27+D38+D42+D43+D54+D62)</f>
        <v>40120076</v>
      </c>
      <c r="E63" s="361">
        <f>'Sources and Uses Budget'!S63</f>
        <v>15049840.614117647</v>
      </c>
      <c r="F63" s="361">
        <f>SUM(F10+F13+F14+F15+F26+F27+F38+F42+F43+F54)</f>
        <v>0</v>
      </c>
      <c r="G63" s="361">
        <f>SUM(G10+G13+G14+G15+G26+G27+G38+G42+G43+G54)</f>
        <v>15049840.614117647</v>
      </c>
      <c r="H63" s="361">
        <f>'Sources and Uses Budget'!T63</f>
        <v>23416130</v>
      </c>
      <c r="I63" s="361">
        <f>SUM(I11+I13+I14+I15+I26+I27+I38+I42+I43+I54)</f>
        <v>0</v>
      </c>
      <c r="J63" s="361">
        <f>SUM(J11+J13+J14+J15+J26+J27+J38+J42+J43+J54)</f>
        <v>23416130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241000</v>
      </c>
      <c r="C65" s="362"/>
      <c r="D65" s="362">
        <f>B65</f>
        <v>241000</v>
      </c>
      <c r="E65" s="361">
        <f>'Sources and Uses Budget'!S65</f>
        <v>36150</v>
      </c>
      <c r="F65" s="362"/>
      <c r="G65" s="362">
        <f>E65</f>
        <v>36150</v>
      </c>
      <c r="H65" s="361">
        <f>'Sources and Uses Budget'!T65</f>
        <v>12050</v>
      </c>
      <c r="I65" s="362"/>
      <c r="J65" s="362">
        <f>H65</f>
        <v>12050</v>
      </c>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241000</v>
      </c>
      <c r="C70" s="361">
        <f>SUM(C64:C69)</f>
        <v>0</v>
      </c>
      <c r="D70" s="361">
        <f>SUM(D64:D69)</f>
        <v>241000</v>
      </c>
      <c r="E70" s="361">
        <f>'Sources and Uses Budget'!S70</f>
        <v>36150</v>
      </c>
      <c r="F70" s="367">
        <f>SUM(F65:F69)</f>
        <v>0</v>
      </c>
      <c r="G70" s="367">
        <f>SUM(G65:G69)</f>
        <v>36150</v>
      </c>
      <c r="H70" s="361">
        <f>'Sources and Uses Budget'!T70</f>
        <v>12050</v>
      </c>
      <c r="I70" s="367">
        <f>SUM(I65:I69)</f>
        <v>0</v>
      </c>
      <c r="J70" s="367">
        <f>SUM(J65:J69)</f>
        <v>12050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780922</v>
      </c>
      <c r="C75" s="362"/>
      <c r="D75" s="362">
        <f>B75</f>
        <v>780922</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780922</v>
      </c>
      <c r="C77" s="361">
        <f>SUM(C72:C76)</f>
        <v>0</v>
      </c>
      <c r="D77" s="361">
        <f>SUM(D72:D76)</f>
        <v>780922</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1000000</v>
      </c>
      <c r="C79" s="362"/>
      <c r="D79" s="362">
        <f>B79</f>
        <v>1000000</v>
      </c>
      <c r="E79" s="361">
        <f>'Sources and Uses Budget'!S79</f>
        <v>1000000</v>
      </c>
      <c r="F79" s="362"/>
      <c r="G79" s="362">
        <f>E79</f>
        <v>1000000</v>
      </c>
      <c r="H79" s="361">
        <f>'Sources and Uses Budget'!T79</f>
        <v>0</v>
      </c>
      <c r="I79" s="362"/>
      <c r="J79" s="362"/>
      <c r="K79" s="359"/>
    </row>
    <row r="80" spans="1:11" s="360" customFormat="1">
      <c r="A80" s="364" t="s">
        <v>58</v>
      </c>
      <c r="B80" s="361">
        <f>'Sources and Uses Budget'!C80</f>
        <v>322000</v>
      </c>
      <c r="C80" s="362"/>
      <c r="D80" s="362">
        <f>B80</f>
        <v>322000</v>
      </c>
      <c r="E80" s="361">
        <f>'Sources and Uses Budget'!S80</f>
        <v>322000</v>
      </c>
      <c r="F80" s="362"/>
      <c r="G80" s="362">
        <f>E80</f>
        <v>322000</v>
      </c>
      <c r="H80" s="361">
        <f>'Sources and Uses Budget'!T80</f>
        <v>0</v>
      </c>
      <c r="I80" s="362"/>
      <c r="J80" s="362"/>
      <c r="K80" s="359"/>
    </row>
    <row r="81" spans="1:11" s="360" customFormat="1">
      <c r="A81" s="365" t="s">
        <v>1209</v>
      </c>
      <c r="B81" s="361">
        <f>'Sources and Uses Budget'!C81</f>
        <v>1322000</v>
      </c>
      <c r="C81" s="361">
        <f>SUM(C79:C80)</f>
        <v>0</v>
      </c>
      <c r="D81" s="361">
        <f>SUM(D79:D80)</f>
        <v>1322000</v>
      </c>
      <c r="E81" s="361">
        <f>'Sources and Uses Budget'!S81</f>
        <v>1322000</v>
      </c>
      <c r="F81" s="361">
        <f>SUM(F79:F80)</f>
        <v>0</v>
      </c>
      <c r="G81" s="361">
        <f>SUM(G79:G80)</f>
        <v>1322000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2094</v>
      </c>
      <c r="B83" s="361">
        <f>'Sources and Uses Budget'!C83</f>
        <v>63000</v>
      </c>
      <c r="C83" s="362"/>
      <c r="D83" s="362">
        <f>B83</f>
        <v>63000</v>
      </c>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291000</v>
      </c>
      <c r="C86" s="362"/>
      <c r="D86" s="362">
        <f>B86</f>
        <v>291000</v>
      </c>
      <c r="E86" s="361">
        <f>'Sources and Uses Budget'!S86</f>
        <v>291000</v>
      </c>
      <c r="F86" s="362"/>
      <c r="G86" s="362">
        <f>E86</f>
        <v>291000</v>
      </c>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50000</v>
      </c>
      <c r="C88" s="362"/>
      <c r="D88" s="362">
        <f t="shared" ref="D88:D95" si="5">B88</f>
        <v>50000</v>
      </c>
      <c r="E88" s="363"/>
      <c r="F88" s="363"/>
      <c r="G88" s="363"/>
      <c r="H88" s="363"/>
      <c r="I88" s="363"/>
      <c r="J88" s="363"/>
      <c r="K88" s="359"/>
    </row>
    <row r="89" spans="1:11" s="360" customFormat="1">
      <c r="A89" s="145" t="s">
        <v>773</v>
      </c>
      <c r="B89" s="361">
        <f>'Sources and Uses Budget'!C89</f>
        <v>20000</v>
      </c>
      <c r="C89" s="362"/>
      <c r="D89" s="362">
        <f t="shared" si="5"/>
        <v>20000</v>
      </c>
      <c r="E89" s="361">
        <f>'Sources and Uses Budget'!S89</f>
        <v>20000</v>
      </c>
      <c r="F89" s="362"/>
      <c r="G89" s="362">
        <f>E89</f>
        <v>20000</v>
      </c>
      <c r="H89" s="361">
        <f>'Sources and Uses Budget'!T89</f>
        <v>0</v>
      </c>
      <c r="I89" s="362"/>
      <c r="J89" s="362"/>
      <c r="K89" s="359"/>
    </row>
    <row r="90" spans="1:11" s="360" customFormat="1">
      <c r="A90" s="145" t="s">
        <v>774</v>
      </c>
      <c r="B90" s="361">
        <f>'Sources and Uses Budget'!C90</f>
        <v>11000</v>
      </c>
      <c r="C90" s="362"/>
      <c r="D90" s="362">
        <f t="shared" si="5"/>
        <v>11000</v>
      </c>
      <c r="E90" s="361">
        <f>'Sources and Uses Budget'!S90</f>
        <v>11000</v>
      </c>
      <c r="F90" s="362"/>
      <c r="G90" s="362">
        <f t="shared" ref="G90:G94" si="6">E90</f>
        <v>11000</v>
      </c>
      <c r="H90" s="361">
        <f>'Sources and Uses Budget'!T90</f>
        <v>0</v>
      </c>
      <c r="I90" s="362"/>
      <c r="J90" s="362"/>
      <c r="K90" s="359"/>
    </row>
    <row r="91" spans="1:11" s="360" customFormat="1">
      <c r="A91" s="155" t="s">
        <v>372</v>
      </c>
      <c r="B91" s="361">
        <f>'Sources and Uses Budget'!C91</f>
        <v>91000</v>
      </c>
      <c r="C91" s="362"/>
      <c r="D91" s="362">
        <f t="shared" si="5"/>
        <v>91000</v>
      </c>
      <c r="E91" s="361">
        <f>'Sources and Uses Budget'!S91</f>
        <v>40000</v>
      </c>
      <c r="F91" s="362"/>
      <c r="G91" s="362">
        <f t="shared" si="6"/>
        <v>40000</v>
      </c>
      <c r="H91" s="361">
        <f>'Sources and Uses Budget'!T91</f>
        <v>0</v>
      </c>
      <c r="I91" s="362"/>
      <c r="J91" s="362"/>
      <c r="K91" s="359"/>
    </row>
    <row r="92" spans="1:11" s="360" customFormat="1">
      <c r="A92" s="508" t="s">
        <v>1211</v>
      </c>
      <c r="B92" s="361">
        <f>'Sources and Uses Budget'!C92</f>
        <v>11000</v>
      </c>
      <c r="C92" s="362"/>
      <c r="D92" s="362">
        <f t="shared" si="5"/>
        <v>11000</v>
      </c>
      <c r="E92" s="361">
        <f>'Sources and Uses Budget'!S92</f>
        <v>11000</v>
      </c>
      <c r="F92" s="362"/>
      <c r="G92" s="362">
        <f t="shared" si="6"/>
        <v>11000</v>
      </c>
      <c r="H92" s="361">
        <f>'Sources and Uses Budget'!T92</f>
        <v>0</v>
      </c>
      <c r="I92" s="362"/>
      <c r="J92" s="362"/>
      <c r="K92" s="359"/>
    </row>
    <row r="93" spans="1:11" s="360" customFormat="1">
      <c r="A93" s="364" t="str">
        <f>'Sources and Uses Budget'!$A93</f>
        <v>Other: (Insurance)</v>
      </c>
      <c r="B93" s="361">
        <f>'Sources and Uses Budget'!C93</f>
        <v>140000</v>
      </c>
      <c r="C93" s="362"/>
      <c r="D93" s="362">
        <f t="shared" si="5"/>
        <v>140000</v>
      </c>
      <c r="E93" s="361">
        <f>'Sources and Uses Budget'!S93</f>
        <v>100000</v>
      </c>
      <c r="F93" s="362"/>
      <c r="G93" s="362">
        <f t="shared" si="6"/>
        <v>100000</v>
      </c>
      <c r="H93" s="361">
        <f>'Sources and Uses Budget'!T93</f>
        <v>0</v>
      </c>
      <c r="I93" s="362"/>
      <c r="J93" s="362"/>
      <c r="K93" s="359"/>
    </row>
    <row r="94" spans="1:11" s="360" customFormat="1">
      <c r="A94" s="364" t="str">
        <f>'Sources and Uses Budget'!$A94</f>
        <v>Other: (Property Taxes)</v>
      </c>
      <c r="B94" s="361">
        <f>'Sources and Uses Budget'!C94</f>
        <v>20000</v>
      </c>
      <c r="C94" s="362"/>
      <c r="D94" s="362">
        <f t="shared" si="5"/>
        <v>20000</v>
      </c>
      <c r="E94" s="361">
        <f>'Sources and Uses Budget'!S94</f>
        <v>15000</v>
      </c>
      <c r="F94" s="362"/>
      <c r="G94" s="362">
        <f t="shared" si="6"/>
        <v>15000</v>
      </c>
      <c r="H94" s="361">
        <f>'Sources and Uses Budget'!T94</f>
        <v>0</v>
      </c>
      <c r="I94" s="362"/>
      <c r="J94" s="362"/>
      <c r="K94" s="359"/>
    </row>
    <row r="95" spans="1:11" s="360" customFormat="1">
      <c r="A95" s="364" t="str">
        <f>'Sources and Uses Budget'!$A95</f>
        <v>Other: (Specify)</v>
      </c>
      <c r="B95" s="361">
        <f>'Sources and Uses Budget'!C95</f>
        <v>0</v>
      </c>
      <c r="C95" s="362"/>
      <c r="D95" s="362">
        <f t="shared" si="5"/>
        <v>0</v>
      </c>
      <c r="E95" s="361">
        <f>'Sources and Uses Budget'!S95</f>
        <v>0</v>
      </c>
      <c r="F95" s="362"/>
      <c r="G95" s="362"/>
      <c r="H95" s="361">
        <f>'Sources and Uses Budget'!T95</f>
        <v>0</v>
      </c>
      <c r="I95" s="362"/>
      <c r="J95" s="362"/>
      <c r="K95" s="359"/>
    </row>
    <row r="96" spans="1:11" s="360" customFormat="1">
      <c r="A96" s="365" t="s">
        <v>775</v>
      </c>
      <c r="B96" s="361">
        <f>'Sources and Uses Budget'!C96</f>
        <v>697000</v>
      </c>
      <c r="C96" s="361">
        <f>SUM(C83:C95)</f>
        <v>0</v>
      </c>
      <c r="D96" s="361">
        <f>SUM(D83:D95)</f>
        <v>697000</v>
      </c>
      <c r="E96" s="361">
        <f>'Sources and Uses Budget'!S96</f>
        <v>488000</v>
      </c>
      <c r="F96" s="367">
        <f>SUM(F84:F87,F89:F95)</f>
        <v>0</v>
      </c>
      <c r="G96" s="367">
        <f>SUM(G84:G87,G89:G95)</f>
        <v>488000</v>
      </c>
      <c r="H96" s="361">
        <f>'Sources and Uses Budget'!T96</f>
        <v>0</v>
      </c>
      <c r="I96" s="361">
        <f>SUM(I84:I87,I89:I95)</f>
        <v>0</v>
      </c>
      <c r="J96" s="361">
        <f>SUM(J84:J87,J89:J95)</f>
        <v>0</v>
      </c>
      <c r="K96" s="359"/>
    </row>
    <row r="97" spans="1:11" s="360" customFormat="1">
      <c r="A97" s="365" t="s">
        <v>1029</v>
      </c>
      <c r="B97" s="361">
        <f>'Sources and Uses Budget'!C97</f>
        <v>43160998</v>
      </c>
      <c r="C97" s="361">
        <f>SUM(C63+C70+C77+C81+C96)</f>
        <v>0</v>
      </c>
      <c r="D97" s="361">
        <f>SUM(D63+D70+D77+D81+D96)</f>
        <v>43160998</v>
      </c>
      <c r="E97" s="361">
        <f>'Sources and Uses Budget'!S97</f>
        <v>16895990.614117645</v>
      </c>
      <c r="F97" s="367">
        <f>SUM(+F63+F70+F81+F96)</f>
        <v>0</v>
      </c>
      <c r="G97" s="367">
        <f>SUM(+G63+G70+G81+G96)</f>
        <v>16895990.614117645</v>
      </c>
      <c r="H97" s="361">
        <f>'Sources and Uses Budget'!T97</f>
        <v>23428180</v>
      </c>
      <c r="I97" s="367">
        <f>SUM(I63+I70+I81+I96)</f>
        <v>0</v>
      </c>
      <c r="J97" s="367">
        <f>SUM(J63+J70+J81+J96)</f>
        <v>23428180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3000000</v>
      </c>
      <c r="C99" s="362"/>
      <c r="D99" s="362">
        <f>B99</f>
        <v>3000000</v>
      </c>
      <c r="E99" s="361">
        <f>'Sources and Uses Budget'!S99</f>
        <v>3000000</v>
      </c>
      <c r="F99" s="362">
        <v>0</v>
      </c>
      <c r="G99" s="362">
        <f>E99</f>
        <v>3000000</v>
      </c>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3000000</v>
      </c>
      <c r="C104" s="361">
        <f>SUM(C99:C103)</f>
        <v>0</v>
      </c>
      <c r="D104" s="361">
        <f>SUM(D99:D103)</f>
        <v>3000000</v>
      </c>
      <c r="E104" s="361">
        <f>'Sources and Uses Budget'!S104</f>
        <v>3000000</v>
      </c>
      <c r="F104" s="367">
        <f>SUM(F99:F103)</f>
        <v>0</v>
      </c>
      <c r="G104" s="367">
        <f>SUM(G99:G103)</f>
        <v>3000000</v>
      </c>
      <c r="H104" s="361">
        <f>'Sources and Uses Budget'!T104</f>
        <v>0</v>
      </c>
      <c r="I104" s="367">
        <f>SUM(I99:I103)</f>
        <v>0</v>
      </c>
      <c r="J104" s="367">
        <f>SUM(J99:J103)</f>
        <v>0</v>
      </c>
      <c r="K104" s="359"/>
    </row>
    <row r="105" spans="1:11" s="360" customFormat="1">
      <c r="A105" s="365" t="s">
        <v>1030</v>
      </c>
      <c r="B105" s="361">
        <f>'Sources and Uses Budget'!C105</f>
        <v>46160998</v>
      </c>
      <c r="C105" s="367">
        <f>SUM(C97+C104)</f>
        <v>0</v>
      </c>
      <c r="D105" s="367">
        <f>SUM(D97+D104)</f>
        <v>46160998</v>
      </c>
      <c r="E105" s="361">
        <f>'Sources and Uses Budget'!S105</f>
        <v>19895990.614117645</v>
      </c>
      <c r="F105" s="367">
        <f>F97+F104</f>
        <v>0</v>
      </c>
      <c r="G105" s="367">
        <f>G97+G104</f>
        <v>19895990.614117645</v>
      </c>
      <c r="H105" s="361">
        <f>'Sources and Uses Budget'!T105</f>
        <v>23428180</v>
      </c>
      <c r="I105" s="367">
        <f>I97+I104</f>
        <v>0</v>
      </c>
      <c r="J105" s="367">
        <f>J97+J104</f>
        <v>23428180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19895990.614117645</v>
      </c>
      <c r="F107" s="367">
        <f>F105+F106</f>
        <v>0</v>
      </c>
      <c r="G107" s="367">
        <f>G105+G106</f>
        <v>19895990.614117645</v>
      </c>
      <c r="H107" s="361">
        <f>'Sources and Uses Budget'!T107</f>
        <v>23428180</v>
      </c>
      <c r="I107" s="367">
        <f>I105+I106</f>
        <v>0</v>
      </c>
      <c r="J107" s="367">
        <f>J105+J106</f>
        <v>23428180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5" t="s">
        <v>2456</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2455</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7" t="str">
        <f>IF(Application!H18="","",Application!H18)</f>
        <v xml:space="preserve">Hermosa Village Phase III </v>
      </c>
      <c r="M4" s="2318"/>
      <c r="N4" s="2318"/>
      <c r="O4" s="2318"/>
      <c r="P4" s="2318"/>
      <c r="Q4" s="2318"/>
      <c r="R4" s="2318"/>
      <c r="S4" s="2318"/>
      <c r="T4" s="2318"/>
      <c r="U4" s="2318"/>
      <c r="V4" s="2318"/>
      <c r="W4" s="2318"/>
      <c r="X4" s="2318"/>
      <c r="Y4" s="2318"/>
      <c r="Z4" s="2318"/>
      <c r="AA4" s="2318"/>
      <c r="AB4" s="2318"/>
      <c r="AC4" s="2319"/>
      <c r="AD4" s="1190"/>
      <c r="AE4" s="1190"/>
      <c r="AF4" s="2313" t="s">
        <v>2454</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2453</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7" t="str">
        <f>IF(Application!H16="","",Application!H16)</f>
        <v xml:space="preserve">Hermosa Village Phase III Housing Partners, L.P. </v>
      </c>
      <c r="M6" s="2318"/>
      <c r="N6" s="2318"/>
      <c r="O6" s="2318"/>
      <c r="P6" s="2318"/>
      <c r="Q6" s="2318"/>
      <c r="R6" s="2318"/>
      <c r="S6" s="2318"/>
      <c r="T6" s="2318"/>
      <c r="U6" s="2318"/>
      <c r="V6" s="2318"/>
      <c r="W6" s="2318"/>
      <c r="X6" s="2318"/>
      <c r="Y6" s="2318"/>
      <c r="Z6" s="2318"/>
      <c r="AA6" s="2318"/>
      <c r="AB6" s="2318"/>
      <c r="AC6" s="2319"/>
      <c r="AD6" s="1190"/>
      <c r="AE6" s="1190"/>
      <c r="AF6" s="2320" t="s">
        <v>2451</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2450</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2448</v>
      </c>
      <c r="AG8" s="2320"/>
      <c r="AH8" s="2320"/>
      <c r="AI8" s="2320"/>
      <c r="AJ8" s="2320"/>
      <c r="AK8" s="2320"/>
      <c r="AL8" s="2320"/>
      <c r="AM8" s="2320"/>
      <c r="AN8" s="2320"/>
      <c r="AO8" s="2320"/>
      <c r="AP8" s="2321" t="s">
        <v>2098</v>
      </c>
      <c r="AQ8" s="2321"/>
      <c r="AR8" s="2321"/>
      <c r="AS8" s="2321"/>
      <c r="AT8" s="2321"/>
      <c r="AU8" s="2321"/>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2447</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6">
        <f>Application!AO627</f>
        <v>11746000</v>
      </c>
      <c r="O10" s="2316"/>
      <c r="P10" s="2316"/>
      <c r="Q10" s="2316"/>
      <c r="R10" s="2316"/>
      <c r="S10" s="2316"/>
      <c r="T10" s="2316"/>
      <c r="U10" s="1190"/>
      <c r="V10" s="1190"/>
      <c r="W10" s="1190"/>
      <c r="X10" s="1193"/>
      <c r="Y10" s="1193"/>
      <c r="Z10" s="1193"/>
      <c r="AA10" s="1193"/>
      <c r="AB10" s="1193"/>
      <c r="AC10" s="1193"/>
      <c r="AD10" s="1193"/>
      <c r="AE10" s="1193"/>
      <c r="AF10" s="2313" t="s">
        <v>2444</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2441</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304" t="s">
        <v>2439</v>
      </c>
      <c r="C13" s="2305"/>
      <c r="D13" s="2305"/>
      <c r="E13" s="2305"/>
      <c r="F13" s="2305"/>
      <c r="G13" s="2305"/>
      <c r="H13" s="2305"/>
      <c r="I13" s="2305"/>
      <c r="J13" s="2305"/>
      <c r="K13" s="2305"/>
      <c r="L13" s="2305"/>
      <c r="M13" s="2305"/>
      <c r="N13" s="2305"/>
      <c r="O13" s="2305"/>
      <c r="P13" s="2306"/>
      <c r="Q13" s="2307" t="s">
        <v>670</v>
      </c>
      <c r="R13" s="2308"/>
      <c r="S13" s="2308"/>
      <c r="T13" s="2309"/>
      <c r="U13" s="1193"/>
      <c r="V13" s="1190"/>
      <c r="W13" s="1190"/>
      <c r="X13" s="1190"/>
      <c r="Y13" s="1190"/>
      <c r="Z13" s="1190"/>
      <c r="AA13" s="2294" t="s">
        <v>2438</v>
      </c>
      <c r="AB13" s="2294"/>
      <c r="AC13" s="2294"/>
      <c r="AD13" s="2294"/>
      <c r="AE13" s="2294"/>
      <c r="AF13" s="2294"/>
      <c r="AG13" s="2294"/>
      <c r="AH13" s="2294"/>
      <c r="AI13" s="2294"/>
      <c r="AJ13" s="2294"/>
      <c r="AK13" s="2294"/>
      <c r="AL13" s="2294"/>
      <c r="AM13" s="2294"/>
      <c r="AN13" s="2294"/>
      <c r="AO13" s="2310">
        <f>Application!W473</f>
        <v>0</v>
      </c>
      <c r="AP13" s="2311"/>
      <c r="AQ13" s="2311"/>
      <c r="AR13" s="2311"/>
      <c r="AS13" s="2311"/>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2436</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2435</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2434</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2433</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2432</v>
      </c>
      <c r="C18" s="2298"/>
      <c r="D18" s="2298"/>
      <c r="E18" s="2298"/>
      <c r="F18" s="2298"/>
      <c r="G18" s="2298"/>
      <c r="H18" s="2298"/>
      <c r="I18" s="2299"/>
      <c r="J18" s="2300" t="s">
        <v>1586</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2431</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si="0">SUM(P19:AS19)</f>
        <v>9</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3</v>
      </c>
      <c r="W19" s="2287"/>
      <c r="X19" s="2287"/>
      <c r="Y19" s="2287"/>
      <c r="Z19" s="2287"/>
      <c r="AA19" s="2288"/>
      <c r="AB19" s="2286" cm="1">
        <f t="array" ref="AB19">SUMPRODUCT((Application!$B$714:$B$738 = 'CalHFA Addendum'!AB$18)*(Application!$AC$714:$AC$738 = 'CalHFA Addendum'!$B19),Application!$G$714:$G$738)</f>
        <v>6</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0.13235294117647059</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si="0"/>
        <v>10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6</v>
      </c>
      <c r="W20" s="2287"/>
      <c r="X20" s="2287"/>
      <c r="Y20" s="2287"/>
      <c r="Z20" s="2287"/>
      <c r="AA20" s="2288"/>
      <c r="AB20" s="2286" cm="1">
        <f t="array" ref="AB20">SUMPRODUCT((Application!$B$714:$B$738 = 'CalHFA Addendum'!AB$18)*(Application!$AC$714:$AC$738 = 'CalHFA Addendum'!$B20),Application!$G$714:$G$738)</f>
        <v>4</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0.14705882352941177</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si="0"/>
        <v>43</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11</v>
      </c>
      <c r="W21" s="2287"/>
      <c r="X21" s="2287"/>
      <c r="Y21" s="2287"/>
      <c r="Z21" s="2287"/>
      <c r="AA21" s="2288"/>
      <c r="AB21" s="2286" cm="1">
        <f t="array" ref="AB21">SUMPRODUCT((Application!$B$714:$B$738 = 'CalHFA Addendum'!AB$18)*(Application!$AC$714:$AC$738 = 'CalHFA Addendum'!$B21),Application!$G$714:$G$738)</f>
        <v>32</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0.63235294117647056</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si="0"/>
        <v>6</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4</v>
      </c>
      <c r="W22" s="2287"/>
      <c r="X22" s="2287"/>
      <c r="Y22" s="2287"/>
      <c r="Z22" s="2287"/>
      <c r="AA22" s="2288"/>
      <c r="AB22" s="2286" cm="1">
        <f t="array" ref="AB22">SUMPRODUCT((Application!$B$714:$B$738 = 'CalHFA Addendum'!AB$18)*(Application!$AC$714:$AC$738 = 'CalHFA Addendum'!$B22),Application!$G$714:$G$738)</f>
        <v>2</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8.8235294117647065E-2</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0"/>
      <c r="BA27" s="1190"/>
      <c r="BB27" s="1190"/>
      <c r="BC27" s="1190"/>
      <c r="BD27" s="1190"/>
      <c r="BE27" s="1194"/>
    </row>
    <row r="28" spans="1:58" thickBot="1">
      <c r="A28" s="1190"/>
      <c r="B28" s="2274" t="s">
        <v>2430</v>
      </c>
      <c r="C28" s="2275"/>
      <c r="D28" s="2275"/>
      <c r="E28" s="2275"/>
      <c r="F28" s="2275"/>
      <c r="G28" s="2275"/>
      <c r="H28" s="2275"/>
      <c r="I28" s="2276"/>
      <c r="J28" s="2277">
        <f>SUM(P28:AS28)</f>
        <v>0</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0</v>
      </c>
      <c r="AU28" s="2281"/>
      <c r="AV28" s="2281"/>
      <c r="AW28" s="2281"/>
      <c r="AX28" s="2281"/>
      <c r="AY28" s="2282"/>
      <c r="AZ28" s="1190"/>
      <c r="BA28" s="1190"/>
      <c r="BB28" s="1190"/>
      <c r="BC28" s="1190"/>
      <c r="BD28" s="1190"/>
      <c r="BE28" s="1194"/>
    </row>
    <row r="29" spans="1:58" thickBot="1">
      <c r="A29" s="1190"/>
      <c r="B29" s="2257" t="s">
        <v>1586</v>
      </c>
      <c r="C29" s="2230"/>
      <c r="D29" s="2230"/>
      <c r="E29" s="2230"/>
      <c r="F29" s="2230"/>
      <c r="G29" s="2230"/>
      <c r="H29" s="2230"/>
      <c r="I29" s="2231"/>
      <c r="J29" s="2229">
        <f>SUM(J19:O28)</f>
        <v>68</v>
      </c>
      <c r="K29" s="2230"/>
      <c r="L29" s="2230"/>
      <c r="M29" s="2230"/>
      <c r="N29" s="2230"/>
      <c r="O29" s="2231"/>
      <c r="P29" s="2229">
        <f>SUM(P19:U28)</f>
        <v>0</v>
      </c>
      <c r="Q29" s="2230"/>
      <c r="R29" s="2230"/>
      <c r="S29" s="2230"/>
      <c r="T29" s="2230"/>
      <c r="U29" s="2231"/>
      <c r="V29" s="2229">
        <f>SUM(V19:AA28)</f>
        <v>24</v>
      </c>
      <c r="W29" s="2230"/>
      <c r="X29" s="2230"/>
      <c r="Y29" s="2230"/>
      <c r="Z29" s="2230"/>
      <c r="AA29" s="2231"/>
      <c r="AB29" s="2229">
        <f>SUM(AB19:AG28)</f>
        <v>44</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2429</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2428</v>
      </c>
      <c r="C32" s="2239"/>
      <c r="D32" s="2239"/>
      <c r="E32" s="2239"/>
      <c r="F32" s="2239"/>
      <c r="G32" s="2239"/>
      <c r="H32" s="2239"/>
      <c r="I32" s="2239"/>
      <c r="J32" s="2242" t="s">
        <v>2427</v>
      </c>
      <c r="K32" s="2243"/>
      <c r="L32" s="2243"/>
      <c r="M32" s="2243"/>
      <c r="N32" s="2242" t="s">
        <v>2426</v>
      </c>
      <c r="O32" s="2243"/>
      <c r="P32" s="2243"/>
      <c r="Q32" s="2245"/>
      <c r="R32" s="2247" t="s">
        <v>2425</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2424</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2423</v>
      </c>
      <c r="AT35" s="2259"/>
      <c r="AU35" s="2259"/>
      <c r="AV35" s="2259"/>
      <c r="AW35" s="2259"/>
      <c r="AX35" s="2267"/>
      <c r="AY35" s="2258" t="s">
        <v>2422</v>
      </c>
      <c r="AZ35" s="2259"/>
      <c r="BA35" s="2259"/>
      <c r="BB35" s="2259"/>
      <c r="BC35" s="2259"/>
      <c r="BD35" s="2260"/>
      <c r="BE35" s="1194"/>
    </row>
    <row r="36" spans="1:58" ht="15.75" customHeight="1">
      <c r="A36" s="1190"/>
      <c r="B36" s="2162" t="s">
        <v>2421</v>
      </c>
      <c r="C36" s="2163"/>
      <c r="D36" s="2163"/>
      <c r="E36" s="2163"/>
      <c r="F36" s="2163"/>
      <c r="G36" s="2163"/>
      <c r="H36" s="2163"/>
      <c r="I36" s="2163"/>
      <c r="J36" s="2227" t="s">
        <v>2420</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4"/>
    </row>
    <row r="37" spans="1:58" ht="15.75" customHeight="1">
      <c r="A37" s="1190"/>
      <c r="B37" s="2162" t="s">
        <v>2419</v>
      </c>
      <c r="C37" s="2163"/>
      <c r="D37" s="2163"/>
      <c r="E37" s="2163"/>
      <c r="F37" s="2163"/>
      <c r="G37" s="2163"/>
      <c r="H37" s="2163"/>
      <c r="I37" s="2163"/>
      <c r="J37" s="2227" t="s">
        <v>2418</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4"/>
    </row>
    <row r="38" spans="1:58" ht="15.75" customHeight="1">
      <c r="A38" s="1190"/>
      <c r="B38" s="2162" t="s">
        <v>2417</v>
      </c>
      <c r="C38" s="2163"/>
      <c r="D38" s="2163"/>
      <c r="E38" s="2163"/>
      <c r="F38" s="2163"/>
      <c r="G38" s="2163"/>
      <c r="H38" s="2163"/>
      <c r="I38" s="2163"/>
      <c r="J38" s="2227" t="s">
        <v>2416</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4"/>
    </row>
    <row r="39" spans="1:58" ht="15.75" customHeight="1">
      <c r="A39" s="1190"/>
      <c r="B39" s="2162" t="s">
        <v>2415</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4"/>
    </row>
    <row r="40" spans="1:58" ht="15.75" customHeight="1">
      <c r="A40" s="1190"/>
      <c r="B40" s="2162" t="s">
        <v>2415</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4"/>
    </row>
    <row r="41" spans="1:58" ht="15.75" customHeight="1">
      <c r="A41" s="1190"/>
      <c r="B41" s="2162" t="s">
        <v>2414</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4"/>
    </row>
    <row r="42" spans="1:58" ht="15.75" customHeight="1">
      <c r="A42" s="1190"/>
      <c r="B42" s="2162" t="s">
        <v>2414</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4"/>
    </row>
    <row r="43" spans="1:58" ht="15.75" customHeight="1">
      <c r="A43" s="1190"/>
      <c r="B43" s="2167" t="s">
        <v>2413</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4"/>
    </row>
    <row r="44" spans="1:58" ht="15.75" customHeight="1">
      <c r="A44" s="1190"/>
      <c r="B44" s="2167" t="s">
        <v>2412</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4"/>
    </row>
    <row r="45" spans="1:58" ht="15.75" customHeight="1">
      <c r="A45" s="1190"/>
      <c r="B45" s="2167" t="s">
        <v>2411</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4"/>
    </row>
    <row r="46" spans="1:58" ht="15.75" customHeight="1">
      <c r="A46" s="1190"/>
      <c r="B46" s="2167" t="s">
        <v>2335</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2408</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2401</v>
      </c>
      <c r="C51" s="2105"/>
      <c r="D51" s="2105"/>
      <c r="E51" s="2105"/>
      <c r="F51" s="2105"/>
      <c r="G51" s="2105"/>
      <c r="H51" s="2105"/>
      <c r="I51" s="2105"/>
      <c r="J51" s="2105" t="s">
        <v>2407</v>
      </c>
      <c r="K51" s="2105"/>
      <c r="L51" s="2105"/>
      <c r="M51" s="2105"/>
      <c r="N51" s="2105"/>
      <c r="O51" s="2105"/>
      <c r="P51" s="2105"/>
      <c r="Q51" s="2105"/>
      <c r="R51" s="2206" t="s">
        <v>2406</v>
      </c>
      <c r="S51" s="2206"/>
      <c r="T51" s="2206"/>
      <c r="U51" s="2206"/>
      <c r="V51" s="2206"/>
      <c r="W51" s="2206"/>
      <c r="X51" s="2206"/>
      <c r="Y51" s="2206"/>
      <c r="Z51" s="2206" t="s">
        <v>2405</v>
      </c>
      <c r="AA51" s="2206"/>
      <c r="AB51" s="2206"/>
      <c r="AC51" s="2206"/>
      <c r="AD51" s="2206"/>
      <c r="AE51" s="2206"/>
      <c r="AF51" s="2206"/>
      <c r="AG51" s="2206"/>
      <c r="AH51" s="2206" t="s">
        <v>2404</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2403</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2402</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1586</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2401</v>
      </c>
      <c r="C59" s="2196"/>
      <c r="D59" s="2196"/>
      <c r="E59" s="2196"/>
      <c r="F59" s="2196"/>
      <c r="G59" s="2196"/>
      <c r="H59" s="2196"/>
      <c r="I59" s="2197"/>
      <c r="J59" s="2103" t="s">
        <v>2400</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2398</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2397</v>
      </c>
      <c r="AD68" s="2029"/>
      <c r="AE68" s="2029"/>
      <c r="AF68" s="2029"/>
      <c r="AG68" s="2029"/>
      <c r="AH68" s="2029"/>
      <c r="AI68" s="2029"/>
      <c r="AJ68" s="2029"/>
      <c r="AK68" s="2029"/>
      <c r="AL68" s="2029"/>
      <c r="AM68" s="2029"/>
      <c r="AN68" s="2029"/>
      <c r="AO68" s="2029"/>
      <c r="AP68" s="2029"/>
      <c r="AQ68" s="2029"/>
      <c r="AR68" s="2029"/>
      <c r="AS68" s="2029"/>
      <c r="AT68" s="2029"/>
      <c r="AU68" s="2029"/>
      <c r="AV68" s="2179" t="s">
        <v>670</v>
      </c>
      <c r="AW68" s="2085"/>
      <c r="AX68" s="2085"/>
      <c r="AY68" s="2085"/>
      <c r="AZ68" s="2085"/>
      <c r="BA68" s="2085"/>
      <c r="BB68" s="2085"/>
      <c r="BC68" s="2086"/>
      <c r="BD68" s="1190"/>
      <c r="BE68" s="1194"/>
      <c r="BM68" s="1199" t="s">
        <v>2396</v>
      </c>
    </row>
    <row r="69" spans="1:94" ht="15.75" customHeight="1" thickTop="1" thickBot="1">
      <c r="A69" s="1190"/>
      <c r="B69" s="2180" t="s">
        <v>2395</v>
      </c>
      <c r="C69" s="2181"/>
      <c r="D69" s="2181"/>
      <c r="E69" s="2181"/>
      <c r="F69" s="2181"/>
      <c r="G69" s="2181"/>
      <c r="H69" s="2181"/>
      <c r="I69" s="2181"/>
      <c r="J69" s="2181"/>
      <c r="K69" s="2181"/>
      <c r="L69" s="2181"/>
      <c r="M69" s="2181"/>
      <c r="N69" s="2181"/>
      <c r="O69" s="2182" t="s">
        <v>2394</v>
      </c>
      <c r="P69" s="2183"/>
      <c r="Q69" s="2183"/>
      <c r="R69" s="2183"/>
      <c r="S69" s="2183"/>
      <c r="T69" s="2183"/>
      <c r="U69" s="2183"/>
      <c r="V69" s="2183"/>
      <c r="W69" s="2183"/>
      <c r="X69" s="2183"/>
      <c r="Y69" s="2183"/>
      <c r="Z69" s="2183"/>
      <c r="AA69" s="2184"/>
      <c r="AB69" s="1190"/>
      <c r="AC69" s="2185" t="s">
        <v>2393</v>
      </c>
      <c r="AD69" s="2186"/>
      <c r="AE69" s="2186"/>
      <c r="AF69" s="2186"/>
      <c r="AG69" s="2186"/>
      <c r="AH69" s="2186"/>
      <c r="AI69" s="2186"/>
      <c r="AJ69" s="2186"/>
      <c r="AK69" s="2186"/>
      <c r="AL69" s="2186"/>
      <c r="AM69" s="2186"/>
      <c r="AN69" s="2186"/>
      <c r="AO69" s="2186"/>
      <c r="AP69" s="2186"/>
      <c r="AQ69" s="2186"/>
      <c r="AR69" s="2186"/>
      <c r="AS69" s="2186"/>
      <c r="AT69" s="2186"/>
      <c r="AU69" s="2186"/>
      <c r="AV69" s="2179" t="s">
        <v>670</v>
      </c>
      <c r="AW69" s="2085"/>
      <c r="AX69" s="2085"/>
      <c r="AY69" s="2085"/>
      <c r="AZ69" s="2085"/>
      <c r="BA69" s="2085"/>
      <c r="BB69" s="2085"/>
      <c r="BC69" s="2086"/>
      <c r="BD69" s="1190"/>
      <c r="BE69" s="1194"/>
      <c r="BM69" s="1200" t="s">
        <v>546</v>
      </c>
    </row>
    <row r="70" spans="1:94" ht="15.75" customHeight="1">
      <c r="A70" s="1190"/>
      <c r="B70" s="2162" t="s">
        <v>2392</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2391</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670</v>
      </c>
    </row>
    <row r="71" spans="1:94" ht="15.75" customHeight="1" thickBot="1">
      <c r="A71" s="1190"/>
      <c r="B71" s="2162" t="s">
        <v>2390</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2389</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2388</v>
      </c>
    </row>
    <row r="72" spans="1:94" ht="15.75" customHeight="1">
      <c r="A72" s="1190"/>
      <c r="B72" s="2162" t="s">
        <v>2387</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2386</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2385</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2330</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2383</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2382</v>
      </c>
      <c r="C81" s="2157"/>
      <c r="D81" s="2157"/>
      <c r="E81" s="2157"/>
      <c r="F81" s="2157"/>
      <c r="G81" s="2157"/>
      <c r="H81" s="2157"/>
      <c r="I81" s="2157"/>
      <c r="J81" s="2157"/>
      <c r="K81" s="2157"/>
      <c r="L81" s="2157"/>
      <c r="M81" s="2157"/>
      <c r="N81" s="2157"/>
      <c r="O81" s="2157"/>
      <c r="P81" s="2157"/>
      <c r="Q81" s="2157"/>
      <c r="R81" s="2138" t="s">
        <v>2188</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2381</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2380</v>
      </c>
      <c r="AK83" s="2127"/>
      <c r="AL83" s="2127"/>
      <c r="AM83" s="2127"/>
      <c r="AN83" s="2127"/>
      <c r="AO83" s="2127"/>
      <c r="AP83" s="2127"/>
      <c r="AQ83" s="2127"/>
      <c r="AR83" s="2127"/>
      <c r="AS83" s="2127"/>
      <c r="AT83" s="2127"/>
      <c r="AU83" s="2127"/>
      <c r="AV83" s="2127"/>
      <c r="AW83" s="2127"/>
      <c r="AX83" s="2127"/>
      <c r="AY83" s="2143" t="s">
        <v>546</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2370</v>
      </c>
      <c r="J84" s="2105"/>
      <c r="K84" s="2105"/>
      <c r="L84" s="2105"/>
      <c r="M84" s="2105"/>
      <c r="N84" s="2105"/>
      <c r="O84" s="2105" t="s">
        <v>2346</v>
      </c>
      <c r="P84" s="2105"/>
      <c r="Q84" s="2105"/>
      <c r="R84" s="2105"/>
      <c r="S84" s="2105"/>
      <c r="T84" s="2105"/>
      <c r="U84" s="2105"/>
      <c r="V84" s="2141" t="s">
        <v>2345</v>
      </c>
      <c r="W84" s="2141"/>
      <c r="X84" s="2141"/>
      <c r="Y84" s="2141"/>
      <c r="Z84" s="2141"/>
      <c r="AA84" s="2141"/>
      <c r="AB84" s="2075" t="s">
        <v>2369</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2368</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2367</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2374</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2366</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2378</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2377</v>
      </c>
      <c r="C94" s="2157"/>
      <c r="D94" s="2157"/>
      <c r="E94" s="2157"/>
      <c r="F94" s="2157"/>
      <c r="G94" s="2157"/>
      <c r="H94" s="2157"/>
      <c r="I94" s="2157"/>
      <c r="J94" s="2157"/>
      <c r="K94" s="2157"/>
      <c r="L94" s="2157"/>
      <c r="M94" s="2157"/>
      <c r="N94" s="2157"/>
      <c r="O94" s="2157"/>
      <c r="P94" s="2157"/>
      <c r="Q94" s="2158"/>
      <c r="R94" s="2138" t="s">
        <v>2188</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2376</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2375</v>
      </c>
      <c r="AK96" s="2127"/>
      <c r="AL96" s="2127"/>
      <c r="AM96" s="2127"/>
      <c r="AN96" s="2127"/>
      <c r="AO96" s="2127"/>
      <c r="AP96" s="2127"/>
      <c r="AQ96" s="2127"/>
      <c r="AR96" s="2127"/>
      <c r="AS96" s="2127"/>
      <c r="AT96" s="2127"/>
      <c r="AU96" s="2127"/>
      <c r="AV96" s="2127"/>
      <c r="AW96" s="2127"/>
      <c r="AX96" s="2127"/>
      <c r="AY96" s="2143" t="s">
        <v>546</v>
      </c>
      <c r="AZ96" s="2143"/>
      <c r="BA96" s="2143"/>
      <c r="BB96" s="2144"/>
      <c r="BC96" s="1190"/>
      <c r="BD96" s="1190"/>
      <c r="BE96" s="1194"/>
      <c r="BQ96" s="1256" t="str">
        <f>Application!M243&amp;IF(TRIM(Application!AA249)&lt;&gt;""," ("&amp;Application!AA249&amp;")","")</f>
        <v>Related/Hermosa Village Phase III Development Co., LLC (The Related Companies of California)</v>
      </c>
      <c r="BR96" s="1259">
        <f>Application!AH246</f>
        <v>8.0000000000000007E-5</v>
      </c>
      <c r="CM96" s="1188"/>
      <c r="CN96" s="1188"/>
      <c r="CO96" s="1188"/>
      <c r="CP96" s="1188"/>
    </row>
    <row r="97" spans="1:94" ht="15.75" customHeight="1">
      <c r="A97" s="1190"/>
      <c r="B97" s="2137"/>
      <c r="C97" s="2105"/>
      <c r="D97" s="2105"/>
      <c r="E97" s="2105"/>
      <c r="F97" s="2105"/>
      <c r="G97" s="2105"/>
      <c r="H97" s="2105"/>
      <c r="I97" s="2105" t="s">
        <v>2370</v>
      </c>
      <c r="J97" s="2105"/>
      <c r="K97" s="2105"/>
      <c r="L97" s="2105"/>
      <c r="M97" s="2105"/>
      <c r="N97" s="2105"/>
      <c r="O97" s="2105" t="s">
        <v>2346</v>
      </c>
      <c r="P97" s="2105"/>
      <c r="Q97" s="2105"/>
      <c r="R97" s="2105"/>
      <c r="S97" s="2105"/>
      <c r="T97" s="2105"/>
      <c r="U97" s="2105"/>
      <c r="V97" s="2141" t="s">
        <v>2345</v>
      </c>
      <c r="W97" s="2141"/>
      <c r="X97" s="2141"/>
      <c r="Y97" s="2141"/>
      <c r="Z97" s="2141"/>
      <c r="AA97" s="2141"/>
      <c r="AB97" s="2075" t="s">
        <v>2369</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National Community Renaissance of California (National Community Renaissance Corporation)</v>
      </c>
      <c r="BR97" s="1259">
        <f>Application!AH254</f>
        <v>2.0000000000000002E-5</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2368</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2367</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2374</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2366</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RA Management, LLC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2371</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2370</v>
      </c>
      <c r="J108" s="2105"/>
      <c r="K108" s="2105"/>
      <c r="L108" s="2105"/>
      <c r="M108" s="2105"/>
      <c r="N108" s="2105"/>
      <c r="O108" s="2105" t="s">
        <v>2346</v>
      </c>
      <c r="P108" s="2105"/>
      <c r="Q108" s="2105"/>
      <c r="R108" s="2105"/>
      <c r="S108" s="2105"/>
      <c r="T108" s="2105"/>
      <c r="U108" s="2105"/>
      <c r="V108" s="2141" t="s">
        <v>2345</v>
      </c>
      <c r="W108" s="2141"/>
      <c r="X108" s="2141"/>
      <c r="Y108" s="2141"/>
      <c r="Z108" s="2141"/>
      <c r="AA108" s="2141"/>
      <c r="AB108" s="2075" t="s">
        <v>2369</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2368</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2367</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2366</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2364</v>
      </c>
      <c r="C117" s="2111"/>
      <c r="D117" s="2111"/>
      <c r="E117" s="2111"/>
      <c r="F117" s="2111"/>
      <c r="G117" s="2111"/>
      <c r="H117" s="2111"/>
      <c r="I117" s="2111"/>
      <c r="J117" s="2111"/>
      <c r="K117" s="2111"/>
      <c r="L117" s="2111"/>
      <c r="M117" s="2111"/>
      <c r="N117" s="2111"/>
      <c r="O117" s="2111"/>
      <c r="P117" s="2111"/>
      <c r="Q117" s="2111"/>
      <c r="R117" s="2111"/>
      <c r="S117" s="2111"/>
      <c r="T117" s="2111"/>
      <c r="U117" s="2114" t="s">
        <v>546</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2364</v>
      </c>
      <c r="C121" s="2119"/>
      <c r="D121" s="2119"/>
      <c r="E121" s="2119"/>
      <c r="F121" s="2119"/>
      <c r="G121" s="2119"/>
      <c r="H121" s="2119"/>
      <c r="I121" s="2119"/>
      <c r="J121" s="2119"/>
      <c r="K121" s="2119"/>
      <c r="L121" s="2119"/>
      <c r="M121" s="2119"/>
      <c r="N121" s="2119"/>
      <c r="O121" s="2119"/>
      <c r="P121" s="2119"/>
      <c r="Q121" s="2119"/>
      <c r="R121" s="2119"/>
      <c r="S121" s="2119"/>
      <c r="T121" s="2119"/>
      <c r="U121" s="2122" t="s">
        <v>546</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2362</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1576</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2361</v>
      </c>
      <c r="J127" s="2105"/>
      <c r="K127" s="2105"/>
      <c r="L127" s="2105"/>
      <c r="M127" s="2105"/>
      <c r="N127" s="2105"/>
      <c r="O127" s="2106" t="s">
        <v>2360</v>
      </c>
      <c r="P127" s="2106"/>
      <c r="Q127" s="2106"/>
      <c r="R127" s="2106"/>
      <c r="S127" s="2106"/>
      <c r="T127" s="2106"/>
      <c r="U127" s="2107"/>
      <c r="V127" s="1190"/>
      <c r="W127" s="1190"/>
      <c r="X127" s="2045" t="s">
        <v>2330</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2344</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2343</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2358</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2346</v>
      </c>
      <c r="J134" s="2080"/>
      <c r="K134" s="2080"/>
      <c r="L134" s="2080"/>
      <c r="M134" s="2080"/>
      <c r="N134" s="2080"/>
      <c r="O134" s="2080"/>
      <c r="P134" s="2080" t="s">
        <v>2345</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2344</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2343</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2357</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546</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2356</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2355</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546</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2354</v>
      </c>
      <c r="C142" s="2088"/>
      <c r="D142" s="2088"/>
      <c r="E142" s="2088"/>
      <c r="F142" s="2088"/>
      <c r="G142" s="2088"/>
      <c r="H142" s="2088"/>
      <c r="I142" s="2088"/>
      <c r="J142" s="2088"/>
      <c r="K142" s="2088"/>
      <c r="L142" s="2088"/>
      <c r="M142" s="2088"/>
      <c r="N142" s="2088"/>
      <c r="O142" s="2088"/>
      <c r="P142" s="2088"/>
      <c r="Q142" s="2088"/>
      <c r="R142" s="2089" t="s">
        <v>2353</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2352</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2349</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2348</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2346</v>
      </c>
      <c r="J157" s="2080"/>
      <c r="K157" s="2080"/>
      <c r="L157" s="2080"/>
      <c r="M157" s="2080"/>
      <c r="N157" s="2080"/>
      <c r="O157" s="2080"/>
      <c r="P157" s="2080" t="s">
        <v>2347</v>
      </c>
      <c r="Q157" s="2080"/>
      <c r="R157" s="2080"/>
      <c r="S157" s="2080"/>
      <c r="T157" s="2080"/>
      <c r="U157" s="2081"/>
      <c r="V157" s="1190"/>
      <c r="W157" s="1190"/>
      <c r="X157" s="2042"/>
      <c r="Y157" s="2043"/>
      <c r="Z157" s="2043"/>
      <c r="AA157" s="2043"/>
      <c r="AB157" s="2043"/>
      <c r="AC157" s="2043"/>
      <c r="AD157" s="2043"/>
      <c r="AE157" s="2080" t="s">
        <v>2346</v>
      </c>
      <c r="AF157" s="2080"/>
      <c r="AG157" s="2080"/>
      <c r="AH157" s="2080"/>
      <c r="AI157" s="2080"/>
      <c r="AJ157" s="2080"/>
      <c r="AK157" s="2080"/>
      <c r="AL157" s="2080" t="s">
        <v>2345</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2344</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2344</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2343</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2342</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2327</v>
      </c>
      <c r="D163" s="2043"/>
      <c r="E163" s="2043"/>
      <c r="F163" s="2043"/>
      <c r="G163" s="2043"/>
      <c r="H163" s="2043"/>
      <c r="I163" s="2043"/>
      <c r="J163" s="2043"/>
      <c r="K163" s="2043"/>
      <c r="L163" s="2043"/>
      <c r="M163" s="2043"/>
      <c r="N163" s="2043"/>
      <c r="O163" s="2043"/>
      <c r="P163" s="2043"/>
      <c r="Q163" s="2043" t="s">
        <v>2341</v>
      </c>
      <c r="R163" s="2043"/>
      <c r="S163" s="2043"/>
      <c r="T163" s="2075" t="s">
        <v>2340</v>
      </c>
      <c r="U163" s="2075"/>
      <c r="V163" s="2075"/>
      <c r="W163" s="2075"/>
      <c r="X163" s="2075"/>
      <c r="Y163" s="2075"/>
      <c r="Z163" s="2075"/>
      <c r="AA163" s="2075"/>
      <c r="AB163" s="2043" t="s">
        <v>2339</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2338</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2337</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2336</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2335</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2316</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2316</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2316</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2334</v>
      </c>
      <c r="D172" s="2029"/>
      <c r="E172" s="2029"/>
      <c r="F172" s="2029"/>
      <c r="G172" s="2029"/>
      <c r="H172" s="2029"/>
      <c r="I172" s="2029"/>
      <c r="J172" s="2029"/>
      <c r="K172" s="2029"/>
      <c r="L172" s="2029"/>
      <c r="M172" s="2029"/>
      <c r="N172" s="2038"/>
      <c r="O172" s="1190"/>
      <c r="P172" s="2039" t="s">
        <v>2333</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2332</v>
      </c>
      <c r="D173" s="2043"/>
      <c r="E173" s="2043"/>
      <c r="F173" s="2043"/>
      <c r="G173" s="2043"/>
      <c r="H173" s="2043"/>
      <c r="I173" s="2043" t="s">
        <v>2331</v>
      </c>
      <c r="J173" s="2043"/>
      <c r="K173" s="2043"/>
      <c r="L173" s="2043"/>
      <c r="M173" s="2043"/>
      <c r="N173" s="2044"/>
      <c r="O173" s="1190"/>
      <c r="P173" s="2045" t="s">
        <v>2330</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2329</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2327</v>
      </c>
      <c r="D184" s="2029"/>
      <c r="E184" s="2029"/>
      <c r="F184" s="2029"/>
      <c r="G184" s="2029"/>
      <c r="H184" s="2029"/>
      <c r="I184" s="2029"/>
      <c r="J184" s="2029"/>
      <c r="K184" s="2029"/>
      <c r="L184" s="2029"/>
      <c r="M184" s="2029"/>
      <c r="N184" s="2029" t="s">
        <v>2328</v>
      </c>
      <c r="O184" s="2029"/>
      <c r="P184" s="2029"/>
      <c r="Q184" s="2029"/>
      <c r="R184" s="2029"/>
      <c r="S184" s="2029"/>
      <c r="T184" s="2029"/>
      <c r="U184" s="2030" t="s">
        <v>2327</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2326</v>
      </c>
      <c r="D185" s="2008"/>
      <c r="E185" s="2008"/>
      <c r="F185" s="2008"/>
      <c r="G185" s="2008"/>
      <c r="H185" s="2008"/>
      <c r="I185" s="2008"/>
      <c r="J185" s="2008"/>
      <c r="K185" s="2008"/>
      <c r="L185" s="2008"/>
      <c r="M185" s="2008"/>
      <c r="N185" s="2018">
        <f>'Sources and Uses Budget'!B105</f>
        <v>46160998</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2325</v>
      </c>
      <c r="D186" s="2008"/>
      <c r="E186" s="2008"/>
      <c r="F186" s="2008"/>
      <c r="G186" s="2008"/>
      <c r="H186" s="2008"/>
      <c r="I186" s="2008"/>
      <c r="J186" s="2008"/>
      <c r="K186" s="2008"/>
      <c r="L186" s="2008"/>
      <c r="M186" s="2008"/>
      <c r="N186" s="2018">
        <f>N185/J29</f>
        <v>678838.20588235289</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2324</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2323</v>
      </c>
      <c r="D188" s="2008"/>
      <c r="E188" s="2008"/>
      <c r="F188" s="2008"/>
      <c r="G188" s="2008"/>
      <c r="H188" s="2008"/>
      <c r="I188" s="2008"/>
      <c r="J188" s="2008"/>
      <c r="K188" s="2008"/>
      <c r="L188" s="2008"/>
      <c r="M188" s="2008"/>
      <c r="N188" s="2037">
        <f>SUM('Sources and Uses Budget'!B85:B86)</f>
        <v>291000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2322</v>
      </c>
      <c r="D189" s="2008"/>
      <c r="E189" s="2008"/>
      <c r="F189" s="2008"/>
      <c r="G189" s="2008"/>
      <c r="H189" s="2008"/>
      <c r="I189" s="2008"/>
      <c r="J189" s="2008"/>
      <c r="K189" s="2008"/>
      <c r="L189" s="2008"/>
      <c r="M189" s="2008"/>
      <c r="N189" s="2037">
        <f>'Sources and Uses Budget'!B8</f>
        <v>0</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2320</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2321</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2320</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2319</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2318</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2316</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2317</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2316</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2316</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2315</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2314</v>
      </c>
      <c r="D195" s="1962"/>
      <c r="E195" s="1962"/>
      <c r="F195" s="1962"/>
      <c r="G195" s="1962"/>
      <c r="H195" s="1962"/>
      <c r="I195" s="1962"/>
      <c r="J195" s="1962"/>
      <c r="K195" s="1962"/>
      <c r="L195" s="1962"/>
      <c r="M195" s="1962"/>
      <c r="N195" s="1963">
        <f>SUM(N187:T194)</f>
        <v>291000</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2313</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2312</v>
      </c>
      <c r="D196" s="1972"/>
      <c r="E196" s="1972"/>
      <c r="F196" s="1972"/>
      <c r="G196" s="1972"/>
      <c r="H196" s="1972"/>
      <c r="I196" s="1972"/>
      <c r="J196" s="1972"/>
      <c r="K196" s="1972"/>
      <c r="L196" s="1972"/>
      <c r="M196" s="1972"/>
      <c r="N196" s="1973">
        <f>(N185-N195)/J29</f>
        <v>674558.79411764711</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2311</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2310</v>
      </c>
      <c r="D200" s="1959"/>
      <c r="E200" s="1959"/>
      <c r="F200" s="1959"/>
      <c r="G200" s="1959"/>
      <c r="H200" s="1959"/>
      <c r="I200" s="1959"/>
      <c r="J200" s="1959"/>
      <c r="K200" s="1959"/>
      <c r="L200" s="1959"/>
      <c r="M200" s="1959"/>
      <c r="N200" s="1959"/>
      <c r="O200" s="1960" t="s">
        <v>2309</v>
      </c>
      <c r="P200" s="1960"/>
      <c r="Q200" s="1960"/>
      <c r="R200" s="1960"/>
      <c r="S200" s="1960"/>
      <c r="T200" s="1960"/>
      <c r="U200" s="1960"/>
      <c r="V200" s="1960"/>
      <c r="W200" s="1960"/>
      <c r="X200" s="1960" t="s">
        <v>2308</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2307</v>
      </c>
      <c r="D201" s="1951"/>
      <c r="E201" s="1951"/>
      <c r="F201" s="1951"/>
      <c r="G201" s="1951"/>
      <c r="H201" s="1951"/>
      <c r="I201" s="1951"/>
      <c r="J201" s="1951"/>
      <c r="K201" s="1951"/>
      <c r="L201" s="1951"/>
      <c r="M201" s="1951"/>
      <c r="N201" s="1951"/>
      <c r="O201" s="1952" t="s">
        <v>2306</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855</v>
      </c>
      <c r="D202" s="1951"/>
      <c r="E202" s="1951"/>
      <c r="F202" s="1951"/>
      <c r="G202" s="1951"/>
      <c r="H202" s="1951"/>
      <c r="I202" s="1951"/>
      <c r="J202" s="1951"/>
      <c r="K202" s="1951"/>
      <c r="L202" s="1951"/>
      <c r="M202" s="1951"/>
      <c r="N202" s="1951"/>
      <c r="O202" s="1952" t="s">
        <v>2306</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2305</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2304</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2303</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2302</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2301</v>
      </c>
      <c r="D207" s="1930"/>
      <c r="E207" s="1930"/>
      <c r="F207" s="1931"/>
      <c r="G207" s="1935" t="s">
        <v>2300</v>
      </c>
      <c r="H207" s="1930"/>
      <c r="I207" s="1930"/>
      <c r="J207" s="1930"/>
      <c r="K207" s="1930"/>
      <c r="L207" s="1930"/>
      <c r="M207" s="1930"/>
      <c r="N207" s="1930"/>
      <c r="O207" s="1931"/>
      <c r="P207" s="1937" t="s">
        <v>2299</v>
      </c>
      <c r="Q207" s="1938"/>
      <c r="R207" s="1938"/>
      <c r="S207" s="1938"/>
      <c r="T207" s="1939"/>
      <c r="U207" s="1943" t="s">
        <v>2298</v>
      </c>
      <c r="V207" s="1944"/>
      <c r="W207" s="1944"/>
      <c r="X207" s="1945"/>
      <c r="Y207" s="1943" t="s">
        <v>2297</v>
      </c>
      <c r="Z207" s="1944"/>
      <c r="AA207" s="1944"/>
      <c r="AB207" s="1945"/>
      <c r="AC207" s="1943" t="s">
        <v>2296</v>
      </c>
      <c r="AD207" s="1944"/>
      <c r="AE207" s="1944"/>
      <c r="AF207" s="1945"/>
      <c r="AG207" s="1935" t="s">
        <v>2295</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1884</v>
      </c>
      <c r="H209" s="1920"/>
      <c r="I209" s="1920"/>
      <c r="J209" s="1920"/>
      <c r="K209" s="1920"/>
      <c r="L209" s="1920"/>
      <c r="M209" s="1920"/>
      <c r="N209" s="1920"/>
      <c r="O209" s="1920"/>
      <c r="P209" s="1921"/>
      <c r="Q209" s="1924"/>
      <c r="R209" s="1924"/>
      <c r="S209" s="1924"/>
      <c r="T209" s="1924"/>
      <c r="U209" s="1922" t="s">
        <v>1884</v>
      </c>
      <c r="V209" s="1922"/>
      <c r="W209" s="1922"/>
      <c r="X209" s="1922"/>
      <c r="Y209" s="1922" t="s">
        <v>1884</v>
      </c>
      <c r="Z209" s="1922"/>
      <c r="AA209" s="1922"/>
      <c r="AB209" s="1922"/>
      <c r="AC209" s="1923" t="s">
        <v>1884</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1884</v>
      </c>
      <c r="H210" s="1920"/>
      <c r="I210" s="1920"/>
      <c r="J210" s="1920"/>
      <c r="K210" s="1920"/>
      <c r="L210" s="1920"/>
      <c r="M210" s="1920"/>
      <c r="N210" s="1920"/>
      <c r="O210" s="1920"/>
      <c r="P210" s="1921"/>
      <c r="Q210" s="1921"/>
      <c r="R210" s="1921"/>
      <c r="S210" s="1921"/>
      <c r="T210" s="1921"/>
      <c r="U210" s="1922" t="s">
        <v>1884</v>
      </c>
      <c r="V210" s="1922"/>
      <c r="W210" s="1922"/>
      <c r="X210" s="1922"/>
      <c r="Y210" s="1922" t="s">
        <v>1884</v>
      </c>
      <c r="Z210" s="1922"/>
      <c r="AA210" s="1922"/>
      <c r="AB210" s="1922"/>
      <c r="AC210" s="1923" t="s">
        <v>1884</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1884</v>
      </c>
      <c r="H211" s="1920"/>
      <c r="I211" s="1920"/>
      <c r="J211" s="1920"/>
      <c r="K211" s="1920"/>
      <c r="L211" s="1920"/>
      <c r="M211" s="1920"/>
      <c r="N211" s="1920"/>
      <c r="O211" s="1920"/>
      <c r="P211" s="1921"/>
      <c r="Q211" s="1921"/>
      <c r="R211" s="1921"/>
      <c r="S211" s="1921"/>
      <c r="T211" s="1921"/>
      <c r="U211" s="1922" t="s">
        <v>1884</v>
      </c>
      <c r="V211" s="1922"/>
      <c r="W211" s="1922"/>
      <c r="X211" s="1922"/>
      <c r="Y211" s="1922" t="s">
        <v>1884</v>
      </c>
      <c r="Z211" s="1922"/>
      <c r="AA211" s="1922"/>
      <c r="AB211" s="1922"/>
      <c r="AC211" s="1923" t="s">
        <v>1884</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1884</v>
      </c>
      <c r="H212" s="1920"/>
      <c r="I212" s="1920"/>
      <c r="J212" s="1920"/>
      <c r="K212" s="1920"/>
      <c r="L212" s="1920"/>
      <c r="M212" s="1920"/>
      <c r="N212" s="1920"/>
      <c r="O212" s="1920"/>
      <c r="P212" s="1921"/>
      <c r="Q212" s="1921"/>
      <c r="R212" s="1921"/>
      <c r="S212" s="1921"/>
      <c r="T212" s="1921"/>
      <c r="U212" s="1922" t="s">
        <v>1884</v>
      </c>
      <c r="V212" s="1922"/>
      <c r="W212" s="1922"/>
      <c r="X212" s="1922"/>
      <c r="Y212" s="1922" t="s">
        <v>1884</v>
      </c>
      <c r="Z212" s="1922"/>
      <c r="AA212" s="1922"/>
      <c r="AB212" s="1922"/>
      <c r="AC212" s="1923" t="s">
        <v>1884</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1884</v>
      </c>
      <c r="H213" s="1920"/>
      <c r="I213" s="1920"/>
      <c r="J213" s="1920"/>
      <c r="K213" s="1920"/>
      <c r="L213" s="1920"/>
      <c r="M213" s="1920"/>
      <c r="N213" s="1920"/>
      <c r="O213" s="1920"/>
      <c r="P213" s="1921"/>
      <c r="Q213" s="1921"/>
      <c r="R213" s="1921"/>
      <c r="S213" s="1921"/>
      <c r="T213" s="1921"/>
      <c r="U213" s="1922" t="s">
        <v>1884</v>
      </c>
      <c r="V213" s="1922"/>
      <c r="W213" s="1922"/>
      <c r="X213" s="1922"/>
      <c r="Y213" s="1922" t="s">
        <v>1884</v>
      </c>
      <c r="Z213" s="1922"/>
      <c r="AA213" s="1922"/>
      <c r="AB213" s="1922"/>
      <c r="AC213" s="1923" t="s">
        <v>1884</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1884</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1884</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1884</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2294</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2292</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2291</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2290</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2289</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2287</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2286</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2285</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2284</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2283</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442</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2282</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2281</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L57" sqref="AL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8" t="s">
        <v>1280</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NON-DDA/
NON-QCT Building(s)</v>
      </c>
      <c r="U7" s="2358"/>
      <c r="V7" s="2358"/>
      <c r="W7" s="2358"/>
      <c r="X7" s="2358"/>
      <c r="Y7" s="2358" t="str">
        <f>IF(T25=100%,"",'Sources and Basis Breakdown'!G2)</f>
        <v/>
      </c>
      <c r="Z7" s="2358"/>
      <c r="AA7" s="2358"/>
      <c r="AB7" s="2358"/>
      <c r="AC7" s="2358"/>
      <c r="AD7" s="2358" t="str">
        <f xml:space="preserve"> IF(T25=100%, 'Sources and Basis Breakdown'!J2,'Sources and Basis Breakdown'!I2)</f>
        <v>30% PVC for Acquisition
NON-DDA/
NON-QCT Building(s)</v>
      </c>
      <c r="AE7" s="2358"/>
      <c r="AF7" s="2358"/>
      <c r="AG7" s="2358"/>
      <c r="AH7" s="2358"/>
      <c r="AI7" s="2358" t="str">
        <f>IF(T25=100%,"",'Sources and Basis Breakdown'!J2)</f>
        <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375</v>
      </c>
      <c r="C11" s="2345"/>
      <c r="D11" s="2345"/>
      <c r="E11" s="2345"/>
      <c r="F11" s="2345"/>
      <c r="G11" s="2345"/>
      <c r="H11" s="2345"/>
      <c r="I11" s="2345"/>
      <c r="J11" s="2345"/>
      <c r="K11" s="2345"/>
      <c r="L11" s="2345"/>
      <c r="M11" s="2345"/>
      <c r="N11" s="2345"/>
      <c r="O11" s="2345"/>
      <c r="P11" s="2345"/>
      <c r="Q11" s="2345"/>
      <c r="R11" s="2345"/>
      <c r="S11" s="2346"/>
      <c r="T11" s="2380">
        <f>IF('Sources and Basis Breakdown'!F107=0,'Sources and Basis Breakdown'!E107,'Sources and Basis Breakdown'!F107)</f>
        <v>19895990.614117645</v>
      </c>
      <c r="U11" s="2381"/>
      <c r="V11" s="2381"/>
      <c r="W11" s="2381"/>
      <c r="X11" s="2381"/>
      <c r="Y11" s="2380">
        <f>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23428180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498</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499</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500</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501</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806</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502</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503</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1263</v>
      </c>
      <c r="C21" s="2345"/>
      <c r="D21" s="2345"/>
      <c r="E21" s="2345"/>
      <c r="F21" s="2345"/>
      <c r="G21" s="2345"/>
      <c r="H21" s="2345"/>
      <c r="I21" s="2345"/>
      <c r="J21" s="2345"/>
      <c r="K21" s="2345"/>
      <c r="L21" s="2345"/>
      <c r="M21" s="2345"/>
      <c r="N21" s="2345"/>
      <c r="O21" s="2345"/>
      <c r="P21" s="2345"/>
      <c r="Q21" s="2345"/>
      <c r="R21" s="2345"/>
      <c r="S21" s="2346"/>
      <c r="T21" s="2366">
        <v>10656905</v>
      </c>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504</v>
      </c>
      <c r="C22" s="2345"/>
      <c r="D22" s="2345"/>
      <c r="E22" s="2345"/>
      <c r="F22" s="2345"/>
      <c r="G22" s="2345"/>
      <c r="H22" s="2345"/>
      <c r="I22" s="2345"/>
      <c r="J22" s="2345"/>
      <c r="K22" s="2345"/>
      <c r="L22" s="2345"/>
      <c r="M22" s="2345"/>
      <c r="N22" s="2345"/>
      <c r="O22" s="2345"/>
      <c r="P22" s="2345"/>
      <c r="Q22" s="2345"/>
      <c r="R22" s="2345"/>
      <c r="S22" s="2346"/>
      <c r="T22" s="2362">
        <f>(ABS(T20)+ABS(T21))*-1</f>
        <v>-10656905</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505</v>
      </c>
      <c r="C23" s="2345"/>
      <c r="D23" s="2345"/>
      <c r="E23" s="2345"/>
      <c r="F23" s="2345"/>
      <c r="G23" s="2345"/>
      <c r="H23" s="2345"/>
      <c r="I23" s="2345"/>
      <c r="J23" s="2345"/>
      <c r="K23" s="2345"/>
      <c r="L23" s="2345"/>
      <c r="M23" s="2345"/>
      <c r="N23" s="2345"/>
      <c r="O23" s="2345"/>
      <c r="P23" s="2345"/>
      <c r="Q23" s="2345"/>
      <c r="R23" s="2345"/>
      <c r="S23" s="2346"/>
      <c r="T23" s="2357">
        <f>T11+T22</f>
        <v>9239085.6141176447</v>
      </c>
      <c r="U23" s="2338"/>
      <c r="V23" s="2338"/>
      <c r="W23" s="2338"/>
      <c r="X23" s="2338"/>
      <c r="Y23" s="2357">
        <f>Y11+Y22</f>
        <v>0</v>
      </c>
      <c r="Z23" s="2338"/>
      <c r="AA23" s="2338"/>
      <c r="AB23" s="2338"/>
      <c r="AC23" s="2338"/>
      <c r="AD23" s="2357">
        <f>AD11+AD22</f>
        <v>23428180</v>
      </c>
      <c r="AE23" s="2338"/>
      <c r="AF23" s="2338"/>
      <c r="AG23" s="2338"/>
      <c r="AH23" s="2338"/>
      <c r="AI23" s="2357">
        <f>AI11+AI22</f>
        <v>0</v>
      </c>
      <c r="AJ23" s="2338"/>
      <c r="AK23" s="2338"/>
      <c r="AL23" s="2338"/>
      <c r="AM23" s="2338"/>
    </row>
    <row r="24" spans="1:40" ht="12.95" customHeight="1">
      <c r="B24" s="2344" t="s">
        <v>962</v>
      </c>
      <c r="C24" s="2345"/>
      <c r="D24" s="2345"/>
      <c r="E24" s="2345"/>
      <c r="F24" s="2345"/>
      <c r="G24" s="2345"/>
      <c r="H24" s="2345"/>
      <c r="I24" s="2345"/>
      <c r="J24" s="2345"/>
      <c r="K24" s="2345"/>
      <c r="L24" s="2345"/>
      <c r="M24" s="2345"/>
      <c r="N24" s="2345"/>
      <c r="O24" s="2345"/>
      <c r="P24" s="2345"/>
      <c r="Q24" s="2345"/>
      <c r="R24" s="2345"/>
      <c r="S24" s="2346"/>
      <c r="T24" s="2348">
        <f>Application!AJ1053</f>
        <v>116942745.59999999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1264</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506</v>
      </c>
      <c r="C26" s="2345"/>
      <c r="D26" s="2345"/>
      <c r="E26" s="2345"/>
      <c r="F26" s="2345"/>
      <c r="G26" s="2345"/>
      <c r="H26" s="2345"/>
      <c r="I26" s="2345"/>
      <c r="J26" s="2345"/>
      <c r="K26" s="2345"/>
      <c r="L26" s="2345"/>
      <c r="M26" s="2345"/>
      <c r="N26" s="2345"/>
      <c r="O26" s="2345"/>
      <c r="P26" s="2345"/>
      <c r="Q26" s="2345"/>
      <c r="R26" s="2345"/>
      <c r="S26" s="2346"/>
      <c r="T26" s="2357">
        <f>T23*T25</f>
        <v>9239085.6141176447</v>
      </c>
      <c r="U26" s="2338"/>
      <c r="V26" s="2338"/>
      <c r="W26" s="2338"/>
      <c r="X26" s="2338"/>
      <c r="Y26" s="2357">
        <f>Y23*Y25</f>
        <v>0</v>
      </c>
      <c r="Z26" s="2338"/>
      <c r="AA26" s="2338"/>
      <c r="AB26" s="2338"/>
      <c r="AC26" s="2338"/>
      <c r="AD26" s="2357">
        <f>AD23*AD25</f>
        <v>23428180</v>
      </c>
      <c r="AE26" s="2338"/>
      <c r="AF26" s="2338"/>
      <c r="AG26" s="2338"/>
      <c r="AH26" s="2338"/>
      <c r="AI26" s="2357">
        <f>AI23*AI25</f>
        <v>0</v>
      </c>
      <c r="AJ26" s="2338"/>
      <c r="AK26" s="2338"/>
      <c r="AL26" s="2338"/>
      <c r="AM26" s="2338"/>
    </row>
    <row r="27" spans="1:40" ht="12.95" customHeight="1">
      <c r="A27" s="410"/>
      <c r="B27" s="2391" t="s">
        <v>426</v>
      </c>
      <c r="C27" s="2392"/>
      <c r="D27" s="2392"/>
      <c r="E27" s="2392"/>
      <c r="F27" s="2392"/>
      <c r="G27" s="2392"/>
      <c r="H27" s="2392"/>
      <c r="I27" s="2392"/>
      <c r="J27" s="2392"/>
      <c r="K27" s="2392"/>
      <c r="L27" s="2392"/>
      <c r="M27" s="2392"/>
      <c r="N27" s="2392"/>
      <c r="O27" s="2392"/>
      <c r="P27" s="2392"/>
      <c r="Q27" s="2392"/>
      <c r="R27" s="2392"/>
      <c r="S27" s="2393"/>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2.95" customHeight="1">
      <c r="A28" s="404"/>
      <c r="B28" s="2344" t="s">
        <v>507</v>
      </c>
      <c r="C28" s="2345"/>
      <c r="D28" s="2345"/>
      <c r="E28" s="2345"/>
      <c r="F28" s="2345"/>
      <c r="G28" s="2345"/>
      <c r="H28" s="2345"/>
      <c r="I28" s="2345"/>
      <c r="J28" s="2345"/>
      <c r="K28" s="2345"/>
      <c r="L28" s="2345"/>
      <c r="M28" s="2345"/>
      <c r="N28" s="2345"/>
      <c r="O28" s="2345"/>
      <c r="P28" s="2345"/>
      <c r="Q28" s="2345"/>
      <c r="R28" s="2345"/>
      <c r="S28" s="2346"/>
      <c r="T28" s="2357">
        <f>IF(ISERROR((T26*T27)),0,(T26*T27))</f>
        <v>9239085.6141176447</v>
      </c>
      <c r="U28" s="2338"/>
      <c r="V28" s="2338"/>
      <c r="W28" s="2338"/>
      <c r="X28" s="2338"/>
      <c r="Y28" s="2357">
        <f>IF(ISERROR((Y26*Y27)),0,(Y26*Y27))</f>
        <v>0</v>
      </c>
      <c r="Z28" s="2338"/>
      <c r="AA28" s="2338"/>
      <c r="AB28" s="2338"/>
      <c r="AC28" s="2338"/>
      <c r="AD28" s="2357">
        <f>IF(ISERROR((AD26*AD27)),0,(AD26*AD27))</f>
        <v>23428180</v>
      </c>
      <c r="AE28" s="2338"/>
      <c r="AF28" s="2338"/>
      <c r="AG28" s="2338"/>
      <c r="AH28" s="2338"/>
      <c r="AI28" s="2357">
        <f>IF(ISERROR((AI26*AI27)),0,(AI26*AI27))</f>
        <v>0</v>
      </c>
      <c r="AJ28" s="2338"/>
      <c r="AK28" s="2338"/>
      <c r="AL28" s="2338"/>
      <c r="AM28" s="2338"/>
    </row>
    <row r="29" spans="1:40" ht="12.95" customHeight="1">
      <c r="B29" s="2344" t="s">
        <v>524</v>
      </c>
      <c r="C29" s="2345"/>
      <c r="D29" s="2345"/>
      <c r="E29" s="2345"/>
      <c r="F29" s="2345"/>
      <c r="G29" s="2345"/>
      <c r="H29" s="2345"/>
      <c r="I29" s="2345"/>
      <c r="J29" s="2345"/>
      <c r="K29" s="2345"/>
      <c r="L29" s="2345"/>
      <c r="M29" s="2345"/>
      <c r="N29" s="2345"/>
      <c r="O29" s="2345"/>
      <c r="P29" s="2345"/>
      <c r="Q29" s="2345"/>
      <c r="R29" s="2345"/>
      <c r="S29" s="2346"/>
      <c r="T29" s="2348">
        <f>T28+Y28+AD28+AI28</f>
        <v>32667265.614117645</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1266</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1265</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507</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9239085.6141176447</v>
      </c>
      <c r="Z38" s="2338"/>
      <c r="AA38" s="2338"/>
      <c r="AB38" s="2338"/>
      <c r="AC38" s="2338"/>
      <c r="AD38" s="2338">
        <f>IF(T24&gt;=(T23+Y23+AD23+AI23),AD28+AI28,0)</f>
        <v>23428180</v>
      </c>
      <c r="AE38" s="2338"/>
      <c r="AF38" s="2338"/>
      <c r="AG38" s="2338"/>
      <c r="AH38" s="2338"/>
    </row>
    <row r="39" spans="1:76" ht="12.95" customHeight="1">
      <c r="B39" s="2344" t="s">
        <v>1691</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643</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369563</v>
      </c>
      <c r="Z40" s="2338"/>
      <c r="AA40" s="2338"/>
      <c r="AB40" s="2338"/>
      <c r="AC40" s="2338"/>
      <c r="AD40" s="2357">
        <f>ROUND(AD38*AD39,0)</f>
        <v>937127</v>
      </c>
      <c r="AE40" s="2338"/>
      <c r="AF40" s="2338"/>
      <c r="AG40" s="2338"/>
      <c r="AH40" s="2338"/>
    </row>
    <row r="41" spans="1:76" ht="12.95" customHeight="1">
      <c r="B41" s="2344" t="s">
        <v>644</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Y40+AD40</f>
        <v>1306690</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1276</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587</v>
      </c>
      <c r="C46" s="404" t="s">
        <v>282</v>
      </c>
    </row>
    <row r="47" spans="1:76" ht="12.95" customHeight="1">
      <c r="D47" s="404" t="s">
        <v>283</v>
      </c>
      <c r="AB47" s="2352">
        <f>'Sources and Uses Budget'!B105-MAX(IF('Sources and Uses Budget'!B15="",0,'Sources and Uses Budget'!B15),IF(Application!AG394="",0,Application!AG394))</f>
        <v>46160998</v>
      </c>
      <c r="AC47" s="2353"/>
      <c r="AD47" s="2353"/>
      <c r="AE47" s="2353"/>
      <c r="AF47" s="2354"/>
    </row>
    <row r="48" spans="1:76" ht="12.95" customHeight="1">
      <c r="D48" s="404" t="s">
        <v>21</v>
      </c>
      <c r="AB48" s="2352">
        <f>Application!AO639-MAX(IF('Sources and Uses Budget'!B15="",0,'Sources and Uses Budget'!B15),IF(Application!AG394="",0,Application!AG394))</f>
        <v>35316550</v>
      </c>
      <c r="AC48" s="2353"/>
      <c r="AD48" s="2353"/>
      <c r="AE48" s="2353"/>
      <c r="AF48" s="2354"/>
    </row>
    <row r="49" spans="1:76" ht="12.95" customHeight="1">
      <c r="D49" s="404" t="s">
        <v>91</v>
      </c>
      <c r="AB49" s="2352">
        <f>AB47-AB48</f>
        <v>10844448</v>
      </c>
      <c r="AC49" s="2353"/>
      <c r="AD49" s="2353"/>
      <c r="AE49" s="2353"/>
      <c r="AF49" s="2354"/>
    </row>
    <row r="50" spans="1:76" ht="12.95" customHeight="1">
      <c r="D50" s="404" t="s">
        <v>682</v>
      </c>
      <c r="AA50" s="415"/>
      <c r="AB50" s="2340">
        <v>0.82991744755546415</v>
      </c>
      <c r="AC50" s="2341"/>
      <c r="AD50" s="2341"/>
      <c r="AE50" s="2341"/>
      <c r="AF50" s="2342"/>
    </row>
    <row r="51" spans="1:76" s="417" customFormat="1" ht="12.95" customHeight="1">
      <c r="A51" s="402"/>
      <c r="B51" s="402"/>
      <c r="C51" s="402"/>
      <c r="D51" s="402"/>
      <c r="E51" s="2351" t="s">
        <v>2611</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ROUND(IF(ISERROR((AB49/AB50)),0,(AB49/AB50)),0)</f>
        <v>13066900</v>
      </c>
      <c r="AC54" s="2353"/>
      <c r="AD54" s="2353"/>
      <c r="AE54" s="2353"/>
      <c r="AF54" s="2354"/>
    </row>
    <row r="55" spans="1:76" ht="12.95" customHeight="1">
      <c r="D55" s="404" t="s">
        <v>333</v>
      </c>
      <c r="AB55" s="2352">
        <f>(AB54/10)</f>
        <v>1306690</v>
      </c>
      <c r="AC55" s="2353"/>
      <c r="AD55" s="2353"/>
      <c r="AE55" s="2353"/>
      <c r="AF55" s="2354"/>
    </row>
    <row r="56" spans="1:76" ht="12.95" customHeight="1">
      <c r="D56" s="404" t="s">
        <v>757</v>
      </c>
      <c r="AB56" s="2352">
        <f>ROUND((IF((Y41&lt;AB55),Y41,AB55)),0)</f>
        <v>1306690</v>
      </c>
      <c r="AC56" s="2353"/>
      <c r="AD56" s="2353"/>
      <c r="AE56" s="2353"/>
      <c r="AF56" s="2354"/>
    </row>
    <row r="57" spans="1:76" ht="12.95" customHeight="1">
      <c r="D57" s="404" t="s">
        <v>756</v>
      </c>
      <c r="AB57" s="2352">
        <f>ROUND((10*AB56*AB50),0)</f>
        <v>10844448</v>
      </c>
      <c r="AC57" s="2353"/>
      <c r="AD57" s="2353"/>
      <c r="AE57" s="2353"/>
      <c r="AF57" s="2354"/>
    </row>
    <row r="58" spans="1:76" ht="12.95" customHeight="1">
      <c r="D58" s="404"/>
      <c r="AB58" s="423"/>
      <c r="AC58" s="423"/>
      <c r="AD58" s="423"/>
      <c r="AE58" s="423"/>
      <c r="AF58" s="423"/>
    </row>
    <row r="59" spans="1:76" ht="12.95" customHeight="1">
      <c r="D59" s="404" t="s">
        <v>755</v>
      </c>
      <c r="AB59" s="2336">
        <f>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590</v>
      </c>
      <c r="C63" s="205" t="s">
        <v>1248</v>
      </c>
      <c r="Y63" s="2347" t="s">
        <v>984</v>
      </c>
      <c r="Z63" s="2347"/>
      <c r="AA63" s="2347"/>
      <c r="AB63" s="2347"/>
      <c r="AC63" s="2347"/>
      <c r="AD63" s="2347" t="s">
        <v>369</v>
      </c>
      <c r="AE63" s="2347"/>
      <c r="AF63" s="2347"/>
      <c r="AG63" s="2347"/>
      <c r="AH63" s="2347"/>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9239085.6141176447</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0.3</v>
      </c>
      <c r="Z67" s="2337"/>
      <c r="AA67" s="2337"/>
      <c r="AB67" s="2337"/>
      <c r="AC67" s="2337"/>
      <c r="AD67" s="2337">
        <f>IF(Application!Z205="15% set-aside with qualifying low value rehab", 0.95,IF(OR(Application!D211="At-Risk",'Points System'!B13="Yes"),0.13,0))</f>
        <v>0</v>
      </c>
      <c r="AE67" s="2337"/>
      <c r="AF67" s="2337"/>
      <c r="AG67" s="2337"/>
      <c r="AH67" s="2337"/>
    </row>
    <row r="68" spans="1:36" ht="12.95" customHeight="1">
      <c r="C68" s="404"/>
      <c r="D68" s="205" t="s">
        <v>2224</v>
      </c>
      <c r="Y68" s="2338">
        <f>ROUND(Y64*Y67,0)</f>
        <v>2771726</v>
      </c>
      <c r="Z68" s="2339"/>
      <c r="AA68" s="2339"/>
      <c r="AB68" s="2339"/>
      <c r="AC68" s="2339"/>
      <c r="AD68" s="2338">
        <f>ROUND(AD64*AD67,0)</f>
        <v>0</v>
      </c>
      <c r="AE68" s="2339"/>
      <c r="AF68" s="2339"/>
      <c r="AG68" s="2339"/>
      <c r="AH68" s="2339"/>
    </row>
    <row r="69" spans="1:36" ht="12.95" customHeight="1">
      <c r="C69" s="404"/>
      <c r="D69" s="205" t="s">
        <v>2225</v>
      </c>
      <c r="Y69" s="2338">
        <f>IF(OR(Application!Z205="State Farmworker Credit",Application!Z205="$500M (Farmworker Housing)"),Y68+AD68,MIN(Y68+AD68,200000*(Application!G753+Application!O777)))</f>
        <v>2771726</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40"/>
      <c r="AC72" s="2341"/>
      <c r="AD72" s="2341"/>
      <c r="AE72" s="2341"/>
      <c r="AF72" s="2342"/>
    </row>
    <row r="73" spans="1:36" ht="12.95" customHeight="1">
      <c r="A73" s="404"/>
      <c r="C73" s="404"/>
      <c r="D73" s="404"/>
      <c r="E73" s="2343" t="s">
        <v>1251</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1">
        <f>ROUND(IF(ISERROR((AB59/AB72)),0,(AB59/AB72)),0)</f>
        <v>0</v>
      </c>
      <c r="AC77" s="2331"/>
      <c r="AD77" s="2331"/>
      <c r="AE77" s="2331"/>
      <c r="AF77" s="2331"/>
    </row>
    <row r="78" spans="1:36" ht="12.95" customHeight="1">
      <c r="C78" s="404"/>
      <c r="D78" s="205" t="s">
        <v>1253</v>
      </c>
      <c r="AB78" s="2332">
        <f>ROUNDUP(MIN(Y69,AB77),0)</f>
        <v>0</v>
      </c>
      <c r="AC78" s="2333"/>
      <c r="AD78" s="2333"/>
      <c r="AE78" s="2333"/>
      <c r="AF78" s="2334"/>
    </row>
    <row r="79" spans="1:36" ht="12.95" customHeight="1">
      <c r="C79" s="404"/>
      <c r="D79" s="205" t="s">
        <v>1254</v>
      </c>
      <c r="AB79" s="2335">
        <f>AB78*AB72</f>
        <v>0</v>
      </c>
      <c r="AC79" s="2335"/>
      <c r="AD79" s="2335"/>
      <c r="AE79" s="2335"/>
      <c r="AF79" s="2335"/>
    </row>
    <row r="80" spans="1:36" ht="12.95" customHeight="1">
      <c r="C80" s="404"/>
      <c r="D80" s="404"/>
      <c r="AB80" s="425"/>
      <c r="AC80" s="425"/>
      <c r="AD80" s="425"/>
      <c r="AE80" s="425"/>
      <c r="AF80" s="425"/>
    </row>
    <row r="81" spans="1:78" ht="12.95" customHeight="1">
      <c r="D81" s="404" t="s">
        <v>755</v>
      </c>
      <c r="AB81" s="2336">
        <f>AB49-(AB57+AB79)</f>
        <v>0</v>
      </c>
      <c r="AC81" s="2336"/>
      <c r="AD81" s="2336"/>
      <c r="AE81" s="2336"/>
      <c r="AF81" s="2336"/>
    </row>
    <row r="82" spans="1:78" ht="12.95" customHeight="1">
      <c r="F82" s="522"/>
      <c r="J82" s="522" t="str">
        <f>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48" workbookViewId="0">
      <selection activeCell="Z804" activeCellId="3" sqref="Z811:AE814 Z817:AE819 Z806:AE808 Z804:AE80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9" t="s">
        <v>1300</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1305</v>
      </c>
      <c r="AF7" s="2410"/>
      <c r="AG7" s="2410"/>
      <c r="AH7" s="2410"/>
      <c r="AI7" s="2410"/>
      <c r="AJ7" s="2410"/>
      <c r="AK7" s="241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592</v>
      </c>
      <c r="C13" s="2400"/>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592</v>
      </c>
      <c r="C16" s="2400"/>
      <c r="D16" s="547"/>
      <c r="E16" s="2411" t="s">
        <v>1307</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592</v>
      </c>
      <c r="C22" s="2400"/>
      <c r="D22" s="547"/>
      <c r="E22" s="2436" t="s">
        <v>1310</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592</v>
      </c>
      <c r="C25" s="2400"/>
      <c r="D25" s="547"/>
      <c r="E25" s="2401" t="s">
        <v>2033</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592</v>
      </c>
      <c r="C28" s="2400"/>
      <c r="D28" s="547"/>
      <c r="E28" s="2424" t="s">
        <v>2248</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400" t="s">
        <v>592</v>
      </c>
      <c r="C33" s="2400"/>
      <c r="D33" s="547"/>
      <c r="E33" s="2436" t="s">
        <v>2250</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592</v>
      </c>
      <c r="C36" s="2400"/>
      <c r="D36" s="547"/>
      <c r="E36" s="2401" t="s">
        <v>2251</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400" t="s">
        <v>592</v>
      </c>
      <c r="C40" s="2400"/>
      <c r="D40" s="547"/>
      <c r="E40" s="2401" t="s">
        <v>2249</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592</v>
      </c>
      <c r="C45" s="2400"/>
      <c r="D45" s="1142"/>
      <c r="E45" s="2401" t="s">
        <v>2008</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546</v>
      </c>
      <c r="C52" s="2400"/>
      <c r="D52" s="540"/>
      <c r="E52" s="2401" t="s">
        <v>2013</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546</v>
      </c>
      <c r="C56" s="2400"/>
      <c r="D56" s="540"/>
      <c r="E56" s="2421" t="s">
        <v>2014</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546</v>
      </c>
      <c r="C58" s="2400"/>
      <c r="D58" s="540"/>
      <c r="E58" s="2401" t="s">
        <v>2015</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3">
        <f>AO39</f>
        <v>20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1314</v>
      </c>
      <c r="AF65" s="2410"/>
      <c r="AG65" s="2410"/>
      <c r="AH65" s="2410"/>
      <c r="AI65" s="2410"/>
      <c r="AJ65" s="2410"/>
      <c r="AK65" s="241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592</v>
      </c>
      <c r="C68" s="2400"/>
      <c r="D68" s="547" t="s">
        <v>1315</v>
      </c>
      <c r="E68" s="2411" t="s">
        <v>2016</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0</v>
      </c>
      <c r="AP71" s="574" t="s">
        <v>1316</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592</v>
      </c>
      <c r="C74" s="2400"/>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592</v>
      </c>
      <c r="F75" s="2400"/>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592</v>
      </c>
      <c r="F76" s="2399"/>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592</v>
      </c>
      <c r="F77" s="2399"/>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592</v>
      </c>
      <c r="F79" s="2400"/>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592</v>
      </c>
      <c r="C81" s="2400"/>
      <c r="D81" s="547" t="s">
        <v>1320</v>
      </c>
      <c r="E81" s="2401" t="s">
        <v>1740</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3">
        <f>IF(AK62&gt;0,0,AO71)</f>
        <v>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1305</v>
      </c>
      <c r="AF87" s="2410"/>
      <c r="AG87" s="2410"/>
      <c r="AH87" s="2410"/>
      <c r="AI87" s="2410"/>
      <c r="AJ87" s="2410"/>
      <c r="AK87" s="241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546</v>
      </c>
      <c r="C90" s="2400"/>
      <c r="D90" s="547" t="s">
        <v>1315</v>
      </c>
      <c r="E90" s="2411" t="s">
        <v>1325</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Application!AC753</f>
        <v>0.49642857142857133</v>
      </c>
      <c r="F93" s="2395"/>
      <c r="G93" s="2395"/>
      <c r="H93" s="239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0.6-ROUNDUP(E93,2)</f>
        <v>9.9999999999999978E-2</v>
      </c>
      <c r="F94" s="2397"/>
      <c r="G94" s="2397"/>
      <c r="H94" s="239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IF(E94*200&gt;20,20,E94*200)</f>
        <v>19.999999999999996</v>
      </c>
      <c r="F95" s="2428"/>
      <c r="G95" s="2428"/>
      <c r="H95" s="24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592</v>
      </c>
      <c r="C98" s="2400"/>
      <c r="D98" s="547" t="s">
        <v>1317</v>
      </c>
      <c r="E98" s="2411" t="s">
        <v>1725</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Application!AC753</f>
        <v>0.49642857142857133</v>
      </c>
      <c r="F103" s="2395"/>
      <c r="G103" s="2395"/>
      <c r="H103" s="239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0.10714285714285714</v>
      </c>
      <c r="F104" s="2395"/>
      <c r="G104" s="2395"/>
      <c r="H104" s="239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0.6071428571428571</v>
      </c>
      <c r="F105" s="2395"/>
      <c r="G105" s="2395"/>
      <c r="H105" s="239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3">
        <f>MAX(AP95,AP106)</f>
        <v>19.999999999999996</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1314</v>
      </c>
      <c r="AF112" s="2410"/>
      <c r="AG112" s="2410"/>
      <c r="AH112" s="2410"/>
      <c r="AI112" s="2410"/>
      <c r="AJ112" s="2410"/>
      <c r="AK112" s="2410"/>
      <c r="AL112" s="540"/>
      <c r="AM112" s="540"/>
      <c r="AN112" s="535"/>
      <c r="AO112" s="536" t="str">
        <f>Application!B718</f>
        <v>1 Bedroom</v>
      </c>
      <c r="AQ112" s="536">
        <f>Application!O718</f>
        <v>895</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889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1212</v>
      </c>
    </row>
    <row r="115" spans="1:52" s="536" customFormat="1" ht="12.75" customHeight="1">
      <c r="A115" s="540"/>
      <c r="B115" s="2400" t="s">
        <v>592</v>
      </c>
      <c r="C115" s="2400"/>
      <c r="D115" s="547" t="s">
        <v>1315</v>
      </c>
      <c r="E115" s="2411" t="s">
        <v>1857</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1 Bedroom</v>
      </c>
      <c r="AQ115" s="536">
        <f>Application!O721</f>
        <v>1206</v>
      </c>
      <c r="AU115" s="536" t="s">
        <v>1840</v>
      </c>
      <c r="AV115" s="595" t="s">
        <v>1841</v>
      </c>
      <c r="AW115" s="536" t="s">
        <v>1842</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1 Bedroom</v>
      </c>
      <c r="AQ116" s="536">
        <f>Application!O722</f>
        <v>1206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1 Bedroom</v>
      </c>
      <c r="AQ117" s="536">
        <f>Application!O723</f>
        <v>1529</v>
      </c>
      <c r="AU117" s="856" t="str">
        <f>J124</f>
        <v>1-bedroom</v>
      </c>
      <c r="AV117" s="536">
        <f t="array" ref="AV117">SUM(IF(Application!B718:F752="1 Bedroom",Application!G718:J752))</f>
        <v>24</v>
      </c>
      <c r="AW117" s="1011">
        <f>AV117/AV122</f>
        <v>0.21428571428571427</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Application!O724</f>
        <v>1523</v>
      </c>
      <c r="AU118" s="856" t="str">
        <f>O124</f>
        <v>2-bedroom</v>
      </c>
      <c r="AV118" s="536">
        <f t="array" ref="AV118">SUM(IF(Application!B718:F752="2 Bedrooms",Application!G718:J752))</f>
        <v>53</v>
      </c>
      <c r="AW118" s="1011">
        <f>AV118/AV122</f>
        <v>0.4732142857142857</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Application!O725</f>
        <v>1841</v>
      </c>
      <c r="AU119" s="856" t="str">
        <f>T124</f>
        <v>3-bedroom</v>
      </c>
      <c r="AV119" s="536">
        <f t="array" ref="AV119">SUM(IF(Application!B718:F752="3 Bedrooms",Application!G718:J752))</f>
        <v>35</v>
      </c>
      <c r="AW119" s="1011">
        <f>AV119/AV122</f>
        <v>0.3125</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2 Bedrooms</v>
      </c>
      <c r="AQ120" s="536">
        <f>Application!O726</f>
        <v>1072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2 Bedrooms</v>
      </c>
      <c r="AQ121" s="536">
        <f>Application!O727</f>
        <v>1069</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2 Bedrooms</v>
      </c>
      <c r="AQ122" s="536">
        <f>Application!O728</f>
        <v>1450</v>
      </c>
      <c r="AV122" s="536">
        <f>SUM(AV116:AV121)</f>
        <v>112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1450</v>
      </c>
    </row>
    <row r="124" spans="1:52" s="536" customFormat="1" ht="12.75" customHeight="1">
      <c r="A124" s="540"/>
      <c r="B124" s="539"/>
      <c r="C124" s="540"/>
      <c r="D124" s="540"/>
      <c r="E124" s="2394" t="s">
        <v>1588</v>
      </c>
      <c r="F124" s="2395"/>
      <c r="G124" s="2395"/>
      <c r="H124" s="2395"/>
      <c r="I124" s="577"/>
      <c r="J124" s="2395" t="s">
        <v>1631</v>
      </c>
      <c r="K124" s="2395"/>
      <c r="L124" s="2395"/>
      <c r="M124" s="2395"/>
      <c r="N124" s="577"/>
      <c r="O124" s="2395" t="s">
        <v>1632</v>
      </c>
      <c r="P124" s="2395"/>
      <c r="Q124" s="2395"/>
      <c r="R124" s="2395"/>
      <c r="S124" s="577"/>
      <c r="T124" s="2395" t="s">
        <v>1334</v>
      </c>
      <c r="U124" s="2395"/>
      <c r="V124" s="2395"/>
      <c r="W124" s="2395"/>
      <c r="X124" s="577"/>
      <c r="Y124" s="2395" t="s">
        <v>1633</v>
      </c>
      <c r="Z124" s="2395"/>
      <c r="AA124" s="2395"/>
      <c r="AB124" s="2395"/>
      <c r="AC124" s="577"/>
      <c r="AD124" s="2395" t="s">
        <v>1634</v>
      </c>
      <c r="AE124" s="2395"/>
      <c r="AF124" s="2395"/>
      <c r="AG124" s="2395"/>
      <c r="AH124" s="577"/>
      <c r="AI124" s="577"/>
      <c r="AJ124" s="579"/>
      <c r="AK124" s="540"/>
      <c r="AL124" s="540"/>
      <c r="AM124" s="540"/>
      <c r="AN124" s="535"/>
      <c r="AO124" s="536" t="str">
        <f>Application!B730</f>
        <v>2 Bedrooms</v>
      </c>
      <c r="AQ124" s="536">
        <f>Application!O730</f>
        <v>1450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1450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1851</v>
      </c>
    </row>
    <row r="127" spans="1:52" s="536" customFormat="1" ht="12.75" customHeight="1">
      <c r="A127" s="540"/>
      <c r="B127" s="539"/>
      <c r="C127" s="540"/>
      <c r="D127" s="540"/>
      <c r="E127" s="2454"/>
      <c r="F127" s="2455"/>
      <c r="G127" s="2455"/>
      <c r="H127" s="2455"/>
      <c r="I127" s="864"/>
      <c r="J127" s="2455">
        <v>2435</v>
      </c>
      <c r="K127" s="2455"/>
      <c r="L127" s="2455"/>
      <c r="M127" s="2455"/>
      <c r="N127" s="864"/>
      <c r="O127" s="2455">
        <v>2851</v>
      </c>
      <c r="P127" s="2455"/>
      <c r="Q127" s="2455"/>
      <c r="R127" s="2455"/>
      <c r="S127" s="864"/>
      <c r="T127" s="2455">
        <v>3146</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t="str">
        <f>Application!B733</f>
        <v>2 Bedrooms</v>
      </c>
      <c r="AQ127" s="536">
        <f>Application!O733</f>
        <v>1851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1833</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1851</v>
      </c>
      <c r="AU129" s="1009"/>
      <c r="AV129" s="1009"/>
      <c r="AW129" s="1009"/>
      <c r="AX129" s="1009"/>
      <c r="AY129" s="1009"/>
      <c r="AZ129" s="1009"/>
    </row>
    <row r="130" spans="1:52" s="536" customFormat="1" ht="12.75" customHeight="1">
      <c r="A130" s="540"/>
      <c r="B130" s="539"/>
      <c r="C130" s="540"/>
      <c r="D130" s="540"/>
      <c r="E130" s="2447">
        <f>Application!DX670</f>
        <v>0</v>
      </c>
      <c r="F130" s="2448"/>
      <c r="G130" s="2448"/>
      <c r="H130" s="2448"/>
      <c r="I130" s="864"/>
      <c r="J130" s="2448">
        <f>Application!EC670</f>
        <v>1419.4999999999998</v>
      </c>
      <c r="K130" s="2448"/>
      <c r="L130" s="2448"/>
      <c r="M130" s="2448"/>
      <c r="N130" s="864"/>
      <c r="O130" s="2448">
        <f>Application!EH670</f>
        <v>1803.4716981132071</v>
      </c>
      <c r="P130" s="2448"/>
      <c r="Q130" s="2448"/>
      <c r="R130" s="2448"/>
      <c r="S130" s="868"/>
      <c r="T130" s="2448">
        <f>Application!EM670</f>
        <v>2242.0285714285715</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t="str">
        <f>Application!B736</f>
        <v>2 Bedrooms</v>
      </c>
      <c r="AQ130" s="536">
        <f>Application!O736</f>
        <v>1830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2 Bedrooms</v>
      </c>
      <c r="AQ131" s="536">
        <f>Application!O737</f>
        <v>1851</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2 Bedrooms</v>
      </c>
      <c r="AQ132" s="536">
        <f>Application!O738</f>
        <v>2232</v>
      </c>
      <c r="AU132" s="1009"/>
      <c r="AV132" s="1009"/>
      <c r="AW132" s="1010"/>
      <c r="AX132" s="1010"/>
      <c r="AY132" s="1009"/>
      <c r="AZ132" s="1009"/>
    </row>
    <row r="133" spans="1:52" s="536" customFormat="1" ht="12.75" customHeight="1">
      <c r="A133" s="540"/>
      <c r="B133" s="539"/>
      <c r="C133" s="540"/>
      <c r="D133" s="540"/>
      <c r="E133" s="2646" t="e">
        <f>(E127-E130)/E127</f>
        <v>#DIV/0!</v>
      </c>
      <c r="F133" s="2397"/>
      <c r="G133" s="2397"/>
      <c r="H133" s="2647"/>
      <c r="I133" s="577"/>
      <c r="J133" s="2646">
        <f>(J127-J130)/J127</f>
        <v>0.41704312114989744</v>
      </c>
      <c r="K133" s="2397"/>
      <c r="L133" s="2397"/>
      <c r="M133" s="2647"/>
      <c r="N133" s="577"/>
      <c r="O133" s="2646">
        <f>(O127-O130)/O127</f>
        <v>0.36742486912900485</v>
      </c>
      <c r="P133" s="2397"/>
      <c r="Q133" s="2397"/>
      <c r="R133" s="2647"/>
      <c r="S133" s="577"/>
      <c r="T133" s="2646">
        <f>(T127-T130)/T127</f>
        <v>0.28733993279447823</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t="str">
        <f>Application!B739</f>
        <v>2 Bedrooms</v>
      </c>
      <c r="AQ133" s="536">
        <f>Application!O739</f>
        <v>2211</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2 Bedrooms</v>
      </c>
      <c r="AQ134" s="536">
        <f>Application!O740</f>
        <v>2214</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Application!O741</f>
        <v>1268</v>
      </c>
      <c r="AU135" s="1010"/>
      <c r="AV135" s="1009"/>
      <c r="AW135" s="1010"/>
      <c r="AX135" s="1010"/>
      <c r="AY135" s="1009"/>
      <c r="AZ135" s="1009"/>
    </row>
    <row r="136" spans="1:52" s="536" customFormat="1" ht="12.75" customHeight="1">
      <c r="A136" s="540"/>
      <c r="B136" s="539"/>
      <c r="C136" s="540"/>
      <c r="D136" s="540"/>
      <c r="E136" s="2449" t="e">
        <f>IF(((E133-0.1)*AW116)&gt;0,((E133-0.1)*AW116),0)</f>
        <v>#DIV/0!</v>
      </c>
      <c r="F136" s="2450"/>
      <c r="G136" s="2450"/>
      <c r="H136" s="2451"/>
      <c r="I136" s="577"/>
      <c r="J136" s="2449">
        <f>IF(((J133-0.1)*AW117)&gt;0,((J133-0.1)*AW117),0)</f>
        <v>6.7937811674978019E-2</v>
      </c>
      <c r="K136" s="2450"/>
      <c r="L136" s="2450"/>
      <c r="M136" s="2451"/>
      <c r="N136" s="577"/>
      <c r="O136" s="2449">
        <f>IF(((O133-0.1)*AW118)&gt;0,((O133-0.1)*AW118),0)</f>
        <v>0.12654926842711836</v>
      </c>
      <c r="P136" s="2450"/>
      <c r="Q136" s="2450"/>
      <c r="R136" s="2451"/>
      <c r="S136" s="577"/>
      <c r="T136" s="2449">
        <f>IF(((T133-0.1)*AW119)&gt;0,((T133-0.1)*AW119),0)</f>
        <v>5.8543728998274445E-2</v>
      </c>
      <c r="U136" s="2450"/>
      <c r="V136" s="2450"/>
      <c r="W136" s="2451"/>
      <c r="X136" s="577"/>
      <c r="Y136" s="2449" t="e">
        <f>IF(((Y133-0.1)*AW120)&gt;0,((Y133-0.1)*AW120),0)</f>
        <v>#DIV/0!</v>
      </c>
      <c r="Z136" s="2450"/>
      <c r="AA136" s="2450"/>
      <c r="AB136" s="2451"/>
      <c r="AC136" s="577"/>
      <c r="AD136" s="2449" t="e">
        <f>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ROUNDDOWN(SUMIF(E136:AG136,"&gt;0"),2)</f>
        <v>0.25</v>
      </c>
      <c r="F138" s="2397"/>
      <c r="G138" s="2397"/>
      <c r="H138" s="264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IF((E138*100)&gt;10,10,E138*100)</f>
        <v>10</v>
      </c>
      <c r="F139" s="2434"/>
      <c r="G139" s="2434"/>
      <c r="H139" s="2435"/>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3">
        <f>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0" t="s">
        <v>1314</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1338</v>
      </c>
      <c r="AG148" s="2445"/>
      <c r="AH148" s="2445"/>
      <c r="AI148" s="2445"/>
      <c r="AJ148" s="2445"/>
      <c r="AK148" s="2445"/>
      <c r="AL148" s="244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
        <v>2627</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2" t="s">
        <v>1341</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3" t="s">
        <v>592</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2" t="s">
        <v>1343</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2475</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2476</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2474</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592</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1352</v>
      </c>
      <c r="AG168" s="2445"/>
      <c r="AH168" s="2445"/>
      <c r="AI168" s="2445"/>
      <c r="AJ168" s="2445"/>
      <c r="AK168" s="2445"/>
      <c r="AL168" s="2445"/>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1350</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592</v>
      </c>
      <c r="AG172" s="247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2" t="s">
        <v>1343</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4" t="str">
        <f>Application!AA335</f>
        <v>RA Management, LLC</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1314</v>
      </c>
      <c r="AF186" s="2410"/>
      <c r="AG186" s="2410"/>
      <c r="AH186" s="2410"/>
      <c r="AI186" s="2410"/>
      <c r="AJ186" s="2410"/>
      <c r="AK186" s="241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0" t="s">
        <v>1360</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1363</v>
      </c>
      <c r="AG188" s="2445"/>
      <c r="AH188" s="2445"/>
      <c r="AI188" s="2445"/>
      <c r="AJ188" s="2445"/>
      <c r="AK188" s="2445"/>
      <c r="AL188" s="2445"/>
      <c r="AN188" s="597"/>
      <c r="AP188" s="550" t="s">
        <v>1043</v>
      </c>
      <c r="AQ188" s="550">
        <v>10</v>
      </c>
    </row>
    <row r="189" spans="1:73" s="550" customFormat="1" ht="12.75" customHeight="1">
      <c r="A189" s="536"/>
      <c r="B189" s="2471" t="s">
        <v>1726</v>
      </c>
      <c r="C189" s="2471"/>
      <c r="D189" s="2471"/>
      <c r="E189" s="2471"/>
      <c r="F189" s="2471"/>
      <c r="G189" s="2471"/>
      <c r="H189" s="2471"/>
      <c r="I189" s="2471"/>
      <c r="J189" s="2471"/>
      <c r="K189" s="2471"/>
      <c r="L189" s="2471"/>
      <c r="M189" s="2471"/>
      <c r="N189" s="2471"/>
      <c r="O189" s="2471"/>
      <c r="P189" s="2471"/>
      <c r="Q189" s="2471"/>
      <c r="R189" s="2471"/>
      <c r="S189" s="2471"/>
      <c r="T189" s="2446" t="s">
        <v>592</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0">
        <f>IF(AK84&gt;0,VLOOKUP($B$188,AP185:AQ191,2,FALSE),0)</f>
        <v>0</v>
      </c>
      <c r="AL191" s="2481"/>
      <c r="AM191" s="248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1372</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tr">
        <f>Application!C565</f>
        <v>U.S. Bank National Association - Tax-Exempt Construction Loan (Recycled Bonds)</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f>Application!AM565</f>
        <v>3800000</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1627</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1590</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2">
        <f>SUM(AD199:AJ209)-AD210</f>
        <v>3800000</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1607</v>
      </c>
      <c r="J222" s="2461"/>
      <c r="K222" s="2461"/>
      <c r="L222" s="536"/>
      <c r="M222" s="536"/>
      <c r="N222" s="536"/>
      <c r="O222" s="536"/>
      <c r="P222" s="536"/>
      <c r="Q222" s="536"/>
      <c r="R222" s="536"/>
      <c r="S222" s="536"/>
      <c r="T222" s="2649" t="s">
        <v>1601</v>
      </c>
      <c r="U222" s="2649"/>
      <c r="V222" s="2649"/>
      <c r="W222" s="2649"/>
      <c r="X222" s="2649"/>
      <c r="Y222" s="2649"/>
      <c r="Z222" s="849"/>
      <c r="AA222" s="489"/>
      <c r="AB222" s="2456" t="s">
        <v>1602</v>
      </c>
      <c r="AC222" s="2456"/>
      <c r="AD222" s="2456"/>
      <c r="AE222" s="2456"/>
      <c r="AF222" s="2456"/>
      <c r="AG222" s="2456"/>
      <c r="AH222" s="827"/>
      <c r="AI222" s="827"/>
      <c r="AJ222" s="827"/>
      <c r="AK222" s="610"/>
    </row>
    <row r="223" spans="1:37">
      <c r="A223" s="605"/>
      <c r="B223" s="2459" t="s">
        <v>1587</v>
      </c>
      <c r="C223" s="2459"/>
      <c r="D223" s="2459"/>
      <c r="E223" s="2459"/>
      <c r="F223" s="2459"/>
      <c r="G223" s="2459"/>
      <c r="I223" s="2460" t="s">
        <v>1608</v>
      </c>
      <c r="J223" s="2460"/>
      <c r="K223" s="2460"/>
      <c r="L223" s="1008"/>
      <c r="N223" s="2466" t="s">
        <v>1603</v>
      </c>
      <c r="O223" s="2466"/>
      <c r="P223" s="2466"/>
      <c r="Q223" s="2466"/>
      <c r="R223" s="2466"/>
      <c r="T223" s="2466" t="s">
        <v>1604</v>
      </c>
      <c r="U223" s="2466"/>
      <c r="V223" s="2466"/>
      <c r="W223" s="2466"/>
      <c r="X223" s="2466"/>
      <c r="Y223" s="2466"/>
      <c r="Z223" s="850"/>
      <c r="AA223" s="489"/>
      <c r="AB223" s="2603" t="s">
        <v>1605</v>
      </c>
      <c r="AC223" s="2603"/>
      <c r="AD223" s="2603"/>
      <c r="AE223" s="2603"/>
      <c r="AF223" s="2603"/>
      <c r="AG223" s="2603"/>
      <c r="AH223" s="827"/>
      <c r="AI223" s="827"/>
      <c r="AJ223" s="827"/>
      <c r="AK223" s="610"/>
    </row>
    <row r="224" spans="1:37">
      <c r="A224" s="605"/>
      <c r="B224" s="2463" t="s">
        <v>1184</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1184</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1184</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1184</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1184</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1184</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1184</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1184</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1184</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1184</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AD211*(1-AB266)</f>
        <v>3800000</v>
      </c>
      <c r="AH268" s="2483"/>
      <c r="AI268" s="2483"/>
      <c r="AJ268" s="2483"/>
      <c r="AK268" s="248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'Sources and Uses Budget'!C105</f>
        <v>46160998</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ROUNDDOWN(IF(AND(C292="Yes",AK84=10),((AG268*2)/AG269),AG268/AG269),2)</f>
        <v>0.08</v>
      </c>
      <c r="AH270" s="2484"/>
      <c r="AI270" s="2484"/>
      <c r="AJ270" s="2484"/>
      <c r="AK270" s="248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5">
        <f>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546</v>
      </c>
      <c r="D278" s="2477"/>
      <c r="E278" s="547"/>
      <c r="F278" s="2634" t="s">
        <v>2024</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1363</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73" t="s">
        <v>592</v>
      </c>
      <c r="D292" s="2477"/>
      <c r="E292" s="547"/>
      <c r="F292" s="2505" t="s">
        <v>1383</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2017</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9" t="s">
        <v>2025</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1384</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1385</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7" t="s">
        <v>592</v>
      </c>
      <c r="D302" s="2477"/>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7" t="s">
        <v>2019</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7" t="s">
        <v>592</v>
      </c>
      <c r="D310" s="2477"/>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9" t="s">
        <v>2026</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1184</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1184</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5" t="s">
        <v>1184</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5" t="s">
        <v>1184</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7" t="s">
        <v>592</v>
      </c>
      <c r="D333" s="2477"/>
      <c r="E333" s="547"/>
      <c r="F333" s="2401" t="s">
        <v>2027</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0">
        <f>IF(NOT(OR(Application!M355="Yes",Application!M356="Yes")),0,AP295)</f>
        <v>0</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10" t="s">
        <v>1314</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1454</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4"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2092</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2207</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1455</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1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5</v>
      </c>
      <c r="AS357" s="539" t="s">
        <v>1456</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17</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1457</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582</v>
      </c>
      <c r="AP361" s="696">
        <f>IF(C407="Yes",5,0)</f>
        <v>0</v>
      </c>
      <c r="AS361" s="539" t="s">
        <v>1878</v>
      </c>
    </row>
    <row r="362" spans="1:46" s="550" customFormat="1" ht="12.75" customHeight="1">
      <c r="A362" s="603"/>
      <c r="B362" s="611"/>
      <c r="C362" s="2541" t="s">
        <v>2231</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0</v>
      </c>
      <c r="AS362" s="2540">
        <f>IF(AQ366=0,AQ375,AQ366)</f>
        <v>17</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764</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585</v>
      </c>
      <c r="AP364" s="696">
        <f>IF(C421="Yes",5,0)</f>
        <v>5</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4"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17</v>
      </c>
      <c r="AQ366" s="2542">
        <f>IF(AP366&gt;0,AP366,0)</f>
        <v>17</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9" t="s">
        <v>1458</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457</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462</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7">
        <f>Application!DU802-U374</f>
        <v>235</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3" t="s">
        <v>1460</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546</v>
      </c>
      <c r="D381" s="2477"/>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1462</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3" t="s">
        <v>1463</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592</v>
      </c>
      <c r="D389" s="2477"/>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1462</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3" t="s">
        <v>1465</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546</v>
      </c>
      <c r="D397" s="2477"/>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1467</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592</v>
      </c>
      <c r="D399" s="2477"/>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1462</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3" t="s">
        <v>1471</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592</v>
      </c>
      <c r="D407" s="2477"/>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1462</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592</v>
      </c>
      <c r="D409" s="2477"/>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1474</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592</v>
      </c>
      <c r="D412" s="2477"/>
      <c r="E412" s="715" t="s">
        <v>1475</v>
      </c>
      <c r="F412" s="2523" t="s">
        <v>1476</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1462</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3" t="s">
        <v>1478</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546</v>
      </c>
      <c r="D421" s="2477"/>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1462</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592</v>
      </c>
      <c r="D423" s="2477"/>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1474</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3" t="s">
        <v>1482</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4"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592</v>
      </c>
      <c r="D430" s="2477"/>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1462</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3" t="s">
        <v>1485</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592</v>
      </c>
      <c r="D442" s="2477"/>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1462</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3" t="s">
        <v>1488</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592</v>
      </c>
      <c r="D449" s="2477"/>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1462</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592</v>
      </c>
      <c r="D453" s="2527"/>
      <c r="E453" s="715" t="s">
        <v>1497</v>
      </c>
      <c r="F453" s="2523" t="s">
        <v>1498</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1462</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649999999999999"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592</v>
      </c>
      <c r="D457" s="2477"/>
      <c r="E457" s="715" t="s">
        <v>1503</v>
      </c>
      <c r="F457" s="2523" t="s">
        <v>1504</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1462</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3" t="s">
        <v>1507</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592</v>
      </c>
      <c r="D466" s="2477"/>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1462</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0">
        <f>IF(Application!D214="N/A",AS358,AS360)</f>
        <v>17</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21" t="s">
        <v>1511</v>
      </c>
      <c r="AF472" s="2521"/>
      <c r="AG472" s="2521"/>
      <c r="AH472" s="2521"/>
      <c r="AI472" s="2521"/>
      <c r="AJ472" s="2521"/>
      <c r="AK472" s="252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6" t="s">
        <v>592</v>
      </c>
      <c r="D478" s="2547"/>
      <c r="E478" s="761" t="s">
        <v>508</v>
      </c>
      <c r="F478" s="2548" t="s">
        <v>1517</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2" t="s">
        <v>592</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3" t="s">
        <v>546</v>
      </c>
      <c r="D482" s="2624"/>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1" t="s">
        <v>592</v>
      </c>
      <c r="W485" s="2621"/>
      <c r="X485" s="2621"/>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1" t="s">
        <v>592</v>
      </c>
      <c r="W487" s="2621"/>
      <c r="X487" s="2621"/>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1" t="s">
        <v>592</v>
      </c>
      <c r="W492" s="2621"/>
      <c r="X492" s="2621"/>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1"/>
      <c r="E495" s="2611"/>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1" t="s">
        <v>592</v>
      </c>
      <c r="W496" s="2621"/>
      <c r="X496" s="2621"/>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1" t="s">
        <v>592</v>
      </c>
      <c r="W498" s="2621"/>
      <c r="X498" s="2621"/>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592</v>
      </c>
      <c r="D501" s="2547"/>
      <c r="E501" s="761" t="s">
        <v>508</v>
      </c>
      <c r="F501" s="2548" t="s">
        <v>1517</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592</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592</v>
      </c>
      <c r="D505" s="2547"/>
      <c r="E505" s="761" t="s">
        <v>758</v>
      </c>
      <c r="F505" s="2618" t="s">
        <v>1539</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592</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592</v>
      </c>
      <c r="D510" s="2547"/>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592</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592</v>
      </c>
      <c r="D515" s="255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592</v>
      </c>
      <c r="D519" s="2551"/>
      <c r="F519" s="795" t="s">
        <v>1547</v>
      </c>
      <c r="G519" s="2524" t="s">
        <v>1548</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592</v>
      </c>
      <c r="D523" s="255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592</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1560</v>
      </c>
      <c r="AF538" s="2410"/>
      <c r="AG538" s="2410"/>
      <c r="AH538" s="2410"/>
      <c r="AI538" s="2410"/>
      <c r="AJ538" s="2410"/>
      <c r="AK538" s="241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546</v>
      </c>
      <c r="D541" s="2477"/>
      <c r="E541" s="551"/>
      <c r="F541" s="2604" t="s">
        <v>1561</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592</v>
      </c>
      <c r="D544" s="2477"/>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1563</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1564</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Application!AJ992</f>
        <v>64968192</v>
      </c>
      <c r="AQ550" s="2626"/>
      <c r="AR550" s="2626"/>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'Sources and Uses Budget'!S107+'Sources and Uses Budget'!T107</f>
        <v>43324170.614117645</v>
      </c>
      <c r="AG551" s="2483"/>
      <c r="AH551" s="2483"/>
      <c r="AI551" s="2483"/>
      <c r="AJ551" s="248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IFERROR(AP559,0)</f>
        <v>116942745.59999999</v>
      </c>
      <c r="AG552" s="2631"/>
      <c r="AH552" s="2631"/>
      <c r="AI552" s="2631"/>
      <c r="AJ552" s="2631"/>
      <c r="AK552" s="595"/>
      <c r="AL552" s="595"/>
      <c r="AM552" s="595"/>
      <c r="AN552" s="597"/>
      <c r="AP552" s="2626">
        <f>Application!AJ1045</f>
        <v>38980915.199999996</v>
      </c>
      <c r="AQ552" s="2626"/>
      <c r="AR552" s="2626"/>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IFERROR(ROUNDDOWN(IF(C544="YES",((1-(AF551/AF552))*2),(1-(AF551/AF552))),2),0)</f>
        <v>0.62</v>
      </c>
      <c r="AG553" s="2632"/>
      <c r="AH553" s="2632"/>
      <c r="AI553" s="2632"/>
      <c r="AJ553" s="2632"/>
      <c r="AK553" s="595"/>
      <c r="AL553" s="595"/>
      <c r="AM553" s="595"/>
      <c r="AN553" s="597"/>
      <c r="AP553" s="2629">
        <f>Application!AJ1049</f>
        <v>12993638.4</v>
      </c>
      <c r="AQ553" s="2629"/>
      <c r="AR553" s="2629"/>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IF(((AP552+AP553)/AP550)&gt;0.8,0.8,((AP552+AP553)/AP550))</f>
        <v>0.79999999999999993</v>
      </c>
      <c r="AQ554" s="2625"/>
      <c r="AR554" s="2625"/>
      <c r="AS554" s="550" t="s">
        <v>2171</v>
      </c>
    </row>
    <row r="555" spans="1:49" s="550" customFormat="1" ht="12.75" customHeight="1">
      <c r="A555" s="624"/>
      <c r="B555" s="2562" t="s">
        <v>2031</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AP557-AP552-AP553</f>
        <v>64968192.000000007</v>
      </c>
      <c r="AQ556" s="2535"/>
      <c r="AR556" s="2535"/>
      <c r="AS556" s="550" t="s">
        <v>2173</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Application!AJ1053</f>
        <v>116942745.59999999</v>
      </c>
      <c r="AQ557" s="2626"/>
      <c r="AR557" s="2626"/>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1">
        <f>IFERROR(IF(AND(C541="N/A",C544="N/A"),0,IF(AF553=0,0,IF((AF553*100)&gt;12,12,(AF553*100)))),0)</f>
        <v>12</v>
      </c>
      <c r="AL559" s="2571"/>
      <c r="AM559" s="2572"/>
      <c r="AN559" s="597"/>
      <c r="AP559" s="2643">
        <f>AP556+(AP550*AP554)</f>
        <v>116942745.59999999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1314</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2022</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1338</v>
      </c>
      <c r="AG578" s="2445"/>
      <c r="AH578" s="2445"/>
      <c r="AI578" s="2445"/>
      <c r="AJ578" s="2445"/>
      <c r="AK578" s="2445"/>
      <c r="AL578" s="2445"/>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1396</v>
      </c>
      <c r="AG585" s="2445"/>
      <c r="AH585" s="2445"/>
      <c r="AI585" s="2445"/>
      <c r="AJ585" s="2445"/>
      <c r="AK585" s="2445"/>
      <c r="AL585" s="2445"/>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1378</v>
      </c>
      <c r="AG591" s="2445"/>
      <c r="AH591" s="2445"/>
      <c r="AI591" s="2445"/>
      <c r="AJ591" s="2445"/>
      <c r="AK591" s="2445"/>
      <c r="AL591" s="2445"/>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1399</v>
      </c>
      <c r="AG597" s="2445"/>
      <c r="AH597" s="2445"/>
      <c r="AI597" s="2445"/>
      <c r="AJ597" s="2445"/>
      <c r="AK597" s="2445"/>
      <c r="AL597" s="2445"/>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1" t="s">
        <v>1184</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1352</v>
      </c>
      <c r="AG603" s="2445"/>
      <c r="AH603" s="2445"/>
      <c r="AI603" s="2445"/>
      <c r="AJ603" s="2445"/>
      <c r="AK603" s="2445"/>
      <c r="AL603" s="2445"/>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9" t="s">
        <v>688</v>
      </c>
      <c r="I606" s="2529"/>
      <c r="J606" s="936"/>
      <c r="K606" s="936"/>
      <c r="L606" s="936"/>
      <c r="N606" s="22"/>
      <c r="O606" s="22"/>
      <c r="P606" s="22"/>
      <c r="Q606" s="1151" t="s">
        <v>2176</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0" t="s">
        <v>592</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3" t="s">
        <v>592</v>
      </c>
      <c r="C616" s="2473"/>
      <c r="D616" s="642"/>
      <c r="E616" s="2500" t="s">
        <v>1403</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0">
        <f>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8" t="s">
        <v>1694</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1352</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3" t="s">
        <v>592</v>
      </c>
      <c r="Y634" s="247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1408</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9" t="s">
        <v>688</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0">
        <f>VLOOKUP($H$638,$AO$605:$AP$607,2,FALSE)</f>
        <v>3</v>
      </c>
      <c r="AK640" s="248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0" t="s">
        <v>2097</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1352</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1408</v>
      </c>
      <c r="AG647" s="2445"/>
      <c r="AH647" s="2445"/>
      <c r="AI647" s="2445"/>
      <c r="AJ647" s="2445"/>
      <c r="AK647" s="2445"/>
      <c r="AL647" s="2445"/>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9" t="s">
        <v>688</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0">
        <f>VLOOKUP(H650,AT605:AU607,2,FALSE)</f>
        <v>3</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0" t="s">
        <v>1418</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1378</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0" t="s">
        <v>1419</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1399</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1420</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1352</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592</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500" t="s">
        <v>1421</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1399</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0" t="s">
        <v>1422</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1352</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0" t="s">
        <v>1423</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1408</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500" t="s">
        <v>1424</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1425</v>
      </c>
      <c r="AG681" s="2445"/>
      <c r="AH681" s="2445"/>
      <c r="AI681" s="2445"/>
      <c r="AJ681" s="2445"/>
      <c r="AK681" s="2445"/>
      <c r="AL681" s="2445"/>
      <c r="AM681" s="596"/>
      <c r="AN681" s="597"/>
      <c r="AO681" s="611" t="s">
        <v>688</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9" t="s">
        <v>688</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112</v>
      </c>
    </row>
    <row r="691" spans="1:51" s="550" customFormat="1" ht="12.75" customHeight="1">
      <c r="A691" s="679"/>
      <c r="B691" s="536"/>
      <c r="C691" s="948"/>
      <c r="D691" s="663" t="s">
        <v>688</v>
      </c>
      <c r="E691" s="2536" t="s">
        <v>2189</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1352</v>
      </c>
      <c r="AG691" s="2445"/>
      <c r="AH691" s="2445"/>
      <c r="AI691" s="2445"/>
      <c r="AJ691" s="2445"/>
      <c r="AK691" s="2445"/>
      <c r="AL691" s="2445"/>
      <c r="AN691" s="597"/>
      <c r="AW691" s="22" t="s">
        <v>2184</v>
      </c>
      <c r="AX691" s="550">
        <f>Application!DE753</f>
        <v>35</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500" t="s">
        <v>2133</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1352</v>
      </c>
      <c r="AG694" s="2445"/>
      <c r="AH694" s="2445"/>
      <c r="AI694" s="2445"/>
      <c r="AJ694" s="2445"/>
      <c r="AK694" s="2445"/>
      <c r="AL694" s="2445"/>
      <c r="AN694" s="597"/>
      <c r="AW694" s="22" t="s">
        <v>2187</v>
      </c>
      <c r="AX694" s="550">
        <f>AX691+AX692+AX693</f>
        <v>35</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IF(Application!D211="Special Needs",IF(AY695&gt;=0.25,TRUE,FALSE),IF(AX695&gt;=0.25,TRUE,FALSE))</f>
        <v>1</v>
      </c>
      <c r="AP695" s="2535"/>
      <c r="AW695" s="22" t="s">
        <v>2188</v>
      </c>
      <c r="AX695" s="550">
        <f>IFERROR(AX694/AX690,0)</f>
        <v>0.3125</v>
      </c>
      <c r="AY695" s="550">
        <f>IFERROR(AX694/(AX690-AX689),0)</f>
        <v>0.3125</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0" t="s">
        <v>2134</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1408</v>
      </c>
      <c r="AG699" s="2445"/>
      <c r="AH699" s="2445"/>
      <c r="AI699" s="2445"/>
      <c r="AJ699" s="2445"/>
      <c r="AK699" s="2445"/>
      <c r="AL699" s="2445"/>
      <c r="AN699" s="597"/>
      <c r="AO699" s="611" t="s">
        <v>510</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0" t="s">
        <v>1693</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9" t="s">
        <v>510</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80">
        <f>VLOOKUP($H$709,$AO$703:$AP$706,2,FALSE)</f>
        <v>3</v>
      </c>
      <c r="AK711" s="248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7" t="s">
        <v>1695</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1352</v>
      </c>
      <c r="AG715" s="2445"/>
      <c r="AH715" s="2445"/>
      <c r="AI715" s="2445"/>
      <c r="AJ715" s="2445"/>
      <c r="AK715" s="2445"/>
      <c r="AL715" s="2445"/>
      <c r="AM715" s="550"/>
      <c r="AN715" s="684"/>
      <c r="AP715" s="570" t="s">
        <v>1432</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8" t="s">
        <v>1435</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1408</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29" t="s">
        <v>592</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0" t="s">
        <v>1696</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1352</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0" t="s">
        <v>1439</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1408</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9" t="s">
        <v>592</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0" t="s">
        <v>1442</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1352</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0" t="s">
        <v>1443</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1408</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9" t="s">
        <v>510</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0">
        <f>VLOOKUP($H$751,$AO$680:$AP$682,2,FALSE)</f>
        <v>2</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0" t="s">
        <v>1445</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1408</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0" t="s">
        <v>1446</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1425</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9" t="s">
        <v>510</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0">
        <f>VLOOKUP($H$763,$AO$697:$AP$699,2,FALSE)</f>
        <v>1</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0" t="s">
        <v>1692</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1408</v>
      </c>
      <c r="AG769" s="2445"/>
      <c r="AH769" s="2445"/>
      <c r="AI769" s="2445"/>
      <c r="AJ769" s="2445"/>
      <c r="AK769" s="2445"/>
      <c r="AL769" s="2445"/>
      <c r="AM769" s="613"/>
      <c r="AN769" s="684"/>
      <c r="AO769" s="550" t="s">
        <v>592</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9" t="s">
        <v>1697</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1352</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9" t="s">
        <v>592</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0" t="s">
        <v>2032</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1352</v>
      </c>
      <c r="AG785" s="2445"/>
      <c r="AH785" s="2445"/>
      <c r="AI785" s="2445"/>
      <c r="AJ785" s="2445"/>
      <c r="AK785" s="2445"/>
      <c r="AL785" s="2445"/>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9" t="s">
        <v>592</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0">
        <f>VLOOKUP($H$790,$AO$784:$AP$785,2,FALSE)</f>
        <v>0</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0">
        <f>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1568</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1569</v>
      </c>
      <c r="U802" s="2577"/>
      <c r="V802" s="2577"/>
      <c r="W802" s="2577"/>
      <c r="X802" s="2577"/>
      <c r="Y802" s="2578"/>
      <c r="Z802" s="2576" t="s">
        <v>1570</v>
      </c>
      <c r="AA802" s="2577"/>
      <c r="AB802" s="2577"/>
      <c r="AC802" s="2577"/>
      <c r="AD802" s="2577"/>
      <c r="AE802" s="2578"/>
      <c r="AF802" s="2576" t="s">
        <v>1571</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758</v>
      </c>
      <c r="B804" s="2556" t="s">
        <v>1304</v>
      </c>
      <c r="C804" s="2556"/>
      <c r="D804" s="2556"/>
      <c r="E804" s="2556"/>
      <c r="F804" s="2556"/>
      <c r="G804" s="2556"/>
      <c r="H804" s="2556"/>
      <c r="I804" s="2556"/>
      <c r="J804" s="2556"/>
      <c r="K804" s="2556"/>
      <c r="L804" s="2556"/>
      <c r="M804" s="2556"/>
      <c r="N804" s="2556"/>
      <c r="O804" s="2556"/>
      <c r="P804" s="2556"/>
      <c r="Q804" s="2556"/>
      <c r="R804" s="2556"/>
      <c r="S804" s="2557"/>
      <c r="T804" s="2558">
        <f>AK62</f>
        <v>20</v>
      </c>
      <c r="U804" s="2559"/>
      <c r="V804" s="2559"/>
      <c r="W804" s="2559"/>
      <c r="X804" s="2559"/>
      <c r="Y804" s="2560"/>
      <c r="Z804" s="2561">
        <v>20</v>
      </c>
      <c r="AA804" s="2559"/>
      <c r="AB804" s="2559"/>
      <c r="AC804" s="2559"/>
      <c r="AD804" s="2559"/>
      <c r="AE804" s="2560"/>
      <c r="AF804" s="2542">
        <f>IF(T804&gt;Z804,Z804,T804)</f>
        <v>20</v>
      </c>
      <c r="AG804" s="2542"/>
      <c r="AH804" s="2542"/>
      <c r="AI804" s="2542"/>
      <c r="AJ804" s="2542"/>
      <c r="AK804" s="2542"/>
      <c r="AL804" s="818"/>
      <c r="AM804" s="596"/>
      <c r="AO804" s="816"/>
      <c r="AP804" s="816"/>
      <c r="AQ804" s="816"/>
    </row>
    <row r="805" spans="1:81">
      <c r="A805" s="819" t="s">
        <v>1541</v>
      </c>
      <c r="B805" s="2556" t="s">
        <v>1313</v>
      </c>
      <c r="C805" s="2556"/>
      <c r="D805" s="2556"/>
      <c r="E805" s="2556"/>
      <c r="F805" s="2556"/>
      <c r="G805" s="2556"/>
      <c r="H805" s="2556"/>
      <c r="I805" s="2556"/>
      <c r="J805" s="2556"/>
      <c r="K805" s="2556"/>
      <c r="L805" s="2556"/>
      <c r="M805" s="2556"/>
      <c r="N805" s="2556"/>
      <c r="O805" s="2556"/>
      <c r="P805" s="2556"/>
      <c r="Q805" s="2556"/>
      <c r="R805" s="2556"/>
      <c r="S805" s="2557"/>
      <c r="T805" s="2558">
        <f>AK84</f>
        <v>0</v>
      </c>
      <c r="U805" s="2559"/>
      <c r="V805" s="2559"/>
      <c r="W805" s="2559"/>
      <c r="X805" s="2559"/>
      <c r="Y805" s="2560"/>
      <c r="Z805" s="2561">
        <v>10</v>
      </c>
      <c r="AA805" s="2559"/>
      <c r="AB805" s="2559"/>
      <c r="AC805" s="2559"/>
      <c r="AD805" s="2559"/>
      <c r="AE805" s="2560"/>
      <c r="AF805" s="2542">
        <f>IF(T805&gt;Z805,Z805,T805)</f>
        <v>0</v>
      </c>
      <c r="AG805" s="2542"/>
      <c r="AH805" s="2542"/>
      <c r="AI805" s="2542"/>
      <c r="AJ805" s="2542"/>
      <c r="AK805" s="2542"/>
      <c r="AL805" s="818"/>
      <c r="AM805" s="596"/>
      <c r="AO805" s="816"/>
      <c r="AP805" s="816"/>
      <c r="AQ805" s="816"/>
    </row>
    <row r="806" spans="1:81">
      <c r="A806" s="819" t="s">
        <v>1550</v>
      </c>
      <c r="B806" s="2556" t="s">
        <v>1323</v>
      </c>
      <c r="C806" s="2556"/>
      <c r="D806" s="2556"/>
      <c r="E806" s="2556"/>
      <c r="F806" s="2556"/>
      <c r="G806" s="2556"/>
      <c r="H806" s="2556"/>
      <c r="I806" s="2556"/>
      <c r="J806" s="2556"/>
      <c r="K806" s="2556"/>
      <c r="L806" s="2556"/>
      <c r="M806" s="2556"/>
      <c r="N806" s="2556"/>
      <c r="O806" s="2556"/>
      <c r="P806" s="2556"/>
      <c r="Q806" s="2556"/>
      <c r="R806" s="2556"/>
      <c r="S806" s="2557"/>
      <c r="T806" s="2558">
        <f>AK109</f>
        <v>19.999999999999996</v>
      </c>
      <c r="U806" s="2559"/>
      <c r="V806" s="2559"/>
      <c r="W806" s="2559"/>
      <c r="X806" s="2559"/>
      <c r="Y806" s="2560"/>
      <c r="Z806" s="2561">
        <v>20</v>
      </c>
      <c r="AA806" s="2559"/>
      <c r="AB806" s="2559"/>
      <c r="AC806" s="2559"/>
      <c r="AD806" s="2559"/>
      <c r="AE806" s="2560"/>
      <c r="AF806" s="2542">
        <f>IF(T806&gt;Z806,Z806,T806)</f>
        <v>19.999999999999996</v>
      </c>
      <c r="AG806" s="2542"/>
      <c r="AH806" s="2542"/>
      <c r="AI806" s="2542"/>
      <c r="AJ806" s="2542"/>
      <c r="AK806" s="2542"/>
      <c r="AL806" s="818"/>
      <c r="AM806" s="596"/>
      <c r="AO806" s="816"/>
      <c r="AP806" s="816"/>
      <c r="AQ806" s="816"/>
    </row>
    <row r="807" spans="1:81">
      <c r="A807" s="819" t="s">
        <v>1572</v>
      </c>
      <c r="B807" s="2556" t="s">
        <v>1333</v>
      </c>
      <c r="C807" s="2556"/>
      <c r="D807" s="2556"/>
      <c r="E807" s="2556"/>
      <c r="F807" s="2556"/>
      <c r="G807" s="2556"/>
      <c r="H807" s="2556"/>
      <c r="I807" s="2556"/>
      <c r="J807" s="2556"/>
      <c r="K807" s="2556"/>
      <c r="L807" s="2556"/>
      <c r="M807" s="2556"/>
      <c r="N807" s="2556"/>
      <c r="O807" s="2556"/>
      <c r="P807" s="2556"/>
      <c r="Q807" s="2556"/>
      <c r="R807" s="2556"/>
      <c r="S807" s="2557"/>
      <c r="T807" s="2558">
        <f>AK143</f>
        <v>10</v>
      </c>
      <c r="U807" s="2559"/>
      <c r="V807" s="2559"/>
      <c r="W807" s="2559"/>
      <c r="X807" s="2559"/>
      <c r="Y807" s="2560"/>
      <c r="Z807" s="2561">
        <v>10</v>
      </c>
      <c r="AA807" s="2559"/>
      <c r="AB807" s="2559"/>
      <c r="AC807" s="2559"/>
      <c r="AD807" s="2559"/>
      <c r="AE807" s="2560"/>
      <c r="AF807" s="2542">
        <f>IF(T807&gt;Z807,Z807,T807)</f>
        <v>10</v>
      </c>
      <c r="AG807" s="2542"/>
      <c r="AH807" s="2542"/>
      <c r="AI807" s="2542"/>
      <c r="AJ807" s="2542"/>
      <c r="AK807" s="2542"/>
      <c r="AL807" s="818"/>
      <c r="AM807" s="596"/>
      <c r="AO807" s="816"/>
      <c r="AP807" s="816"/>
      <c r="AQ807" s="816"/>
    </row>
    <row r="808" spans="1:81">
      <c r="A808" s="820" t="s">
        <v>1573</v>
      </c>
      <c r="B808" s="2556" t="s">
        <v>1574</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1575</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1576</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1361</v>
      </c>
      <c r="B811" s="2556" t="s">
        <v>1577</v>
      </c>
      <c r="C811" s="2556"/>
      <c r="D811" s="2556"/>
      <c r="E811" s="2556"/>
      <c r="F811" s="2556"/>
      <c r="G811" s="2556"/>
      <c r="H811" s="2556"/>
      <c r="I811" s="2556"/>
      <c r="J811" s="2556"/>
      <c r="K811" s="2556"/>
      <c r="L811" s="2556"/>
      <c r="M811" s="2556"/>
      <c r="N811" s="2556"/>
      <c r="O811" s="2556"/>
      <c r="P811" s="2556"/>
      <c r="Q811" s="2556"/>
      <c r="R811" s="2556"/>
      <c r="S811" s="2557"/>
      <c r="T811" s="2582">
        <f>AK191</f>
        <v>0</v>
      </c>
      <c r="U811" s="2582"/>
      <c r="V811" s="2582"/>
      <c r="W811" s="2582"/>
      <c r="X811" s="2582"/>
      <c r="Y811" s="2582"/>
      <c r="Z811" s="2542">
        <v>10</v>
      </c>
      <c r="AA811" s="2542"/>
      <c r="AB811" s="2542"/>
      <c r="AC811" s="2542"/>
      <c r="AD811" s="2542"/>
      <c r="AE811" s="2542"/>
      <c r="AF811" s="2542">
        <f>IF(T811&gt;Z811,Z811,T811)</f>
        <v>0</v>
      </c>
      <c r="AG811" s="2542"/>
      <c r="AH811" s="2542"/>
      <c r="AI811" s="2542"/>
      <c r="AJ811" s="2542"/>
      <c r="AK811" s="2542"/>
      <c r="AL811" s="818"/>
      <c r="AM811" s="596"/>
    </row>
    <row r="812" spans="1:81">
      <c r="A812" s="819" t="s">
        <v>1370</v>
      </c>
      <c r="B812" s="2556" t="s">
        <v>1371</v>
      </c>
      <c r="C812" s="2556"/>
      <c r="D812" s="2556"/>
      <c r="E812" s="2556"/>
      <c r="F812" s="2556"/>
      <c r="G812" s="2556"/>
      <c r="H812" s="2556"/>
      <c r="I812" s="2556"/>
      <c r="J812" s="2556"/>
      <c r="K812" s="2556"/>
      <c r="L812" s="2556"/>
      <c r="M812" s="2556"/>
      <c r="N812" s="2556"/>
      <c r="O812" s="2556"/>
      <c r="P812" s="2556"/>
      <c r="Q812" s="2556"/>
      <c r="R812" s="2556"/>
      <c r="S812" s="2557"/>
      <c r="T812" s="2582">
        <f>AK273</f>
        <v>8</v>
      </c>
      <c r="U812" s="2582"/>
      <c r="V812" s="2582"/>
      <c r="W812" s="2582"/>
      <c r="X812" s="2582"/>
      <c r="Y812" s="2582"/>
      <c r="Z812" s="2561">
        <v>8</v>
      </c>
      <c r="AA812" s="2559"/>
      <c r="AB812" s="2559"/>
      <c r="AC812" s="2559"/>
      <c r="AD812" s="2559"/>
      <c r="AE812" s="2560"/>
      <c r="AF812" s="2542">
        <f>IF(T812&gt;Z812,Z812,T812)</f>
        <v>8</v>
      </c>
      <c r="AG812" s="2542"/>
      <c r="AH812" s="2542"/>
      <c r="AI812" s="2542"/>
      <c r="AJ812" s="2542"/>
      <c r="AK812" s="2542"/>
      <c r="AL812" s="818"/>
      <c r="AM812" s="596"/>
    </row>
    <row r="813" spans="1:81" s="534" customFormat="1" hidden="1">
      <c r="A813" s="820" t="s">
        <v>590</v>
      </c>
      <c r="B813" s="2556" t="s">
        <v>1578</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6" t="s">
        <v>1579</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6" t="s">
        <v>1381</v>
      </c>
      <c r="C815" s="2556"/>
      <c r="D815" s="2556"/>
      <c r="E815" s="2556"/>
      <c r="F815" s="2556"/>
      <c r="G815" s="2556"/>
      <c r="H815" s="2556"/>
      <c r="I815" s="2556"/>
      <c r="J815" s="2556"/>
      <c r="K815" s="2556"/>
      <c r="L815" s="2556"/>
      <c r="M815" s="2556"/>
      <c r="N815" s="2556"/>
      <c r="O815" s="2556"/>
      <c r="P815" s="2556"/>
      <c r="Q815" s="2556"/>
      <c r="R815" s="2556"/>
      <c r="S815" s="2557"/>
      <c r="T815" s="2582">
        <f>AK338</f>
        <v>0</v>
      </c>
      <c r="U815" s="2582"/>
      <c r="V815" s="2582"/>
      <c r="W815" s="2582"/>
      <c r="X815" s="2582"/>
      <c r="Y815" s="2582"/>
      <c r="Z815" s="2588">
        <v>10</v>
      </c>
      <c r="AA815" s="2589"/>
      <c r="AB815" s="2589"/>
      <c r="AC815" s="2589"/>
      <c r="AD815" s="2589"/>
      <c r="AE815" s="2590"/>
      <c r="AF815" s="2588">
        <f>IF(T815&gt;Z815,Z815,T815)</f>
        <v>0</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5">
        <f>AK338</f>
        <v>0</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6" t="s">
        <v>846</v>
      </c>
      <c r="C817" s="2556"/>
      <c r="D817" s="2556"/>
      <c r="E817" s="2556"/>
      <c r="F817" s="2556"/>
      <c r="G817" s="2556"/>
      <c r="H817" s="2556"/>
      <c r="I817" s="2556"/>
      <c r="J817" s="2556"/>
      <c r="K817" s="2556"/>
      <c r="L817" s="2556"/>
      <c r="M817" s="2556"/>
      <c r="N817" s="2556"/>
      <c r="O817" s="2556"/>
      <c r="P817" s="2556"/>
      <c r="Q817" s="2556"/>
      <c r="R817" s="2556"/>
      <c r="S817" s="2557"/>
      <c r="T817" s="2582">
        <f>AK469</f>
        <v>17</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6" t="s">
        <v>1559</v>
      </c>
      <c r="C818" s="2556"/>
      <c r="D818" s="2556"/>
      <c r="E818" s="2556"/>
      <c r="F818" s="2556"/>
      <c r="G818" s="2556"/>
      <c r="H818" s="2556"/>
      <c r="I818" s="2556"/>
      <c r="J818" s="2556"/>
      <c r="K818" s="2556"/>
      <c r="L818" s="2556"/>
      <c r="M818" s="2556"/>
      <c r="N818" s="2556"/>
      <c r="O818" s="2556"/>
      <c r="P818" s="2556"/>
      <c r="Q818" s="2556"/>
      <c r="R818" s="2556"/>
      <c r="S818" s="2557"/>
      <c r="T818" s="2582">
        <f>AK559</f>
        <v>12</v>
      </c>
      <c r="U818" s="2582"/>
      <c r="V818" s="2582"/>
      <c r="W818" s="2582"/>
      <c r="X818" s="2582"/>
      <c r="Y818" s="2582"/>
      <c r="Z818" s="2588">
        <v>12</v>
      </c>
      <c r="AA818" s="2589"/>
      <c r="AB818" s="2589"/>
      <c r="AC818" s="2589"/>
      <c r="AD818" s="2589"/>
      <c r="AE818" s="2590"/>
      <c r="AF818" s="2542">
        <f>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6" t="s">
        <v>1581</v>
      </c>
      <c r="C819" s="2556"/>
      <c r="D819" s="2556"/>
      <c r="E819" s="2556"/>
      <c r="F819" s="2556"/>
      <c r="G819" s="2556"/>
      <c r="H819" s="2556"/>
      <c r="I819" s="2556"/>
      <c r="J819" s="2556"/>
      <c r="K819" s="2556"/>
      <c r="L819" s="2556"/>
      <c r="M819" s="2556"/>
      <c r="N819" s="2556"/>
      <c r="O819" s="2556"/>
      <c r="P819" s="2556"/>
      <c r="Q819" s="2556"/>
      <c r="R819" s="2556"/>
      <c r="S819" s="2557"/>
      <c r="T819" s="2582">
        <f>AK794</f>
        <v>10</v>
      </c>
      <c r="U819" s="2582"/>
      <c r="V819" s="2582"/>
      <c r="W819" s="2582"/>
      <c r="X819" s="2582"/>
      <c r="Y819" s="2582"/>
      <c r="Z819" s="2588">
        <v>10</v>
      </c>
      <c r="AA819" s="2589"/>
      <c r="AB819" s="2589"/>
      <c r="AC819" s="2589"/>
      <c r="AD819" s="2589"/>
      <c r="AE819" s="2590"/>
      <c r="AF819" s="2542">
        <f>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1582</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1583</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1584</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SUM(AF804:AK819)-AF820</f>
        <v>110</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disablePrompts="1"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Subsidy Contract Calculation</vt:lpstr>
      <vt:lpstr>15 Year Pro Forma</vt:lpstr>
      <vt:lpstr>Tie Breaker</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Mai, Randy</cp:lastModifiedBy>
  <cp:lastPrinted>2025-09-05T22:06:20Z</cp:lastPrinted>
  <dcterms:created xsi:type="dcterms:W3CDTF">2007-12-27T18:26:28Z</dcterms:created>
  <dcterms:modified xsi:type="dcterms:W3CDTF">2025-09-06T00:30:33Z</dcterms:modified>
</cp:coreProperties>
</file>