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21700000-21700999\21700254\L\L\"/>
    </mc:Choice>
  </mc:AlternateContent>
  <xr:revisionPtr revIDLastSave="0" documentId="13_ncr:1_{511CED70-601C-4B17-8D71-35AAB6E82C58}" xr6:coauthVersionLast="47" xr6:coauthVersionMax="47" xr10:uidLastSave="{00000000-0000-0000-0000-000000000000}"/>
  <bookViews>
    <workbookView xWindow="74580" yWindow="480" windowWidth="25395" windowHeight="19350"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Application!$A$913:$AL$951</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99" i="4" l="1"/>
  <c r="E99" i="4" s="1"/>
  <c r="AO640" i="3"/>
  <c r="C59" i="7"/>
  <c r="H30" i="4"/>
  <c r="I30" i="4"/>
  <c r="F30" i="4"/>
  <c r="C86" i="4"/>
  <c r="E86" i="4" s="1"/>
  <c r="E43" i="4"/>
  <c r="E101" i="4"/>
  <c r="E100" i="4"/>
  <c r="E95" i="4"/>
  <c r="E94" i="4"/>
  <c r="E93" i="4"/>
  <c r="E92" i="4"/>
  <c r="E91" i="4"/>
  <c r="E90" i="4"/>
  <c r="E89" i="4"/>
  <c r="E88" i="4"/>
  <c r="E87"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1" i="4"/>
  <c r="E40" i="4"/>
  <c r="E37" i="4"/>
  <c r="E36" i="4"/>
  <c r="E35" i="4"/>
  <c r="E34" i="4"/>
  <c r="E33" i="4"/>
  <c r="E32" i="4"/>
  <c r="E31" i="4"/>
  <c r="E29" i="4"/>
  <c r="E27" i="4"/>
  <c r="E25" i="4"/>
  <c r="E24" i="4"/>
  <c r="E23" i="4"/>
  <c r="E22" i="4"/>
  <c r="E21" i="4"/>
  <c r="E20" i="4"/>
  <c r="E19" i="4"/>
  <c r="E18" i="4"/>
  <c r="E17" i="4"/>
  <c r="E4" i="4"/>
  <c r="M961" i="3"/>
  <c r="AA949" i="3"/>
  <c r="AA948" i="3"/>
  <c r="AA919" i="3"/>
  <c r="AA918" i="3"/>
  <c r="AC886" i="3"/>
  <c r="E30" i="4" l="1"/>
  <c r="T773" i="3"/>
  <c r="AG756" i="3"/>
  <c r="Q627" i="3"/>
  <c r="AD200" i="20" l="1"/>
  <c r="AD199" i="20"/>
  <c r="AD67" i="15"/>
  <c r="Y67" i="15"/>
  <c r="BE103" i="3" l="1"/>
  <c r="AC216" i="23"/>
  <c r="Y216" i="23"/>
  <c r="U216" i="23"/>
  <c r="BQ102" i="23"/>
  <c r="BQ101" i="23"/>
  <c r="N11" i="23"/>
  <c r="W879" i="3"/>
  <c r="W855" i="3"/>
  <c r="W847" i="3"/>
  <c r="W862" i="3"/>
  <c r="W872" i="3"/>
  <c r="L44" i="21"/>
  <c r="M44" i="21"/>
  <c r="R44" i="21" s="1" a="1"/>
  <c r="R44" i="21" s="1"/>
  <c r="N44" i="21"/>
  <c r="L45" i="21"/>
  <c r="M45" i="21"/>
  <c r="O45" i="21" s="1"/>
  <c r="N45" i="21"/>
  <c r="U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T45" i="21" l="1"/>
  <c r="R53" i="21" a="1"/>
  <c r="R53" i="21" s="1"/>
  <c r="S45" i="21"/>
  <c r="S47"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1" i="8"/>
  <c r="I11" i="8"/>
  <c r="J10" i="8"/>
  <c r="I10" i="8"/>
  <c r="J9" i="8"/>
  <c r="I9"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C26" i="4"/>
  <c r="G72" i="21"/>
  <c r="G78" i="21" s="1"/>
  <c r="G109" i="21"/>
  <c r="M20" i="21"/>
  <c r="M21" i="21"/>
  <c r="M22" i="21"/>
  <c r="M23" i="21"/>
  <c r="M24" i="21"/>
  <c r="M25" i="21"/>
  <c r="M26" i="21"/>
  <c r="M27" i="21"/>
  <c r="M28" i="21"/>
  <c r="M29" i="21"/>
  <c r="M30" i="21"/>
  <c r="M31" i="21"/>
  <c r="M32" i="21"/>
  <c r="M33" i="2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F36" i="13" s="1"/>
  <c r="B36" i="4"/>
  <c r="B66" i="4"/>
  <c r="B67" i="4"/>
  <c r="B68" i="4"/>
  <c r="B69" i="4"/>
  <c r="R66" i="4"/>
  <c r="S66" i="4" s="1"/>
  <c r="E66" i="13" s="1"/>
  <c r="F66" i="13" s="1"/>
  <c r="R67" i="4"/>
  <c r="S67" i="4" s="1"/>
  <c r="R68" i="4"/>
  <c r="S68" i="4" s="1"/>
  <c r="E68" i="13" s="1"/>
  <c r="F68" i="13"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2" i="13"/>
  <c r="E103" i="13"/>
  <c r="B100" i="13"/>
  <c r="B101" i="13"/>
  <c r="B102" i="13"/>
  <c r="B103" i="13"/>
  <c r="A69" i="13"/>
  <c r="H66" i="13"/>
  <c r="H67" i="13"/>
  <c r="H68" i="13"/>
  <c r="H69" i="13"/>
  <c r="E67" i="13"/>
  <c r="F67" i="13" s="1"/>
  <c r="B66" i="13"/>
  <c r="C66" i="13" s="1"/>
  <c r="B67" i="13"/>
  <c r="C67" i="13" s="1"/>
  <c r="B68" i="13"/>
  <c r="C68" i="13" s="1"/>
  <c r="B69" i="13"/>
  <c r="C69" i="13" s="1"/>
  <c r="A53" i="13"/>
  <c r="H36" i="13"/>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S100" i="4" s="1"/>
  <c r="E100" i="13" s="1"/>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S91" i="4" s="1"/>
  <c r="E91" i="13" s="1"/>
  <c r="F91" i="13" s="1"/>
  <c r="R84" i="4"/>
  <c r="S84" i="4" s="1"/>
  <c r="E84" i="13" s="1"/>
  <c r="F84" i="13" s="1"/>
  <c r="B59" i="4"/>
  <c r="C80" i="11"/>
  <c r="C81" i="11"/>
  <c r="B80" i="11"/>
  <c r="B81" i="11"/>
  <c r="I96" i="13"/>
  <c r="J96" i="13"/>
  <c r="J81" i="13"/>
  <c r="I81" i="13"/>
  <c r="G81" i="13"/>
  <c r="D81" i="13"/>
  <c r="H80" i="13"/>
  <c r="B80" i="13"/>
  <c r="C80" i="13" s="1"/>
  <c r="R80" i="4"/>
  <c r="S80" i="4" s="1"/>
  <c r="E80" i="13" s="1"/>
  <c r="F80" i="13" s="1"/>
  <c r="R79" i="4"/>
  <c r="S79" i="4" s="1"/>
  <c r="E79" i="13" s="1"/>
  <c r="F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51" i="13"/>
  <c r="F51" i="13" s="1"/>
  <c r="E49" i="13"/>
  <c r="F49" i="13" s="1"/>
  <c r="E27" i="13"/>
  <c r="E25" i="13"/>
  <c r="E23" i="13"/>
  <c r="E22" i="13"/>
  <c r="E21" i="13"/>
  <c r="E20" i="13"/>
  <c r="E19" i="13"/>
  <c r="E18" i="13"/>
  <c r="E17" i="13"/>
  <c r="E15" i="13"/>
  <c r="E14" i="13"/>
  <c r="E13" i="13"/>
  <c r="E10" i="13"/>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C76" i="13" s="1"/>
  <c r="B75" i="13"/>
  <c r="C75" i="13" s="1"/>
  <c r="B74" i="13"/>
  <c r="C74" i="13" s="1"/>
  <c r="B73" i="13"/>
  <c r="C73" i="13" s="1"/>
  <c r="B72" i="13"/>
  <c r="C72" i="13" s="1"/>
  <c r="B65" i="13"/>
  <c r="C65"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B13" i="13"/>
  <c r="B14" i="13"/>
  <c r="B15" i="13"/>
  <c r="B4" i="13"/>
  <c r="C4" i="13" s="1"/>
  <c r="C8"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S101" i="4" s="1"/>
  <c r="E101" i="13" s="1"/>
  <c r="R99" i="4"/>
  <c r="S99" i="4" s="1"/>
  <c r="E99" i="13" s="1"/>
  <c r="F99" i="13" s="1"/>
  <c r="F104" i="13" s="1"/>
  <c r="R95" i="4"/>
  <c r="S95" i="4" s="1"/>
  <c r="E95" i="13" s="1"/>
  <c r="F95" i="13" s="1"/>
  <c r="R94" i="4"/>
  <c r="S94" i="4" s="1"/>
  <c r="E94" i="13" s="1"/>
  <c r="F94" i="13" s="1"/>
  <c r="R93" i="4"/>
  <c r="S93" i="4" s="1"/>
  <c r="E93" i="13" s="1"/>
  <c r="F93" i="13" s="1"/>
  <c r="R92" i="4"/>
  <c r="S92" i="4" s="1"/>
  <c r="E92" i="13" s="1"/>
  <c r="F92" i="13" s="1"/>
  <c r="R90" i="4"/>
  <c r="S90" i="4" s="1"/>
  <c r="E90" i="13" s="1"/>
  <c r="F90" i="13" s="1"/>
  <c r="R89" i="4"/>
  <c r="S89" i="4" s="1"/>
  <c r="E89" i="13" s="1"/>
  <c r="F89" i="13" s="1"/>
  <c r="R88" i="4"/>
  <c r="R87" i="4"/>
  <c r="S87" i="4" s="1"/>
  <c r="E87" i="13" s="1"/>
  <c r="F87" i="13" s="1"/>
  <c r="R86" i="4"/>
  <c r="S86" i="4" s="1"/>
  <c r="E86" i="13" s="1"/>
  <c r="F86" i="13" s="1"/>
  <c r="R85" i="4"/>
  <c r="S85" i="4" s="1"/>
  <c r="E85" i="13" s="1"/>
  <c r="F85" i="13" s="1"/>
  <c r="R83" i="4"/>
  <c r="R76" i="4"/>
  <c r="R75" i="4"/>
  <c r="R72" i="4"/>
  <c r="R73" i="4"/>
  <c r="R74" i="4"/>
  <c r="R69" i="4"/>
  <c r="S69" i="4" s="1"/>
  <c r="E69" i="13" s="1"/>
  <c r="F69" i="13" s="1"/>
  <c r="R65" i="4"/>
  <c r="S65" i="4" s="1"/>
  <c r="R61" i="4"/>
  <c r="R60" i="4"/>
  <c r="R59" i="4"/>
  <c r="R58" i="4"/>
  <c r="R57" i="4"/>
  <c r="R56" i="4"/>
  <c r="R53" i="4"/>
  <c r="S53" i="4" s="1"/>
  <c r="E53" i="13" s="1"/>
  <c r="F53" i="13" s="1"/>
  <c r="R52" i="4"/>
  <c r="S52" i="4" s="1"/>
  <c r="E52" i="13" s="1"/>
  <c r="F52" i="13" s="1"/>
  <c r="R51" i="4"/>
  <c r="S51" i="4" s="1"/>
  <c r="R50" i="4"/>
  <c r="S50" i="4" s="1"/>
  <c r="E50" i="13" s="1"/>
  <c r="F50" i="13" s="1"/>
  <c r="R49" i="4"/>
  <c r="R48" i="4"/>
  <c r="S48" i="4" s="1"/>
  <c r="E48" i="13" s="1"/>
  <c r="F48" i="13" s="1"/>
  <c r="R47" i="4"/>
  <c r="S47" i="4" s="1"/>
  <c r="E47" i="13" s="1"/>
  <c r="F47" i="13" s="1"/>
  <c r="R46" i="4"/>
  <c r="S46" i="4" s="1"/>
  <c r="E46" i="13" s="1"/>
  <c r="F46" i="13" s="1"/>
  <c r="R45" i="4"/>
  <c r="S45" i="4" s="1"/>
  <c r="R43" i="4"/>
  <c r="S43" i="4" s="1"/>
  <c r="E43" i="13" s="1"/>
  <c r="F43" i="13" s="1"/>
  <c r="R41" i="4"/>
  <c r="S41" i="4" s="1"/>
  <c r="E41" i="13" s="1"/>
  <c r="F41" i="13" s="1"/>
  <c r="R40" i="4"/>
  <c r="S40" i="4" s="1"/>
  <c r="R37" i="4"/>
  <c r="S37" i="4" s="1"/>
  <c r="E37" i="13" s="1"/>
  <c r="F37" i="13" s="1"/>
  <c r="R35" i="4"/>
  <c r="S35" i="4" s="1"/>
  <c r="E35" i="13" s="1"/>
  <c r="F35" i="13" s="1"/>
  <c r="R34" i="4"/>
  <c r="S34" i="4" s="1"/>
  <c r="E34" i="13" s="1"/>
  <c r="F34" i="13" s="1"/>
  <c r="R33" i="4"/>
  <c r="S33" i="4" s="1"/>
  <c r="E33" i="13" s="1"/>
  <c r="F33" i="13" s="1"/>
  <c r="R32" i="4"/>
  <c r="S32" i="4" s="1"/>
  <c r="E32" i="13" s="1"/>
  <c r="F32" i="13" s="1"/>
  <c r="R31" i="4"/>
  <c r="S31" i="4" s="1"/>
  <c r="E31" i="13" s="1"/>
  <c r="F31" i="13" s="1"/>
  <c r="R30" i="4"/>
  <c r="S30" i="4" s="1"/>
  <c r="R29" i="4"/>
  <c r="S29" i="4" s="1"/>
  <c r="E29" i="13" s="1"/>
  <c r="F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I8" i="8" s="1"/>
  <c r="A9" i="8"/>
  <c r="D9" i="8"/>
  <c r="A10" i="8"/>
  <c r="D10" i="8"/>
  <c r="A11" i="8"/>
  <c r="D11" i="8"/>
  <c r="A12" i="8"/>
  <c r="D12" i="8"/>
  <c r="I12" i="8" s="1"/>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E26" i="13"/>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X733" i="3"/>
  <c r="X734" i="3"/>
  <c r="X735" i="3"/>
  <c r="X736" i="3"/>
  <c r="X737" i="3"/>
  <c r="X738" i="3"/>
  <c r="X739" i="3"/>
  <c r="X740" i="3"/>
  <c r="X741" i="3"/>
  <c r="M832" i="3"/>
  <c r="Q832" i="3"/>
  <c r="U832" i="3"/>
  <c r="Y832" i="3"/>
  <c r="AC832" i="3"/>
  <c r="AG832" i="3"/>
  <c r="Z902" i="3"/>
  <c r="J8" i="8" l="1"/>
  <c r="C70" i="13"/>
  <c r="F81" i="13"/>
  <c r="C42" i="13"/>
  <c r="J12" i="8"/>
  <c r="S42" i="4"/>
  <c r="E42" i="13" s="1"/>
  <c r="C81" i="13"/>
  <c r="C38" i="13"/>
  <c r="C62" i="13"/>
  <c r="S54" i="4"/>
  <c r="E54" i="13" s="1"/>
  <c r="E45" i="13"/>
  <c r="F45" i="13" s="1"/>
  <c r="F54" i="13" s="1"/>
  <c r="C77" i="13"/>
  <c r="C54" i="13"/>
  <c r="C96" i="13"/>
  <c r="F96" i="13"/>
  <c r="S70" i="4"/>
  <c r="E70" i="13" s="1"/>
  <c r="E40" i="13"/>
  <c r="F40" i="13" s="1"/>
  <c r="F42" i="13" s="1"/>
  <c r="S104" i="4"/>
  <c r="E104" i="13" s="1"/>
  <c r="E65" i="13"/>
  <c r="F65" i="13" s="1"/>
  <c r="F70" i="13" s="1"/>
  <c r="S38" i="4"/>
  <c r="E38" i="13" s="1"/>
  <c r="E30" i="13"/>
  <c r="F30" i="13" s="1"/>
  <c r="F38" i="13" s="1"/>
  <c r="S96" i="4"/>
  <c r="E96" i="13" s="1"/>
  <c r="S81" i="4"/>
  <c r="E81" i="13" s="1"/>
  <c r="D35" i="11"/>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J7" i="8"/>
  <c r="J40" i="8" s="1"/>
  <c r="Z809" i="3" s="1"/>
  <c r="S38" i="21"/>
  <c r="S37" i="21"/>
  <c r="S36" i="21"/>
  <c r="S43" i="21"/>
  <c r="S35" i="21"/>
  <c r="S42" i="21"/>
  <c r="S34" i="21"/>
  <c r="U20" i="21"/>
  <c r="S41" i="21"/>
  <c r="U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AM556" i="3" s="1"/>
  <c r="AM566" i="3" s="1"/>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C63" i="13" l="1"/>
  <c r="C97" i="13" s="1"/>
  <c r="C105" i="13" s="1"/>
  <c r="BA1058" i="3"/>
  <c r="S63" i="4"/>
  <c r="S97" i="4" s="1"/>
  <c r="F63" i="13"/>
  <c r="F97" i="13" s="1"/>
  <c r="F105" i="13" s="1"/>
  <c r="F107" i="13" s="1"/>
  <c r="AJ621" i="20"/>
  <c r="G94" i="21"/>
  <c r="D105" i="1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26" i="21" l="1"/>
  <c r="O25" i="21"/>
  <c r="O22" i="21"/>
  <c r="P22" i="21" s="1" a="1"/>
  <c r="P22" i="21" s="1"/>
  <c r="S22" i="21" s="1"/>
  <c r="O33" i="21"/>
  <c r="P33" i="21" s="1" a="1"/>
  <c r="P33" i="21" s="1"/>
  <c r="S33" i="21" s="1"/>
  <c r="O32" i="21"/>
  <c r="P32" i="21" s="1" a="1"/>
  <c r="P32" i="21" s="1"/>
  <c r="S32" i="21" s="1"/>
  <c r="O21" i="21"/>
  <c r="P21" i="21" s="1" a="1"/>
  <c r="P21" i="21" s="1"/>
  <c r="S21" i="21" s="1"/>
  <c r="O24" i="21"/>
  <c r="P24" i="21" s="1" a="1"/>
  <c r="P24" i="21" s="1"/>
  <c r="S24" i="21" s="1"/>
  <c r="O29" i="21"/>
  <c r="P29" i="21" s="1" a="1"/>
  <c r="P29" i="21" s="1"/>
  <c r="S29" i="21" s="1"/>
  <c r="O30" i="21"/>
  <c r="P30" i="21" s="1" a="1"/>
  <c r="P30" i="21" s="1"/>
  <c r="S30" i="21" s="1"/>
  <c r="O28" i="21"/>
  <c r="P28" i="21" s="1" a="1"/>
  <c r="P28" i="21" s="1"/>
  <c r="S28" i="21" s="1"/>
  <c r="O27" i="21"/>
  <c r="P27" i="21" s="1" a="1"/>
  <c r="P27" i="21" s="1"/>
  <c r="S27" i="21" s="1"/>
  <c r="O31" i="21"/>
  <c r="P31" i="21" s="1" a="1"/>
  <c r="P31" i="21" s="1"/>
  <c r="S31" i="21" s="1"/>
  <c r="O20" i="21"/>
  <c r="P20" i="21" s="1" a="1"/>
  <c r="P20" i="21" s="1"/>
  <c r="S20" i="21" s="1"/>
  <c r="O23" i="21"/>
  <c r="P23" i="21" s="1" a="1"/>
  <c r="P23" i="21" s="1"/>
  <c r="S23" i="21" s="1"/>
  <c r="D64" i="11"/>
  <c r="B105" i="4"/>
  <c r="BE101" i="3"/>
  <c r="AK84" i="20"/>
  <c r="AK191" i="20" s="1"/>
  <c r="T811" i="20" s="1"/>
  <c r="AF811" i="20" s="1"/>
  <c r="BE76" i="3" s="1"/>
  <c r="D13" i="11"/>
  <c r="B97" i="13"/>
  <c r="B97" i="4"/>
  <c r="AZ1046" i="3"/>
  <c r="S105" i="4"/>
  <c r="E97" i="13"/>
  <c r="B105" i="13"/>
  <c r="AG269" i="20"/>
  <c r="O58" i="7"/>
  <c r="Q53" i="7"/>
  <c r="T105" i="4"/>
  <c r="H97" i="13"/>
  <c r="P25" i="21" a="1"/>
  <c r="P25" i="21" s="1"/>
  <c r="S25" i="21" s="1"/>
  <c r="P26" i="21" a="1"/>
  <c r="P26" i="21" s="1"/>
  <c r="S26"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Q58" i="7"/>
  <c r="S53" i="7"/>
  <c r="G45" i="21"/>
  <c r="G47" i="21" s="1"/>
  <c r="E10" i="21" s="1"/>
  <c r="E11" i="21"/>
  <c r="AP705" i="20"/>
  <c r="AJ711" i="20" s="1"/>
  <c r="AK794" i="20" s="1"/>
  <c r="T819" i="20" s="1"/>
  <c r="AF819" i="20" s="1"/>
  <c r="BE82" i="3" s="1"/>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994" i="3" l="1"/>
  <c r="AJ1029" i="3"/>
  <c r="AJ1036" i="3"/>
  <c r="I15" i="21" s="1"/>
  <c r="AD11" i="15"/>
  <c r="AD23" i="15" s="1"/>
  <c r="AD26" i="15" s="1"/>
  <c r="AD28" i="15" s="1"/>
  <c r="AI11" i="15"/>
  <c r="AI23" i="15" s="1"/>
  <c r="AI26" i="15" s="1"/>
  <c r="AI28" i="15" s="1"/>
  <c r="AC456"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E62" i="7" l="1"/>
  <c r="T29" i="15"/>
  <c r="Y64" i="15"/>
  <c r="Y68" i="15" s="1"/>
  <c r="Y69" i="15" s="1"/>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60" i="7" s="1"/>
  <c r="AG48" i="7" l="1"/>
  <c r="AG47" i="7"/>
  <c r="AE62" i="7"/>
  <c r="AG62" i="7" s="1"/>
  <c r="AE66" i="7"/>
  <c r="AE67" i="7"/>
  <c r="AC70" i="7"/>
  <c r="AC72" i="7" s="1"/>
  <c r="AG66" i="7" l="1"/>
  <c r="AE70" i="7"/>
  <c r="AE72" i="7" s="1"/>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24F40A68-4464-448B-9047-C22466C13696}">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<sst xmlns="http://schemas.openxmlformats.org/spreadsheetml/2006/main" count="4981" uniqueCount="2729">
  <si>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</si>
  <si>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</si>
  <si>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</si>
  <si>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</si>
  <si>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</si>
  <si>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</si>
  <si>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</si>
  <si>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</si>
  <si>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</si>
  <si>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</si>
  <si>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</si>
  <si>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</si>
  <si>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</si>
  <si>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</si>
  <si>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</si>
  <si>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</si>
  <si>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</si>
  <si>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</si>
  <si>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</si>
  <si>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</si>
  <si>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</si>
  <si>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</si>
  <si>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</si>
  <si>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</si>
  <si>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</si>
  <si>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</si>
  <si>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</si>
  <si>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</si>
  <si>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</si>
  <si>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</si>
  <si>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</si>
  <si>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</si>
  <si>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</si>
  <si>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</si>
  <si>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</si>
  <si>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</si>
  <si>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</si>
  <si>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</si>
  <si>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</si>
  <si>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</si>
  <si>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</si>
  <si>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</si>
  <si>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</si>
  <si>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</si>
  <si>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</si>
  <si>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</si>
  <si>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</si>
  <si>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</si>
  <si>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</si>
  <si>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</si>
  <si>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</si>
  <si>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</si>
  <si>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</si>
  <si>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</si>
  <si>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</si>
  <si>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</si>
  <si>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</si>
  <si>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</si>
  <si>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</si>
  <si>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</si>
  <si>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</si>
  <si>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</si>
  <si>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</si>
  <si>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</si>
  <si>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</si>
  <si>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</si>
  <si>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</si>
  <si>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</si>
  <si>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</si>
  <si>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</si>
  <si>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</si>
  <si>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</si>
  <si>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</si>
  <si>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</si>
  <si>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</si>
  <si>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</si>
  <si>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</si>
  <si>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</si>
  <si>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</si>
  <si>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</si>
  <si>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</si>
  <si>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</si>
  <si>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</si>
  <si>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</si>
  <si>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</si>
  <si>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</si>
  <si>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</si>
  <si>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</si>
  <si>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</si>
  <si>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</si>
  <si>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</si>
  <si>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</si>
  <si>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</si>
  <si>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</si>
  <si>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</si>
  <si>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</si>
  <si>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</si>
  <si>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</si>
  <si>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</si>
  <si>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</si>
  <si>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</si>
  <si>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</si>
  <si>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</si>
  <si>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</si>
  <si>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</si>
  <si>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</si>
  <si>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</si>
  <si>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</si>
  <si>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</si>
  <si>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</si>
  <si>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</si>
  <si>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</si>
  <si>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</si>
  <si>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</si>
  <si>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</si>
  <si>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</si>
  <si>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</si>
  <si>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</si>
  <si>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</si>
  <si>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</si>
  <si>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</si>
  <si>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</si>
  <si>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</si>
  <si>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</si>
  <si>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</si>
  <si>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</si>
  <si>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</si>
  <si>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</si>
  <si>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</si>
  <si>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</si>
  <si>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</si>
  <si>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</si>
  <si>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</si>
  <si>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</si>
  <si>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</si>
  <si>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</si>
  <si>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</si>
  <si>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</si>
  <si>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</si>
  <si>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</si>
  <si>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</si>
  <si>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</si>
  <si>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</si>
  <si>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</si>
  <si>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</si>
  <si>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</si>
  <si>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</si>
  <si>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</si>
  <si>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</si>
  <si>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</si>
  <si>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</si>
  <si>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</si>
  <si>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</si>
  <si>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</si>
  <si>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</si>
  <si>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</si>
  <si>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</si>
  <si>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</si>
  <si>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</si>
  <si>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</si>
  <si>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</si>
  <si>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</si>
  <si>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</si>
  <si>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</si>
  <si>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</si>
  <si>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</si>
  <si>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</si>
  <si>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</si>
  <si>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</si>
  <si>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</si>
  <si>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</si>
  <si>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</si>
  <si>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</si>
  <si>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</si>
  <si>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</si>
  <si>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</si>
  <si>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</si>
  <si>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</si>
  <si>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</si>
  <si>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</si>
  <si>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</si>
  <si>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</si>
  <si>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</si>
  <si>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</si>
  <si>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</si>
  <si>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</si>
  <si>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</si>
  <si>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</si>
  <si>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</si>
  <si>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</si>
  <si>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</si>
  <si>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</si>
  <si>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</si>
  <si>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</si>
  <si>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</si>
  <si>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</si>
  <si>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</si>
  <si>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</si>
  <si>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</si>
  <si>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</si>
  <si>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</si>
  <si>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</si>
  <si>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</si>
  <si>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</si>
  <si>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</si>
  <si>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</si>
  <si>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</si>
  <si>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</si>
  <si>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</si>
  <si>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</si>
  <si>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</si>
  <si>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</si>
  <si>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</si>
  <si>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</si>
  <si>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</si>
  <si>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</si>
  <si>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</si>
  <si>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</si>
  <si>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</si>
  <si>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</si>
  <si>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</si>
  <si>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</si>
  <si>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</si>
  <si>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</si>
  <si>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</si>
  <si>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</si>
  <si>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</si>
  <si>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</si>
  <si>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</si>
  <si>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</si>
  <si>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</si>
  <si>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</si>
  <si>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</si>
  <si>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</si>
  <si>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</si>
  <si>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</si>
  <si>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</si>
  <si>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</si>
  <si>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</si>
  <si>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</si>
  <si>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</si>
  <si>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</si>
  <si>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</si>
  <si>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</si>
  <si>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</si>
  <si>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</si>
  <si>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</si>
  <si>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</si>
  <si>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</si>
  <si>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</si>
  <si>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</si>
  <si>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</si>
  <si>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</si>
  <si>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</si>
  <si>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</si>
  <si>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</si>
  <si>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</si>
  <si>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</si>
  <si>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</si>
  <si>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</si>
  <si>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</si>
  <si>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</si>
  <si>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</si>
  <si>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</si>
  <si>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</si>
  <si>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</si>
  <si>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</si>
  <si>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</si>
  <si>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</si>
  <si>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</si>
  <si>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</si>
  <si>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</si>
  <si>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</si>
  <si>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</si>
  <si>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</si>
  <si>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</si>
  <si>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</si>
  <si>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</si>
  <si>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</si>
  <si>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</si>
  <si>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</si>
  <si>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</si>
  <si>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</si>
  <si>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</si>
  <si>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</si>
  <si>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</si>
  <si>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</si>
  <si>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</si>
  <si>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</si>
  <si>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</si>
  <si>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</si>
  <si>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</si>
  <si>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</si>
  <si>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</si>
  <si>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</si>
  <si>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</si>
  <si>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</si>
  <si>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</si>
  <si>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</si>
  <si>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</si>
  <si>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</si>
  <si>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</si>
  <si>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</si>
  <si>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</si>
  <si>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</si>
  <si>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</si>
  <si>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</si>
  <si>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</si>
  <si>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</si>
  <si>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</si>
  <si>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</si>
  <si>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</si>
  <si>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</si>
  <si>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</si>
  <si>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</si>
  <si>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</si>
  <si>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</si>
  <si>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</si>
  <si>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</si>
  <si>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</si>
  <si>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</si>
  <si>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</si>
  <si>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</si>
  <si>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</si>
  <si>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</si>
  <si>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</si>
  <si>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</si>
  <si>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</si>
  <si>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</si>
  <si>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</si>
  <si>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</si>
  <si>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</si>
  <si>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</si>
  <si>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</si>
  <si>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</si>
  <si>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</si>
  <si>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</si>
  <si>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</si>
  <si>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</si>
  <si>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</si>
  <si>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</si>
  <si>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</si>
  <si>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</si>
  <si>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</si>
  <si>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</si>
  <si>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</si>
  <si>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</si>
  <si>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</si>
  <si>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</si>
  <si>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</si>
  <si>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</si>
  <si>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</si>
  <si>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</si>
  <si>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</si>
  <si>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</si>
  <si>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</si>
  <si>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</si>
  <si>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</si>
  <si>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</si>
  <si>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</si>
  <si>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</si>
  <si>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</si>
  <si>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</si>
  <si>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</si>
  <si>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</si>
  <si>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</si>
  <si>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</si>
  <si>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</si>
  <si>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</si>
  <si>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</si>
  <si>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</si>
  <si>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</si>
  <si>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</si>
  <si>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</si>
  <si>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</si>
  <si>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</si>
  <si>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</si>
  <si>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</si>
  <si>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</si>
  <si>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</si>
  <si>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</si>
  <si>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</si>
  <si>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</si>
  <si>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</si>
  <si>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</si>
  <si>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</si>
  <si>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</si>
  <si>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</si>
  <si>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</si>
  <si>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</si>
  <si>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</si>
  <si>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</si>
  <si>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</si>
  <si>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</si>
  <si>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</si>
  <si>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</si>
  <si>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</si>
  <si>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</si>
  <si>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</si>
  <si>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</si>
  <si>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</si>
  <si>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</si>
  <si>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</si>
  <si>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</si>
  <si>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</si>
  <si>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</si>
  <si>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</si>
  <si>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</si>
  <si>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</si>
  <si>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</si>
  <si>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</si>
  <si>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</si>
  <si>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</si>
  <si>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</si>
  <si>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</si>
  <si>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</si>
  <si>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</si>
  <si>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</si>
  <si>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</si>
  <si>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</si>
  <si>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</si>
  <si>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</si>
  <si>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</si>
  <si>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</si>
  <si>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</si>
  <si>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</si>
  <si>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</si>
  <si>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</si>
  <si>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</si>
  <si>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</si>
  <si>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</si>
  <si>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</si>
  <si>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</si>
  <si>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</si>
  <si>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</si>
  <si>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</si>
  <si>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</si>
  <si>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</si>
  <si>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</si>
  <si>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</si>
  <si>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</si>
  <si>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</si>
  <si>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</si>
  <si>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</si>
  <si>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</si>
  <si>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</si>
  <si>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</si>
  <si>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</si>
  <si>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</si>
  <si>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</si>
  <si>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</si>
  <si>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</si>
  <si>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</si>
  <si>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</si>
  <si>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</si>
  <si>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</si>
  <si>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</si>
  <si>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</si>
  <si>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</si>
  <si>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</si>
  <si>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</si>
  <si>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</si>
  <si>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</si>
  <si>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</si>
  <si>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</si>
  <si>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</si>
  <si>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</si>
  <si>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</si>
  <si>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</si>
  <si>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</si>
  <si>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</si>
  <si>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</si>
  <si>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</si>
  <si>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</si>
  <si>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</si>
  <si>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</si>
  <si>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</si>
  <si>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</si>
  <si>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</si>
  <si>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</si>
  <si>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</si>
  <si>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</si>
  <si>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</si>
  <si>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</si>
  <si>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</si>
  <si>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</si>
  <si>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</si>
  <si>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</si>
  <si>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</si>
  <si>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</si>
  <si>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</si>
  <si>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</si>
  <si>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</si>
  <si>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</si>
  <si>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</si>
  <si>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</si>
  <si>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</si>
  <si>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</si>
  <si>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</si>
  <si>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</si>
  <si>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</si>
  <si>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</si>
  <si>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</si>
  <si>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</si>
  <si>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</si>
  <si>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</si>
  <si>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</si>
  <si>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</si>
  <si>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</si>
  <si>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</si>
  <si>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</si>
  <si>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</si>
  <si>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</si>
  <si>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</si>
  <si>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</si>
  <si>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</si>
  <si>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</si>
  <si>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</si>
  <si>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</si>
  <si>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</si>
  <si>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</si>
  <si>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</si>
  <si>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</si>
  <si>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</si>
  <si>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</si>
  <si>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</si>
  <si>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</si>
  <si>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</si>
  <si>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</si>
  <si>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</si>
  <si>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</si>
  <si>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</si>
  <si>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</si>
  <si>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</si>
  <si>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</si>
  <si>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</si>
  <si>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</si>
  <si>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</si>
  <si>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</si>
  <si>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</si>
  <si>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</si>
  <si>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</si>
  <si>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</si>
  <si>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</si>
  <si>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</si>
  <si>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</si>
  <si>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</si>
  <si>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</si>
  <si>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</si>
  <si>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</si>
  <si>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</si>
  <si>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</si>
  <si>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</si>
  <si>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</si>
  <si>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</si>
  <si>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</si>
  <si>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</si>
  <si>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</si>
  <si>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</si>
  <si>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</si>
  <si>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</si>
  <si>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</si>
  <si>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</si>
  <si>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</si>
  <si>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</si>
  <si>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</si>
  <si>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</si>
  <si>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</si>
  <si>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</si>
  <si>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</si>
  <si>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</si>
  <si>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</si>
  <si>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</si>
  <si>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</si>
  <si>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</si>
  <si>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</si>
  <si>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</si>
  <si>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</si>
  <si>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</si>
  <si>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</si>
  <si>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</si>
  <si>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</si>
  <si>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</si>
  <si>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</si>
  <si>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</si>
  <si>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</si>
  <si>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</si>
  <si>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</si>
  <si>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</si>
  <si>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</si>
  <si>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</si>
  <si>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</si>
  <si>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</si>
  <si>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</si>
  <si>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</si>
  <si>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</si>
  <si>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</si>
  <si>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</si>
  <si>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</si>
  <si>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</si>
  <si>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</si>
  <si>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</si>
  <si>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</si>
  <si>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</si>
  <si>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</si>
  <si>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</si>
  <si>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</si>
  <si>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</si>
  <si>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</si>
  <si>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</si>
  <si>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</si>
  <si>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</si>
  <si>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</si>
  <si>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</si>
  <si>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</si>
  <si>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</si>
  <si>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</si>
  <si>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</si>
  <si>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</si>
  <si>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</si>
  <si>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</si>
  <si>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</si>
  <si>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</si>
  <si>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</si>
  <si>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</si>
  <si>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</si>
  <si>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</si>
  <si>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</si>
  <si>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</si>
  <si>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</si>
  <si>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</si>
  <si>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</si>
  <si>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</si>
  <si>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</si>
  <si>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</si>
  <si>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</si>
  <si>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</si>
  <si>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</si>
  <si>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</si>
  <si>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</si>
  <si>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</si>
  <si>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</si>
  <si>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</si>
  <si>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</si>
  <si>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</si>
  <si>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</si>
  <si>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</si>
  <si>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</si>
  <si>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</si>
  <si>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</si>
  <si>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</si>
  <si>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</si>
  <si>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</si>
  <si>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</si>
  <si>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</si>
  <si>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</si>
  <si>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</si>
  <si>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</si>
  <si>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</si>
  <si>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</si>
  <si>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</si>
  <si>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</si>
  <si>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</si>
  <si>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</si>
  <si>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</si>
  <si>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</si>
  <si>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</si>
  <si>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</si>
  <si>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</si>
  <si>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</si>
  <si>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</si>
  <si>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</si>
  <si>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</si>
  <si>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</si>
  <si>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</si>
  <si>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</si>
  <si>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</si>
  <si>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</si>
  <si>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</si>
  <si>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</si>
  <si>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</si>
  <si>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</si>
  <si>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</si>
  <si>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</si>
  <si>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</si>
  <si>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</si>
  <si>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</si>
  <si>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</si>
  <si>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</si>
  <si>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</si>
  <si>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</si>
  <si>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</si>
  <si>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</si>
  <si>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</si>
  <si>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</si>
  <si>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</si>
  <si>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</si>
  <si>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</si>
  <si>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</si>
  <si>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</si>
  <si>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</si>
  <si>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</si>
  <si>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</si>
  <si>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</si>
  <si>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</si>
  <si>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</si>
  <si>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</si>
  <si>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</si>
  <si>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</si>
  <si>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</si>
  <si>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</si>
  <si>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</si>
  <si>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</si>
  <si>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</si>
  <si>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</si>
  <si>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</si>
  <si>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</si>
  <si>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</si>
  <si>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</si>
  <si>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</si>
  <si>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</si>
  <si>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</si>
  <si>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</si>
  <si>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</si>
  <si>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</si>
  <si>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</si>
  <si>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</si>
  <si>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</si>
  <si>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</si>
  <si>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</si>
  <si>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</si>
  <si>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</si>
  <si>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</si>
  <si>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</si>
  <si>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</si>
  <si>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</si>
  <si>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</si>
  <si>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</si>
  <si>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</si>
  <si>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</si>
  <si>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</si>
  <si>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</si>
  <si>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</si>
  <si>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</si>
  <si>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</si>
  <si>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</si>
  <si>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</si>
  <si>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</si>
  <si>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</si>
  <si>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</si>
  <si>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</si>
  <si>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</si>
  <si>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</si>
  <si>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</si>
  <si>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</si>
  <si>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</si>
  <si>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</si>
  <si>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</si>
  <si>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</si>
  <si>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</si>
  <si>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</si>
  <si>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</si>
  <si>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</si>
  <si>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</si>
  <si>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</si>
  <si>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</si>
  <si>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</si>
  <si>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</si>
  <si>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</si>
  <si>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</si>
  <si>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</si>
  <si>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</si>
  <si>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</si>
  <si>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</si>
  <si>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</si>
  <si>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</si>
  <si>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</si>
  <si>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</si>
  <si>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</si>
  <si>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</si>
  <si>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</si>
  <si>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</si>
  <si>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</si>
  <si>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</si>
  <si>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</si>
  <si>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</si>
  <si>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</si>
  <si>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</si>
  <si>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</si>
  <si>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</si>
  <si>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</si>
  <si>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</si>
  <si>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</si>
  <si>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</si>
  <si>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</si>
  <si>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</si>
  <si>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</si>
  <si>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</si>
  <si>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</si>
  <si>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</si>
  <si>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</si>
  <si>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</si>
  <si>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</si>
  <si>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</si>
  <si>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</si>
  <si>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</si>
  <si>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</si>
  <si>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</si>
  <si>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</si>
  <si>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</si>
  <si>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</si>
  <si>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</si>
  <si>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</si>
  <si>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</si>
  <si>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</si>
  <si>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</si>
  <si>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</si>
  <si>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</si>
  <si>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</si>
  <si>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</si>
  <si>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</si>
  <si>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</si>
  <si>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</si>
  <si>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</si>
  <si>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</si>
  <si>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</si>
  <si>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</si>
  <si>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</si>
  <si>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</si>
  <si>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</si>
  <si>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</si>
  <si>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</si>
  <si>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</si>
  <si>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</si>
  <si>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</si>
  <si>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</si>
  <si>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</si>
  <si>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</si>
  <si>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</si>
  <si>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</si>
  <si>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</si>
  <si>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</si>
  <si>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</si>
  <si>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</si>
  <si>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</si>
  <si>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</si>
  <si>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</si>
  <si>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</si>
  <si>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</si>
  <si>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</si>
  <si>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</si>
  <si>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</si>
  <si>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</si>
  <si>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</si>
  <si>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</si>
  <si>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</si>
  <si>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</si>
  <si>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</si>
  <si>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</si>
  <si>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</si>
  <si>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</si>
  <si>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</si>
  <si>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</si>
  <si>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</si>
  <si>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</si>
  <si>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</si>
  <si>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</si>
  <si>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</si>
  <si>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</si>
  <si>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</si>
  <si>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</si>
  <si>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</si>
  <si>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</si>
  <si>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</si>
  <si>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</si>
  <si>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</si>
  <si>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</si>
  <si>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</si>
  <si>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</si>
  <si>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</si>
  <si>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</si>
  <si>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</si>
  <si>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</si>
  <si>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</si>
  <si>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</si>
  <si>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</si>
  <si>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</si>
  <si>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</si>
  <si>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</si>
  <si>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</si>
  <si>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</si>
  <si>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</si>
  <si>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</si>
  <si>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</si>
  <si>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</si>
  <si>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</si>
  <si>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</si>
  <si>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</si>
  <si>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</si>
  <si>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</si>
  <si>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</si>
  <si>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</si>
  <si>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</si>
  <si>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</si>
  <si>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</si>
  <si>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</si>
  <si>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</si>
  <si>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</si>
  <si>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</si>
  <si>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</si>
  <si>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</si>
  <si>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</si>
  <si>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</si>
  <si>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</si>
  <si>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</si>
  <si>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</si>
  <si>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</si>
  <si>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</si>
  <si>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</si>
  <si>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</si>
  <si>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</si>
  <si>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</si>
  <si>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</si>
  <si>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</si>
  <si>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</si>
  <si>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</si>
  <si>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</si>
  <si>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</si>
  <si>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</si>
  <si>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</si>
  <si>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</si>
  <si>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</si>
  <si>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</si>
  <si>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</si>
  <si>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</si>
  <si>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</si>
  <si>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</si>
  <si>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</si>
  <si>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</si>
  <si>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</si>
  <si>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</si>
  <si>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</si>
  <si>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</si>
  <si>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</si>
  <si>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</si>
  <si>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</si>
  <si>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</si>
  <si>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</si>
  <si>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</si>
  <si>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</si>
  <si>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</si>
  <si>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</si>
  <si>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</si>
  <si>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</si>
  <si>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</si>
  <si>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</si>
  <si>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</si>
  <si>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</si>
  <si>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</si>
  <si>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</si>
  <si>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</si>
  <si>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</si>
  <si>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</si>
  <si>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</si>
  <si>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</si>
  <si>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</si>
  <si>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</si>
  <si>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</si>
  <si>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</si>
  <si>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</si>
  <si>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</si>
  <si>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</si>
  <si>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</si>
  <si>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</si>
  <si>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</si>
  <si>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</si>
  <si>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</si>
  <si>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</si>
  <si>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</si>
  <si>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</si>
  <si>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</si>
  <si>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</si>
  <si>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</si>
  <si>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</si>
  <si>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</si>
  <si>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</si>
  <si>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</si>
  <si>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</si>
  <si>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</si>
  <si>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</si>
  <si>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</si>
  <si>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</si>
  <si>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</si>
  <si>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</si>
  <si>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</si>
  <si>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</si>
  <si>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</si>
  <si>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</si>
  <si>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</si>
  <si>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</si>
  <si>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</si>
  <si>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</si>
  <si>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</si>
  <si>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</si>
  <si>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</si>
  <si>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</si>
  <si>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</si>
  <si>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</si>
  <si>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</si>
  <si>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</si>
  <si>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</si>
  <si>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</si>
  <si>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</si>
  <si>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</si>
  <si>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</si>
  <si>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</si>
  <si>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</si>
  <si>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</si>
  <si>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</si>
  <si>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</si>
  <si>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</si>
  <si>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</si>
  <si>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</si>
  <si>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</si>
  <si>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</si>
  <si>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</si>
  <si>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</si>
  <si>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</si>
  <si>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</si>
  <si>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</si>
  <si>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</si>
  <si>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</si>
  <si>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</si>
  <si>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</si>
  <si>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</si>
  <si>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</si>
  <si>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</si>
  <si>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</si>
  <si>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</si>
  <si>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</si>
  <si>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</si>
  <si>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</si>
  <si>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</si>
  <si>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</si>
  <si>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</si>
  <si>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</si>
  <si>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</si>
  <si>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</si>
  <si>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</si>
  <si>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</si>
  <si>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</si>
  <si>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</si>
  <si>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</si>
  <si>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</si>
  <si>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</si>
  <si>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</si>
  <si>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</si>
  <si>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</si>
  <si>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</si>
  <si>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</si>
  <si>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</si>
  <si>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</si>
  <si>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</si>
  <si>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</si>
  <si>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</si>
  <si>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</si>
  <si>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</si>
  <si>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</si>
  <si>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</si>
  <si>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</si>
  <si>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</si>
  <si>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</si>
  <si>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</si>
  <si>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</si>
  <si>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</si>
  <si>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</si>
  <si>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</si>
  <si>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</si>
  <si>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</si>
  <si>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</si>
  <si>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</si>
  <si>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</si>
  <si>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</si>
  <si>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</si>
  <si>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</si>
  <si>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</si>
  <si>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</si>
  <si>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</si>
  <si>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</si>
  <si>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</si>
  <si>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</si>
  <si>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</si>
  <si>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</si>
  <si>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</si>
  <si>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</si>
  <si>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</si>
  <si>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</si>
  <si>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</si>
  <si>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</si>
  <si>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</si>
  <si>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</si>
  <si>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</si>
  <si>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</si>
  <si>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</si>
  <si>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</si>
  <si>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</si>
  <si>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</si>
  <si>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</si>
  <si>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</si>
  <si>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</si>
  <si>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</si>
  <si>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</si>
  <si>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</si>
  <si>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</si>
  <si>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</si>
  <si>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</si>
  <si>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</si>
  <si>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</si>
  <si>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</si>
  <si>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</si>
  <si>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</si>
  <si>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</si>
  <si>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</si>
  <si>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</si>
  <si>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</si>
  <si>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</si>
  <si>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</si>
  <si>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</si>
  <si>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</si>
  <si>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</si>
  <si>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</si>
  <si>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</si>
  <si>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</si>
  <si>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</si>
  <si>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</si>
  <si>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</si>
  <si>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</si>
  <si>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</si>
  <si>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</si>
  <si>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</si>
  <si>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</si>
  <si>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</si>
  <si>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</si>
  <si>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</si>
  <si>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</si>
  <si>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</si>
  <si>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</si>
  <si>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</si>
  <si>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</si>
  <si>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</si>
  <si>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</si>
  <si>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</si>
  <si>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</si>
  <si>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</si>
  <si>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</si>
  <si>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</si>
  <si>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</si>
  <si>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</si>
  <si>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</si>
  <si>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</si>
  <si>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</si>
  <si>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</si>
  <si>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</si>
  <si>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</si>
  <si>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</si>
  <si>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</si>
  <si>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</si>
  <si>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</si>
  <si>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</si>
  <si>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</si>
  <si>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</si>
  <si>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</si>
  <si>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</si>
  <si>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</si>
  <si>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</si>
  <si>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</si>
  <si>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</si>
  <si>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</si>
  <si>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</si>
  <si>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</si>
  <si>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</si>
  <si>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</si>
  <si>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</si>
  <si>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</si>
  <si>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</si>
  <si>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</si>
  <si>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</si>
  <si>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</si>
  <si>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</si>
  <si>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</si>
  <si>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</si>
  <si>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</si>
  <si>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</si>
  <si>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</si>
  <si>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</si>
  <si>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</si>
  <si>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</si>
  <si>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</si>
  <si>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</si>
  <si>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</si>
  <si>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</si>
  <si>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</si>
  <si>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</si>
  <si>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</si>
  <si>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</si>
  <si>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</si>
  <si>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</si>
  <si>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</si>
  <si>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</si>
  <si>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</si>
  <si>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</si>
  <si>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</si>
  <si>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</si>
  <si>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</si>
  <si>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</si>
  <si>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</si>
  <si>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</si>
  <si>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</si>
  <si>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</si>
  <si>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</si>
  <si>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</si>
  <si>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</si>
  <si>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</si>
  <si>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</si>
  <si>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</si>
  <si>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</si>
  <si>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</si>
  <si>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</si>
  <si>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</si>
  <si>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</si>
  <si>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</si>
  <si>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</si>
  <si>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</si>
  <si>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</si>
  <si>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</si>
  <si>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</si>
  <si>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</si>
  <si>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</si>
  <si>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</si>
  <si>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</si>
  <si>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</si>
  <si>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</si>
  <si>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</si>
  <si>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</si>
  <si>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</si>
  <si>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</si>
  <si>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</si>
  <si>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</si>
  <si>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</si>
  <si>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</si>
  <si>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</si>
  <si>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</si>
  <si>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</si>
  <si>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</si>
  <si>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</si>
  <si>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</si>
  <si>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</si>
  <si>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</si>
  <si>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</si>
  <si>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</si>
  <si>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</si>
  <si>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</si>
  <si>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</si>
  <si>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</si>
  <si>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</si>
  <si>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</si>
  <si>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</si>
  <si>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</si>
  <si>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</si>
  <si>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</si>
  <si>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</si>
  <si>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</si>
  <si>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</si>
  <si>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</si>
  <si>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</si>
  <si>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</si>
  <si>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</si>
  <si>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</si>
  <si>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</si>
  <si>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</si>
  <si>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</si>
  <si>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</si>
  <si>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</si>
  <si>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</si>
  <si>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</si>
  <si>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</si>
  <si>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</si>
  <si>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</si>
  <si>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</si>
  <si>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</si>
  <si>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</si>
  <si>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</si>
  <si>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</si>
  <si>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</si>
  <si>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</si>
  <si>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</si>
  <si>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</si>
  <si>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</si>
  <si>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</si>
  <si>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</si>
  <si>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</si>
  <si>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</si>
  <si>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</si>
  <si>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</si>
  <si>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</si>
  <si>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</si>
  <si>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</si>
  <si>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</si>
  <si>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</si>
  <si>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</si>
  <si>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</si>
  <si>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</si>
  <si>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</si>
  <si>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</si>
  <si>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</si>
  <si>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</si>
  <si>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</si>
  <si>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</si>
  <si>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</si>
  <si>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</si>
  <si>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</si>
  <si>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</si>
  <si>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</si>
  <si>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</si>
  <si>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</si>
  <si>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</si>
  <si>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</si>
  <si>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</si>
  <si>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</si>
  <si>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</si>
  <si>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</si>
  <si>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</si>
  <si>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</si>
  <si>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</si>
  <si>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</si>
  <si>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</si>
  <si>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</si>
  <si>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</si>
  <si>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</si>
  <si>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</si>
  <si>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</si>
  <si>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</si>
  <si>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</si>
  <si>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</si>
  <si>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</si>
  <si>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</si>
  <si>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</si>
  <si>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</si>
  <si>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</si>
  <si>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</si>
  <si>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</si>
  <si>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</si>
  <si>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</si>
  <si>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</si>
  <si>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</si>
  <si>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</si>
  <si>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</si>
  <si>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</si>
  <si>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</si>
  <si>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</si>
  <si>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</si>
  <si>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</si>
  <si>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</si>
  <si>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</si>
  <si>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</si>
  <si>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</si>
  <si>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</si>
  <si>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</si>
  <si>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</si>
  <si>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</si>
  <si>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</si>
  <si>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</si>
  <si>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</si>
  <si>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</si>
  <si>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</si>
  <si>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</si>
  <si>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</si>
  <si>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</si>
  <si>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</si>
  <si>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</si>
  <si>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</si>
  <si>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</si>
  <si>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</si>
  <si>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</si>
  <si>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</si>
  <si>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</si>
  <si>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</si>
  <si>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</si>
  <si>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</si>
  <si>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</si>
  <si>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</si>
  <si>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</si>
  <si>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</si>
  <si>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</si>
  <si>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</si>
  <si>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</si>
  <si>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</si>
  <si>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</si>
  <si>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</si>
  <si>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</si>
  <si>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</si>
  <si>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</si>
  <si>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</si>
  <si>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</si>
  <si>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</si>
  <si>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</si>
  <si>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</si>
  <si>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</si>
  <si>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</si>
  <si>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</si>
  <si>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</si>
  <si>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</si>
  <si>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</si>
  <si>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</si>
  <si>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</si>
  <si>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</si>
  <si>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</si>
  <si>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</si>
  <si>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</si>
  <si>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</si>
  <si>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</si>
  <si>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</si>
  <si>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</si>
  <si>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</si>
  <si>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</si>
  <si>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</si>
  <si>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</si>
  <si>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</si>
  <si>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</si>
  <si>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</si>
  <si>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</si>
  <si>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</si>
  <si>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</si>
  <si>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</si>
  <si>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</si>
  <si>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</si>
  <si>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</si>
  <si>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</si>
  <si>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</si>
  <si>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</si>
  <si>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</si>
  <si>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</si>
  <si>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</si>
  <si>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</si>
  <si>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</si>
  <si>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</si>
  <si>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</si>
  <si>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</si>
  <si>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</si>
  <si>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</si>
  <si>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</si>
  <si>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</si>
  <si>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</si>
  <si>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</si>
  <si>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</si>
  <si>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</si>
  <si>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</si>
  <si>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</si>
  <si>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</si>
  <si>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</si>
  <si>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</si>
  <si>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</si>
  <si>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</si>
  <si>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</si>
  <si>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</si>
  <si>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</si>
  <si>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</si>
  <si>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</si>
  <si>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</si>
  <si>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</si>
  <si>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</si>
  <si>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</si>
  <si>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</si>
  <si>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</si>
  <si>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</si>
  <si>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</si>
  <si>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</si>
  <si>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</si>
  <si>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</si>
  <si>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</si>
  <si>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</si>
  <si>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</si>
  <si>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</si>
  <si>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</si>
  <si>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</si>
  <si>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</si>
  <si>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</si>
  <si>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</si>
  <si>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</si>
  <si>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</si>
  <si>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</si>
  <si>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</si>
  <si>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</si>
  <si>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</si>
  <si>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</si>
  <si>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</si>
  <si>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</si>
  <si>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</si>
  <si>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</si>
  <si>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</si>
  <si>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</si>
  <si>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</si>
  <si>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</si>
  <si>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</si>
  <si>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</si>
  <si>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</si>
  <si>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</si>
  <si>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</si>
  <si>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</si>
  <si>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</si>
  <si>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</si>
  <si>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</si>
  <si>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</si>
  <si>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</si>
  <si>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</si>
  <si>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</si>
  <si>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</si>
  <si>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</si>
  <si>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</si>
  <si>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</si>
  <si>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</si>
  <si>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</si>
  <si>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</si>
  <si>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</si>
  <si>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</si>
  <si>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</si>
  <si>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</si>
  <si>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</si>
  <si>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</si>
  <si>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</si>
  <si>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</si>
  <si>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</si>
  <si>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</si>
  <si>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</si>
  <si>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</si>
  <si>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</si>
  <si>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</si>
  <si>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</si>
  <si>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</si>
  <si>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</si>
  <si>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</si>
  <si>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</si>
  <si>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</si>
  <si>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</si>
  <si>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</si>
  <si>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</si>
  <si>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</si>
  <si>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</si>
  <si>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</si>
  <si>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</si>
  <si>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</si>
  <si>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</si>
  <si>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</si>
  <si>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</si>
  <si>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</si>
  <si>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</si>
  <si>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</si>
  <si>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</si>
  <si>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</si>
  <si>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</si>
  <si>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</si>
  <si>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</si>
  <si>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</si>
  <si>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</si>
  <si>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</si>
  <si>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</si>
  <si>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</si>
  <si>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</si>
  <si>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</si>
  <si>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</si>
  <si>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</si>
  <si>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</si>
  <si>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</si>
  <si>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</si>
  <si>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</si>
  <si>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</si>
  <si>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</si>
  <si>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</si>
  <si>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</si>
  <si>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</si>
  <si>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</si>
  <si>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</si>
  <si>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</si>
  <si>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</si>
  <si>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</si>
  <si>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</si>
  <si>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</si>
  <si>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</si>
  <si>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</si>
  <si>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</si>
  <si>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</si>
  <si>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</si>
  <si>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</si>
  <si>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</si>
  <si>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</si>
  <si>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</si>
  <si>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</si>
  <si>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</si>
  <si>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</si>
  <si>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</si>
  <si>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</si>
  <si>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</si>
  <si>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</si>
  <si>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</si>
  <si>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</si>
  <si>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</si>
  <si>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</si>
  <si>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</si>
  <si>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</si>
  <si>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</si>
  <si>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</si>
  <si>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</si>
  <si>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</si>
  <si>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</si>
  <si>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</si>
  <si>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</si>
  <si>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</si>
  <si>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</si>
  <si>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</si>
  <si>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</si>
  <si>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</si>
  <si>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</si>
  <si>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</si>
  <si>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</si>
  <si>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</si>
  <si>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</si>
  <si>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</si>
  <si>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</si>
  <si>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</si>
  <si>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</si>
  <si>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</si>
  <si>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</si>
  <si>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</si>
  <si>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</si>
  <si>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</si>
  <si>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</si>
  <si>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</si>
  <si>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</si>
  <si>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</si>
  <si>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</si>
  <si>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</si>
  <si>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</si>
  <si>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</si>
  <si>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</si>
  <si>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</si>
  <si>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</si>
  <si>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</si>
  <si>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</si>
  <si>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</si>
  <si>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</si>
  <si>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</si>
  <si>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</si>
  <si>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</si>
  <si>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</si>
  <si>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</si>
  <si>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</si>
  <si>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</si>
  <si>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</si>
  <si>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</si>
  <si>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</si>
  <si>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</si>
  <si>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</si>
  <si>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</si>
  <si>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</si>
  <si>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</si>
  <si>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</si>
  <si>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</si>
  <si>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</si>
  <si>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</si>
  <si>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</si>
  <si>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</si>
  <si>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</si>
  <si>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</si>
  <si>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</si>
  <si>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</si>
  <si>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</si>
  <si>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</si>
  <si>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</si>
  <si>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</si>
  <si>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</si>
  <si>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</si>
  <si>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</si>
  <si>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</si>
  <si>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</si>
  <si>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</si>
  <si>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</si>
  <si>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</si>
  <si>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</si>
  <si>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</si>
  <si>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</si>
  <si>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</si>
  <si>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</si>
  <si>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</si>
  <si>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</si>
  <si>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</si>
  <si>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</si>
  <si>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</si>
  <si>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</si>
  <si>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</si>
  <si>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</si>
  <si>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</si>
  <si>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</si>
  <si>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</si>
  <si>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</si>
  <si>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</si>
  <si>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</si>
  <si>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</si>
  <si>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</si>
  <si>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</si>
  <si>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</si>
  <si>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</si>
  <si>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</si>
  <si>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</si>
  <si>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</si>
  <si>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</si>
  <si>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</si>
  <si>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</si>
  <si>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</si>
  <si>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</si>
  <si>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</si>
  <si>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</si>
  <si>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</si>
  <si>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</si>
  <si>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</si>
  <si>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</si>
  <si>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</si>
  <si>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</si>
  <si>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</si>
  <si>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</si>
  <si>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</si>
  <si>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</si>
  <si>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</si>
  <si>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</si>
  <si>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</si>
  <si>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</si>
  <si>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</si>
  <si>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</si>
  <si>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</si>
  <si>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</si>
  <si>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</si>
  <si>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</si>
  <si>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</si>
  <si>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</si>
  <si>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</si>
  <si>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</si>
  <si>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</si>
  <si>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</si>
  <si>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</si>
  <si>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</si>
  <si>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</si>
  <si>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</si>
  <si>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</si>
  <si>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</si>
  <si>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</si>
  <si>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</si>
  <si>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</si>
  <si>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</si>
  <si>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</si>
  <si>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</si>
  <si>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</si>
  <si>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</si>
  <si>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</si>
  <si>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</si>
  <si>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</si>
  <si>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</si>
  <si>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</si>
  <si>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</si>
  <si>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</si>
  <si>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</si>
  <si>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</si>
  <si>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</si>
  <si>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</si>
  <si>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</si>
  <si>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</si>
  <si>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</si>
  <si>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</si>
  <si>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</si>
  <si>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</si>
  <si>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</si>
  <si>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</si>
  <si>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</si>
  <si>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</si>
  <si>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</si>
  <si>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</si>
  <si>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</si>
  <si>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</si>
  <si>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</si>
  <si>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</si>
  <si>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</si>
  <si>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</si>
  <si>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</si>
  <si>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</si>
  <si>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</si>
  <si>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</si>
  <si>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</si>
  <si>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</si>
  <si>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</si>
  <si>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</si>
  <si>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</si>
  <si>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</si>
  <si>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</si>
  <si>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</si>
  <si>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</si>
  <si>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</si>
  <si>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</si>
  <si>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</si>
  <si>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</si>
  <si>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</si>
  <si>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</si>
  <si>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</si>
  <si>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</si>
  <si>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</si>
  <si>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</si>
  <si>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</si>
  <si>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</si>
  <si>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</si>
  <si>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</si>
  <si>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</si>
  <si>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</si>
  <si>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</si>
  <si>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</si>
  <si>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</si>
  <si>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</si>
  <si>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</si>
  <si>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</si>
  <si>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</si>
  <si>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</si>
  <si>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</si>
  <si>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</si>
  <si>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</si>
  <si>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</si>
  <si>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</si>
  <si>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</si>
  <si>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</si>
  <si>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</si>
  <si>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</si>
  <si>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</si>
  <si>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</si>
  <si>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</si>
  <si>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</si>
  <si>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</si>
  <si>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</si>
  <si>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</si>
  <si>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</si>
  <si>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</si>
  <si>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</si>
  <si>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</si>
  <si>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</si>
  <si>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</si>
  <si>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</si>
  <si>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</si>
  <si>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</si>
  <si>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</si>
  <si>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</si>
  <si>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</si>
  <si>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</si>
  <si>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</si>
  <si>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</si>
  <si>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</si>
  <si>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</si>
  <si>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</si>
  <si>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</si>
  <si>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</si>
  <si>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</si>
  <si>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</si>
  <si>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</si>
  <si>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</si>
  <si>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</si>
  <si>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</si>
  <si>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</si>
  <si>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</si>
  <si>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</si>
  <si>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</si>
  <si>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</si>
  <si>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</si>
  <si>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</si>
  <si>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</si>
  <si>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</si>
  <si>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</si>
  <si>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</si>
  <si>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</si>
  <si>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</si>
  <si>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</si>
  <si>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</si>
  <si>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</si>
  <si>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</si>
  <si>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</si>
  <si>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</si>
  <si>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</si>
  <si>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</si>
  <si>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</si>
  <si>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</si>
  <si>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</si>
  <si>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</si>
  <si>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</si>
  <si>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</si>
  <si>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</si>
  <si>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</si>
  <si>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</si>
  <si>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</si>
  <si>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</si>
  <si>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</si>
  <si>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</si>
  <si>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</si>
  <si>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</si>
  <si>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</si>
  <si>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</si>
  <si>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</si>
  <si>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</si>
  <si>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</si>
  <si>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</si>
  <si>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</si>
  <si>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</si>
  <si>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</si>
  <si>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</si>
  <si>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</si>
  <si>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</si>
  <si>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</si>
  <si>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</si>
  <si>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</si>
  <si>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</si>
  <si>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</si>
  <si>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</si>
  <si>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</si>
  <si>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</si>
  <si>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</si>
  <si>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</si>
  <si>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</si>
  <si>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</si>
  <si>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</si>
  <si>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</si>
  <si>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</si>
  <si>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</si>
  <si>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</si>
  <si>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</si>
  <si>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</si>
  <si>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</si>
  <si>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</si>
  <si>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</si>
  <si>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</si>
  <si>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</si>
  <si>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</si>
  <si>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</si>
  <si>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</si>
  <si>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</si>
  <si>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</si>
  <si>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</si>
  <si>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</si>
  <si>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</si>
  <si>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</si>
  <si>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</si>
  <si>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</si>
  <si>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</si>
  <si>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</si>
  <si>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</si>
  <si>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</si>
  <si>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</si>
  <si>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</si>
  <si>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</si>
  <si>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</si>
  <si>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</si>
  <si>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</si>
  <si>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</si>
  <si>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</si>
  <si>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</si>
  <si>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</si>
  <si>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</si>
  <si>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</si>
  <si>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</si>
  <si>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</si>
  <si>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</si>
  <si>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</si>
  <si>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</si>
  <si>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</si>
  <si>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</si>
  <si>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</si>
  <si>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</si>
  <si>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</si>
  <si>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</si>
  <si>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</si>
  <si>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</si>
  <si>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</si>
  <si>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</si>
  <si>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</si>
  <si>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</si>
  <si>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</si>
  <si>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</si>
  <si>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</si>
  <si>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</si>
  <si>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</si>
  <si>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</si>
  <si>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</si>
  <si>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</si>
  <si>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</si>
  <si>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</si>
  <si>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</si>
  <si>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</si>
  <si>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</si>
  <si>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</si>
  <si>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</si>
  <si>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</si>
  <si>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</si>
  <si>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</si>
  <si>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</si>
  <si>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</si>
  <si>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</si>
  <si>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</si>
  <si>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</si>
  <si>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</si>
  <si>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</si>
  <si>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</si>
  <si>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</si>
  <si>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</si>
  <si>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</si>
  <si>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</si>
  <si>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</si>
  <si>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</si>
  <si>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</si>
  <si>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</si>
  <si>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</si>
  <si>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</si>
  <si>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</si>
  <si>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</si>
  <si>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</si>
  <si>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</si>
  <si>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</si>
  <si>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</si>
  <si>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</si>
  <si>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</si>
  <si>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</si>
  <si>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</si>
  <si>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</si>
  <si>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</si>
  <si>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</si>
  <si>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</si>
  <si>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</si>
  <si>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</si>
  <si>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</si>
  <si>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</si>
  <si>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</si>
  <si>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</si>
  <si>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</si>
  <si>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</si>
  <si>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</si>
  <si>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</si>
  <si>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</si>
  <si>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</si>
  <si>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</si>
  <si>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</si>
  <si>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</si>
  <si>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</si>
  <si>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</si>
  <si>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</si>
  <si>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</si>
  <si>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</si>
  <si>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</si>
  <si>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</si>
  <si>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</si>
  <si>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</si>
  <si>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</si>
  <si>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</si>
  <si>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</si>
  <si>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</si>
  <si>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</si>
  <si>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</si>
  <si>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</si>
  <si>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</si>
  <si>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</si>
  <si>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</si>
  <si>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</si>
  <si>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</si>
  <si>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</si>
  <si>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</si>
  <si>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</si>
  <si>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</si>
  <si>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</si>
  <si>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</si>
  <si>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</si>
  <si>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</si>
  <si>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</si>
  <si>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</si>
  <si>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</si>
  <si>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</si>
  <si>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</si>
  <si>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</si>
  <si>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</si>
  <si>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</si>
  <si>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</si>
  <si>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</si>
  <si>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</si>
  <si>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</si>
  <si>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</si>
  <si>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</si>
  <si>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</si>
  <si>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</si>
  <si>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</si>
  <si>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</si>
  <si>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</si>
  <si>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</si>
  <si>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</si>
  <si>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</si>
  <si>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</si>
  <si>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</si>
  <si>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</si>
  <si>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</si>
  <si>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</si>
  <si>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</si>
  <si>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</si>
  <si>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</si>
  <si>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</si>
  <si>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</si>
  <si>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</si>
  <si>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</si>
  <si>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</si>
  <si>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</si>
  <si>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</si>
  <si>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</si>
  <si>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</si>
  <si>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</si>
  <si>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</si>
  <si>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</si>
  <si>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</si>
  <si>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</si>
  <si>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</si>
  <si>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</si>
  <si>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</si>
  <si>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</si>
  <si>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</si>
  <si>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</si>
  <si>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</si>
  <si>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</si>
  <si>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</si>
  <si>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</si>
  <si>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</si>
  <si>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</si>
  <si>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</si>
  <si>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</si>
  <si>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</si>
  <si>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</si>
  <si>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</si>
  <si>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</si>
  <si>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</si>
  <si>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</si>
  <si>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</si>
  <si>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</si>
  <si>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</si>
  <si>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</si>
  <si>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</si>
  <si>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</si>
  <si>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</si>
  <si>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</si>
  <si>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</si>
  <si>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</si>
  <si>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</si>
  <si>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</si>
  <si>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</si>
  <si>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</si>
  <si>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</si>
  <si>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</si>
  <si>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</si>
  <si>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</si>
  <si>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</si>
  <si>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</si>
  <si>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</si>
  <si>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</si>
  <si>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</si>
  <si>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</si>
  <si>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</si>
  <si>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</si>
  <si>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</si>
  <si>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</si>
  <si>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</si>
  <si>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</si>
  <si>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</si>
  <si>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</si>
  <si>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</si>
  <si>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</si>
  <si>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</si>
  <si>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</si>
  <si>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</si>
  <si>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</si>
  <si>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</si>
  <si>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</si>
  <si>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</si>
  <si>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</si>
  <si>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</si>
  <si>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</si>
  <si>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</si>
  <si>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</si>
  <si>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</si>
  <si>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</si>
  <si>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</si>
  <si>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</si>
  <si>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</si>
  <si>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</si>
  <si>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</si>
  <si>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</si>
  <si>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</si>
  <si>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</si>
  <si>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</si>
  <si>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</si>
  <si>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</si>
  <si>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</si>
  <si>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</si>
  <si>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</si>
  <si>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</si>
  <si>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</si>
  <si>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</si>
  <si>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</si>
  <si>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</si>
  <si>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</si>
  <si>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</si>
  <si>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</si>
  <si>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</si>
  <si>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</si>
  <si>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</si>
  <si>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</si>
  <si>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</si>
  <si>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</si>
  <si>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</si>
  <si>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</si>
  <si>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</si>
  <si>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</si>
  <si>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</si>
  <si>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</si>
  <si>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</si>
  <si>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</si>
  <si>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</si>
  <si>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</si>
  <si>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</si>
  <si>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</si>
  <si>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</si>
  <si>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</si>
  <si>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</si>
  <si>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</si>
  <si>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</si>
  <si>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</si>
  <si>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</si>
  <si>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</si>
  <si>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</si>
  <si>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</si>
  <si>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</si>
  <si>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</si>
  <si>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</si>
  <si>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</si>
  <si>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</si>
  <si>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</si>
  <si>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</si>
  <si>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</si>
  <si>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</si>
  <si>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</si>
  <si>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</si>
  <si>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</si>
  <si>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</si>
  <si>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</si>
  <si>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</si>
  <si>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</si>
  <si>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</si>
  <si>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</si>
  <si>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</si>
  <si>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</si>
  <si>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</si>
  <si>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</si>
  <si>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</si>
  <si>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</si>
  <si>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</si>
  <si>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</si>
  <si>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</si>
  <si>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</si>
  <si>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</si>
  <si>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</si>
  <si>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</si>
  <si>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</si>
  <si>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</si>
  <si>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</si>
  <si>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</si>
  <si>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</si>
  <si>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</si>
  <si>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</si>
  <si>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</si>
  <si>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</si>
  <si>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</si>
  <si>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</si>
  <si>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</si>
  <si>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</si>
  <si>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</si>
  <si>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</si>
  <si>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</si>
  <si>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</si>
  <si>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</si>
  <si>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</si>
  <si>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</si>
  <si>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</si>
  <si>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</si>
  <si>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</si>
  <si>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</si>
  <si>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</si>
  <si>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</si>
  <si>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</si>
  <si>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</si>
  <si>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</si>
  <si>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</si>
  <si>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</si>
  <si>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</si>
  <si>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</si>
  <si>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</si>
  <si>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</si>
  <si>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</si>
  <si>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</si>
  <si>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</si>
  <si>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</si>
  <si>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</si>
  <si>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</si>
  <si>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</si>
  <si>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</si>
  <si>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</si>
  <si>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</si>
  <si>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</si>
  <si>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</si>
  <si>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</si>
  <si>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</si>
  <si>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</si>
  <si>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</si>
  <si>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</si>
  <si>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</si>
  <si>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</si>
  <si>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</si>
  <si>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</si>
  <si>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</si>
  <si>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</si>
  <si>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</si>
  <si>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</si>
  <si>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</si>
  <si>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</si>
  <si>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</si>
  <si>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</si>
  <si>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</si>
  <si>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</si>
  <si>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</si>
  <si>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</si>
  <si>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</si>
  <si>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</si>
  <si>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</si>
  <si>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</si>
  <si>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</si>
  <si>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</si>
  <si>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</si>
  <si>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</si>
  <si>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</si>
  <si>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</si>
  <si>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</si>
  <si>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</si>
  <si>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</si>
  <si>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</si>
  <si>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</si>
  <si>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</si>
  <si>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</si>
  <si>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</si>
  <si>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</si>
  <si>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</si>
  <si>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</si>
  <si>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</si>
  <si>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</si>
  <si>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</si>
  <si>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</si>
  <si>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</si>
  <si>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</si>
  <si>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</si>
  <si>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</si>
  <si>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</si>
  <si>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</si>
  <si>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</si>
  <si>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</si>
  <si>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</si>
  <si>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</si>
  <si>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</si>
  <si>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</si>
  <si>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</si>
  <si>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</si>
  <si>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</si>
  <si>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</si>
  <si>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</si>
  <si>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</si>
  <si>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</si>
  <si>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</si>
  <si>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</si>
  <si>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</si>
  <si>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</si>
  <si>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</si>
  <si>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</si>
  <si>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</si>
  <si>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</si>
  <si>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</si>
  <si>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</si>
  <si>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</si>
  <si>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</si>
  <si>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</si>
  <si>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</si>
  <si>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</si>
  <si>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</si>
  <si>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</si>
  <si>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</si>
  <si>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</si>
  <si>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</si>
  <si>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</si>
  <si>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</si>
  <si>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</si>
  <si>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</si>
  <si>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</si>
  <si>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</si>
  <si>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</si>
  <si>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</si>
  <si>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</si>
  <si>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</si>
  <si>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</si>
  <si>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</si>
  <si>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</si>
  <si>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</si>
  <si>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</si>
  <si>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</si>
  <si>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</si>
  <si>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</si>
  <si>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</si>
  <si>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</si>
  <si>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</si>
  <si>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</si>
  <si>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</si>
  <si>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</si>
  <si>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</si>
  <si>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</si>
  <si>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</si>
  <si>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</si>
  <si>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</si>
  <si>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</si>
  <si>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</si>
  <si>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</si>
  <si>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</si>
  <si>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</si>
  <si>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</si>
  <si>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</si>
  <si>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</si>
  <si>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</si>
  <si>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</si>
  <si>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</si>
  <si>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</si>
  <si>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</si>
  <si>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</si>
  <si>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</si>
  <si>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</si>
  <si>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</si>
  <si>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</si>
  <si>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</si>
  <si>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</si>
  <si>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</si>
  <si>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</si>
  <si>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</si>
  <si>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</si>
  <si>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</si>
  <si>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</si>
  <si>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</si>
  <si>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</si>
  <si>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</si>
  <si>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</si>
  <si>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</si>
  <si>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</si>
  <si>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</si>
  <si>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</si>
  <si>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</si>
  <si>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</si>
  <si>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</si>
  <si>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</si>
  <si>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</si>
  <si>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</si>
  <si>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</si>
  <si>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</si>
  <si>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</si>
  <si>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</si>
  <si>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</si>
  <si>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</si>
  <si>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</si>
  <si>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</si>
  <si>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</si>
  <si>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</si>
  <si>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</si>
  <si>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</si>
  <si>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</si>
  <si>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</si>
  <si>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</si>
  <si>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</si>
  <si>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</si>
  <si>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</si>
  <si>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</si>
  <si>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</si>
  <si>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</si>
  <si>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</si>
  <si>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</si>
  <si>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</si>
  <si>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</si>
  <si>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</si>
  <si>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</si>
  <si>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</si>
  <si>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</si>
  <si>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</si>
  <si>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</si>
  <si>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</si>
  <si>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</si>
  <si>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</si>
  <si>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</si>
  <si>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</si>
  <si>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</si>
  <si>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</si>
  <si>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</si>
  <si>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</si>
  <si>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</si>
  <si>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</si>
  <si>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</si>
  <si>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</si>
  <si>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</si>
  <si>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</si>
  <si>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</si>
  <si>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</si>
  <si>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</si>
  <si>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</si>
  <si>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</si>
  <si>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</si>
  <si>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</si>
  <si>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</si>
  <si>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</si>
  <si>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</si>
  <si>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</si>
  <si>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</si>
  <si>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</si>
  <si>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</si>
  <si>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</si>
  <si>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</si>
  <si>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</si>
  <si>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</si>
  <si>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</si>
  <si>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</si>
  <si>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</si>
  <si>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</si>
  <si>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</si>
  <si>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</si>
  <si>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</si>
  <si>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</si>
  <si>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</si>
  <si>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</si>
  <si>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</si>
  <si>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</si>
  <si>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</si>
  <si>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</si>
  <si>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</si>
  <si>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</si>
  <si>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</si>
  <si>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</si>
  <si>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</si>
  <si>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</si>
  <si>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</si>
  <si>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</si>
  <si>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</si>
  <si>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</si>
  <si>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</si>
  <si>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</si>
  <si>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</si>
  <si>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</si>
  <si>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</si>
  <si>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</si>
  <si>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</si>
  <si>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</si>
  <si>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</si>
  <si>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</si>
  <si>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</si>
  <si>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</si>
  <si>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</si>
  <si>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</si>
  <si>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</si>
  <si>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</si>
  <si>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</si>
  <si>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</si>
  <si>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</si>
  <si>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</si>
  <si>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</si>
  <si>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</si>
  <si>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</si>
  <si>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</si>
  <si>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</si>
  <si>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</si>
  <si>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</si>
  <si>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</si>
  <si>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</si>
  <si>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</si>
  <si>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</si>
  <si>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</si>
  <si>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</si>
  <si>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</si>
  <si>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</si>
  <si>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</si>
  <si>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</si>
  <si>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</si>
  <si>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</si>
  <si>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</si>
  <si>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</si>
  <si>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</si>
  <si>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</si>
  <si>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</si>
  <si>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</si>
  <si>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</si>
  <si>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</si>
  <si>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</si>
  <si>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</si>
  <si>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</si>
  <si>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</si>
  <si>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</si>
  <si>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Community Revitalization and Development Corporation</t>
  </si>
  <si>
    <t>Camino Commons</t>
  </si>
  <si>
    <t xml:space="preserve">City of Mountain View </t>
  </si>
  <si>
    <t>Kimbra McCarthy</t>
  </si>
  <si>
    <t>500 Castro St #2</t>
  </si>
  <si>
    <t>Mt. Shasta, CA</t>
  </si>
  <si>
    <t>650-903-6301</t>
  </si>
  <si>
    <t xml:space="preserve">96 West El Camino Real </t>
  </si>
  <si>
    <t>Mountain View</t>
  </si>
  <si>
    <t>158-01-038</t>
  </si>
  <si>
    <t>40%/60% Average Income</t>
  </si>
  <si>
    <t xml:space="preserve">1918 West St. </t>
  </si>
  <si>
    <t>Redding</t>
  </si>
  <si>
    <t>CA</t>
  </si>
  <si>
    <t>David Rutledge</t>
  </si>
  <si>
    <t>david@crdc-housing.org</t>
  </si>
  <si>
    <t>Mountain View El Camino Real LLC</t>
  </si>
  <si>
    <t>5251 Ericson Way</t>
  </si>
  <si>
    <t>Administrative GP</t>
  </si>
  <si>
    <t>Arcata</t>
  </si>
  <si>
    <t>Chris Dart</t>
  </si>
  <si>
    <t>cdart@danco-group.com</t>
  </si>
  <si>
    <t>1918 West Street</t>
  </si>
  <si>
    <t>Managing GP</t>
  </si>
  <si>
    <t>Danco Communities</t>
  </si>
  <si>
    <t>Hailey Wilson</t>
  </si>
  <si>
    <t>(707) 825-1580</t>
  </si>
  <si>
    <t>Developer</t>
  </si>
  <si>
    <t>Arcata, CA 95521</t>
  </si>
  <si>
    <t>707-825-1531</t>
  </si>
  <si>
    <t>707-822-9596</t>
  </si>
  <si>
    <t>hwilson@danco-group.com</t>
  </si>
  <si>
    <t>Seidel Architects</t>
  </si>
  <si>
    <t>109 Stevenson Street, Sixth Floor</t>
  </si>
  <si>
    <t>San Francisco, CA 94105</t>
  </si>
  <si>
    <t>Michael Rizza</t>
  </si>
  <si>
    <t>mrizza@seidelarchitects.com</t>
  </si>
  <si>
    <t>Odu &amp; Associates</t>
  </si>
  <si>
    <t>31805 Temecula Parkway #720</t>
  </si>
  <si>
    <t>Temecula, CA 92592</t>
  </si>
  <si>
    <t>Nkechi Odu</t>
  </si>
  <si>
    <t>nkechi@odulaw.com</t>
  </si>
  <si>
    <t>Danco Builders Northwest</t>
  </si>
  <si>
    <t>Leavitt Christensen &amp; Co. PLLC</t>
  </si>
  <si>
    <t>6149 N Meeker Pl #250</t>
  </si>
  <si>
    <t>Boise, ID 83713</t>
  </si>
  <si>
    <t>Ryan Leavitt</t>
  </si>
  <si>
    <t>Redwood Energy</t>
  </si>
  <si>
    <t>1887 Q Street</t>
  </si>
  <si>
    <t>Sean Armstrong</t>
  </si>
  <si>
    <t>sarmstrongpm@gmail.com</t>
  </si>
  <si>
    <t>ryan@leavittchristensen.com</t>
  </si>
  <si>
    <t xml:space="preserve">Boston Financial </t>
  </si>
  <si>
    <t xml:space="preserve">8335 Sunset Blvd, Ste 203 </t>
  </si>
  <si>
    <t>West Hollywood, CA 90069</t>
  </si>
  <si>
    <t xml:space="preserve">Roy Faerber </t>
  </si>
  <si>
    <t>Roy.Faerber@bfim.com</t>
  </si>
  <si>
    <t>Laurin Associates</t>
  </si>
  <si>
    <t>1501 Sports Drive</t>
  </si>
  <si>
    <t>Sacramento, CA 96834</t>
  </si>
  <si>
    <t>Stefanie Williams</t>
  </si>
  <si>
    <t>swilliams@laurinassociates.com</t>
  </si>
  <si>
    <t>CMFA</t>
  </si>
  <si>
    <t>2111 Palomar Airport Rd. Suite 320</t>
  </si>
  <si>
    <t>Carlsbad, CA 92011</t>
  </si>
  <si>
    <t>Anthony Stubbs</t>
  </si>
  <si>
    <t>760-930-1333</t>
  </si>
  <si>
    <t>760-683-3390</t>
  </si>
  <si>
    <t>astubbs@cmfa-ca.com</t>
  </si>
  <si>
    <t>Danco Property Management</t>
  </si>
  <si>
    <t>Blair Brown</t>
  </si>
  <si>
    <t>Blairbrown@danco-group.com</t>
  </si>
  <si>
    <t xml:space="preserve">Currently Own Property </t>
  </si>
  <si>
    <t>Inner City Infill Site</t>
  </si>
  <si>
    <t>R-2</t>
  </si>
  <si>
    <t>85'</t>
  </si>
  <si>
    <t>Citi Bank TE Loan</t>
  </si>
  <si>
    <t>Citi Bank Taxable Loan</t>
  </si>
  <si>
    <t>Boston Financial Tax Credit Equity</t>
  </si>
  <si>
    <t>City of Mountain View</t>
  </si>
  <si>
    <t>County of Santa Clara - Measure A</t>
  </si>
  <si>
    <t>Two Embarcadero Center, 17th Floor</t>
  </si>
  <si>
    <t>San Francisco, CA 94111</t>
  </si>
  <si>
    <t>Jacob St. Onge</t>
  </si>
  <si>
    <t>415-658-3118</t>
  </si>
  <si>
    <t>Construction Loan</t>
  </si>
  <si>
    <t>Roy Faerber</t>
  </si>
  <si>
    <t>(310) 860-4550</t>
  </si>
  <si>
    <t>Equity</t>
  </si>
  <si>
    <t>500 Castro Street</t>
  </si>
  <si>
    <t>Mountain View, CA</t>
  </si>
  <si>
    <t>Deanna Talavera</t>
  </si>
  <si>
    <t>Soft</t>
  </si>
  <si>
    <t>150 W. Tasman Drive</t>
  </si>
  <si>
    <t>San Jose</t>
  </si>
  <si>
    <t>Stephan Jackson</t>
  </si>
  <si>
    <t>Citi Bank Perm Loan</t>
  </si>
  <si>
    <t>County of Santa Clara Measure A</t>
  </si>
  <si>
    <t>Developer Note</t>
  </si>
  <si>
    <t>Perm Loan</t>
  </si>
  <si>
    <t xml:space="preserve">Soft </t>
  </si>
  <si>
    <t>Johnson &amp; Johnson Investments, LLC</t>
  </si>
  <si>
    <t>County of Santa Clara</t>
  </si>
  <si>
    <t>September</t>
  </si>
  <si>
    <t>President</t>
  </si>
  <si>
    <t>City of Mountian View</t>
  </si>
  <si>
    <t>County Measure A Funds</t>
  </si>
  <si>
    <t>Fixed</t>
  </si>
  <si>
    <t>TBD</t>
  </si>
  <si>
    <t>County of Santa Clara Housing Authority</t>
  </si>
  <si>
    <t>PBV's</t>
  </si>
  <si>
    <t>Project-based vouchers (PBVs)</t>
  </si>
  <si>
    <t>Inspection Fees</t>
  </si>
  <si>
    <t xml:space="preserve">Borrower's Attorney </t>
  </si>
  <si>
    <t xml:space="preserve">City of Mountian View </t>
  </si>
  <si>
    <t xml:space="preserve">County of Santa Clara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</si>
</sst>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26464">
    <xf numFmtId="0" fontId="0" fillId="0" borderId="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8" fillId="36" borderId="18" applyNumberFormat="0" applyAlignment="0" applyProtection="0"/>
    <xf numFmtId="0" fontId="88" fillId="36" borderId="18" applyNumberFormat="0" applyAlignment="0" applyProtection="0"/>
    <xf numFmtId="0" fontId="89" fillId="37" borderId="19" applyNumberFormat="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1" fillId="0" borderId="0" applyFont="0" applyFill="0" applyBorder="0" applyAlignment="0" applyProtection="0"/>
    <xf numFmtId="43" fontId="26" fillId="0" borderId="0" applyFont="0" applyFill="0" applyBorder="0" applyAlignment="0" applyProtection="0"/>
    <xf numFmtId="43"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80"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alignment vertical="top"/>
    </xf>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1" fillId="0" borderId="0" applyFont="0" applyFill="0" applyBorder="0" applyAlignment="0" applyProtection="0"/>
    <xf numFmtId="44" fontId="70"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1" fillId="0" borderId="0" applyFont="0" applyFill="0" applyBorder="0" applyAlignment="0" applyProtection="0"/>
    <xf numFmtId="44" fontId="26"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2"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76" fillId="0" borderId="0" applyFont="0" applyFill="0" applyBorder="0" applyAlignment="0" applyProtection="0"/>
    <xf numFmtId="44" fontId="26" fillId="0" borderId="0" applyFont="0" applyFill="0" applyBorder="0" applyAlignment="0" applyProtection="0"/>
    <xf numFmtId="0" fontId="90" fillId="0" borderId="0" applyNumberFormat="0" applyFill="0" applyBorder="0" applyAlignment="0" applyProtection="0"/>
    <xf numFmtId="0" fontId="91" fillId="38" borderId="0" applyNumberFormat="0" applyBorder="0" applyAlignment="0" applyProtection="0"/>
    <xf numFmtId="0" fontId="92" fillId="0" borderId="20" applyNumberFormat="0" applyFill="0" applyAlignment="0" applyProtection="0"/>
    <xf numFmtId="0" fontId="92" fillId="0" borderId="20" applyNumberFormat="0" applyFill="0" applyAlignment="0" applyProtection="0"/>
    <xf numFmtId="0" fontId="93" fillId="0" borderId="21" applyNumberFormat="0" applyFill="0" applyAlignment="0" applyProtection="0"/>
    <xf numFmtId="0" fontId="93" fillId="0" borderId="21" applyNumberFormat="0" applyFill="0" applyAlignment="0" applyProtection="0"/>
    <xf numFmtId="0" fontId="94" fillId="0" borderId="22" applyNumberFormat="0" applyFill="0" applyAlignment="0" applyProtection="0"/>
    <xf numFmtId="0" fontId="94" fillId="0" borderId="22"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2" fillId="0" borderId="0" applyNumberFormat="0" applyFill="0" applyBorder="0" applyAlignment="0" applyProtection="0">
      <alignment vertical="top"/>
      <protection locked="0"/>
    </xf>
    <xf numFmtId="0" fontId="95" fillId="39" borderId="18" applyNumberFormat="0" applyAlignment="0" applyProtection="0"/>
    <xf numFmtId="0" fontId="19" fillId="0" borderId="0" applyNumberFormat="0" applyBorder="0"/>
    <xf numFmtId="0" fontId="20" fillId="0" borderId="0" applyBorder="0" applyAlignment="0"/>
    <xf numFmtId="0" fontId="21" fillId="0" borderId="0" applyFill="0" applyBorder="0" applyAlignment="0"/>
    <xf numFmtId="0" fontId="96" fillId="0" borderId="23" applyNumberFormat="0" applyFill="0" applyAlignment="0" applyProtection="0"/>
    <xf numFmtId="0" fontId="97" fillId="40" borderId="0" applyNumberFormat="0" applyBorder="0" applyAlignment="0" applyProtection="0"/>
    <xf numFmtId="0" fontId="98" fillId="0" borderId="0"/>
    <xf numFmtId="0" fontId="61" fillId="0" borderId="0"/>
    <xf numFmtId="0" fontId="98" fillId="0" borderId="0"/>
    <xf numFmtId="0" fontId="61" fillId="0" borderId="0"/>
    <xf numFmtId="0" fontId="61"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1" fillId="0" borderId="0"/>
    <xf numFmtId="169" fontId="62" fillId="0" borderId="0"/>
    <xf numFmtId="0" fontId="85" fillId="0" borderId="0"/>
    <xf numFmtId="0" fontId="26" fillId="0" borderId="0"/>
    <xf numFmtId="0" fontId="26" fillId="0" borderId="0"/>
    <xf numFmtId="0" fontId="67" fillId="0" borderId="0"/>
    <xf numFmtId="0" fontId="61" fillId="0" borderId="0"/>
    <xf numFmtId="0" fontId="67" fillId="0" borderId="0"/>
    <xf numFmtId="0" fontId="61" fillId="0" borderId="0"/>
    <xf numFmtId="0" fontId="73" fillId="0" borderId="0"/>
    <xf numFmtId="0" fontId="61"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3" fillId="0" borderId="0"/>
    <xf numFmtId="0" fontId="85" fillId="0" borderId="0"/>
    <xf numFmtId="0" fontId="85" fillId="0" borderId="0"/>
    <xf numFmtId="0" fontId="85"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85" fillId="0" borderId="0"/>
    <xf numFmtId="0" fontId="85" fillId="0" borderId="0"/>
    <xf numFmtId="0" fontId="85" fillId="0" borderId="0"/>
    <xf numFmtId="0" fontId="85" fillId="0" borderId="0"/>
    <xf numFmtId="0" fontId="73" fillId="0" borderId="0"/>
    <xf numFmtId="0" fontId="61" fillId="0" borderId="0">
      <alignment vertical="top"/>
    </xf>
    <xf numFmtId="0" fontId="85" fillId="0" borderId="0"/>
    <xf numFmtId="0" fontId="85" fillId="0" borderId="0"/>
    <xf numFmtId="0" fontId="85" fillId="0" borderId="0"/>
    <xf numFmtId="0" fontId="85" fillId="0" borderId="0"/>
    <xf numFmtId="0" fontId="73" fillId="0" borderId="0"/>
    <xf numFmtId="0" fontId="26" fillId="0" borderId="0"/>
    <xf numFmtId="0" fontId="85" fillId="0" borderId="0"/>
    <xf numFmtId="0" fontId="26" fillId="0" borderId="0"/>
    <xf numFmtId="0" fontId="85" fillId="0" borderId="0"/>
    <xf numFmtId="0" fontId="85" fillId="0" borderId="0"/>
    <xf numFmtId="0" fontId="85" fillId="0" borderId="0"/>
    <xf numFmtId="0" fontId="85" fillId="0" borderId="0"/>
    <xf numFmtId="0" fontId="67" fillId="0" borderId="0"/>
    <xf numFmtId="0" fontId="61" fillId="0" borderId="0">
      <alignment vertical="top"/>
    </xf>
    <xf numFmtId="0" fontId="67" fillId="0" borderId="0"/>
    <xf numFmtId="0" fontId="61" fillId="0" borderId="0">
      <alignment vertical="top"/>
    </xf>
    <xf numFmtId="0" fontId="61" fillId="0" borderId="0">
      <alignment vertical="top"/>
    </xf>
    <xf numFmtId="0" fontId="85" fillId="0" borderId="0"/>
    <xf numFmtId="0" fontId="67"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61" fillId="0" borderId="0">
      <alignment vertical="top"/>
    </xf>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61" fillId="0" borderId="0">
      <alignment vertical="top"/>
    </xf>
    <xf numFmtId="0" fontId="61" fillId="0" borderId="0">
      <alignment vertical="top"/>
    </xf>
    <xf numFmtId="0" fontId="61" fillId="0" borderId="0"/>
    <xf numFmtId="0" fontId="61" fillId="0" borderId="0">
      <alignment vertical="top"/>
    </xf>
    <xf numFmtId="0" fontId="61" fillId="0" borderId="0"/>
    <xf numFmtId="0" fontId="6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17" fillId="0" borderId="0" applyProtection="0">
      <protection locked="0"/>
    </xf>
    <xf numFmtId="0" fontId="26" fillId="0" borderId="0" applyProtection="0">
      <protection locked="0"/>
    </xf>
    <xf numFmtId="0" fontId="26" fillId="0" borderId="0" applyProtection="0">
      <protection locked="0"/>
    </xf>
    <xf numFmtId="0" fontId="62" fillId="0" borderId="0"/>
    <xf numFmtId="0" fontId="17" fillId="0" borderId="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100" fillId="36" borderId="25" applyNumberFormat="0" applyAlignment="0" applyProtection="0"/>
    <xf numFmtId="0" fontId="100" fillId="36" borderId="25" applyNumberFormat="0" applyAlignment="0" applyProtection="0"/>
    <xf numFmtId="0" fontId="22" fillId="0" borderId="0" applyNumberFormat="0" applyFill="0" applyBorder="0">
      <alignment horizontal="left"/>
    </xf>
    <xf numFmtId="0" fontId="101" fillId="0" borderId="0" applyNumberFormat="0" applyFill="0" applyBorder="0" applyAlignment="0" applyProtection="0"/>
    <xf numFmtId="0" fontId="102" fillId="0" borderId="26" applyNumberFormat="0" applyFill="0" applyAlignment="0" applyProtection="0"/>
    <xf numFmtId="0" fontId="102" fillId="0" borderId="26" applyNumberFormat="0" applyFill="0" applyAlignment="0" applyProtection="0"/>
    <xf numFmtId="0" fontId="103" fillId="0" borderId="0" applyNumberFormat="0" applyFill="0" applyBorder="0" applyAlignment="0" applyProtection="0"/>
    <xf numFmtId="0" fontId="17" fillId="0" borderId="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9" fontId="17"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8"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4" fontId="110"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111"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01"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4" fontId="17" fillId="0" borderId="0" applyFont="0" applyFill="0" applyBorder="0" applyAlignment="0" applyProtection="0"/>
    <xf numFmtId="9" fontId="120" fillId="0" borderId="0" applyFont="0" applyFill="0" applyBorder="0" applyAlignment="0" applyProtection="0"/>
    <xf numFmtId="0" fontId="120" fillId="0" borderId="0"/>
    <xf numFmtId="0" fontId="11" fillId="0" borderId="0"/>
    <xf numFmtId="0" fontId="17"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3" fontId="148"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44" fontId="150"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0" fontId="3" fillId="0" borderId="0"/>
    <xf numFmtId="0" fontId="17" fillId="0" borderId="0" applyBorder="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7"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7"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169" fontId="186"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2">
    <xf numFmtId="0" fontId="0" fillId="0" borderId="0" xfId="0"/>
    <xf numFmtId="0" fontId="0" fillId="0" borderId="0" xfId="0" applyAlignment="1">
      <alignment horizontal="center"/>
    </xf>
    <xf numFmtId="0" fontId="24" fillId="0" borderId="0" xfId="0" applyFont="1"/>
    <xf numFmtId="0" fontId="17" fillId="0" borderId="0" xfId="0" applyFont="1"/>
    <xf numFmtId="0" fontId="26" fillId="0" borderId="0" xfId="0" applyFont="1"/>
    <xf numFmtId="0" fontId="0" fillId="0" borderId="4" xfId="0" applyBorder="1"/>
    <xf numFmtId="0" fontId="26" fillId="0" borderId="0" xfId="0" applyFont="1" applyAlignment="1">
      <alignment horizontal="center"/>
    </xf>
    <xf numFmtId="0" fontId="17"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4" fillId="0" borderId="4" xfId="0" applyFont="1" applyBorder="1"/>
    <xf numFmtId="164" fontId="0" fillId="0" borderId="0" xfId="0" applyNumberFormat="1" applyAlignment="1">
      <alignment horizontal="right"/>
    </xf>
    <xf numFmtId="0" fontId="24" fillId="0" borderId="0" xfId="0" applyFont="1" applyAlignment="1">
      <alignment horizontal="center"/>
    </xf>
    <xf numFmtId="0" fontId="17" fillId="0" borderId="0" xfId="543"/>
    <xf numFmtId="0" fontId="26" fillId="0" borderId="0" xfId="0" applyFont="1" applyAlignment="1">
      <alignment horizontal="left" vertical="top" wrapText="1"/>
    </xf>
    <xf numFmtId="0" fontId="32" fillId="0" borderId="0" xfId="0" applyFont="1"/>
    <xf numFmtId="0" fontId="25" fillId="0" borderId="0" xfId="0" applyFont="1" applyAlignment="1">
      <alignment vertical="top"/>
    </xf>
    <xf numFmtId="0" fontId="25" fillId="0" borderId="0" xfId="0" applyFont="1" applyAlignment="1">
      <alignment vertical="top" wrapText="1"/>
    </xf>
    <xf numFmtId="0" fontId="26" fillId="0" borderId="0" xfId="0" applyFont="1" applyAlignment="1">
      <alignment horizontal="left" indent="4"/>
    </xf>
    <xf numFmtId="0" fontId="25" fillId="0" borderId="0" xfId="0" applyFont="1" applyAlignment="1">
      <alignment horizontal="left" vertical="top"/>
    </xf>
    <xf numFmtId="0" fontId="25" fillId="0" borderId="0" xfId="0" applyFont="1" applyAlignment="1">
      <alignment horizontal="left"/>
    </xf>
    <xf numFmtId="0" fontId="25" fillId="0" borderId="0" xfId="0" applyFont="1"/>
    <xf numFmtId="0" fontId="37" fillId="0" borderId="0" xfId="543" applyFont="1"/>
    <xf numFmtId="1" fontId="25" fillId="0" borderId="0" xfId="0" applyNumberFormat="1" applyFont="1" applyAlignment="1">
      <alignment horizontal="left"/>
    </xf>
    <xf numFmtId="0" fontId="27" fillId="0" borderId="0" xfId="0" applyFont="1"/>
    <xf numFmtId="1" fontId="25" fillId="0" borderId="0" xfId="0" applyNumberFormat="1" applyFont="1" applyAlignment="1">
      <alignment horizontal="right"/>
    </xf>
    <xf numFmtId="0" fontId="0" fillId="0" borderId="0" xfId="0" applyAlignment="1">
      <alignment horizontal="right"/>
    </xf>
    <xf numFmtId="0" fontId="36" fillId="0" borderId="0" xfId="0" applyFont="1"/>
    <xf numFmtId="0" fontId="29" fillId="0" borderId="0" xfId="0" applyFont="1"/>
    <xf numFmtId="172" fontId="17" fillId="0" borderId="0" xfId="543" applyNumberFormat="1"/>
    <xf numFmtId="9" fontId="17" fillId="0" borderId="0" xfId="543" applyNumberFormat="1" applyAlignment="1">
      <alignment horizontal="left"/>
    </xf>
    <xf numFmtId="168" fontId="17" fillId="0" borderId="0" xfId="543" applyNumberFormat="1"/>
    <xf numFmtId="0" fontId="26" fillId="0" borderId="0" xfId="0" applyFont="1" applyAlignment="1">
      <alignment horizontal="right"/>
    </xf>
    <xf numFmtId="0" fontId="40" fillId="0" borderId="0" xfId="0" applyFont="1"/>
    <xf numFmtId="0" fontId="26" fillId="0" borderId="0" xfId="0" applyFont="1" applyAlignment="1">
      <alignment horizontal="left"/>
    </xf>
    <xf numFmtId="0" fontId="28" fillId="0" borderId="0" xfId="0" applyFont="1"/>
    <xf numFmtId="0" fontId="30" fillId="0" borderId="0" xfId="0" applyFont="1"/>
    <xf numFmtId="0" fontId="24"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4" fillId="0" borderId="1" xfId="0" applyFont="1" applyBorder="1" applyAlignment="1">
      <alignment horizontal="center" wrapText="1"/>
    </xf>
    <xf numFmtId="0" fontId="24"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4" fillId="0" borderId="4" xfId="0" applyFont="1" applyBorder="1" applyAlignment="1">
      <alignment horizontal="center"/>
    </xf>
    <xf numFmtId="0" fontId="33" fillId="0" borderId="3" xfId="0" applyFont="1" applyBorder="1" applyAlignment="1">
      <alignment horizontal="left"/>
    </xf>
    <xf numFmtId="0" fontId="33" fillId="0" borderId="9" xfId="0" applyFont="1" applyBorder="1" applyAlignment="1">
      <alignment horizontal="left"/>
    </xf>
    <xf numFmtId="0" fontId="24" fillId="0" borderId="4" xfId="0" applyFont="1" applyBorder="1" applyAlignment="1">
      <alignment horizontal="right"/>
    </xf>
    <xf numFmtId="0" fontId="24" fillId="0" borderId="5" xfId="0" applyFont="1" applyBorder="1" applyAlignment="1">
      <alignment horizontal="right"/>
    </xf>
    <xf numFmtId="0" fontId="33" fillId="0" borderId="0" xfId="0" applyFont="1" applyAlignment="1">
      <alignment horizontal="left"/>
    </xf>
    <xf numFmtId="0" fontId="24" fillId="0" borderId="0" xfId="0" applyFont="1" applyAlignment="1">
      <alignment horizontal="right"/>
    </xf>
    <xf numFmtId="0" fontId="24"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6" fillId="0" borderId="11" xfId="0" applyFont="1" applyBorder="1" applyAlignment="1">
      <alignment horizontal="left"/>
    </xf>
    <xf numFmtId="0" fontId="24" fillId="0" borderId="9" xfId="0" applyFont="1" applyBorder="1"/>
    <xf numFmtId="164" fontId="0" fillId="0" borderId="0" xfId="0" applyNumberFormat="1" applyAlignment="1">
      <alignment horizontal="center"/>
    </xf>
    <xf numFmtId="0" fontId="0" fillId="0" borderId="12" xfId="0" applyBorder="1"/>
    <xf numFmtId="0" fontId="26" fillId="0" borderId="3" xfId="0" applyFont="1" applyBorder="1"/>
    <xf numFmtId="0" fontId="26" fillId="0" borderId="0" xfId="543" applyFont="1"/>
    <xf numFmtId="0" fontId="42" fillId="0" borderId="0" xfId="543" applyFont="1"/>
    <xf numFmtId="49" fontId="17" fillId="0" borderId="0" xfId="543" applyNumberFormat="1"/>
    <xf numFmtId="0" fontId="40" fillId="0" borderId="0" xfId="543" applyFont="1"/>
    <xf numFmtId="168" fontId="37" fillId="0" borderId="6" xfId="543" applyNumberFormat="1" applyFont="1" applyBorder="1" applyAlignment="1">
      <alignment horizontal="left"/>
    </xf>
    <xf numFmtId="168" fontId="37" fillId="0" borderId="6" xfId="543" applyNumberFormat="1" applyFont="1" applyBorder="1" applyAlignment="1">
      <alignment horizontal="center"/>
    </xf>
    <xf numFmtId="0" fontId="17" fillId="0" borderId="8" xfId="543" applyBorder="1"/>
    <xf numFmtId="0" fontId="37" fillId="0" borderId="0" xfId="543" applyFont="1" applyAlignment="1">
      <alignment horizontal="center"/>
    </xf>
    <xf numFmtId="0" fontId="36" fillId="0" borderId="9" xfId="543" applyFont="1" applyBorder="1" applyAlignment="1">
      <alignment horizontal="left" vertical="top" wrapText="1"/>
    </xf>
    <xf numFmtId="0" fontId="36" fillId="0" borderId="6" xfId="543" applyFont="1" applyBorder="1" applyAlignment="1">
      <alignment horizontal="center" vertical="top" wrapText="1"/>
    </xf>
    <xf numFmtId="0" fontId="17" fillId="0" borderId="9" xfId="543" applyBorder="1"/>
    <xf numFmtId="0" fontId="17" fillId="0" borderId="10" xfId="543" applyBorder="1"/>
    <xf numFmtId="0" fontId="17" fillId="0" borderId="1" xfId="543" applyBorder="1"/>
    <xf numFmtId="0" fontId="37" fillId="0" borderId="2" xfId="543" applyFont="1" applyBorder="1" applyAlignment="1">
      <alignment horizontal="center"/>
    </xf>
    <xf numFmtId="0" fontId="39" fillId="0" borderId="8" xfId="543" applyFont="1" applyBorder="1" applyAlignment="1">
      <alignment horizontal="left" vertical="top" wrapText="1"/>
    </xf>
    <xf numFmtId="0" fontId="36" fillId="0" borderId="0" xfId="543" applyFont="1" applyAlignment="1">
      <alignment horizontal="center" vertical="top" wrapText="1"/>
    </xf>
    <xf numFmtId="0" fontId="17" fillId="0" borderId="12" xfId="543" applyBorder="1"/>
    <xf numFmtId="0" fontId="39" fillId="0" borderId="0" xfId="543" applyFont="1" applyAlignment="1">
      <alignment horizontal="center" vertical="top" wrapText="1"/>
    </xf>
    <xf numFmtId="0" fontId="39" fillId="0" borderId="9" xfId="543" applyFont="1" applyBorder="1" applyAlignment="1">
      <alignment horizontal="left" vertical="top" wrapText="1"/>
    </xf>
    <xf numFmtId="0" fontId="17" fillId="0" borderId="2" xfId="543" applyBorder="1"/>
    <xf numFmtId="0" fontId="17" fillId="0" borderId="7" xfId="543" applyBorder="1"/>
    <xf numFmtId="0" fontId="36" fillId="0" borderId="0" xfId="543" applyFont="1"/>
    <xf numFmtId="0" fontId="17" fillId="0" borderId="0" xfId="543" applyAlignment="1">
      <alignment horizontal="center"/>
    </xf>
    <xf numFmtId="0" fontId="25" fillId="0" borderId="6" xfId="543" applyFont="1" applyBorder="1" applyAlignment="1">
      <alignment vertical="top" wrapText="1"/>
    </xf>
    <xf numFmtId="0" fontId="26" fillId="0" borderId="0" xfId="0" applyFont="1" applyAlignment="1">
      <alignment horizontal="left" vertical="top"/>
    </xf>
    <xf numFmtId="0" fontId="0" fillId="2" borderId="2" xfId="0" applyFill="1" applyBorder="1"/>
    <xf numFmtId="0" fontId="0" fillId="2" borderId="7" xfId="0" applyFill="1" applyBorder="1"/>
    <xf numFmtId="0" fontId="24" fillId="0" borderId="6" xfId="0" applyFont="1" applyBorder="1" applyAlignment="1">
      <alignment horizontal="right"/>
    </xf>
    <xf numFmtId="0" fontId="23" fillId="0" borderId="0" xfId="0" applyFont="1" applyAlignment="1">
      <alignment horizontal="center" vertical="center"/>
    </xf>
    <xf numFmtId="0" fontId="24" fillId="0" borderId="0" xfId="0" applyFont="1" applyAlignment="1">
      <alignment vertical="top"/>
    </xf>
    <xf numFmtId="166" fontId="0" fillId="0" borderId="0" xfId="0" applyNumberFormat="1" applyAlignment="1">
      <alignment horizontal="right"/>
    </xf>
    <xf numFmtId="0" fontId="47" fillId="0" borderId="0" xfId="0" applyFont="1"/>
    <xf numFmtId="0" fontId="34" fillId="0" borderId="0" xfId="0" applyFont="1"/>
    <xf numFmtId="0" fontId="18" fillId="0" borderId="0" xfId="244" applyBorder="1" applyProtection="1"/>
    <xf numFmtId="0" fontId="18" fillId="0" borderId="0" xfId="244" applyFill="1" applyBorder="1" applyAlignment="1">
      <alignment horizontal="center" vertical="center"/>
    </xf>
    <xf numFmtId="0" fontId="17" fillId="0" borderId="3" xfId="543" applyBorder="1"/>
    <xf numFmtId="0" fontId="39" fillId="0" borderId="4" xfId="543" applyFont="1" applyBorder="1" applyAlignment="1">
      <alignment horizontal="right" vertical="top" wrapText="1"/>
    </xf>
    <xf numFmtId="0" fontId="26" fillId="0" borderId="6" xfId="0" applyFont="1" applyBorder="1"/>
    <xf numFmtId="0" fontId="26" fillId="0" borderId="2" xfId="0" applyFont="1" applyBorder="1"/>
    <xf numFmtId="0" fontId="26" fillId="0" borderId="7" xfId="0" applyFont="1" applyBorder="1"/>
    <xf numFmtId="0" fontId="26" fillId="0" borderId="12" xfId="0" applyFont="1" applyBorder="1"/>
    <xf numFmtId="0" fontId="26" fillId="0" borderId="9" xfId="0" applyFont="1" applyBorder="1"/>
    <xf numFmtId="0" fontId="26" fillId="0" borderId="10" xfId="0" applyFont="1" applyBorder="1"/>
    <xf numFmtId="0" fontId="31" fillId="0" borderId="6" xfId="0" applyFont="1" applyBorder="1" applyAlignment="1">
      <alignment vertical="top" wrapText="1"/>
    </xf>
    <xf numFmtId="0" fontId="31" fillId="0" borderId="5" xfId="0" applyFont="1" applyBorder="1" applyAlignment="1">
      <alignment vertical="top" wrapText="1"/>
    </xf>
    <xf numFmtId="0" fontId="31" fillId="0" borderId="4" xfId="0" applyFont="1" applyBorder="1" applyAlignment="1">
      <alignment vertical="top" wrapText="1"/>
    </xf>
    <xf numFmtId="0" fontId="31" fillId="2" borderId="6" xfId="0" applyFont="1" applyFill="1" applyBorder="1" applyAlignment="1">
      <alignment vertical="top" wrapText="1"/>
    </xf>
    <xf numFmtId="0" fontId="0" fillId="0" borderId="8" xfId="0" applyBorder="1"/>
    <xf numFmtId="0" fontId="24" fillId="0" borderId="2" xfId="0" applyFont="1" applyBorder="1"/>
    <xf numFmtId="0" fontId="26" fillId="0" borderId="0" xfId="0" applyFont="1" applyAlignment="1">
      <alignment vertical="top"/>
    </xf>
    <xf numFmtId="0" fontId="26" fillId="0" borderId="0" xfId="0" applyFont="1" applyAlignment="1">
      <alignment vertical="top" wrapText="1"/>
    </xf>
    <xf numFmtId="0" fontId="17" fillId="0" borderId="0" xfId="0" applyFont="1" applyAlignment="1">
      <alignment horizontal="left"/>
    </xf>
    <xf numFmtId="0" fontId="17" fillId="0" borderId="0" xfId="0" applyFont="1" applyAlignment="1">
      <alignment vertical="top"/>
    </xf>
    <xf numFmtId="0" fontId="46" fillId="0" borderId="0" xfId="0" applyFont="1"/>
    <xf numFmtId="0" fontId="17" fillId="0" borderId="3" xfId="0" applyFont="1" applyBorder="1"/>
    <xf numFmtId="0" fontId="17"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1" fillId="3" borderId="4" xfId="0" applyFont="1" applyFill="1" applyBorder="1" applyAlignment="1">
      <alignment vertical="top" wrapText="1"/>
    </xf>
    <xf numFmtId="0" fontId="31" fillId="3" borderId="5" xfId="0" applyFont="1" applyFill="1" applyBorder="1" applyAlignment="1">
      <alignment vertical="top" wrapText="1"/>
    </xf>
    <xf numFmtId="0" fontId="49" fillId="0" borderId="0" xfId="0" applyFont="1"/>
    <xf numFmtId="0" fontId="26" fillId="0" borderId="4" xfId="0" applyFont="1" applyBorder="1"/>
    <xf numFmtId="0" fontId="24" fillId="0" borderId="2" xfId="0" applyFont="1" applyBorder="1" applyAlignment="1">
      <alignment horizontal="center"/>
    </xf>
    <xf numFmtId="0" fontId="24" fillId="0" borderId="0" xfId="0" applyFont="1" applyAlignment="1">
      <alignment horizontal="center" vertical="center" wrapText="1"/>
    </xf>
    <xf numFmtId="0" fontId="24" fillId="0" borderId="7" xfId="543" applyFont="1" applyBorder="1" applyAlignment="1">
      <alignment horizontal="right"/>
    </xf>
    <xf numFmtId="0" fontId="25" fillId="0" borderId="9" xfId="543" applyFont="1" applyBorder="1"/>
    <xf numFmtId="0" fontId="26" fillId="0" borderId="6" xfId="543" applyFont="1" applyBorder="1"/>
    <xf numFmtId="0" fontId="25" fillId="0" borderId="6" xfId="543" applyFont="1" applyBorder="1" applyAlignment="1">
      <alignment horizontal="right"/>
    </xf>
    <xf numFmtId="0" fontId="24" fillId="0" borderId="0" xfId="0" applyFont="1" applyAlignment="1">
      <alignment horizontal="center" vertical="center"/>
    </xf>
    <xf numFmtId="0" fontId="26" fillId="0" borderId="0" xfId="0" applyFont="1" applyAlignment="1">
      <alignment horizontal="left" vertical="center"/>
    </xf>
    <xf numFmtId="0" fontId="54" fillId="0" borderId="3" xfId="0" applyFont="1" applyBorder="1" applyAlignment="1">
      <alignment horizontal="left" vertical="top"/>
    </xf>
    <xf numFmtId="0" fontId="54" fillId="0" borderId="13" xfId="0" applyFont="1" applyBorder="1" applyAlignment="1">
      <alignment horizontal="center" wrapText="1"/>
    </xf>
    <xf numFmtId="0" fontId="54" fillId="0" borderId="13" xfId="0" applyFont="1" applyBorder="1" applyAlignment="1">
      <alignment horizontal="center" vertical="top" wrapText="1"/>
    </xf>
    <xf numFmtId="0" fontId="54" fillId="2" borderId="13" xfId="0" applyFont="1" applyFill="1" applyBorder="1" applyAlignment="1">
      <alignment horizontal="center" wrapText="1"/>
    </xf>
    <xf numFmtId="0" fontId="55" fillId="2" borderId="11" xfId="0" applyFont="1" applyFill="1" applyBorder="1" applyAlignment="1">
      <alignment horizontal="left" vertical="top" wrapText="1"/>
    </xf>
    <xf numFmtId="0" fontId="56" fillId="4" borderId="11" xfId="0"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6" fillId="5" borderId="11" xfId="0" applyNumberFormat="1" applyFont="1" applyFill="1" applyBorder="1" applyAlignment="1" applyProtection="1">
      <alignment vertical="top" wrapText="1"/>
      <protection locked="0"/>
    </xf>
    <xf numFmtId="168" fontId="56" fillId="6" borderId="11" xfId="0" applyNumberFormat="1" applyFont="1" applyFill="1" applyBorder="1" applyAlignment="1">
      <alignment horizontal="center"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6" fillId="4" borderId="11" xfId="0" applyNumberFormat="1"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20" fillId="0" borderId="11" xfId="0" applyFont="1" applyBorder="1" applyAlignment="1">
      <alignment horizontal="right" vertical="top" wrapText="1"/>
    </xf>
    <xf numFmtId="0" fontId="56" fillId="0" borderId="11" xfId="0" applyFont="1" applyBorder="1" applyAlignment="1" applyProtection="1">
      <alignment horizontal="right" vertical="top" wrapText="1"/>
      <protection locked="0"/>
    </xf>
    <xf numFmtId="0" fontId="54" fillId="0" borderId="0" xfId="0" applyFont="1" applyAlignment="1">
      <alignment horizontal="left" vertical="top"/>
    </xf>
    <xf numFmtId="0" fontId="56" fillId="0" borderId="0" xfId="0" applyFont="1" applyAlignment="1">
      <alignment horizontal="left" vertical="top"/>
    </xf>
    <xf numFmtId="0" fontId="56" fillId="0" borderId="0" xfId="0" applyFont="1" applyAlignment="1">
      <alignment vertical="top" wrapText="1"/>
    </xf>
    <xf numFmtId="0" fontId="56" fillId="0" borderId="0" xfId="0" applyFont="1" applyAlignment="1">
      <alignment vertical="top"/>
    </xf>
    <xf numFmtId="0" fontId="54" fillId="0" borderId="0" xfId="0" applyFont="1" applyAlignment="1">
      <alignment horizontal="right" vertical="top"/>
    </xf>
    <xf numFmtId="0" fontId="56" fillId="2" borderId="0" xfId="0" applyFont="1" applyFill="1" applyAlignment="1">
      <alignment vertical="top" wrapText="1"/>
    </xf>
    <xf numFmtId="0" fontId="54" fillId="0" borderId="0" xfId="0" applyFont="1" applyAlignment="1">
      <alignment vertical="top"/>
    </xf>
    <xf numFmtId="166" fontId="26" fillId="0" borderId="0" xfId="0" applyNumberFormat="1" applyFont="1" applyAlignment="1">
      <alignment horizontal="left"/>
    </xf>
    <xf numFmtId="0" fontId="57" fillId="0" borderId="0" xfId="0" applyFont="1"/>
    <xf numFmtId="0" fontId="17" fillId="0" borderId="0" xfId="244" applyFont="1" applyFill="1" applyBorder="1" applyAlignment="1" applyProtection="1">
      <alignment horizontal="left"/>
    </xf>
    <xf numFmtId="0" fontId="48" fillId="0" borderId="0" xfId="0" applyFont="1"/>
    <xf numFmtId="0" fontId="48" fillId="0" borderId="0" xfId="244" applyFont="1" applyFill="1" applyBorder="1" applyAlignment="1" applyProtection="1">
      <alignment horizontal="left"/>
    </xf>
    <xf numFmtId="0" fontId="23" fillId="3" borderId="11" xfId="0" applyFont="1" applyFill="1" applyBorder="1" applyAlignment="1">
      <alignment vertical="top"/>
    </xf>
    <xf numFmtId="0" fontId="0" fillId="7" borderId="0" xfId="0" applyFill="1"/>
    <xf numFmtId="0" fontId="37" fillId="0" borderId="0" xfId="0" applyFont="1"/>
    <xf numFmtId="0" fontId="59" fillId="0" borderId="0" xfId="0" applyFont="1"/>
    <xf numFmtId="0" fontId="35" fillId="0" borderId="0" xfId="0" applyFont="1" applyAlignment="1">
      <alignment horizontal="center"/>
    </xf>
    <xf numFmtId="0" fontId="35" fillId="0" borderId="0" xfId="0" applyFont="1" applyAlignment="1">
      <alignment horizontal="left"/>
    </xf>
    <xf numFmtId="49" fontId="24" fillId="0" borderId="0" xfId="0" applyNumberFormat="1" applyFont="1" applyAlignment="1">
      <alignment horizontal="center"/>
    </xf>
    <xf numFmtId="0" fontId="51" fillId="0" borderId="0" xfId="0" applyFont="1" applyAlignment="1">
      <alignment horizontal="center"/>
    </xf>
    <xf numFmtId="168" fontId="26" fillId="0" borderId="0" xfId="0" applyNumberFormat="1" applyFont="1" applyAlignment="1">
      <alignment horizontal="center"/>
    </xf>
    <xf numFmtId="168" fontId="36" fillId="0" borderId="0" xfId="0" applyNumberFormat="1" applyFont="1" applyAlignment="1">
      <alignment horizontal="left" vertical="top" wrapText="1"/>
    </xf>
    <xf numFmtId="0" fontId="53" fillId="0" borderId="3" xfId="0" applyFont="1" applyBorder="1"/>
    <xf numFmtId="168" fontId="0" fillId="0" borderId="0" xfId="0" applyNumberFormat="1" applyAlignment="1">
      <alignment horizontal="center"/>
    </xf>
    <xf numFmtId="0" fontId="37" fillId="0" borderId="0" xfId="0" applyFont="1" applyAlignment="1">
      <alignment vertical="top" wrapText="1"/>
    </xf>
    <xf numFmtId="0" fontId="54" fillId="0" borderId="4" xfId="0" applyFont="1" applyBorder="1" applyAlignment="1">
      <alignment horizontal="right"/>
    </xf>
    <xf numFmtId="0" fontId="61" fillId="0" borderId="0" xfId="0" applyFont="1"/>
    <xf numFmtId="3" fontId="26" fillId="0" borderId="0" xfId="0" applyNumberFormat="1" applyFont="1" applyAlignment="1">
      <alignment horizontal="center"/>
    </xf>
    <xf numFmtId="168" fontId="17" fillId="0" borderId="0" xfId="0" applyNumberFormat="1" applyFont="1" applyAlignment="1">
      <alignment horizontal="left" vertical="top"/>
    </xf>
    <xf numFmtId="168" fontId="26" fillId="0" borderId="0" xfId="0" applyNumberFormat="1" applyFont="1" applyAlignment="1">
      <alignment horizontal="left" vertical="top"/>
    </xf>
    <xf numFmtId="0" fontId="56" fillId="0" borderId="11" xfId="0" applyFont="1" applyBorder="1" applyAlignment="1">
      <alignment horizontal="right" vertical="top"/>
    </xf>
    <xf numFmtId="0" fontId="56" fillId="0" borderId="0" xfId="0" applyFont="1" applyAlignment="1">
      <alignment horizontal="right" vertical="top" wrapText="1"/>
    </xf>
    <xf numFmtId="0" fontId="56" fillId="2" borderId="12" xfId="0" applyFont="1" applyFill="1" applyBorder="1" applyAlignment="1">
      <alignment vertical="top" wrapText="1"/>
    </xf>
    <xf numFmtId="0" fontId="56" fillId="0" borderId="14" xfId="0" applyFont="1" applyBorder="1" applyAlignment="1">
      <alignment vertical="top" wrapText="1"/>
    </xf>
    <xf numFmtId="168" fontId="56" fillId="5" borderId="11" xfId="0" applyNumberFormat="1" applyFont="1" applyFill="1" applyBorder="1" applyAlignment="1" applyProtection="1">
      <alignment vertical="top"/>
      <protection locked="0"/>
    </xf>
    <xf numFmtId="0" fontId="56" fillId="2" borderId="11" xfId="0" applyFont="1" applyFill="1" applyBorder="1" applyAlignment="1" applyProtection="1">
      <alignment vertical="top"/>
      <protection locked="0"/>
    </xf>
    <xf numFmtId="0" fontId="56" fillId="0" borderId="11" xfId="0" applyFont="1" applyBorder="1" applyAlignment="1" applyProtection="1">
      <alignment vertical="top"/>
      <protection locked="0"/>
    </xf>
    <xf numFmtId="168" fontId="56" fillId="0" borderId="11" xfId="0" applyNumberFormat="1" applyFont="1" applyBorder="1" applyAlignment="1">
      <alignment vertical="top"/>
    </xf>
    <xf numFmtId="168" fontId="56" fillId="6" borderId="11" xfId="0" applyNumberFormat="1" applyFont="1" applyFill="1" applyBorder="1" applyAlignment="1">
      <alignment horizontal="center" vertical="top"/>
    </xf>
    <xf numFmtId="0" fontId="24" fillId="0" borderId="0" xfId="542" applyFont="1" applyProtection="1">
      <protection locked="0"/>
    </xf>
    <xf numFmtId="0" fontId="17" fillId="0" borderId="0" xfId="539" applyProtection="1"/>
    <xf numFmtId="0" fontId="37" fillId="8" borderId="0" xfId="539" applyFont="1" applyFill="1" applyAlignment="1" applyProtection="1">
      <alignment horizontal="centerContinuous"/>
    </xf>
    <xf numFmtId="0" fontId="24" fillId="0" borderId="0" xfId="543" applyFont="1"/>
    <xf numFmtId="0" fontId="26" fillId="0" borderId="0" xfId="543" applyFont="1" applyAlignment="1">
      <alignment horizontal="left"/>
    </xf>
    <xf numFmtId="0" fontId="26" fillId="0" borderId="15" xfId="0" applyFont="1" applyBorder="1"/>
    <xf numFmtId="2" fontId="40" fillId="0" borderId="11" xfId="0" applyNumberFormat="1" applyFont="1" applyBorder="1"/>
    <xf numFmtId="0" fontId="17" fillId="0" borderId="0" xfId="0" applyFont="1" applyProtection="1">
      <protection locked="0"/>
    </xf>
    <xf numFmtId="0" fontId="64" fillId="0" borderId="0" xfId="0" applyFont="1" applyAlignment="1">
      <alignment horizontal="center"/>
    </xf>
    <xf numFmtId="0" fontId="26" fillId="0" borderId="0" xfId="271"/>
    <xf numFmtId="0" fontId="24" fillId="0" borderId="0" xfId="271" applyFont="1"/>
    <xf numFmtId="0" fontId="26" fillId="0" borderId="0" xfId="271" applyAlignment="1">
      <alignment horizontal="left"/>
    </xf>
    <xf numFmtId="168" fontId="24" fillId="0" borderId="2" xfId="543" applyNumberFormat="1" applyFont="1" applyBorder="1" applyAlignment="1">
      <alignment horizontal="center" vertical="center"/>
    </xf>
    <xf numFmtId="0" fontId="39" fillId="0" borderId="0" xfId="543" applyFont="1" applyAlignment="1">
      <alignment horizontal="right" vertical="top" wrapText="1"/>
    </xf>
    <xf numFmtId="0" fontId="37" fillId="0" borderId="2" xfId="543" applyFont="1" applyBorder="1" applyAlignment="1">
      <alignment horizontal="right" vertical="top" wrapText="1"/>
    </xf>
    <xf numFmtId="0" fontId="22" fillId="0" borderId="0" xfId="0" applyFont="1"/>
    <xf numFmtId="0" fontId="66" fillId="0" borderId="0" xfId="0" applyFont="1"/>
    <xf numFmtId="0" fontId="64" fillId="0" borderId="0" xfId="0" applyFont="1"/>
    <xf numFmtId="0" fontId="37"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4" fillId="0" borderId="0" xfId="0" applyNumberFormat="1" applyFont="1" applyAlignment="1">
      <alignment horizontal="center"/>
    </xf>
    <xf numFmtId="3" fontId="26" fillId="0" borderId="0" xfId="0" applyNumberFormat="1" applyFont="1"/>
    <xf numFmtId="0" fontId="65" fillId="0" borderId="0" xfId="0" applyFont="1"/>
    <xf numFmtId="168" fontId="22" fillId="0" borderId="0" xfId="0" applyNumberFormat="1" applyFont="1"/>
    <xf numFmtId="10" fontId="22" fillId="0" borderId="0" xfId="0" applyNumberFormat="1" applyFont="1" applyAlignment="1">
      <alignment horizontal="center"/>
    </xf>
    <xf numFmtId="3" fontId="68" fillId="0" borderId="0" xfId="0" applyNumberFormat="1" applyFont="1"/>
    <xf numFmtId="3" fontId="22" fillId="0" borderId="0" xfId="0" applyNumberFormat="1" applyFont="1"/>
    <xf numFmtId="168" fontId="65" fillId="0" borderId="0" xfId="0" applyNumberFormat="1" applyFont="1"/>
    <xf numFmtId="168" fontId="65" fillId="0" borderId="0" xfId="0" applyNumberFormat="1" applyFont="1" applyAlignment="1">
      <alignment horizontal="center"/>
    </xf>
    <xf numFmtId="0" fontId="22" fillId="5" borderId="0" xfId="0" applyFont="1" applyFill="1" applyAlignment="1">
      <alignment horizontal="left"/>
    </xf>
    <xf numFmtId="0" fontId="22" fillId="5" borderId="0" xfId="0" applyFont="1" applyFill="1"/>
    <xf numFmtId="10" fontId="22" fillId="0" borderId="0" xfId="0" applyNumberFormat="1" applyFont="1"/>
    <xf numFmtId="172" fontId="22" fillId="0" borderId="0" xfId="0" applyNumberFormat="1" applyFont="1"/>
    <xf numFmtId="172" fontId="22" fillId="0" borderId="0" xfId="0" applyNumberFormat="1" applyFont="1" applyAlignment="1">
      <alignment horizontal="center"/>
    </xf>
    <xf numFmtId="0" fontId="22" fillId="0" borderId="6" xfId="0" applyFont="1" applyBorder="1"/>
    <xf numFmtId="10" fontId="22" fillId="0" borderId="6" xfId="0" applyNumberFormat="1" applyFont="1" applyBorder="1" applyAlignment="1">
      <alignment horizontal="center"/>
    </xf>
    <xf numFmtId="3" fontId="22" fillId="0" borderId="6" xfId="0" applyNumberFormat="1" applyFont="1" applyBorder="1"/>
    <xf numFmtId="10" fontId="26" fillId="0" borderId="0" xfId="0" applyNumberFormat="1" applyFont="1" applyAlignment="1">
      <alignment horizontal="center"/>
    </xf>
    <xf numFmtId="3" fontId="26" fillId="0" borderId="0" xfId="0" applyNumberFormat="1" applyFont="1" applyAlignment="1">
      <alignment vertical="top"/>
    </xf>
    <xf numFmtId="10" fontId="24" fillId="0" borderId="0" xfId="0" applyNumberFormat="1" applyFont="1" applyAlignment="1">
      <alignment horizontal="center"/>
    </xf>
    <xf numFmtId="0" fontId="64" fillId="0" borderId="6" xfId="0" applyFont="1" applyBorder="1" applyAlignment="1">
      <alignment horizontal="center"/>
    </xf>
    <xf numFmtId="172" fontId="26" fillId="0" borderId="0" xfId="0" applyNumberFormat="1" applyFont="1" applyAlignment="1">
      <alignment horizontal="center"/>
    </xf>
    <xf numFmtId="10" fontId="69" fillId="0" borderId="0" xfId="0" applyNumberFormat="1" applyFont="1" applyAlignment="1">
      <alignment horizontal="center"/>
    </xf>
    <xf numFmtId="0" fontId="26" fillId="9" borderId="6" xfId="0" applyFont="1" applyFill="1" applyBorder="1"/>
    <xf numFmtId="0" fontId="26" fillId="0" borderId="4" xfId="271" applyBorder="1"/>
    <xf numFmtId="0" fontId="26" fillId="0" borderId="6" xfId="271" applyBorder="1"/>
    <xf numFmtId="0" fontId="26" fillId="0" borderId="1" xfId="0" applyFont="1" applyBorder="1"/>
    <xf numFmtId="168" fontId="26" fillId="0" borderId="3" xfId="0" applyNumberFormat="1" applyFont="1" applyBorder="1" applyAlignment="1">
      <alignment vertical="top"/>
    </xf>
    <xf numFmtId="168" fontId="26" fillId="0" borderId="4" xfId="0" applyNumberFormat="1" applyFont="1" applyBorder="1" applyAlignment="1">
      <alignment vertical="top"/>
    </xf>
    <xf numFmtId="168" fontId="26" fillId="0" borderId="5" xfId="0" applyNumberFormat="1" applyFont="1" applyBorder="1" applyAlignment="1">
      <alignment vertical="top"/>
    </xf>
    <xf numFmtId="168" fontId="26" fillId="0" borderId="8" xfId="0" applyNumberFormat="1" applyFont="1" applyBorder="1" applyAlignment="1">
      <alignment vertical="top"/>
    </xf>
    <xf numFmtId="168" fontId="26" fillId="0" borderId="0" xfId="0" applyNumberFormat="1" applyFont="1" applyAlignment="1">
      <alignment vertical="top"/>
    </xf>
    <xf numFmtId="0" fontId="26" fillId="0" borderId="0" xfId="0" applyFont="1" applyAlignment="1">
      <alignment horizontal="right" vertical="top"/>
    </xf>
    <xf numFmtId="0" fontId="26"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6" fillId="5" borderId="4" xfId="0" applyFont="1" applyFill="1" applyBorder="1" applyAlignment="1" applyProtection="1">
      <alignment horizontal="left" vertical="top"/>
      <protection locked="0"/>
    </xf>
    <xf numFmtId="0" fontId="26" fillId="5" borderId="5" xfId="0" applyFont="1" applyFill="1" applyBorder="1" applyAlignment="1" applyProtection="1">
      <alignment horizontal="left" vertical="top"/>
      <protection locked="0"/>
    </xf>
    <xf numFmtId="4" fontId="51" fillId="0" borderId="0" xfId="0" applyNumberFormat="1" applyFont="1" applyAlignment="1">
      <alignment horizontal="center"/>
    </xf>
    <xf numFmtId="0" fontId="36" fillId="0" borderId="1" xfId="543" applyFont="1" applyBorder="1" applyAlignment="1">
      <alignment horizontal="left" vertical="top" wrapText="1"/>
    </xf>
    <xf numFmtId="0" fontId="36" fillId="0" borderId="12" xfId="543" applyFont="1" applyBorder="1" applyAlignment="1">
      <alignment horizontal="center" vertical="top" wrapText="1"/>
    </xf>
    <xf numFmtId="0" fontId="36" fillId="0" borderId="8" xfId="543" applyFont="1" applyBorder="1" applyAlignment="1">
      <alignment horizontal="left" vertical="top" wrapText="1"/>
    </xf>
    <xf numFmtId="0" fontId="31" fillId="3" borderId="4" xfId="271" applyFont="1" applyFill="1" applyBorder="1" applyAlignment="1">
      <alignment vertical="top" wrapText="1"/>
    </xf>
    <xf numFmtId="0" fontId="23" fillId="3" borderId="11" xfId="271" applyFont="1" applyFill="1" applyBorder="1" applyAlignment="1">
      <alignment vertical="top"/>
    </xf>
    <xf numFmtId="0" fontId="24" fillId="0" borderId="9" xfId="271" applyFont="1" applyBorder="1" applyAlignment="1">
      <alignment horizontal="center" wrapText="1"/>
    </xf>
    <xf numFmtId="0" fontId="31" fillId="3" borderId="4" xfId="271" applyFont="1" applyFill="1" applyBorder="1" applyAlignment="1" applyProtection="1">
      <alignment vertical="top" wrapText="1"/>
      <protection locked="0"/>
    </xf>
    <xf numFmtId="0" fontId="31" fillId="3" borderId="5" xfId="271" applyFont="1" applyFill="1" applyBorder="1" applyAlignment="1" applyProtection="1">
      <alignment vertical="top" wrapText="1"/>
      <protection locked="0"/>
    </xf>
    <xf numFmtId="0" fontId="24" fillId="0" borderId="13" xfId="271" applyFont="1" applyBorder="1" applyAlignment="1">
      <alignment horizontal="center" wrapText="1"/>
    </xf>
    <xf numFmtId="0" fontId="49" fillId="2" borderId="11" xfId="271" applyFont="1" applyFill="1" applyBorder="1" applyAlignment="1">
      <alignment horizontal="left" vertical="top" wrapText="1"/>
    </xf>
    <xf numFmtId="0" fontId="26" fillId="0" borderId="11" xfId="271" applyBorder="1" applyAlignment="1" applyProtection="1">
      <alignment vertical="top" wrapText="1"/>
      <protection locked="0"/>
    </xf>
    <xf numFmtId="168" fontId="26" fillId="5" borderId="11" xfId="271" applyNumberFormat="1" applyFill="1" applyBorder="1" applyAlignment="1" applyProtection="1">
      <alignment vertical="top" wrapText="1"/>
      <protection locked="0"/>
    </xf>
    <xf numFmtId="0" fontId="26" fillId="5" borderId="3" xfId="271" applyFill="1" applyBorder="1" applyAlignment="1" applyProtection="1">
      <alignment vertical="top" wrapText="1"/>
      <protection locked="0"/>
    </xf>
    <xf numFmtId="0" fontId="26" fillId="5" borderId="11" xfId="271" applyFill="1" applyBorder="1" applyAlignment="1" applyProtection="1">
      <alignment vertical="top" wrapText="1"/>
      <protection locked="0"/>
    </xf>
    <xf numFmtId="0" fontId="26" fillId="0" borderId="11" xfId="271" applyBorder="1" applyAlignment="1">
      <alignment horizontal="right" vertical="top" wrapText="1"/>
    </xf>
    <xf numFmtId="168" fontId="26" fillId="0" borderId="11" xfId="271" applyNumberFormat="1" applyBorder="1" applyAlignment="1">
      <alignment vertical="top" wrapText="1"/>
    </xf>
    <xf numFmtId="0" fontId="24" fillId="0" borderId="11" xfId="271" applyFont="1" applyBorder="1" applyAlignment="1">
      <alignment horizontal="right" vertical="top" wrapText="1"/>
    </xf>
    <xf numFmtId="0" fontId="26" fillId="5" borderId="11" xfId="271" applyFill="1" applyBorder="1" applyAlignment="1" applyProtection="1">
      <alignment horizontal="right" vertical="top" wrapText="1"/>
      <protection locked="0"/>
    </xf>
    <xf numFmtId="168" fontId="24" fillId="0" borderId="11" xfId="271" applyNumberFormat="1" applyFont="1" applyBorder="1" applyAlignment="1">
      <alignment vertical="top" wrapText="1"/>
    </xf>
    <xf numFmtId="0" fontId="34" fillId="0" borderId="11" xfId="271" applyFont="1" applyBorder="1" applyAlignment="1">
      <alignment horizontal="right" vertical="top" wrapText="1"/>
    </xf>
    <xf numFmtId="0" fontId="31" fillId="0" borderId="0" xfId="271" applyFont="1" applyAlignment="1" applyProtection="1">
      <alignment vertical="top" wrapText="1"/>
      <protection locked="0"/>
    </xf>
    <xf numFmtId="0" fontId="26" fillId="0" borderId="5" xfId="271" applyBorder="1" applyAlignment="1" applyProtection="1">
      <alignment vertical="top" wrapText="1"/>
      <protection locked="0"/>
    </xf>
    <xf numFmtId="0" fontId="24" fillId="0" borderId="3" xfId="271" applyFont="1" applyBorder="1" applyAlignment="1">
      <alignment horizontal="left" vertical="top"/>
    </xf>
    <xf numFmtId="0" fontId="26" fillId="0" borderId="4" xfId="271" applyBorder="1" applyAlignment="1" applyProtection="1">
      <alignment horizontal="left" vertical="top"/>
      <protection locked="0"/>
    </xf>
    <xf numFmtId="0" fontId="26" fillId="0" borderId="4" xfId="271" applyBorder="1" applyAlignment="1" applyProtection="1">
      <alignment vertical="top" wrapText="1"/>
      <protection locked="0"/>
    </xf>
    <xf numFmtId="0" fontId="31" fillId="0" borderId="0" xfId="271" applyFont="1" applyAlignment="1">
      <alignment vertical="top" wrapText="1"/>
    </xf>
    <xf numFmtId="0" fontId="26" fillId="0" borderId="4" xfId="271" applyBorder="1" applyAlignment="1">
      <alignment vertical="top" wrapText="1"/>
    </xf>
    <xf numFmtId="0" fontId="49" fillId="2" borderId="11" xfId="271" applyFont="1" applyFill="1" applyBorder="1" applyAlignment="1" applyProtection="1">
      <alignment horizontal="left" vertical="top" wrapText="1"/>
      <protection locked="0"/>
    </xf>
    <xf numFmtId="0" fontId="53" fillId="0" borderId="11" xfId="0" applyFont="1" applyBorder="1" applyAlignment="1">
      <alignment horizontal="right" vertical="top" wrapText="1"/>
    </xf>
    <xf numFmtId="0" fontId="26" fillId="8" borderId="0" xfId="542" quotePrefix="1" applyFont="1" applyFill="1" applyAlignment="1">
      <alignment horizontal="left"/>
    </xf>
    <xf numFmtId="0" fontId="26" fillId="8" borderId="0" xfId="542" applyFont="1" applyFill="1"/>
    <xf numFmtId="0" fontId="34" fillId="8" borderId="0" xfId="542" applyFont="1" applyFill="1"/>
    <xf numFmtId="0" fontId="53" fillId="0" borderId="11" xfId="271" applyFont="1" applyBorder="1" applyAlignment="1">
      <alignment horizontal="right" vertical="top"/>
    </xf>
    <xf numFmtId="0" fontId="53" fillId="0" borderId="11" xfId="271" applyFont="1" applyBorder="1" applyAlignment="1">
      <alignment horizontal="right" vertical="top" wrapText="1"/>
    </xf>
    <xf numFmtId="0" fontId="26" fillId="0" borderId="0" xfId="271" applyAlignment="1">
      <alignment horizontal="left" vertical="top"/>
    </xf>
    <xf numFmtId="0" fontId="24" fillId="0" borderId="0" xfId="271" applyFont="1" applyAlignment="1">
      <alignment horizontal="right"/>
    </xf>
    <xf numFmtId="0" fontId="25" fillId="0" borderId="0" xfId="271" applyFont="1" applyAlignment="1">
      <alignment horizontal="center"/>
    </xf>
    <xf numFmtId="5" fontId="26" fillId="0" borderId="0" xfId="542" applyNumberFormat="1" applyFont="1"/>
    <xf numFmtId="1" fontId="26" fillId="0" borderId="15" xfId="271" applyNumberFormat="1" applyBorder="1"/>
    <xf numFmtId="1" fontId="26" fillId="0" borderId="14" xfId="271" applyNumberFormat="1" applyBorder="1"/>
    <xf numFmtId="0" fontId="25" fillId="0" borderId="6" xfId="271" applyFont="1" applyBorder="1" applyAlignment="1">
      <alignment horizontal="left"/>
    </xf>
    <xf numFmtId="0" fontId="25" fillId="0" borderId="6" xfId="271" applyFont="1" applyBorder="1" applyAlignment="1">
      <alignment horizontal="right"/>
    </xf>
    <xf numFmtId="165" fontId="26" fillId="0" borderId="0" xfId="271" applyNumberFormat="1"/>
    <xf numFmtId="170" fontId="26" fillId="0" borderId="14" xfId="271" applyNumberFormat="1" applyBorder="1"/>
    <xf numFmtId="1" fontId="24" fillId="0" borderId="11" xfId="271" applyNumberFormat="1" applyFont="1" applyBorder="1"/>
    <xf numFmtId="165" fontId="24" fillId="0" borderId="11" xfId="271" applyNumberFormat="1" applyFont="1" applyBorder="1"/>
    <xf numFmtId="3" fontId="56" fillId="0" borderId="11" xfId="0" applyNumberFormat="1" applyFont="1" applyBorder="1" applyAlignment="1">
      <alignment vertical="top" wrapText="1"/>
    </xf>
    <xf numFmtId="166" fontId="26" fillId="0" borderId="0" xfId="0" applyNumberFormat="1" applyFont="1"/>
    <xf numFmtId="0" fontId="0" fillId="0" borderId="0" xfId="0" applyProtection="1">
      <protection locked="0"/>
    </xf>
    <xf numFmtId="0" fontId="22" fillId="0" borderId="0" xfId="0" applyFont="1" applyProtection="1">
      <protection locked="0"/>
    </xf>
    <xf numFmtId="0" fontId="22" fillId="0" borderId="0" xfId="271" applyFont="1" applyProtection="1">
      <protection locked="0"/>
    </xf>
    <xf numFmtId="168" fontId="22" fillId="0" borderId="0" xfId="271" applyNumberFormat="1" applyFont="1" applyProtection="1">
      <protection locked="0"/>
    </xf>
    <xf numFmtId="0" fontId="30" fillId="0" borderId="1" xfId="0" applyFont="1" applyBorder="1"/>
    <xf numFmtId="0" fontId="17" fillId="0" borderId="2" xfId="0" applyFont="1" applyBorder="1" applyAlignment="1">
      <alignment horizontal="left"/>
    </xf>
    <xf numFmtId="0" fontId="17" fillId="0" borderId="2" xfId="0" applyFont="1" applyBorder="1"/>
    <xf numFmtId="0" fontId="30" fillId="0" borderId="8" xfId="0" applyFont="1" applyBorder="1"/>
    <xf numFmtId="0" fontId="30" fillId="0" borderId="9" xfId="0" applyFont="1" applyBorder="1"/>
    <xf numFmtId="0" fontId="24" fillId="0" borderId="0" xfId="0" applyFont="1" applyAlignment="1">
      <alignment horizontal="left" vertical="top"/>
    </xf>
    <xf numFmtId="0" fontId="74" fillId="0" borderId="0" xfId="0" applyFont="1" applyAlignment="1">
      <alignment vertical="center" wrapText="1"/>
    </xf>
    <xf numFmtId="0" fontId="74" fillId="0" borderId="0" xfId="0" applyFont="1" applyAlignment="1">
      <alignment vertical="center"/>
    </xf>
    <xf numFmtId="0" fontId="74" fillId="0" borderId="0" xfId="0" applyFont="1" applyAlignment="1">
      <alignment horizontal="left" vertical="center" indent="1"/>
    </xf>
    <xf numFmtId="172" fontId="26" fillId="5" borderId="0" xfId="0" applyNumberFormat="1" applyFont="1" applyFill="1" applyAlignment="1">
      <alignment horizontal="center"/>
    </xf>
    <xf numFmtId="0" fontId="75" fillId="0" borderId="0" xfId="0" applyFont="1" applyAlignment="1">
      <alignment horizontal="left" vertical="center"/>
    </xf>
    <xf numFmtId="0" fontId="36" fillId="0" borderId="2" xfId="543" applyFont="1" applyBorder="1" applyAlignment="1">
      <alignment horizontal="center" vertical="top" wrapText="1"/>
    </xf>
    <xf numFmtId="49" fontId="47" fillId="0" borderId="0" xfId="0" applyNumberFormat="1" applyFont="1" applyAlignment="1">
      <alignment horizontal="center"/>
    </xf>
    <xf numFmtId="0" fontId="53" fillId="0" borderId="0" xfId="0" applyFont="1"/>
    <xf numFmtId="5" fontId="79" fillId="0" borderId="11" xfId="541" applyNumberFormat="1" applyFont="1" applyBorder="1" applyAlignment="1" applyProtection="1">
      <alignment horizontal="center"/>
    </xf>
    <xf numFmtId="5" fontId="79" fillId="42" borderId="11" xfId="541" applyNumberFormat="1" applyFont="1" applyFill="1" applyBorder="1" applyAlignment="1" applyProtection="1">
      <alignment horizontal="center"/>
    </xf>
    <xf numFmtId="5" fontId="79" fillId="2" borderId="11" xfId="541" applyNumberFormat="1" applyFont="1" applyFill="1" applyBorder="1" applyAlignment="1" applyProtection="1">
      <alignment horizontal="center"/>
    </xf>
    <xf numFmtId="0" fontId="53" fillId="0" borderId="0" xfId="0" applyFont="1" applyAlignment="1">
      <alignment vertical="top" wrapText="1"/>
    </xf>
    <xf numFmtId="0" fontId="53" fillId="0" borderId="0" xfId="0" applyFont="1" applyAlignment="1">
      <alignment vertical="top"/>
    </xf>
    <xf numFmtId="0" fontId="53" fillId="2" borderId="0" xfId="0" applyFont="1" applyFill="1" applyAlignment="1">
      <alignment vertical="top" wrapText="1"/>
    </xf>
    <xf numFmtId="0" fontId="81" fillId="0" borderId="13" xfId="0" applyFont="1" applyBorder="1" applyAlignment="1">
      <alignment vertical="top" wrapText="1"/>
    </xf>
    <xf numFmtId="0" fontId="31" fillId="0" borderId="0" xfId="0" applyFont="1" applyAlignment="1">
      <alignment vertical="top" wrapText="1"/>
    </xf>
    <xf numFmtId="0" fontId="81" fillId="2" borderId="13" xfId="0" applyFont="1" applyFill="1" applyBorder="1" applyAlignment="1">
      <alignment vertical="top" wrapText="1"/>
    </xf>
    <xf numFmtId="0" fontId="81" fillId="0" borderId="0" xfId="0" applyFont="1" applyAlignment="1">
      <alignment vertical="top" wrapText="1"/>
    </xf>
    <xf numFmtId="0" fontId="81" fillId="2" borderId="0" xfId="0" applyFont="1" applyFill="1" applyAlignment="1">
      <alignment vertical="top" wrapText="1"/>
    </xf>
    <xf numFmtId="0" fontId="53" fillId="0" borderId="0" xfId="0" applyFont="1" applyAlignment="1">
      <alignment horizontal="right" vertical="top" wrapText="1"/>
    </xf>
    <xf numFmtId="168" fontId="53" fillId="5" borderId="6" xfId="0" applyNumberFormat="1" applyFont="1" applyFill="1" applyBorder="1" applyAlignment="1" applyProtection="1">
      <alignment horizontal="right" vertical="top" wrapText="1"/>
      <protection locked="0"/>
    </xf>
    <xf numFmtId="168" fontId="53" fillId="0" borderId="6" xfId="0" applyNumberFormat="1" applyFont="1" applyBorder="1" applyAlignment="1">
      <alignment horizontal="right" vertical="top" wrapText="1"/>
    </xf>
    <xf numFmtId="0" fontId="24" fillId="0" borderId="0" xfId="0" applyFont="1" applyAlignment="1">
      <alignment horizontal="left" vertical="top" wrapText="1"/>
    </xf>
    <xf numFmtId="0" fontId="26" fillId="0" borderId="0" xfId="0" applyFont="1" applyAlignment="1">
      <alignment horizontal="right" vertical="top" wrapText="1"/>
    </xf>
    <xf numFmtId="10" fontId="26" fillId="5" borderId="6" xfId="0" applyNumberFormat="1" applyFont="1" applyFill="1" applyBorder="1" applyAlignment="1" applyProtection="1">
      <alignment horizontal="center" vertical="top" wrapText="1"/>
      <protection locked="0"/>
    </xf>
    <xf numFmtId="0" fontId="64" fillId="0" borderId="0" xfId="0" applyFont="1" applyAlignment="1">
      <alignment horizontal="left" vertical="center"/>
    </xf>
    <xf numFmtId="0" fontId="24" fillId="0" borderId="2" xfId="543" applyFont="1" applyBorder="1" applyAlignment="1">
      <alignment horizontal="center"/>
    </xf>
    <xf numFmtId="0" fontId="0" fillId="0" borderId="0" xfId="543" applyFont="1"/>
    <xf numFmtId="0" fontId="18" fillId="0" borderId="0" xfId="244" quotePrefix="1" applyAlignment="1" applyProtection="1">
      <alignment horizontal="left"/>
    </xf>
    <xf numFmtId="168" fontId="53"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105" fillId="0" borderId="0" xfId="0" applyFont="1" applyAlignment="1">
      <alignment horizontal="left" vertical="top"/>
    </xf>
    <xf numFmtId="0" fontId="106" fillId="0" borderId="0" xfId="0" applyFont="1" applyAlignment="1">
      <alignment horizontal="left" vertical="top"/>
    </xf>
    <xf numFmtId="0" fontId="74" fillId="0" borderId="0" xfId="0" applyFont="1"/>
    <xf numFmtId="0" fontId="24" fillId="8" borderId="11" xfId="542" applyFont="1" applyFill="1" applyBorder="1" applyAlignment="1">
      <alignment horizontal="left"/>
    </xf>
    <xf numFmtId="0" fontId="24" fillId="8" borderId="11" xfId="542" applyFont="1" applyFill="1" applyBorder="1" applyAlignment="1">
      <alignment horizontal="center"/>
    </xf>
    <xf numFmtId="0" fontId="63" fillId="8" borderId="11" xfId="542" applyFont="1" applyFill="1" applyBorder="1" applyAlignment="1">
      <alignment horizontal="left"/>
    </xf>
    <xf numFmtId="0" fontId="63" fillId="0" borderId="11" xfId="542" applyFont="1" applyBorder="1" applyAlignment="1">
      <alignment horizontal="left"/>
    </xf>
    <xf numFmtId="0" fontId="24" fillId="0" borderId="0" xfId="271" applyFont="1" applyAlignment="1" applyProtection="1">
      <alignment horizontal="center" wrapText="1"/>
      <protection locked="0"/>
    </xf>
    <xf numFmtId="0" fontId="26" fillId="0" borderId="0" xfId="271" applyAlignment="1" applyProtection="1">
      <alignment vertical="top" wrapText="1"/>
      <protection locked="0"/>
    </xf>
    <xf numFmtId="0" fontId="24" fillId="0" borderId="0" xfId="271" applyFont="1" applyAlignment="1" applyProtection="1">
      <alignment vertical="top" wrapText="1"/>
      <protection locked="0"/>
    </xf>
    <xf numFmtId="0" fontId="17" fillId="0" borderId="0" xfId="0" applyFont="1" applyAlignment="1">
      <alignment horizontal="center"/>
    </xf>
    <xf numFmtId="0" fontId="31" fillId="0" borderId="8" xfId="569" applyFont="1" applyBorder="1" applyAlignment="1">
      <alignment vertical="top" wrapText="1"/>
    </xf>
    <xf numFmtId="0" fontId="31" fillId="0" borderId="0" xfId="569" applyFont="1" applyAlignment="1">
      <alignment vertical="top" wrapText="1"/>
    </xf>
    <xf numFmtId="0" fontId="55" fillId="2" borderId="11" xfId="569" applyFont="1" applyFill="1" applyBorder="1" applyAlignment="1">
      <alignment horizontal="left" vertical="top" wrapText="1"/>
    </xf>
    <xf numFmtId="6" fontId="53" fillId="4" borderId="11" xfId="569" applyNumberFormat="1" applyFont="1" applyFill="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6" fontId="53" fillId="0" borderId="11" xfId="569" applyNumberFormat="1" applyFont="1" applyBorder="1" applyAlignment="1">
      <alignment vertical="top" wrapText="1"/>
    </xf>
    <xf numFmtId="6" fontId="53" fillId="5" borderId="11" xfId="569" applyNumberFormat="1" applyFont="1" applyFill="1" applyBorder="1" applyAlignment="1" applyProtection="1">
      <alignment vertical="top" wrapText="1"/>
      <protection locked="0"/>
    </xf>
    <xf numFmtId="6" fontId="53" fillId="6" borderId="11" xfId="569" applyNumberFormat="1" applyFont="1" applyFill="1" applyBorder="1" applyAlignment="1">
      <alignment horizontal="center" vertical="top" wrapText="1"/>
    </xf>
    <xf numFmtId="0" fontId="53" fillId="0" borderId="11" xfId="569" applyFont="1" applyBorder="1" applyAlignment="1">
      <alignment horizontal="right" vertical="top" wrapText="1"/>
    </xf>
    <xf numFmtId="0" fontId="54" fillId="0" borderId="11" xfId="569" applyFont="1" applyBorder="1" applyAlignment="1">
      <alignment horizontal="right" vertical="top" wrapText="1"/>
    </xf>
    <xf numFmtId="0" fontId="53" fillId="0" borderId="11" xfId="569" applyFont="1" applyBorder="1" applyAlignment="1">
      <alignment horizontal="right" vertical="top"/>
    </xf>
    <xf numFmtId="6" fontId="54" fillId="0" borderId="11" xfId="569" applyNumberFormat="1" applyFont="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0" fontId="20" fillId="0" borderId="11" xfId="569" applyFont="1" applyBorder="1" applyAlignment="1">
      <alignment horizontal="right" vertical="top" wrapText="1"/>
    </xf>
    <xf numFmtId="0" fontId="54" fillId="0" borderId="0" xfId="569" applyFont="1" applyAlignment="1">
      <alignment horizontal="left" vertical="top"/>
    </xf>
    <xf numFmtId="6" fontId="53" fillId="0" borderId="0" xfId="569" applyNumberFormat="1" applyFont="1" applyAlignment="1">
      <alignment horizontal="left" vertical="top"/>
    </xf>
    <xf numFmtId="0" fontId="106" fillId="0" borderId="0" xfId="569" applyFont="1" applyAlignment="1">
      <alignment horizontal="left" vertical="top"/>
    </xf>
    <xf numFmtId="6" fontId="53" fillId="0" borderId="0" xfId="569" applyNumberFormat="1" applyFont="1" applyAlignment="1">
      <alignment vertical="top" wrapText="1"/>
    </xf>
    <xf numFmtId="0" fontId="53" fillId="0" borderId="0" xfId="569" applyFont="1" applyAlignment="1">
      <alignment horizontal="left" vertical="top"/>
    </xf>
    <xf numFmtId="0" fontId="53" fillId="0" borderId="12" xfId="569" applyFont="1" applyBorder="1" applyAlignment="1">
      <alignment vertical="top" wrapText="1"/>
    </xf>
    <xf numFmtId="0" fontId="24" fillId="0" borderId="0" xfId="569" applyFont="1" applyAlignment="1">
      <alignment horizontal="left" vertical="top"/>
    </xf>
    <xf numFmtId="0" fontId="109" fillId="0" borderId="0" xfId="569" applyFont="1" applyAlignment="1">
      <alignment horizontal="left" vertical="top"/>
    </xf>
    <xf numFmtId="0" fontId="64" fillId="0" borderId="0" xfId="569" applyFont="1" applyAlignment="1">
      <alignment horizontal="left" vertical="center"/>
    </xf>
    <xf numFmtId="0" fontId="32" fillId="0" borderId="0" xfId="569" applyFont="1" applyAlignment="1">
      <alignment vertical="top" wrapText="1"/>
    </xf>
    <xf numFmtId="0" fontId="32" fillId="0" borderId="12" xfId="569" applyFont="1" applyBorder="1" applyAlignment="1">
      <alignment vertical="top" wrapText="1"/>
    </xf>
    <xf numFmtId="0" fontId="32" fillId="0" borderId="8" xfId="569" applyFont="1" applyBorder="1" applyAlignment="1">
      <alignment vertical="top" wrapText="1"/>
    </xf>
    <xf numFmtId="0" fontId="53" fillId="0" borderId="0" xfId="569" applyFont="1" applyAlignment="1">
      <alignment vertical="top"/>
    </xf>
    <xf numFmtId="168" fontId="53" fillId="0" borderId="0" xfId="569" applyNumberFormat="1" applyFont="1" applyAlignment="1" applyProtection="1">
      <alignment horizontal="right" vertical="top" wrapText="1"/>
      <protection locked="0"/>
    </xf>
    <xf numFmtId="0" fontId="17" fillId="0" borderId="0" xfId="569" applyAlignment="1">
      <alignment vertical="top" wrapText="1"/>
    </xf>
    <xf numFmtId="0" fontId="17" fillId="0" borderId="0" xfId="569" applyAlignment="1">
      <alignment vertical="top"/>
    </xf>
    <xf numFmtId="0" fontId="53" fillId="0" borderId="0" xfId="569" applyFont="1" applyAlignment="1">
      <alignment horizontal="right" vertical="top" wrapText="1"/>
    </xf>
    <xf numFmtId="0" fontId="24" fillId="0" borderId="0" xfId="569" applyFont="1" applyAlignment="1">
      <alignment horizontal="left" vertical="top" wrapText="1"/>
    </xf>
    <xf numFmtId="168" fontId="53" fillId="0" borderId="0" xfId="569" applyNumberFormat="1" applyFont="1" applyAlignment="1">
      <alignment horizontal="right" vertical="top" wrapText="1"/>
    </xf>
    <xf numFmtId="0" fontId="17" fillId="0" borderId="0" xfId="569" applyAlignment="1" applyProtection="1">
      <alignment horizontal="left" vertical="top" wrapText="1"/>
      <protection locked="0"/>
    </xf>
    <xf numFmtId="0" fontId="17" fillId="0" borderId="0" xfId="569" applyAlignment="1">
      <alignment horizontal="right" vertical="top" wrapText="1"/>
    </xf>
    <xf numFmtId="0" fontId="17" fillId="0" borderId="0" xfId="569" applyAlignment="1">
      <alignment horizontal="left" vertical="top"/>
    </xf>
    <xf numFmtId="0" fontId="81" fillId="0" borderId="0" xfId="569" applyFont="1" applyAlignment="1">
      <alignment vertical="top" wrapText="1"/>
    </xf>
    <xf numFmtId="0" fontId="81" fillId="0" borderId="12" xfId="569" applyFont="1" applyBorder="1" applyAlignment="1">
      <alignment vertical="top" wrapText="1"/>
    </xf>
    <xf numFmtId="0" fontId="81" fillId="0" borderId="8" xfId="569" applyFont="1" applyBorder="1" applyAlignment="1">
      <alignment vertical="top" wrapText="1"/>
    </xf>
    <xf numFmtId="0" fontId="31" fillId="0" borderId="0" xfId="569" applyFont="1" applyAlignment="1">
      <alignment horizontal="right" vertical="top" wrapText="1"/>
    </xf>
    <xf numFmtId="0" fontId="81" fillId="0" borderId="0" xfId="569" applyFont="1" applyAlignment="1">
      <alignment horizontal="right" vertical="top" wrapText="1"/>
    </xf>
    <xf numFmtId="0" fontId="54" fillId="0" borderId="3" xfId="569" applyFont="1" applyBorder="1" applyAlignment="1">
      <alignment horizontal="left"/>
    </xf>
    <xf numFmtId="0" fontId="54" fillId="0" borderId="13" xfId="569" applyFont="1" applyBorder="1" applyAlignment="1">
      <alignment horizontal="center" wrapText="1"/>
    </xf>
    <xf numFmtId="0" fontId="54" fillId="0" borderId="8" xfId="569" applyFont="1" applyBorder="1" applyAlignment="1">
      <alignment horizontal="center" wrapText="1"/>
    </xf>
    <xf numFmtId="0" fontId="54" fillId="0" borderId="0" xfId="569" applyFont="1" applyAlignment="1">
      <alignment horizontal="center" wrapText="1"/>
    </xf>
    <xf numFmtId="0" fontId="17" fillId="0" borderId="0" xfId="569"/>
    <xf numFmtId="0" fontId="23" fillId="0" borderId="0" xfId="569" applyFont="1" applyAlignment="1">
      <alignment horizontal="center" vertical="center"/>
    </xf>
    <xf numFmtId="0" fontId="24" fillId="0" borderId="0" xfId="569" applyFont="1"/>
    <xf numFmtId="0" fontId="17" fillId="0" borderId="1" xfId="569" applyBorder="1"/>
    <xf numFmtId="0" fontId="17" fillId="0" borderId="2" xfId="569" applyBorder="1"/>
    <xf numFmtId="0" fontId="17" fillId="0" borderId="8" xfId="569" applyBorder="1"/>
    <xf numFmtId="0" fontId="17" fillId="0" borderId="9" xfId="569" applyBorder="1"/>
    <xf numFmtId="0" fontId="17" fillId="0" borderId="6" xfId="569" applyBorder="1"/>
    <xf numFmtId="0" fontId="25" fillId="0" borderId="0" xfId="569" applyFont="1"/>
    <xf numFmtId="0" fontId="17" fillId="0" borderId="7" xfId="569" applyBorder="1"/>
    <xf numFmtId="0" fontId="17" fillId="0" borderId="12" xfId="569" applyBorder="1"/>
    <xf numFmtId="0" fontId="17" fillId="0" borderId="10" xfId="569" applyBorder="1"/>
    <xf numFmtId="0" fontId="25" fillId="0" borderId="0" xfId="569" applyFont="1" applyAlignment="1">
      <alignment vertical="top" wrapText="1"/>
    </xf>
    <xf numFmtId="0" fontId="17" fillId="0" borderId="0" xfId="569" applyAlignment="1">
      <alignment horizontal="right"/>
    </xf>
    <xf numFmtId="0" fontId="17" fillId="0" borderId="0" xfId="569" applyAlignment="1">
      <alignment wrapText="1"/>
    </xf>
    <xf numFmtId="0" fontId="17" fillId="0" borderId="0" xfId="569" applyAlignment="1">
      <alignment vertical="center"/>
    </xf>
    <xf numFmtId="0" fontId="41" fillId="0" borderId="0" xfId="569" applyFont="1" applyAlignment="1">
      <alignment vertical="center" wrapText="1"/>
    </xf>
    <xf numFmtId="0" fontId="35" fillId="0" borderId="0" xfId="569" applyFont="1" applyAlignment="1">
      <alignment vertical="top" wrapText="1"/>
    </xf>
    <xf numFmtId="0" fontId="24" fillId="0" borderId="0" xfId="569" applyFont="1" applyAlignment="1">
      <alignment vertical="top" wrapText="1"/>
    </xf>
    <xf numFmtId="0" fontId="25" fillId="0" borderId="0" xfId="569" applyFont="1" applyAlignment="1">
      <alignment horizontal="left" vertical="top" wrapText="1"/>
    </xf>
    <xf numFmtId="164" fontId="17" fillId="0" borderId="0" xfId="569" applyNumberFormat="1" applyAlignment="1">
      <alignment horizontal="right"/>
    </xf>
    <xf numFmtId="168" fontId="17" fillId="0" borderId="0" xfId="569" applyNumberFormat="1" applyAlignment="1">
      <alignment horizontal="right"/>
    </xf>
    <xf numFmtId="0" fontId="107" fillId="0" borderId="0" xfId="569" applyFont="1" applyAlignment="1">
      <alignment horizontal="left" vertical="top" wrapText="1"/>
    </xf>
    <xf numFmtId="168" fontId="17" fillId="0" borderId="0" xfId="569" applyNumberFormat="1" applyAlignment="1">
      <alignment wrapText="1"/>
    </xf>
    <xf numFmtId="0" fontId="22" fillId="0" borderId="11" xfId="253" applyFont="1" applyBorder="1" applyAlignment="1">
      <alignment horizontal="center" wrapText="1"/>
    </xf>
    <xf numFmtId="0" fontId="22" fillId="0" borderId="0" xfId="253" applyFont="1" applyAlignment="1">
      <alignment horizontal="center" wrapText="1"/>
    </xf>
    <xf numFmtId="3" fontId="22" fillId="0" borderId="11" xfId="271" applyNumberFormat="1" applyFont="1" applyBorder="1"/>
    <xf numFmtId="3" fontId="22" fillId="0" borderId="0" xfId="271" applyNumberFormat="1" applyFont="1"/>
    <xf numFmtId="0" fontId="65" fillId="0" borderId="0" xfId="271" applyFont="1" applyAlignment="1">
      <alignment horizontal="left"/>
    </xf>
    <xf numFmtId="0" fontId="65" fillId="0" borderId="0" xfId="271" applyFont="1" applyAlignment="1">
      <alignment horizontal="right"/>
    </xf>
    <xf numFmtId="168" fontId="22" fillId="0" borderId="11" xfId="271" applyNumberFormat="1" applyFont="1" applyBorder="1"/>
    <xf numFmtId="168" fontId="22" fillId="0" borderId="0" xfId="271" applyNumberFormat="1" applyFont="1"/>
    <xf numFmtId="0" fontId="53" fillId="0" borderId="0" xfId="569" applyFont="1" applyAlignment="1">
      <alignment horizontal="left"/>
    </xf>
    <xf numFmtId="0" fontId="17" fillId="0" borderId="3" xfId="569" applyBorder="1"/>
    <xf numFmtId="0" fontId="108" fillId="0" borderId="0" xfId="1834"/>
    <xf numFmtId="0" fontId="0" fillId="0" borderId="0" xfId="0" applyAlignment="1">
      <alignment horizontal="left" vertical="top"/>
    </xf>
    <xf numFmtId="0" fontId="107" fillId="0" borderId="0" xfId="0" applyFont="1" applyAlignment="1">
      <alignment vertical="top" wrapText="1"/>
    </xf>
    <xf numFmtId="0" fontId="53" fillId="0" borderId="0" xfId="271" applyFont="1" applyAlignment="1">
      <alignment vertical="top" wrapText="1"/>
    </xf>
    <xf numFmtId="4" fontId="17" fillId="0" borderId="0" xfId="1192" applyNumberFormat="1" applyAlignment="1">
      <alignment horizontal="left" vertical="top" wrapText="1"/>
    </xf>
    <xf numFmtId="0" fontId="17" fillId="0" borderId="0" xfId="0" applyFont="1" applyAlignment="1">
      <alignment horizontal="left" vertical="top" wrapText="1"/>
    </xf>
    <xf numFmtId="0" fontId="24" fillId="0" borderId="12" xfId="543" applyFont="1" applyBorder="1" applyAlignment="1">
      <alignment horizontal="right"/>
    </xf>
    <xf numFmtId="0" fontId="36" fillId="0" borderId="0" xfId="543" applyFont="1" applyAlignment="1">
      <alignment horizontal="center"/>
    </xf>
    <xf numFmtId="4" fontId="17" fillId="0" borderId="0" xfId="569" applyNumberFormat="1" applyAlignment="1">
      <alignment horizontal="left"/>
    </xf>
    <xf numFmtId="0" fontId="17" fillId="0" borderId="0" xfId="569" applyAlignment="1">
      <alignment horizontal="left" vertical="top" wrapText="1"/>
    </xf>
    <xf numFmtId="0" fontId="17" fillId="0" borderId="0" xfId="569" applyAlignment="1">
      <alignment horizontal="left"/>
    </xf>
    <xf numFmtId="0" fontId="17" fillId="0" borderId="0" xfId="1192" applyAlignment="1">
      <alignment horizontal="left"/>
    </xf>
    <xf numFmtId="0" fontId="24" fillId="0" borderId="0" xfId="569" applyFont="1" applyAlignment="1">
      <alignment horizontal="left"/>
    </xf>
    <xf numFmtId="0" fontId="46" fillId="0" borderId="0" xfId="1192" applyFont="1"/>
    <xf numFmtId="0" fontId="53" fillId="0" borderId="11" xfId="0" applyFont="1" applyBorder="1" applyAlignment="1">
      <alignment horizontal="right" vertical="center"/>
    </xf>
    <xf numFmtId="0" fontId="17" fillId="0" borderId="0" xfId="1192" applyAlignment="1">
      <alignment horizontal="left" vertical="top" wrapText="1"/>
    </xf>
    <xf numFmtId="0" fontId="46" fillId="0" borderId="0" xfId="0" applyFont="1" applyAlignment="1">
      <alignment vertical="top" wrapText="1"/>
    </xf>
    <xf numFmtId="0" fontId="46" fillId="0" borderId="0" xfId="0" applyFont="1" applyAlignment="1">
      <alignment horizontal="left" vertical="top" wrapText="1"/>
    </xf>
    <xf numFmtId="6" fontId="54" fillId="0" borderId="0" xfId="569" applyNumberFormat="1" applyFont="1" applyAlignment="1">
      <alignment horizontal="right" vertical="top"/>
    </xf>
    <xf numFmtId="0" fontId="17" fillId="0" borderId="0" xfId="0" applyFont="1" applyAlignment="1">
      <alignment vertical="top" wrapText="1"/>
    </xf>
    <xf numFmtId="168" fontId="26" fillId="0" borderId="0" xfId="0" applyNumberFormat="1" applyFont="1" applyAlignment="1">
      <alignment horizontal="right"/>
    </xf>
    <xf numFmtId="168" fontId="26" fillId="0" borderId="28" xfId="540" applyNumberFormat="1" applyBorder="1" applyAlignment="1" applyProtection="1">
      <alignment horizontal="center"/>
    </xf>
    <xf numFmtId="168" fontId="26" fillId="0" borderId="29" xfId="540" applyNumberFormat="1" applyBorder="1" applyAlignment="1" applyProtection="1">
      <alignment horizontal="center"/>
    </xf>
    <xf numFmtId="168" fontId="26" fillId="0" borderId="30" xfId="540" applyNumberFormat="1" applyBorder="1" applyAlignment="1" applyProtection="1">
      <alignment horizontal="center"/>
    </xf>
    <xf numFmtId="168" fontId="26" fillId="0" borderId="31" xfId="540" applyNumberFormat="1" applyBorder="1" applyAlignment="1" applyProtection="1">
      <alignment horizontal="center"/>
    </xf>
    <xf numFmtId="168" fontId="26" fillId="0" borderId="32" xfId="540" applyNumberFormat="1" applyBorder="1" applyAlignment="1" applyProtection="1">
      <alignment horizontal="center"/>
    </xf>
    <xf numFmtId="168" fontId="26" fillId="0" borderId="33" xfId="540" applyNumberFormat="1" applyBorder="1" applyAlignment="1" applyProtection="1">
      <alignment horizontal="center"/>
    </xf>
    <xf numFmtId="168" fontId="26" fillId="0" borderId="34" xfId="540" applyNumberFormat="1" applyBorder="1" applyAlignment="1" applyProtection="1">
      <alignment horizontal="center"/>
    </xf>
    <xf numFmtId="168" fontId="26" fillId="0" borderId="35" xfId="540" applyNumberFormat="1" applyBorder="1" applyAlignment="1" applyProtection="1">
      <alignment horizontal="center"/>
    </xf>
    <xf numFmtId="168" fontId="26" fillId="0" borderId="36" xfId="540" applyNumberFormat="1" applyBorder="1" applyAlignment="1" applyProtection="1">
      <alignment horizontal="center"/>
    </xf>
    <xf numFmtId="168" fontId="26" fillId="0" borderId="37" xfId="540" applyNumberFormat="1" applyBorder="1" applyAlignment="1" applyProtection="1">
      <alignment horizontal="center"/>
    </xf>
    <xf numFmtId="168" fontId="26" fillId="0" borderId="38" xfId="540" applyNumberFormat="1" applyBorder="1" applyAlignment="1" applyProtection="1">
      <alignment horizontal="center"/>
    </xf>
    <xf numFmtId="168" fontId="26" fillId="0" borderId="39" xfId="540" applyNumberFormat="1" applyBorder="1" applyAlignment="1" applyProtection="1">
      <alignment horizontal="center"/>
    </xf>
    <xf numFmtId="168" fontId="26" fillId="0" borderId="40" xfId="540" applyNumberFormat="1" applyBorder="1" applyAlignment="1" applyProtection="1">
      <alignment horizontal="center"/>
    </xf>
    <xf numFmtId="168" fontId="26" fillId="0" borderId="0" xfId="540" applyNumberFormat="1" applyAlignment="1" applyProtection="1">
      <alignment horizontal="center"/>
    </xf>
    <xf numFmtId="168" fontId="26" fillId="0" borderId="14" xfId="540" applyNumberFormat="1" applyBorder="1" applyAlignment="1" applyProtection="1">
      <alignment horizontal="center"/>
    </xf>
    <xf numFmtId="168" fontId="26" fillId="0" borderId="41" xfId="540" applyNumberFormat="1" applyBorder="1" applyAlignment="1" applyProtection="1">
      <alignment horizontal="center"/>
    </xf>
    <xf numFmtId="168" fontId="26" fillId="0" borderId="42" xfId="540" applyNumberFormat="1" applyBorder="1" applyAlignment="1" applyProtection="1">
      <alignment horizontal="center"/>
    </xf>
    <xf numFmtId="168" fontId="26" fillId="0" borderId="43" xfId="540" applyNumberFormat="1" applyBorder="1" applyAlignment="1" applyProtection="1">
      <alignment horizontal="center"/>
    </xf>
    <xf numFmtId="168" fontId="26" fillId="0" borderId="44" xfId="540" applyNumberFormat="1" applyBorder="1" applyAlignment="1" applyProtection="1">
      <alignment horizontal="center"/>
    </xf>
    <xf numFmtId="0" fontId="17" fillId="0" borderId="0" xfId="1192"/>
    <xf numFmtId="0" fontId="17" fillId="0" borderId="0" xfId="0" applyFont="1" applyAlignment="1">
      <alignment wrapText="1"/>
    </xf>
    <xf numFmtId="0" fontId="46" fillId="0" borderId="0" xfId="0" applyFont="1" applyAlignment="1">
      <alignment horizontal="left" vertical="top"/>
    </xf>
    <xf numFmtId="0" fontId="46" fillId="0" borderId="0" xfId="0" applyFont="1" applyAlignment="1">
      <alignment vertical="top"/>
    </xf>
    <xf numFmtId="0" fontId="17" fillId="0" borderId="0" xfId="569" applyAlignment="1">
      <alignment horizontal="center"/>
    </xf>
    <xf numFmtId="0" fontId="35" fillId="0" borderId="0" xfId="569" applyFont="1" applyAlignment="1">
      <alignment horizontal="left"/>
    </xf>
    <xf numFmtId="0" fontId="35" fillId="0" borderId="0" xfId="569" applyFont="1" applyAlignment="1">
      <alignment horizontal="center"/>
    </xf>
    <xf numFmtId="49" fontId="24" fillId="0" borderId="0" xfId="569" applyNumberFormat="1" applyFont="1" applyAlignment="1">
      <alignment horizontal="center"/>
    </xf>
    <xf numFmtId="0" fontId="51" fillId="0" borderId="0" xfId="569" applyFont="1" applyAlignment="1">
      <alignment horizontal="center"/>
    </xf>
    <xf numFmtId="0" fontId="17" fillId="5" borderId="6" xfId="569" applyFill="1" applyBorder="1" applyProtection="1">
      <protection locked="0"/>
    </xf>
    <xf numFmtId="0" fontId="18" fillId="0" borderId="0" xfId="244" applyAlignment="1" applyProtection="1">
      <alignment horizontal="center"/>
    </xf>
    <xf numFmtId="49" fontId="17" fillId="0" borderId="0" xfId="569" applyNumberFormat="1" applyAlignment="1">
      <alignment horizontal="center"/>
    </xf>
    <xf numFmtId="0" fontId="17" fillId="0" borderId="0" xfId="569" applyAlignment="1">
      <alignment horizontal="center" vertical="center"/>
    </xf>
    <xf numFmtId="0" fontId="17" fillId="0" borderId="0" xfId="1192" applyAlignment="1">
      <alignment horizontal="center"/>
    </xf>
    <xf numFmtId="0" fontId="24" fillId="0" borderId="0" xfId="569" applyFont="1" applyAlignment="1">
      <alignment horizontal="center"/>
    </xf>
    <xf numFmtId="0" fontId="17" fillId="0" borderId="0" xfId="569" applyAlignment="1">
      <alignment horizontal="left" indent="4"/>
    </xf>
    <xf numFmtId="0" fontId="17" fillId="0" borderId="0" xfId="569" quotePrefix="1" applyAlignment="1">
      <alignment horizontal="left"/>
    </xf>
    <xf numFmtId="0" fontId="35" fillId="0" borderId="0" xfId="569" applyFont="1"/>
    <xf numFmtId="0" fontId="17" fillId="0" borderId="0" xfId="1192" applyAlignment="1" applyProtection="1">
      <alignment horizontal="left"/>
      <protection locked="0"/>
    </xf>
    <xf numFmtId="0" fontId="17" fillId="0" borderId="0" xfId="569" applyAlignment="1" applyProtection="1">
      <alignment horizontal="left"/>
      <protection locked="0"/>
    </xf>
    <xf numFmtId="49" fontId="17" fillId="0" borderId="0" xfId="1192" applyNumberFormat="1" applyAlignment="1">
      <alignment horizontal="center"/>
    </xf>
    <xf numFmtId="0" fontId="51" fillId="0" borderId="0" xfId="1192" applyFont="1" applyAlignment="1">
      <alignment horizontal="center"/>
    </xf>
    <xf numFmtId="0" fontId="24" fillId="0" borderId="0" xfId="1192" applyFont="1" applyAlignment="1">
      <alignment horizontal="left"/>
    </xf>
    <xf numFmtId="4" fontId="17" fillId="0" borderId="0" xfId="1192" applyNumberFormat="1" applyAlignment="1">
      <alignment horizontal="left"/>
    </xf>
    <xf numFmtId="0" fontId="24" fillId="0" borderId="0" xfId="569" quotePrefix="1" applyFont="1" applyAlignment="1">
      <alignment horizontal="center"/>
    </xf>
    <xf numFmtId="49" fontId="17" fillId="0" borderId="0" xfId="569" applyNumberFormat="1"/>
    <xf numFmtId="0" fontId="49" fillId="0" borderId="0" xfId="569" applyFont="1" applyAlignment="1">
      <alignment horizontal="left"/>
    </xf>
    <xf numFmtId="4" fontId="51" fillId="0" borderId="0" xfId="569" applyNumberFormat="1" applyFont="1" applyAlignment="1">
      <alignment horizontal="center"/>
    </xf>
    <xf numFmtId="4" fontId="17" fillId="0" borderId="0" xfId="569" applyNumberFormat="1" applyAlignment="1">
      <alignment horizontal="center"/>
    </xf>
    <xf numFmtId="4" fontId="17" fillId="0" borderId="0" xfId="569" applyNumberFormat="1"/>
    <xf numFmtId="0" fontId="47" fillId="0" borderId="0" xfId="569" applyFont="1" applyAlignment="1">
      <alignment horizontal="left"/>
    </xf>
    <xf numFmtId="0" fontId="18" fillId="0" borderId="0" xfId="244" applyNumberFormat="1" applyFill="1" applyAlignment="1" applyProtection="1">
      <alignment horizontal="left"/>
      <protection locked="0"/>
    </xf>
    <xf numFmtId="0" fontId="53" fillId="0" borderId="11" xfId="0" applyFont="1" applyBorder="1" applyAlignment="1" applyProtection="1">
      <alignment horizontal="right" vertical="top" wrapText="1"/>
      <protection locked="0"/>
    </xf>
    <xf numFmtId="168" fontId="56" fillId="44" borderId="11" xfId="0" applyNumberFormat="1" applyFont="1" applyFill="1" applyBorder="1" applyAlignment="1">
      <alignment vertical="top" wrapText="1"/>
    </xf>
    <xf numFmtId="0" fontId="17" fillId="0" borderId="11" xfId="271" applyFont="1" applyBorder="1" applyAlignment="1">
      <alignment horizontal="right" vertical="top" wrapText="1"/>
    </xf>
    <xf numFmtId="0" fontId="25" fillId="0" borderId="0" xfId="569" applyFont="1" applyAlignment="1">
      <alignment horizontal="left"/>
    </xf>
    <xf numFmtId="0" fontId="105" fillId="0" borderId="0" xfId="0" applyFont="1"/>
    <xf numFmtId="0" fontId="116" fillId="0" borderId="0" xfId="0" applyFont="1" applyAlignment="1">
      <alignment horizontal="left" vertical="top"/>
    </xf>
    <xf numFmtId="0" fontId="117" fillId="0" borderId="0" xfId="0" applyFont="1" applyAlignment="1">
      <alignment horizontal="left" vertical="top"/>
    </xf>
    <xf numFmtId="168" fontId="25" fillId="0" borderId="0" xfId="0" applyNumberFormat="1" applyFont="1" applyAlignment="1">
      <alignment horizontal="left" vertical="top" wrapText="1"/>
    </xf>
    <xf numFmtId="168" fontId="53" fillId="5" borderId="11" xfId="0" applyNumberFormat="1" applyFont="1" applyFill="1" applyBorder="1" applyAlignment="1">
      <alignment vertical="top" wrapText="1"/>
    </xf>
    <xf numFmtId="0" fontId="17" fillId="0" borderId="0" xfId="271" applyFont="1" applyAlignment="1">
      <alignment horizontal="left" vertical="top"/>
    </xf>
    <xf numFmtId="0" fontId="53" fillId="0" borderId="0" xfId="569" applyFont="1"/>
    <xf numFmtId="0" fontId="17" fillId="0" borderId="0" xfId="0" applyFont="1" applyAlignment="1">
      <alignment horizontal="left" vertical="top"/>
    </xf>
    <xf numFmtId="4" fontId="17" fillId="0" borderId="0" xfId="1192" applyNumberFormat="1" applyAlignment="1">
      <alignment vertical="top" wrapText="1"/>
    </xf>
    <xf numFmtId="0" fontId="24" fillId="0" borderId="16" xfId="271" applyFont="1" applyBorder="1"/>
    <xf numFmtId="0" fontId="60" fillId="0" borderId="0" xfId="569" applyFont="1"/>
    <xf numFmtId="0" fontId="41" fillId="0" borderId="0" xfId="569" applyFont="1"/>
    <xf numFmtId="0" fontId="17" fillId="0" borderId="0" xfId="1192" applyAlignment="1">
      <alignment vertical="top" wrapText="1"/>
    </xf>
    <xf numFmtId="49" fontId="17" fillId="0" borderId="0" xfId="1192" applyNumberFormat="1" applyAlignment="1">
      <alignment vertical="top" wrapText="1"/>
    </xf>
    <xf numFmtId="0" fontId="55" fillId="0" borderId="9" xfId="543" applyFont="1" applyBorder="1" applyAlignment="1">
      <alignment vertical="top"/>
    </xf>
    <xf numFmtId="0" fontId="17" fillId="0" borderId="0" xfId="0" applyFont="1" applyAlignment="1">
      <alignment vertical="center"/>
    </xf>
    <xf numFmtId="0" fontId="118" fillId="0" borderId="0" xfId="0" applyFont="1"/>
    <xf numFmtId="3" fontId="105" fillId="0" borderId="0" xfId="0" applyNumberFormat="1" applyFont="1"/>
    <xf numFmtId="0" fontId="105" fillId="0" borderId="0" xfId="0" applyFont="1" applyAlignment="1">
      <alignment horizontal="left"/>
    </xf>
    <xf numFmtId="168" fontId="119" fillId="0" borderId="0" xfId="0" applyNumberFormat="1" applyFont="1" applyAlignment="1">
      <alignment horizontal="left" vertical="top"/>
    </xf>
    <xf numFmtId="0" fontId="105" fillId="0" borderId="0" xfId="0" applyFont="1" applyAlignment="1">
      <alignment horizontal="left" vertical="center"/>
    </xf>
    <xf numFmtId="0" fontId="121" fillId="0" borderId="0" xfId="0" applyFont="1"/>
    <xf numFmtId="172" fontId="17" fillId="0" borderId="8" xfId="543" applyNumberFormat="1" applyBorder="1"/>
    <xf numFmtId="0" fontId="17" fillId="0" borderId="8" xfId="4495" applyFont="1" applyBorder="1"/>
    <xf numFmtId="0" fontId="17" fillId="0" borderId="0" xfId="4495" applyFont="1"/>
    <xf numFmtId="0" fontId="23" fillId="0" borderId="0" xfId="4495" applyFont="1" applyAlignment="1">
      <alignment horizontal="center" vertical="center"/>
    </xf>
    <xf numFmtId="0" fontId="24" fillId="0" borderId="0" xfId="4495" applyFont="1" applyAlignment="1">
      <alignment horizontal="left"/>
    </xf>
    <xf numFmtId="0" fontId="24" fillId="0" borderId="0" xfId="4495" applyFont="1"/>
    <xf numFmtId="0" fontId="27" fillId="0" borderId="0" xfId="4495" applyFont="1" applyAlignment="1">
      <alignment horizontal="center" vertical="center"/>
    </xf>
    <xf numFmtId="0" fontId="27" fillId="0" borderId="27" xfId="4495" applyFont="1" applyBorder="1" applyAlignment="1">
      <alignment horizontal="center" vertical="center"/>
    </xf>
    <xf numFmtId="0" fontId="27" fillId="0" borderId="46" xfId="4495" applyFont="1" applyBorder="1" applyAlignment="1">
      <alignment horizontal="center" vertical="center"/>
    </xf>
    <xf numFmtId="0" fontId="24" fillId="0" borderId="0" xfId="4495" applyFont="1" applyAlignment="1">
      <alignment horizontal="right"/>
    </xf>
    <xf numFmtId="0" fontId="35" fillId="0" borderId="0" xfId="4495" applyFont="1" applyAlignment="1">
      <alignment horizontal="left" vertical="center"/>
    </xf>
    <xf numFmtId="0" fontId="17" fillId="0" borderId="0" xfId="1192" quotePrefix="1" applyAlignment="1">
      <alignment horizontal="center"/>
    </xf>
    <xf numFmtId="0" fontId="47" fillId="0" borderId="0" xfId="4495" applyFont="1" applyAlignment="1">
      <alignment horizontal="left" vertical="center"/>
    </xf>
    <xf numFmtId="49" fontId="25" fillId="0" borderId="0" xfId="4495" applyNumberFormat="1" applyFont="1" applyAlignment="1">
      <alignment horizontal="left" vertical="top"/>
    </xf>
    <xf numFmtId="0" fontId="17" fillId="0" borderId="47" xfId="4495" applyFont="1" applyBorder="1" applyAlignment="1">
      <alignment horizontal="left" vertical="center"/>
    </xf>
    <xf numFmtId="0" fontId="27" fillId="0" borderId="48" xfId="4495" applyFont="1" applyBorder="1" applyAlignment="1">
      <alignment horizontal="center" vertical="center"/>
    </xf>
    <xf numFmtId="0" fontId="25" fillId="0" borderId="0" xfId="4495" applyFont="1"/>
    <xf numFmtId="0" fontId="25" fillId="0" borderId="0" xfId="4495" applyFont="1" applyAlignment="1">
      <alignment horizontal="left" vertical="top"/>
    </xf>
    <xf numFmtId="0" fontId="123" fillId="0" borderId="53" xfId="4496" applyFont="1" applyBorder="1" applyAlignment="1">
      <alignment horizontal="left" vertical="top"/>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0" fontId="17" fillId="0" borderId="0" xfId="4495" applyFont="1" applyAlignment="1">
      <alignment horizontal="left" vertical="center"/>
    </xf>
    <xf numFmtId="0" fontId="124" fillId="0" borderId="0" xfId="4496" applyFont="1" applyAlignment="1">
      <alignment vertical="center"/>
    </xf>
    <xf numFmtId="0" fontId="122" fillId="0" borderId="0" xfId="4496" applyFont="1"/>
    <xf numFmtId="0" fontId="122" fillId="0" borderId="0" xfId="4496" applyFont="1" applyAlignment="1">
      <alignment vertical="center"/>
    </xf>
    <xf numFmtId="0" fontId="125" fillId="0" borderId="0" xfId="4496" applyFont="1" applyAlignment="1">
      <alignment vertical="center"/>
    </xf>
    <xf numFmtId="0" fontId="17" fillId="0" borderId="0" xfId="4496" applyFont="1" applyAlignment="1">
      <alignment vertical="center"/>
    </xf>
    <xf numFmtId="0" fontId="25" fillId="0" borderId="3" xfId="4495" applyFont="1" applyBorder="1" applyAlignment="1">
      <alignment vertical="top" wrapText="1"/>
    </xf>
    <xf numFmtId="0" fontId="25" fillId="0" borderId="4" xfId="4495" applyFont="1" applyBorder="1" applyAlignment="1">
      <alignment vertical="top" wrapText="1"/>
    </xf>
    <xf numFmtId="164" fontId="120" fillId="0" borderId="4" xfId="4495" applyNumberFormat="1" applyBorder="1" applyAlignment="1">
      <alignment horizontal="right"/>
    </xf>
    <xf numFmtId="0" fontId="25" fillId="0" borderId="4" xfId="4495" applyFont="1" applyBorder="1"/>
    <xf numFmtId="0" fontId="24" fillId="0" borderId="5" xfId="4495" applyFont="1" applyBorder="1" applyAlignment="1">
      <alignment horizontal="right"/>
    </xf>
    <xf numFmtId="0" fontId="17" fillId="0" borderId="16" xfId="4495" applyFont="1" applyBorder="1"/>
    <xf numFmtId="0" fontId="17" fillId="0" borderId="16" xfId="4495" applyFont="1" applyBorder="1" applyAlignment="1">
      <alignment horizontal="left" vertical="top"/>
    </xf>
    <xf numFmtId="0" fontId="25" fillId="0" borderId="16" xfId="4495" applyFont="1" applyBorder="1" applyAlignment="1">
      <alignment horizontal="left" vertical="top" wrapText="1"/>
    </xf>
    <xf numFmtId="0" fontId="25" fillId="0" borderId="45" xfId="4495" applyFont="1" applyBorder="1" applyAlignment="1">
      <alignment horizontal="left" vertical="top" wrapText="1"/>
    </xf>
    <xf numFmtId="0" fontId="120" fillId="0" borderId="0" xfId="4495"/>
    <xf numFmtId="0" fontId="18" fillId="0" borderId="0" xfId="244" applyFill="1" applyBorder="1" applyAlignment="1" applyProtection="1">
      <alignment horizontal="left" vertical="top"/>
    </xf>
    <xf numFmtId="0" fontId="18" fillId="0" borderId="0" xfId="244" applyFill="1" applyBorder="1" applyAlignment="1" applyProtection="1">
      <alignment horizontal="left" vertical="top" wrapText="1"/>
    </xf>
    <xf numFmtId="0" fontId="25" fillId="0" borderId="0" xfId="4495" applyFont="1" applyAlignment="1">
      <alignment horizontal="left" vertical="top" wrapText="1"/>
    </xf>
    <xf numFmtId="0" fontId="25" fillId="0" borderId="0" xfId="4495" applyFont="1" applyAlignment="1">
      <alignment horizontal="right" vertical="top"/>
    </xf>
    <xf numFmtId="0" fontId="17" fillId="0" borderId="0" xfId="4495" applyFont="1" applyAlignment="1">
      <alignment vertical="center" wrapText="1"/>
    </xf>
    <xf numFmtId="0" fontId="122" fillId="0" borderId="53" xfId="4496" applyFont="1" applyBorder="1" applyAlignment="1">
      <alignment vertical="top" wrapText="1"/>
    </xf>
    <xf numFmtId="0" fontId="122" fillId="0" borderId="0" xfId="4496" applyFont="1" applyAlignment="1">
      <alignment vertical="top" wrapText="1"/>
    </xf>
    <xf numFmtId="10" fontId="122" fillId="0" borderId="0" xfId="4496" applyNumberFormat="1" applyFont="1" applyAlignment="1">
      <alignment vertical="top" wrapText="1"/>
    </xf>
    <xf numFmtId="0" fontId="122" fillId="0" borderId="54" xfId="4496" applyFont="1" applyBorder="1" applyAlignment="1">
      <alignment vertical="top" wrapText="1"/>
    </xf>
    <xf numFmtId="0" fontId="122" fillId="0" borderId="0" xfId="4496" applyFont="1" applyAlignment="1">
      <alignment vertical="top"/>
    </xf>
    <xf numFmtId="165" fontId="122" fillId="0" borderId="0" xfId="4496" applyNumberFormat="1" applyFont="1" applyAlignment="1">
      <alignment vertical="top" wrapText="1"/>
    </xf>
    <xf numFmtId="0" fontId="24" fillId="0" borderId="57" xfId="4495" applyFont="1" applyBorder="1"/>
    <xf numFmtId="0" fontId="24" fillId="0" borderId="58" xfId="4495" applyFont="1" applyBorder="1"/>
    <xf numFmtId="0" fontId="24" fillId="0" borderId="58" xfId="4495" applyFont="1" applyBorder="1" applyAlignment="1">
      <alignment horizontal="right"/>
    </xf>
    <xf numFmtId="0" fontId="24" fillId="0" borderId="59" xfId="4495" applyFont="1" applyBorder="1" applyAlignment="1">
      <alignment horizontal="right"/>
    </xf>
    <xf numFmtId="0" fontId="122" fillId="0" borderId="53" xfId="4496" applyFont="1" applyBorder="1" applyAlignment="1">
      <alignment horizontal="left" vertical="top" wrapText="1"/>
    </xf>
    <xf numFmtId="0" fontId="122" fillId="0" borderId="0" xfId="4496" applyFont="1" applyAlignment="1">
      <alignment horizontal="left" vertical="top"/>
    </xf>
    <xf numFmtId="0" fontId="27" fillId="0" borderId="57" xfId="4495" applyFont="1" applyBorder="1" applyAlignment="1">
      <alignment horizontal="center" vertical="center"/>
    </xf>
    <xf numFmtId="0" fontId="27" fillId="0" borderId="58" xfId="4495" applyFont="1" applyBorder="1" applyAlignment="1">
      <alignment horizontal="center" vertical="center"/>
    </xf>
    <xf numFmtId="0" fontId="27" fillId="0" borderId="59" xfId="4495" applyFont="1" applyBorder="1" applyAlignment="1">
      <alignment horizontal="center" vertical="center"/>
    </xf>
    <xf numFmtId="0" fontId="24" fillId="0" borderId="0" xfId="4495" applyFont="1" applyAlignment="1">
      <alignment horizontal="center"/>
    </xf>
    <xf numFmtId="0" fontId="24" fillId="0" borderId="8" xfId="4495" applyFont="1" applyBorder="1"/>
    <xf numFmtId="0" fontId="25" fillId="0" borderId="0" xfId="4495" applyFont="1" applyAlignment="1">
      <alignment horizontal="left"/>
    </xf>
    <xf numFmtId="0" fontId="24" fillId="0" borderId="0" xfId="4495" applyFont="1" applyAlignment="1">
      <alignment horizontal="center" vertical="top"/>
    </xf>
    <xf numFmtId="0" fontId="17" fillId="0" borderId="0" xfId="4495" applyFont="1" applyAlignment="1">
      <alignment horizontal="center"/>
    </xf>
    <xf numFmtId="0" fontId="33" fillId="0" borderId="0" xfId="4495" applyFont="1"/>
    <xf numFmtId="0" fontId="25" fillId="0" borderId="8" xfId="4495" applyFont="1" applyBorder="1"/>
    <xf numFmtId="0" fontId="53" fillId="0" borderId="8" xfId="4495" applyFont="1" applyBorder="1"/>
    <xf numFmtId="1" fontId="17" fillId="0" borderId="0" xfId="1192" applyNumberFormat="1"/>
    <xf numFmtId="0" fontId="17" fillId="0" borderId="3" xfId="4495" applyFont="1" applyBorder="1"/>
    <xf numFmtId="0" fontId="17" fillId="0" borderId="4" xfId="4495" applyFont="1" applyBorder="1"/>
    <xf numFmtId="0" fontId="17" fillId="0" borderId="0" xfId="1192" applyAlignment="1">
      <alignment wrapText="1"/>
    </xf>
    <xf numFmtId="0" fontId="25" fillId="0" borderId="0" xfId="4495" applyFont="1" applyAlignment="1">
      <alignment vertical="top" wrapText="1"/>
    </xf>
    <xf numFmtId="0" fontId="25" fillId="0" borderId="0" xfId="1192" applyFont="1"/>
    <xf numFmtId="0" fontId="17" fillId="0" borderId="0" xfId="4495" applyFont="1" applyAlignment="1">
      <alignment horizontal="left"/>
    </xf>
    <xf numFmtId="0" fontId="25" fillId="0" borderId="3" xfId="4495" applyFont="1" applyBorder="1"/>
    <xf numFmtId="0" fontId="17" fillId="0" borderId="4" xfId="4495" applyFont="1" applyBorder="1" applyAlignment="1">
      <alignment horizontal="right"/>
    </xf>
    <xf numFmtId="1" fontId="17" fillId="0" borderId="0" xfId="4495" applyNumberFormat="1" applyFont="1" applyAlignment="1">
      <alignment horizontal="center"/>
    </xf>
    <xf numFmtId="0" fontId="53" fillId="0" borderId="0" xfId="4495" applyFont="1"/>
    <xf numFmtId="0" fontId="17" fillId="0" borderId="0" xfId="4495" applyFont="1" applyAlignment="1">
      <alignment horizontal="right"/>
    </xf>
    <xf numFmtId="0" fontId="25" fillId="0" borderId="0" xfId="4495" applyFont="1" applyAlignment="1">
      <alignment vertical="top"/>
    </xf>
    <xf numFmtId="0" fontId="25" fillId="0" borderId="27" xfId="4495" applyFont="1" applyBorder="1"/>
    <xf numFmtId="0" fontId="24" fillId="0" borderId="0" xfId="4495" applyFont="1" applyAlignment="1">
      <alignment vertical="top"/>
    </xf>
    <xf numFmtId="0" fontId="35" fillId="0" borderId="0" xfId="4495" applyFont="1" applyAlignment="1">
      <alignment vertical="top" wrapText="1"/>
    </xf>
    <xf numFmtId="0" fontId="24" fillId="0" borderId="0" xfId="4495" applyFont="1" applyAlignment="1">
      <alignment horizontal="left" vertical="top" wrapText="1"/>
    </xf>
    <xf numFmtId="0" fontId="17" fillId="0" borderId="0" xfId="4495" applyFont="1" applyAlignment="1">
      <alignment horizontal="left" vertical="top"/>
    </xf>
    <xf numFmtId="0" fontId="35" fillId="0" borderId="0" xfId="4495" applyFont="1" applyAlignment="1">
      <alignment vertical="top"/>
    </xf>
    <xf numFmtId="0" fontId="17" fillId="0" borderId="10" xfId="4495" applyFont="1" applyBorder="1" applyAlignment="1">
      <alignment horizontal="center"/>
    </xf>
    <xf numFmtId="0" fontId="17" fillId="0" borderId="16" xfId="4495" applyFont="1" applyBorder="1" applyAlignment="1">
      <alignment horizontal="center"/>
    </xf>
    <xf numFmtId="0" fontId="33" fillId="0" borderId="16" xfId="4495" applyFont="1" applyBorder="1"/>
    <xf numFmtId="0" fontId="25" fillId="0" borderId="16" xfId="4495" applyFont="1" applyBorder="1"/>
    <xf numFmtId="0" fontId="17" fillId="0" borderId="0" xfId="4496" applyFont="1" applyAlignment="1">
      <alignment vertical="top" wrapText="1"/>
    </xf>
    <xf numFmtId="0" fontId="24" fillId="0" borderId="0" xfId="1192" applyFont="1" applyAlignment="1">
      <alignment horizontal="right"/>
    </xf>
    <xf numFmtId="0" fontId="17" fillId="0" borderId="0" xfId="4496" applyFont="1"/>
    <xf numFmtId="0" fontId="17" fillId="0" borderId="0" xfId="4496" applyFont="1" applyAlignment="1">
      <alignment horizontal="left"/>
    </xf>
    <xf numFmtId="0" fontId="17" fillId="0" borderId="0" xfId="4496" applyFont="1" applyAlignment="1">
      <alignment horizontal="right"/>
    </xf>
    <xf numFmtId="0" fontId="25" fillId="0" borderId="0" xfId="4496" applyFont="1" applyAlignment="1">
      <alignment vertical="top" wrapText="1"/>
    </xf>
    <xf numFmtId="0" fontId="17" fillId="0" borderId="4" xfId="4496" applyFont="1" applyBorder="1"/>
    <xf numFmtId="0" fontId="24" fillId="0" borderId="4" xfId="4496" applyFont="1" applyBorder="1" applyAlignment="1">
      <alignment horizontal="right"/>
    </xf>
    <xf numFmtId="0" fontId="25" fillId="0" borderId="27" xfId="4495" applyFont="1" applyBorder="1" applyAlignment="1">
      <alignment horizontal="left" vertical="top"/>
    </xf>
    <xf numFmtId="0" fontId="17" fillId="0" borderId="27" xfId="4495" applyFont="1" applyBorder="1" applyAlignment="1">
      <alignment horizontal="left" vertical="top"/>
    </xf>
    <xf numFmtId="0" fontId="24" fillId="0" borderId="27" xfId="4495" applyFont="1" applyBorder="1" applyAlignment="1">
      <alignment horizontal="right"/>
    </xf>
    <xf numFmtId="0" fontId="17" fillId="0" borderId="27" xfId="4495" applyFont="1" applyBorder="1" applyAlignment="1">
      <alignment horizontal="center"/>
    </xf>
    <xf numFmtId="0" fontId="17" fillId="0" borderId="46" xfId="4495" applyFont="1" applyBorder="1" applyAlignment="1">
      <alignment horizontal="center"/>
    </xf>
    <xf numFmtId="164" fontId="25" fillId="0" borderId="0" xfId="4495" applyNumberFormat="1" applyFont="1" applyAlignment="1">
      <alignment horizontal="left" vertical="top" wrapText="1"/>
    </xf>
    <xf numFmtId="0" fontId="28" fillId="0" borderId="0" xfId="4495" applyFont="1"/>
    <xf numFmtId="0" fontId="25" fillId="0" borderId="0" xfId="4495" applyFont="1" applyAlignment="1">
      <alignment horizontal="right"/>
    </xf>
    <xf numFmtId="0" fontId="17" fillId="0" borderId="27" xfId="543" applyBorder="1"/>
    <xf numFmtId="0" fontId="17" fillId="0" borderId="46" xfId="543" applyBorder="1"/>
    <xf numFmtId="0" fontId="24" fillId="0" borderId="0" xfId="4495" applyFont="1" applyAlignment="1">
      <alignment horizontal="left" vertical="top"/>
    </xf>
    <xf numFmtId="1" fontId="120" fillId="0" borderId="0" xfId="4495" applyNumberFormat="1"/>
    <xf numFmtId="0" fontId="17" fillId="0" borderId="0" xfId="4495" applyFont="1" applyAlignment="1">
      <alignment vertical="top" wrapText="1"/>
    </xf>
    <xf numFmtId="0" fontId="17" fillId="0" borderId="0" xfId="4495" applyFont="1" applyAlignment="1">
      <alignment horizontal="left" vertical="top" wrapText="1"/>
    </xf>
    <xf numFmtId="0" fontId="17" fillId="0" borderId="50" xfId="4495" applyFont="1" applyBorder="1" applyAlignment="1">
      <alignment vertical="top"/>
    </xf>
    <xf numFmtId="0" fontId="17" fillId="0" borderId="51" xfId="4495" applyFont="1" applyBorder="1" applyAlignment="1">
      <alignment vertical="top"/>
    </xf>
    <xf numFmtId="0" fontId="17" fillId="0" borderId="52" xfId="4495" applyFont="1" applyBorder="1" applyAlignment="1">
      <alignment vertical="top"/>
    </xf>
    <xf numFmtId="1" fontId="25" fillId="0" borderId="8" xfId="4495" applyNumberFormat="1" applyFont="1" applyBorder="1"/>
    <xf numFmtId="0" fontId="17" fillId="0" borderId="0" xfId="543" applyAlignment="1">
      <alignment vertical="top"/>
    </xf>
    <xf numFmtId="0" fontId="25" fillId="0" borderId="51" xfId="4495" applyFont="1" applyBorder="1" applyAlignment="1">
      <alignment horizontal="left" vertical="top"/>
    </xf>
    <xf numFmtId="0" fontId="25" fillId="0" borderId="52" xfId="4495" applyFont="1" applyBorder="1" applyAlignment="1">
      <alignment horizontal="left" vertical="top"/>
    </xf>
    <xf numFmtId="0" fontId="120" fillId="0" borderId="0" xfId="4495" applyAlignment="1" applyProtection="1">
      <alignment horizontal="center"/>
      <protection locked="0"/>
    </xf>
    <xf numFmtId="0" fontId="17" fillId="0" borderId="53" xfId="4495" applyFont="1" applyBorder="1" applyAlignment="1">
      <alignment vertical="top"/>
    </xf>
    <xf numFmtId="0" fontId="17" fillId="0" borderId="54" xfId="4495" applyFont="1" applyBorder="1" applyAlignment="1">
      <alignment vertical="top" wrapText="1"/>
    </xf>
    <xf numFmtId="0" fontId="61" fillId="0" borderId="53" xfId="4495" applyFont="1" applyBorder="1"/>
    <xf numFmtId="0" fontId="25" fillId="0" borderId="54" xfId="4495" applyFont="1" applyBorder="1" applyAlignment="1">
      <alignment horizontal="left" vertical="top"/>
    </xf>
    <xf numFmtId="0" fontId="17" fillId="0" borderId="53" xfId="4495" applyFont="1" applyBorder="1" applyAlignment="1">
      <alignment vertical="center" wrapText="1"/>
    </xf>
    <xf numFmtId="0" fontId="61" fillId="0" borderId="57" xfId="4495" applyFont="1" applyBorder="1"/>
    <xf numFmtId="0" fontId="25" fillId="0" borderId="58" xfId="4495" applyFont="1" applyBorder="1" applyAlignment="1">
      <alignment horizontal="left" vertical="top"/>
    </xf>
    <xf numFmtId="0" fontId="25" fillId="0" borderId="12" xfId="4495" applyFont="1" applyBorder="1"/>
    <xf numFmtId="0" fontId="17" fillId="0" borderId="57" xfId="4495" applyFont="1" applyBorder="1" applyAlignment="1">
      <alignment vertical="center"/>
    </xf>
    <xf numFmtId="0" fontId="17" fillId="0" borderId="58" xfId="4495" applyFont="1" applyBorder="1" applyAlignment="1">
      <alignment vertical="top"/>
    </xf>
    <xf numFmtId="0" fontId="17" fillId="0" borderId="59" xfId="4495" applyFont="1" applyBorder="1" applyAlignment="1">
      <alignment vertical="top"/>
    </xf>
    <xf numFmtId="0" fontId="17" fillId="0" borderId="0" xfId="4495" applyFont="1" applyAlignment="1">
      <alignment vertical="top"/>
    </xf>
    <xf numFmtId="0" fontId="25" fillId="0" borderId="4" xfId="4495" applyFont="1" applyBorder="1" applyAlignment="1">
      <alignment horizontal="left" vertical="top"/>
    </xf>
    <xf numFmtId="0" fontId="17" fillId="0" borderId="4" xfId="4495" applyFont="1" applyBorder="1" applyAlignment="1">
      <alignment horizontal="left" vertical="top"/>
    </xf>
    <xf numFmtId="0" fontId="17" fillId="0" borderId="2" xfId="4495" applyFont="1" applyBorder="1"/>
    <xf numFmtId="0" fontId="25" fillId="0" borderId="2" xfId="4495" applyFont="1" applyBorder="1"/>
    <xf numFmtId="0" fontId="17" fillId="0" borderId="2" xfId="4495" applyFont="1" applyBorder="1" applyAlignment="1">
      <alignment horizontal="center"/>
    </xf>
    <xf numFmtId="0" fontId="25" fillId="0" borderId="7" xfId="4495" applyFont="1" applyBorder="1"/>
    <xf numFmtId="0" fontId="33" fillId="0" borderId="0" xfId="4495" applyFont="1" applyAlignment="1">
      <alignment horizontal="right"/>
    </xf>
    <xf numFmtId="0" fontId="126" fillId="0" borderId="0" xfId="4495" applyFont="1" applyAlignment="1">
      <alignment horizontal="left" vertical="top" wrapText="1"/>
    </xf>
    <xf numFmtId="0" fontId="33" fillId="0" borderId="0" xfId="4495" applyFont="1" applyAlignment="1">
      <alignment horizontal="left" vertical="top"/>
    </xf>
    <xf numFmtId="0" fontId="25" fillId="0" borderId="0" xfId="4495" quotePrefix="1" applyFont="1" applyAlignment="1">
      <alignment horizontal="right"/>
    </xf>
    <xf numFmtId="0" fontId="17" fillId="0" borderId="0" xfId="4497"/>
    <xf numFmtId="0" fontId="25" fillId="0" borderId="0" xfId="4495" applyFont="1" applyAlignment="1">
      <alignment horizontal="left" vertical="top" wrapText="1" shrinkToFit="1"/>
    </xf>
    <xf numFmtId="0" fontId="120" fillId="0" borderId="0" xfId="4495" applyAlignment="1">
      <alignment vertical="top" wrapText="1"/>
    </xf>
    <xf numFmtId="0" fontId="25" fillId="0" borderId="4" xfId="4495" applyFont="1" applyBorder="1" applyAlignment="1">
      <alignment horizontal="left" vertical="top" wrapText="1" shrinkToFit="1"/>
    </xf>
    <xf numFmtId="0" fontId="33" fillId="0" borderId="8" xfId="4495" applyFont="1" applyBorder="1"/>
    <xf numFmtId="0" fontId="25" fillId="0" borderId="0" xfId="4495" applyFont="1" applyAlignment="1">
      <alignment horizontal="center"/>
    </xf>
    <xf numFmtId="0" fontId="25" fillId="0" borderId="0" xfId="4495" quotePrefix="1" applyFont="1"/>
    <xf numFmtId="0" fontId="25" fillId="0" borderId="0" xfId="4495" applyFont="1" applyAlignment="1">
      <alignment horizontal="left" vertical="top" shrinkToFit="1"/>
    </xf>
    <xf numFmtId="0" fontId="47" fillId="0" borderId="0" xfId="4495" applyFont="1"/>
    <xf numFmtId="0" fontId="25" fillId="0" borderId="3" xfId="4495" applyFont="1" applyBorder="1" applyAlignment="1">
      <alignment horizontal="center"/>
    </xf>
    <xf numFmtId="0" fontId="120" fillId="0" borderId="8" xfId="4495" applyBorder="1"/>
    <xf numFmtId="0" fontId="24" fillId="0" borderId="8" xfId="4495" applyFont="1" applyBorder="1" applyAlignment="1">
      <alignment vertical="top"/>
    </xf>
    <xf numFmtId="0" fontId="120" fillId="0" borderId="0" xfId="4495" applyAlignment="1">
      <alignment vertical="top"/>
    </xf>
    <xf numFmtId="0" fontId="24"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7" fillId="0" borderId="0" xfId="4497" applyNumberFormat="1"/>
    <xf numFmtId="1" fontId="25"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5" fillId="0" borderId="6" xfId="4495" applyFont="1" applyBorder="1"/>
    <xf numFmtId="1" fontId="25" fillId="0" borderId="8" xfId="4495" applyNumberFormat="1" applyFont="1" applyBorder="1" applyAlignment="1">
      <alignment horizontal="center" vertical="top"/>
    </xf>
    <xf numFmtId="0" fontId="120" fillId="0" borderId="12" xfId="4495" applyBorder="1"/>
    <xf numFmtId="0" fontId="25" fillId="0" borderId="9" xfId="4495" applyFont="1" applyBorder="1"/>
    <xf numFmtId="0" fontId="120" fillId="0" borderId="10" xfId="4495" applyBorder="1"/>
    <xf numFmtId="0" fontId="33" fillId="0" borderId="3" xfId="4495" applyFont="1" applyBorder="1"/>
    <xf numFmtId="0" fontId="24" fillId="0" borderId="4" xfId="4495" applyFont="1" applyBorder="1"/>
    <xf numFmtId="0" fontId="120" fillId="0" borderId="12" xfId="4495" applyBorder="1" applyAlignment="1">
      <alignment vertical="top"/>
    </xf>
    <xf numFmtId="0" fontId="33"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3" fillId="0" borderId="9" xfId="4495" applyFont="1" applyBorder="1"/>
    <xf numFmtId="0" fontId="25" fillId="0" borderId="10" xfId="4495" applyFont="1" applyBorder="1"/>
    <xf numFmtId="0" fontId="130" fillId="0" borderId="0" xfId="4495" applyFont="1" applyAlignment="1">
      <alignment wrapText="1"/>
    </xf>
    <xf numFmtId="0" fontId="33" fillId="0" borderId="9" xfId="4495" applyFont="1" applyBorder="1" applyAlignment="1">
      <alignment horizontal="center"/>
    </xf>
    <xf numFmtId="0" fontId="24" fillId="0" borderId="10" xfId="4495" applyFont="1" applyBorder="1"/>
    <xf numFmtId="0" fontId="35" fillId="0" borderId="0" xfId="4495" applyFont="1"/>
    <xf numFmtId="0" fontId="25" fillId="0" borderId="50" xfId="4495" applyFont="1" applyBorder="1"/>
    <xf numFmtId="0" fontId="25" fillId="0" borderId="51" xfId="4495" applyFont="1" applyBorder="1"/>
    <xf numFmtId="1" fontId="25" fillId="0" borderId="51" xfId="4495" quotePrefix="1" applyNumberFormat="1" applyFont="1" applyBorder="1" applyAlignment="1">
      <alignment horizontal="center" vertical="top"/>
    </xf>
    <xf numFmtId="0" fontId="24" fillId="0" borderId="51" xfId="4495" applyFont="1" applyBorder="1"/>
    <xf numFmtId="0" fontId="24" fillId="0" borderId="52" xfId="4495" applyFont="1" applyBorder="1" applyAlignment="1">
      <alignment horizontal="center"/>
    </xf>
    <xf numFmtId="0" fontId="17" fillId="0" borderId="53" xfId="4495" applyFont="1" applyBorder="1"/>
    <xf numFmtId="1" fontId="25" fillId="0" borderId="0" xfId="4495" quotePrefix="1" applyNumberFormat="1" applyFont="1" applyAlignment="1">
      <alignment horizontal="center" vertical="top"/>
    </xf>
    <xf numFmtId="0" fontId="24" fillId="0" borderId="54" xfId="4495" applyFont="1" applyBorder="1" applyAlignment="1">
      <alignment horizontal="center"/>
    </xf>
    <xf numFmtId="0" fontId="33" fillId="0" borderId="0" xfId="4495" applyFont="1" applyAlignment="1">
      <alignment vertical="top"/>
    </xf>
    <xf numFmtId="0" fontId="25" fillId="0" borderId="61" xfId="4495" applyFont="1" applyBorder="1"/>
    <xf numFmtId="0" fontId="120" fillId="0" borderId="58" xfId="4495" applyBorder="1" applyAlignment="1">
      <alignment horizontal="center"/>
    </xf>
    <xf numFmtId="1" fontId="25" fillId="0" borderId="58" xfId="4495" quotePrefix="1" applyNumberFormat="1" applyFont="1" applyBorder="1" applyAlignment="1">
      <alignment horizontal="center" vertical="top"/>
    </xf>
    <xf numFmtId="0" fontId="33" fillId="0" borderId="58" xfId="4495" applyFont="1" applyBorder="1" applyAlignment="1">
      <alignment vertical="top"/>
    </xf>
    <xf numFmtId="0" fontId="25" fillId="0" borderId="58" xfId="4495" applyFont="1" applyBorder="1" applyAlignment="1">
      <alignment vertical="top" wrapText="1"/>
    </xf>
    <xf numFmtId="0" fontId="25" fillId="0" borderId="58" xfId="4495" applyFont="1" applyBorder="1"/>
    <xf numFmtId="0" fontId="24" fillId="0" borderId="58" xfId="4495" applyFont="1" applyBorder="1" applyAlignment="1">
      <alignment horizontal="center"/>
    </xf>
    <xf numFmtId="0" fontId="120" fillId="0" borderId="61" xfId="4495" applyBorder="1"/>
    <xf numFmtId="0" fontId="120" fillId="0" borderId="0" xfId="4495" applyAlignment="1">
      <alignment horizontal="center"/>
    </xf>
    <xf numFmtId="0" fontId="17" fillId="0" borderId="53" xfId="543" applyBorder="1"/>
    <xf numFmtId="0" fontId="25" fillId="0" borderId="54" xfId="4495" applyFont="1" applyBorder="1"/>
    <xf numFmtId="0" fontId="17" fillId="0" borderId="58" xfId="543" applyBorder="1"/>
    <xf numFmtId="1" fontId="25" fillId="0" borderId="58" xfId="4495" applyNumberFormat="1" applyFont="1" applyBorder="1" applyAlignment="1">
      <alignment horizontal="center" vertical="top"/>
    </xf>
    <xf numFmtId="0" fontId="33" fillId="0" borderId="58" xfId="4495" applyFont="1" applyBorder="1" applyAlignment="1">
      <alignment vertical="center"/>
    </xf>
    <xf numFmtId="0" fontId="120" fillId="0" borderId="58" xfId="4495" applyBorder="1" applyAlignment="1">
      <alignment vertical="top" wrapText="1"/>
    </xf>
    <xf numFmtId="0" fontId="17" fillId="0" borderId="58" xfId="4495" applyFont="1" applyBorder="1"/>
    <xf numFmtId="0" fontId="33" fillId="0" borderId="0" xfId="4495" applyFont="1" applyAlignment="1">
      <alignment vertical="center"/>
    </xf>
    <xf numFmtId="0" fontId="25" fillId="0" borderId="53" xfId="4495" applyFont="1" applyBorder="1"/>
    <xf numFmtId="0" fontId="17" fillId="0" borderId="57" xfId="543" applyBorder="1"/>
    <xf numFmtId="0" fontId="25" fillId="0" borderId="58" xfId="4495" applyFont="1" applyBorder="1" applyAlignment="1">
      <alignment vertical="top"/>
    </xf>
    <xf numFmtId="0" fontId="25" fillId="0" borderId="59" xfId="4495" applyFont="1" applyBorder="1"/>
    <xf numFmtId="0" fontId="25" fillId="0" borderId="57" xfId="4495" applyFont="1" applyBorder="1"/>
    <xf numFmtId="0" fontId="17" fillId="0" borderId="51" xfId="4495" applyFont="1" applyBorder="1"/>
    <xf numFmtId="0" fontId="25" fillId="0" borderId="52" xfId="4495" applyFont="1" applyBorder="1"/>
    <xf numFmtId="0" fontId="17" fillId="0" borderId="50" xfId="543" applyBorder="1"/>
    <xf numFmtId="0" fontId="17" fillId="0" borderId="51" xfId="543" applyBorder="1"/>
    <xf numFmtId="0" fontId="17" fillId="0" borderId="52" xfId="543" applyBorder="1"/>
    <xf numFmtId="0" fontId="25" fillId="0" borderId="0" xfId="4495" applyFont="1" applyAlignment="1">
      <alignment wrapText="1"/>
    </xf>
    <xf numFmtId="0" fontId="24" fillId="0" borderId="54" xfId="4495" applyFont="1" applyBorder="1" applyAlignment="1">
      <alignment horizontal="center" vertical="top"/>
    </xf>
    <xf numFmtId="0" fontId="120" fillId="0" borderId="53" xfId="4495" applyBorder="1" applyAlignment="1">
      <alignment horizontal="center"/>
    </xf>
    <xf numFmtId="2" fontId="25" fillId="0" borderId="0" xfId="4495" applyNumberFormat="1" applyFont="1" applyAlignment="1">
      <alignment horizontal="right"/>
    </xf>
    <xf numFmtId="2" fontId="25" fillId="0" borderId="8" xfId="4495" applyNumberFormat="1" applyFont="1" applyBorder="1" applyAlignment="1">
      <alignment horizontal="left"/>
    </xf>
    <xf numFmtId="0" fontId="25" fillId="0" borderId="8" xfId="4495" applyFont="1" applyBorder="1" applyAlignment="1">
      <alignment horizontal="right"/>
    </xf>
    <xf numFmtId="0" fontId="129" fillId="0" borderId="0" xfId="4495" applyFont="1"/>
    <xf numFmtId="0" fontId="120" fillId="0" borderId="57" xfId="4495" applyBorder="1" applyAlignment="1">
      <alignment horizontal="center"/>
    </xf>
    <xf numFmtId="0" fontId="24" fillId="0" borderId="59" xfId="4495" applyFont="1" applyBorder="1" applyAlignment="1">
      <alignment horizontal="center"/>
    </xf>
    <xf numFmtId="9" fontId="25" fillId="0" borderId="0" xfId="4495" applyNumberFormat="1" applyFont="1" applyAlignment="1">
      <alignment horizontal="left"/>
    </xf>
    <xf numFmtId="0" fontId="17" fillId="0" borderId="17" xfId="543" applyBorder="1"/>
    <xf numFmtId="0" fontId="17" fillId="0" borderId="16" xfId="543" applyBorder="1"/>
    <xf numFmtId="0" fontId="17" fillId="0" borderId="51" xfId="4495" quotePrefix="1" applyFont="1" applyBorder="1" applyAlignment="1">
      <alignment horizontal="center" vertical="top"/>
    </xf>
    <xf numFmtId="0" fontId="25" fillId="0" borderId="53" xfId="4495" applyFont="1" applyBorder="1" applyAlignment="1">
      <alignment horizontal="left" vertical="top"/>
    </xf>
    <xf numFmtId="0" fontId="25" fillId="0" borderId="0" xfId="4495" applyFont="1" applyAlignment="1">
      <alignment horizontal="center" vertical="top"/>
    </xf>
    <xf numFmtId="0" fontId="25" fillId="0" borderId="57" xfId="4495" applyFont="1" applyBorder="1" applyAlignment="1">
      <alignment horizontal="left" vertical="top"/>
    </xf>
    <xf numFmtId="0" fontId="25" fillId="0" borderId="58" xfId="4495" applyFont="1" applyBorder="1" applyAlignment="1">
      <alignment horizontal="center" vertical="top"/>
    </xf>
    <xf numFmtId="0" fontId="120" fillId="0" borderId="58" xfId="4495" applyBorder="1"/>
    <xf numFmtId="0" fontId="24" fillId="0" borderId="58" xfId="4495" applyFont="1" applyBorder="1" applyAlignment="1">
      <alignment vertical="top"/>
    </xf>
    <xf numFmtId="0" fontId="24" fillId="0" borderId="58" xfId="4495" applyFont="1" applyBorder="1" applyAlignment="1">
      <alignment horizontal="left" vertical="top"/>
    </xf>
    <xf numFmtId="0" fontId="24" fillId="0" borderId="51" xfId="4495" applyFont="1" applyBorder="1" applyAlignment="1">
      <alignment horizontal="left" vertical="top"/>
    </xf>
    <xf numFmtId="0" fontId="24" fillId="0" borderId="53" xfId="4495" applyFont="1" applyBorder="1" applyAlignment="1">
      <alignment horizontal="left" vertical="top"/>
    </xf>
    <xf numFmtId="0" fontId="53" fillId="0" borderId="0" xfId="4495" applyFont="1" applyAlignment="1">
      <alignment horizontal="left" vertical="top"/>
    </xf>
    <xf numFmtId="0" fontId="25" fillId="0" borderId="0" xfId="4495" quotePrefix="1" applyFont="1" applyAlignment="1">
      <alignment horizontal="center" vertical="top"/>
    </xf>
    <xf numFmtId="0" fontId="54" fillId="0" borderId="0" xfId="4495" applyFont="1" applyAlignment="1">
      <alignment horizontal="center"/>
    </xf>
    <xf numFmtId="0" fontId="54" fillId="0" borderId="0" xfId="4495" applyFont="1" applyAlignment="1">
      <alignment vertical="top"/>
    </xf>
    <xf numFmtId="0" fontId="107" fillId="0" borderId="0" xfId="4495" applyFont="1"/>
    <xf numFmtId="0" fontId="53" fillId="0" borderId="0" xfId="4495" applyFont="1" applyAlignment="1">
      <alignment vertical="top"/>
    </xf>
    <xf numFmtId="0" fontId="33" fillId="0" borderId="53" xfId="4495" applyFont="1" applyBorder="1"/>
    <xf numFmtId="2" fontId="25" fillId="0" borderId="8" xfId="4495" applyNumberFormat="1" applyFont="1" applyBorder="1" applyAlignment="1">
      <alignment horizontal="right"/>
    </xf>
    <xf numFmtId="0" fontId="24" fillId="0" borderId="50" xfId="4495" applyFont="1" applyBorder="1" applyAlignment="1">
      <alignment horizontal="left" vertical="top"/>
    </xf>
    <xf numFmtId="0" fontId="53" fillId="0" borderId="51" xfId="4495" applyFont="1" applyBorder="1" applyAlignment="1">
      <alignment horizontal="left" vertical="top"/>
    </xf>
    <xf numFmtId="0" fontId="120" fillId="0" borderId="53" xfId="4495" applyBorder="1"/>
    <xf numFmtId="0" fontId="107" fillId="0" borderId="0" xfId="4495" applyFont="1" applyAlignment="1">
      <alignment horizontal="left" vertical="top"/>
    </xf>
    <xf numFmtId="1" fontId="24" fillId="0" borderId="58" xfId="4495" applyNumberFormat="1" applyFont="1" applyBorder="1" applyAlignment="1">
      <alignment vertical="top"/>
    </xf>
    <xf numFmtId="172" fontId="24" fillId="0" borderId="8" xfId="543" applyNumberFormat="1" applyFont="1" applyBorder="1"/>
    <xf numFmtId="172" fontId="24" fillId="0" borderId="0" xfId="543" applyNumberFormat="1" applyFont="1"/>
    <xf numFmtId="0" fontId="33" fillId="0" borderId="0" xfId="4495" applyFont="1" applyAlignment="1">
      <alignment wrapText="1"/>
    </xf>
    <xf numFmtId="0" fontId="33" fillId="0" borderId="0" xfId="4495" applyFont="1" applyAlignment="1">
      <alignment horizontal="center"/>
    </xf>
    <xf numFmtId="0" fontId="33" fillId="0" borderId="0" xfId="4495" applyFont="1" applyAlignment="1">
      <alignment vertical="center" wrapText="1"/>
    </xf>
    <xf numFmtId="180" fontId="25" fillId="0" borderId="0" xfId="4495" applyNumberFormat="1" applyFont="1" applyAlignment="1">
      <alignment horizontal="center"/>
    </xf>
    <xf numFmtId="1" fontId="25" fillId="0" borderId="0" xfId="4495" applyNumberFormat="1" applyFont="1" applyAlignment="1">
      <alignment horizontal="center"/>
    </xf>
    <xf numFmtId="0" fontId="24" fillId="0" borderId="51" xfId="4495" applyFont="1" applyBorder="1" applyAlignment="1">
      <alignment horizontal="center"/>
    </xf>
    <xf numFmtId="0" fontId="24" fillId="0" borderId="51" xfId="4495" applyFont="1" applyBorder="1" applyAlignment="1">
      <alignment vertical="top"/>
    </xf>
    <xf numFmtId="0" fontId="24" fillId="0" borderId="53" xfId="4495" applyFont="1" applyBorder="1"/>
    <xf numFmtId="0" fontId="17" fillId="0" borderId="54" xfId="543" applyBorder="1"/>
    <xf numFmtId="49" fontId="25" fillId="0" borderId="0" xfId="4495" applyNumberFormat="1" applyFont="1" applyAlignment="1">
      <alignment horizontal="left" vertical="center" wrapText="1"/>
    </xf>
    <xf numFmtId="0" fontId="17" fillId="0" borderId="57" xfId="4495" applyFont="1" applyBorder="1"/>
    <xf numFmtId="1" fontId="17" fillId="0" borderId="0" xfId="4495" applyNumberFormat="1" applyFont="1" applyAlignment="1">
      <alignment vertical="center"/>
    </xf>
    <xf numFmtId="0" fontId="35" fillId="0" borderId="50" xfId="4495" applyFont="1" applyBorder="1"/>
    <xf numFmtId="0" fontId="25" fillId="0" borderId="51" xfId="4495" applyFont="1" applyBorder="1" applyAlignment="1">
      <alignment horizontal="center" vertical="top"/>
    </xf>
    <xf numFmtId="0" fontId="25" fillId="0" borderId="51" xfId="4495" applyFont="1" applyBorder="1" applyAlignment="1">
      <alignment vertical="top" wrapText="1"/>
    </xf>
    <xf numFmtId="0" fontId="25" fillId="0" borderId="51" xfId="4495" applyFont="1" applyBorder="1" applyAlignment="1">
      <alignment horizontal="left" vertical="top" wrapText="1"/>
    </xf>
    <xf numFmtId="0" fontId="17" fillId="0" borderId="0" xfId="4495" quotePrefix="1" applyFont="1" applyAlignment="1">
      <alignment horizontal="center" vertical="top"/>
    </xf>
    <xf numFmtId="1" fontId="25" fillId="0" borderId="0" xfId="4495" quotePrefix="1" applyNumberFormat="1" applyFont="1" applyAlignment="1">
      <alignment wrapText="1"/>
    </xf>
    <xf numFmtId="0" fontId="25" fillId="0" borderId="6" xfId="4495" applyFont="1" applyBorder="1" applyAlignment="1">
      <alignment horizontal="right"/>
    </xf>
    <xf numFmtId="0" fontId="122" fillId="0" borderId="0" xfId="4496" applyFont="1" applyAlignment="1">
      <alignment wrapText="1"/>
    </xf>
    <xf numFmtId="0" fontId="17" fillId="0" borderId="0" xfId="4496" applyFont="1" applyAlignment="1">
      <alignment wrapText="1"/>
    </xf>
    <xf numFmtId="0" fontId="33" fillId="0" borderId="51" xfId="4495" applyFont="1" applyBorder="1" applyAlignment="1">
      <alignment vertical="top"/>
    </xf>
    <xf numFmtId="0" fontId="17" fillId="0" borderId="51" xfId="4496" applyFont="1" applyBorder="1" applyAlignment="1">
      <alignment wrapText="1"/>
    </xf>
    <xf numFmtId="0" fontId="24" fillId="0" borderId="51" xfId="4495" applyFont="1" applyBorder="1" applyAlignment="1">
      <alignment horizontal="right"/>
    </xf>
    <xf numFmtId="0" fontId="17" fillId="0" borderId="52" xfId="4495" applyFont="1" applyBorder="1" applyAlignment="1">
      <alignment horizontal="center"/>
    </xf>
    <xf numFmtId="0" fontId="17" fillId="0" borderId="53" xfId="4495" applyFont="1" applyBorder="1" applyAlignment="1">
      <alignment horizontal="left" vertical="top"/>
    </xf>
    <xf numFmtId="0" fontId="17" fillId="0" borderId="54" xfId="4495" applyFont="1" applyBorder="1" applyAlignment="1">
      <alignment horizontal="left" vertical="top"/>
    </xf>
    <xf numFmtId="0" fontId="17" fillId="0" borderId="54" xfId="4495" applyFont="1" applyBorder="1" applyAlignment="1">
      <alignment horizontal="center"/>
    </xf>
    <xf numFmtId="0" fontId="17" fillId="0" borderId="59" xfId="4495" applyFont="1" applyBorder="1" applyAlignment="1">
      <alignment horizontal="center"/>
    </xf>
    <xf numFmtId="9" fontId="17" fillId="0" borderId="0" xfId="4496" applyNumberFormat="1" applyFont="1" applyAlignment="1">
      <alignment horizontal="center"/>
    </xf>
    <xf numFmtId="1" fontId="17" fillId="0" borderId="0" xfId="543" applyNumberFormat="1"/>
    <xf numFmtId="0" fontId="25" fillId="0" borderId="1" xfId="4495" applyFont="1" applyBorder="1"/>
    <xf numFmtId="0" fontId="24" fillId="0" borderId="0" xfId="4495" applyFont="1" applyAlignment="1">
      <alignment horizontal="center" wrapText="1"/>
    </xf>
    <xf numFmtId="0" fontId="24" fillId="0" borderId="9" xfId="4495" applyFont="1" applyBorder="1" applyAlignment="1">
      <alignment horizontal="left"/>
    </xf>
    <xf numFmtId="0" fontId="24" fillId="0" borderId="3" xfId="4495" applyFont="1" applyBorder="1" applyAlignment="1">
      <alignment horizontal="left"/>
    </xf>
    <xf numFmtId="0" fontId="24" fillId="0" borderId="4" xfId="4495" applyFont="1" applyBorder="1" applyAlignment="1">
      <alignment horizontal="left"/>
    </xf>
    <xf numFmtId="0" fontId="17" fillId="0" borderId="2" xfId="4495" applyFont="1" applyBorder="1" applyAlignment="1">
      <alignment horizontal="left"/>
    </xf>
    <xf numFmtId="0" fontId="24" fillId="0" borderId="2" xfId="4495" applyFont="1" applyBorder="1" applyAlignment="1">
      <alignment horizontal="left"/>
    </xf>
    <xf numFmtId="0" fontId="24" fillId="0" borderId="5" xfId="4495" applyFont="1" applyBorder="1" applyAlignment="1">
      <alignment horizontal="left"/>
    </xf>
    <xf numFmtId="180" fontId="64" fillId="0" borderId="0" xfId="4495" applyNumberFormat="1" applyFont="1" applyAlignment="1">
      <alignment horizontal="center" vertical="center"/>
    </xf>
    <xf numFmtId="0" fontId="17" fillId="0" borderId="12" xfId="4495" applyFont="1" applyBorder="1" applyAlignment="1">
      <alignment vertical="top"/>
    </xf>
    <xf numFmtId="0" fontId="47" fillId="0" borderId="0" xfId="4495" applyFont="1" applyAlignment="1">
      <alignment vertical="top" wrapText="1"/>
    </xf>
    <xf numFmtId="0" fontId="17" fillId="0" borderId="51" xfId="4495" applyFont="1" applyBorder="1" applyAlignment="1">
      <alignment horizontal="left" vertical="top" wrapText="1"/>
    </xf>
    <xf numFmtId="0" fontId="17" fillId="0" borderId="51" xfId="4495" applyFont="1" applyBorder="1" applyAlignment="1">
      <alignment horizontal="right"/>
    </xf>
    <xf numFmtId="0" fontId="17" fillId="0" borderId="52" xfId="4495" applyFont="1" applyBorder="1" applyAlignment="1">
      <alignment horizontal="right"/>
    </xf>
    <xf numFmtId="0" fontId="17" fillId="0" borderId="54" xfId="4495" applyFont="1" applyBorder="1" applyAlignment="1">
      <alignment horizontal="right"/>
    </xf>
    <xf numFmtId="0" fontId="17" fillId="0" borderId="58" xfId="4495" applyFont="1" applyBorder="1" applyAlignment="1">
      <alignment horizontal="left" vertical="top" wrapText="1"/>
    </xf>
    <xf numFmtId="0" fontId="17" fillId="0" borderId="58" xfId="4495" applyFont="1" applyBorder="1" applyAlignment="1">
      <alignment horizontal="right"/>
    </xf>
    <xf numFmtId="0" fontId="17" fillId="0" borderId="59" xfId="4495" applyFont="1" applyBorder="1" applyAlignment="1">
      <alignment horizontal="right"/>
    </xf>
    <xf numFmtId="0" fontId="47" fillId="0" borderId="0" xfId="4495" applyFont="1" applyAlignment="1">
      <alignment horizontal="left" vertical="top" wrapText="1"/>
    </xf>
    <xf numFmtId="0" fontId="17" fillId="0" borderId="0" xfId="1192" applyAlignment="1">
      <alignment horizontal="left" vertical="top"/>
    </xf>
    <xf numFmtId="0" fontId="35" fillId="0" borderId="0" xfId="1192" applyFont="1" applyAlignment="1">
      <alignment horizontal="left" vertical="top"/>
    </xf>
    <xf numFmtId="0" fontId="17" fillId="0" borderId="0" xfId="1192" applyAlignment="1">
      <alignment vertical="top"/>
    </xf>
    <xf numFmtId="168" fontId="17" fillId="0" borderId="0" xfId="1192" applyNumberFormat="1"/>
    <xf numFmtId="165" fontId="17" fillId="0" borderId="0" xfId="1192" applyNumberFormat="1"/>
    <xf numFmtId="165" fontId="17" fillId="0" borderId="0" xfId="1192" applyNumberFormat="1" applyAlignment="1">
      <alignment horizontal="right"/>
    </xf>
    <xf numFmtId="2" fontId="17" fillId="0" borderId="0" xfId="1192" applyNumberFormat="1"/>
    <xf numFmtId="6" fontId="17" fillId="0" borderId="0" xfId="1192" applyNumberFormat="1"/>
    <xf numFmtId="0" fontId="24" fillId="0" borderId="0" xfId="1192" applyFont="1"/>
    <xf numFmtId="0" fontId="47" fillId="0" borderId="0" xfId="1192" applyFont="1"/>
    <xf numFmtId="168" fontId="17" fillId="0" borderId="0" xfId="4495" applyNumberFormat="1" applyFont="1"/>
    <xf numFmtId="0" fontId="24" fillId="0" borderId="0" xfId="1192" applyFont="1" applyAlignment="1">
      <alignment vertical="center"/>
    </xf>
    <xf numFmtId="0" fontId="118" fillId="0" borderId="0" xfId="1192" applyFont="1" applyAlignment="1">
      <alignment horizontal="left"/>
    </xf>
    <xf numFmtId="0" fontId="115" fillId="0" borderId="0" xfId="1192" applyFont="1" applyAlignment="1">
      <alignment horizontal="left"/>
    </xf>
    <xf numFmtId="0" fontId="115" fillId="0" borderId="0" xfId="1192" applyFont="1" applyAlignment="1">
      <alignment horizontal="center"/>
    </xf>
    <xf numFmtId="168" fontId="17" fillId="0" borderId="0" xfId="1192" applyNumberFormat="1" applyAlignment="1">
      <alignment horizontal="center"/>
    </xf>
    <xf numFmtId="9" fontId="17" fillId="0" borderId="0" xfId="1192" applyNumberFormat="1"/>
    <xf numFmtId="0" fontId="17" fillId="0" borderId="0" xfId="1192" applyAlignment="1">
      <alignment horizontal="right"/>
    </xf>
    <xf numFmtId="0" fontId="17" fillId="0" borderId="53" xfId="4495" applyFont="1" applyBorder="1" applyAlignment="1">
      <alignment horizontal="left"/>
    </xf>
    <xf numFmtId="6" fontId="24" fillId="0" borderId="0" xfId="1192" applyNumberFormat="1" applyFont="1" applyAlignment="1">
      <alignment horizontal="right"/>
    </xf>
    <xf numFmtId="165" fontId="17" fillId="0" borderId="0" xfId="4495" applyNumberFormat="1" applyFont="1"/>
    <xf numFmtId="0" fontId="54" fillId="0" borderId="4" xfId="4495" applyFont="1" applyBorder="1"/>
    <xf numFmtId="0" fontId="37" fillId="0" borderId="0" xfId="543" applyFont="1" applyAlignment="1">
      <alignment vertical="center" wrapText="1"/>
    </xf>
    <xf numFmtId="1" fontId="24" fillId="0" borderId="13" xfId="271" applyNumberFormat="1" applyFont="1" applyBorder="1"/>
    <xf numFmtId="1" fontId="26" fillId="0" borderId="13" xfId="271" applyNumberFormat="1" applyBorder="1"/>
    <xf numFmtId="0" fontId="17" fillId="0" borderId="11" xfId="0" applyFont="1" applyBorder="1"/>
    <xf numFmtId="9" fontId="17" fillId="0" borderId="0" xfId="4495" applyNumberFormat="1" applyFont="1"/>
    <xf numFmtId="165" fontId="122" fillId="0" borderId="0" xfId="4496" applyNumberFormat="1" applyFont="1" applyAlignment="1">
      <alignment horizontal="center" vertical="top" wrapText="1"/>
    </xf>
    <xf numFmtId="168" fontId="122" fillId="0" borderId="0" xfId="4496" applyNumberFormat="1" applyFont="1" applyAlignment="1">
      <alignment vertical="top" wrapText="1"/>
    </xf>
    <xf numFmtId="165" fontId="122" fillId="0" borderId="64" xfId="4496" applyNumberFormat="1" applyFont="1" applyBorder="1" applyAlignment="1">
      <alignment horizontal="center" vertical="top" wrapText="1"/>
    </xf>
    <xf numFmtId="165" fontId="122" fillId="0" borderId="53" xfId="4496" applyNumberFormat="1" applyFont="1" applyBorder="1" applyAlignment="1">
      <alignment horizontal="left" vertical="top"/>
    </xf>
    <xf numFmtId="165" fontId="122" fillId="0" borderId="53" xfId="4496" applyNumberFormat="1" applyFont="1" applyBorder="1" applyAlignment="1">
      <alignment horizontal="center" vertical="top" wrapText="1"/>
    </xf>
    <xf numFmtId="168" fontId="122" fillId="0" borderId="0" xfId="4496" applyNumberFormat="1" applyFont="1" applyAlignment="1">
      <alignment vertical="top"/>
    </xf>
    <xf numFmtId="1" fontId="122" fillId="0" borderId="0" xfId="4496" applyNumberFormat="1" applyFont="1" applyAlignment="1">
      <alignment vertical="top" wrapText="1"/>
    </xf>
    <xf numFmtId="164" fontId="25" fillId="0" borderId="0" xfId="4495" applyNumberFormat="1" applyFont="1"/>
    <xf numFmtId="0" fontId="24" fillId="0" borderId="8" xfId="0" applyFont="1" applyBorder="1" applyAlignment="1">
      <alignment horizontal="center" vertical="center" wrapText="1"/>
    </xf>
    <xf numFmtId="0" fontId="24"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0" fontId="24" fillId="0" borderId="7" xfId="0" applyFont="1" applyBorder="1" applyAlignment="1">
      <alignment horizontal="right"/>
    </xf>
    <xf numFmtId="0" fontId="0" fillId="0" borderId="0" xfId="0" applyAlignment="1" applyProtection="1">
      <alignment horizontal="left" vertical="top" wrapText="1"/>
      <protection locked="0"/>
    </xf>
    <xf numFmtId="0" fontId="17" fillId="0" borderId="9" xfId="0" applyFont="1" applyBorder="1" applyAlignment="1">
      <alignment horizontal="left"/>
    </xf>
    <xf numFmtId="0" fontId="17" fillId="0" borderId="6" xfId="0" applyFont="1" applyBorder="1"/>
    <xf numFmtId="0" fontId="17" fillId="0" borderId="9" xfId="0" applyFont="1" applyBorder="1"/>
    <xf numFmtId="0" fontId="50" fillId="0" borderId="0" xfId="0" applyFont="1" applyAlignment="1">
      <alignment horizontal="center"/>
    </xf>
    <xf numFmtId="0" fontId="23" fillId="0" borderId="0" xfId="0" applyFont="1" applyAlignment="1">
      <alignment horizontal="center" vertical="center" wrapText="1"/>
    </xf>
    <xf numFmtId="0" fontId="32" fillId="0" borderId="0" xfId="0" applyFont="1" applyAlignment="1">
      <alignment horizontal="center"/>
    </xf>
    <xf numFmtId="0" fontId="25" fillId="0" borderId="0" xfId="0" applyFont="1" applyAlignment="1">
      <alignment horizontal="center"/>
    </xf>
    <xf numFmtId="0" fontId="24" fillId="0" borderId="3" xfId="0" applyFont="1" applyBorder="1"/>
    <xf numFmtId="0" fontId="24" fillId="0" borderId="4" xfId="271" applyFont="1" applyBorder="1"/>
    <xf numFmtId="0" fontId="24" fillId="0" borderId="3" xfId="271" applyFont="1" applyBorder="1"/>
    <xf numFmtId="0" fontId="24" fillId="0" borderId="5" xfId="271" applyFont="1" applyBorder="1"/>
    <xf numFmtId="0" fontId="17" fillId="0" borderId="58" xfId="4495" applyFont="1" applyBorder="1" applyAlignment="1">
      <alignment vertical="center" wrapText="1"/>
    </xf>
    <xf numFmtId="0" fontId="17" fillId="0" borderId="59" xfId="4495" applyFont="1" applyBorder="1" applyAlignment="1">
      <alignment vertical="center" wrapText="1"/>
    </xf>
    <xf numFmtId="0" fontId="17" fillId="0" borderId="0" xfId="4495" applyFont="1" applyAlignment="1">
      <alignment horizontal="left" vertical="center" wrapText="1"/>
    </xf>
    <xf numFmtId="0" fontId="24" fillId="0" borderId="5" xfId="0" applyFont="1" applyBorder="1"/>
    <xf numFmtId="168" fontId="22" fillId="43" borderId="0" xfId="0" applyNumberFormat="1" applyFont="1" applyFill="1"/>
    <xf numFmtId="9" fontId="25" fillId="0" borderId="0" xfId="543" applyNumberFormat="1" applyFont="1" applyAlignment="1">
      <alignment horizontal="center"/>
    </xf>
    <xf numFmtId="171" fontId="17" fillId="0" borderId="0" xfId="543" applyNumberFormat="1"/>
    <xf numFmtId="171" fontId="17" fillId="0" borderId="11" xfId="543" applyNumberFormat="1" applyBorder="1"/>
    <xf numFmtId="1" fontId="17" fillId="0" borderId="11" xfId="543" applyNumberFormat="1" applyBorder="1" applyAlignment="1">
      <alignment horizontal="center"/>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37" fillId="0" borderId="12" xfId="543" applyFont="1" applyBorder="1" applyAlignment="1">
      <alignment horizontal="center" vertical="top"/>
    </xf>
    <xf numFmtId="0" fontId="38" fillId="0" borderId="7" xfId="543" applyFont="1" applyBorder="1"/>
    <xf numFmtId="0" fontId="17" fillId="0" borderId="12" xfId="543" quotePrefix="1" applyBorder="1"/>
    <xf numFmtId="0" fontId="53" fillId="0" borderId="2" xfId="569" applyFont="1" applyBorder="1" applyAlignment="1">
      <alignment vertical="top"/>
    </xf>
    <xf numFmtId="0" fontId="27" fillId="0" borderId="0" xfId="4495" applyFont="1"/>
    <xf numFmtId="0" fontId="17" fillId="0" borderId="0" xfId="4495" applyFont="1" applyAlignment="1">
      <alignment vertical="top" wrapText="1" shrinkToFit="1"/>
    </xf>
    <xf numFmtId="0" fontId="146" fillId="0" borderId="0" xfId="4495" applyFont="1"/>
    <xf numFmtId="164" fontId="17" fillId="0" borderId="0" xfId="1192" applyNumberFormat="1" applyAlignment="1">
      <alignment horizontal="right"/>
    </xf>
    <xf numFmtId="164" fontId="17" fillId="0" borderId="0" xfId="4495" applyNumberFormat="1" applyFont="1" applyAlignment="1">
      <alignment horizontal="right"/>
    </xf>
    <xf numFmtId="0" fontId="17" fillId="0" borderId="0" xfId="4495" applyFont="1" applyAlignment="1">
      <alignment horizontal="left" vertical="top" wrapText="1" shrinkToFit="1"/>
    </xf>
    <xf numFmtId="0" fontId="17" fillId="0" borderId="6" xfId="4495" applyFont="1" applyBorder="1" applyAlignment="1">
      <alignment vertical="top" wrapText="1"/>
    </xf>
    <xf numFmtId="0" fontId="146" fillId="0" borderId="4" xfId="4495" applyFont="1" applyBorder="1"/>
    <xf numFmtId="0" fontId="17" fillId="0" borderId="4" xfId="4495" applyFont="1" applyBorder="1" applyAlignment="1">
      <alignment horizontal="left" vertical="top" wrapText="1" shrinkToFit="1"/>
    </xf>
    <xf numFmtId="0" fontId="27" fillId="0" borderId="0" xfId="4495" applyFont="1" applyAlignment="1">
      <alignment horizontal="left" vertical="top"/>
    </xf>
    <xf numFmtId="0" fontId="17" fillId="0" borderId="0" xfId="4495" applyFont="1" applyAlignment="1">
      <alignment vertical="center" wrapText="1" shrinkToFit="1"/>
    </xf>
    <xf numFmtId="0" fontId="17" fillId="0" borderId="0" xfId="4495" applyFont="1" applyAlignment="1">
      <alignment horizontal="left" vertical="top" shrinkToFit="1"/>
    </xf>
    <xf numFmtId="0" fontId="17" fillId="0" borderId="0" xfId="4495" applyFont="1" applyAlignment="1">
      <alignment horizontal="left" vertical="center" shrinkToFit="1"/>
    </xf>
    <xf numFmtId="0" fontId="27" fillId="0" borderId="4" xfId="4495" applyFont="1" applyBorder="1"/>
    <xf numFmtId="0" fontId="17" fillId="0" borderId="4" xfId="4495" applyFont="1" applyBorder="1" applyAlignment="1">
      <alignment horizontal="left" vertical="top" shrinkToFit="1"/>
    </xf>
    <xf numFmtId="0" fontId="17" fillId="0" borderId="0" xfId="4495" applyFont="1" applyAlignment="1">
      <alignment vertical="center"/>
    </xf>
    <xf numFmtId="0" fontId="23" fillId="0" borderId="0" xfId="4495" applyFont="1"/>
    <xf numFmtId="0" fontId="27" fillId="0" borderId="0" xfId="4495" applyFont="1" applyAlignment="1">
      <alignment horizontal="center"/>
    </xf>
    <xf numFmtId="0" fontId="17" fillId="0" borderId="4" xfId="4495" applyFont="1" applyBorder="1" applyAlignment="1">
      <alignment horizontal="left" vertical="top" wrapText="1"/>
    </xf>
    <xf numFmtId="44" fontId="17" fillId="0" borderId="0" xfId="707" applyFont="1" applyFill="1" applyBorder="1" applyAlignment="1" applyProtection="1">
      <alignment horizontal="left" vertical="top" wrapText="1"/>
    </xf>
    <xf numFmtId="44" fontId="17" fillId="0" borderId="4" xfId="707" applyFont="1" applyFill="1" applyBorder="1" applyAlignment="1" applyProtection="1">
      <alignment horizontal="left" vertical="top" wrapText="1"/>
    </xf>
    <xf numFmtId="164" fontId="35" fillId="0" borderId="0" xfId="4495" applyNumberFormat="1" applyFont="1" applyAlignment="1">
      <alignment horizontal="left"/>
    </xf>
    <xf numFmtId="0" fontId="27" fillId="0" borderId="0" xfId="4495" applyFont="1" applyAlignment="1">
      <alignment horizontal="left"/>
    </xf>
    <xf numFmtId="0" fontId="17" fillId="0" borderId="4" xfId="4495" applyFont="1" applyBorder="1" applyAlignment="1">
      <alignment vertical="top" wrapText="1"/>
    </xf>
    <xf numFmtId="0" fontId="27" fillId="0" borderId="4" xfId="4495" applyFont="1" applyBorder="1" applyAlignment="1">
      <alignment horizontal="left" vertical="top"/>
    </xf>
    <xf numFmtId="0" fontId="17" fillId="0" borderId="0" xfId="4495" applyFont="1" applyAlignment="1">
      <alignment horizontal="left" vertical="center" wrapText="1" shrinkToFit="1"/>
    </xf>
    <xf numFmtId="0" fontId="17" fillId="0" borderId="6" xfId="4495" applyFont="1" applyBorder="1" applyAlignment="1">
      <alignment horizontal="left" vertical="top" wrapText="1"/>
    </xf>
    <xf numFmtId="2" fontId="118" fillId="0" borderId="0" xfId="0" applyNumberFormat="1" applyFont="1" applyAlignment="1">
      <alignment horizontal="center"/>
    </xf>
    <xf numFmtId="9" fontId="17" fillId="0" borderId="0" xfId="4494" applyFont="1" applyAlignment="1">
      <alignment horizontal="center"/>
    </xf>
    <xf numFmtId="3" fontId="17" fillId="0" borderId="0" xfId="0" applyNumberFormat="1" applyFont="1"/>
    <xf numFmtId="10" fontId="17" fillId="0" borderId="0" xfId="0" applyNumberFormat="1" applyFont="1" applyAlignment="1">
      <alignment horizontal="center"/>
    </xf>
    <xf numFmtId="168" fontId="17" fillId="0" borderId="0" xfId="0" applyNumberFormat="1" applyFont="1"/>
    <xf numFmtId="172" fontId="17" fillId="0" borderId="11" xfId="0" applyNumberFormat="1" applyFont="1" applyBorder="1" applyAlignment="1">
      <alignment horizontal="center"/>
    </xf>
    <xf numFmtId="168" fontId="17" fillId="5" borderId="0" xfId="0" applyNumberFormat="1" applyFont="1" applyFill="1"/>
    <xf numFmtId="3" fontId="17" fillId="5" borderId="0" xfId="0" applyNumberFormat="1" applyFont="1" applyFill="1"/>
    <xf numFmtId="0" fontId="17" fillId="5" borderId="0" xfId="0" applyFont="1" applyFill="1"/>
    <xf numFmtId="3" fontId="17" fillId="5" borderId="6" xfId="0" applyNumberFormat="1" applyFont="1" applyFill="1" applyBorder="1"/>
    <xf numFmtId="3" fontId="17" fillId="0" borderId="6" xfId="0" applyNumberFormat="1" applyFont="1" applyBorder="1"/>
    <xf numFmtId="168" fontId="17" fillId="0" borderId="0" xfId="0" applyNumberFormat="1" applyFont="1" applyAlignment="1">
      <alignment horizontal="center"/>
    </xf>
    <xf numFmtId="3" fontId="17" fillId="0" borderId="0" xfId="0" applyNumberFormat="1" applyFont="1" applyAlignment="1">
      <alignment horizontal="center"/>
    </xf>
    <xf numFmtId="0" fontId="17" fillId="0" borderId="50" xfId="4495" applyFont="1" applyBorder="1" applyAlignment="1">
      <alignment vertical="center"/>
    </xf>
    <xf numFmtId="0" fontId="17" fillId="0" borderId="51" xfId="4495" applyFont="1" applyBorder="1" applyAlignment="1">
      <alignment vertical="center"/>
    </xf>
    <xf numFmtId="0" fontId="17" fillId="0" borderId="52" xfId="4495" applyFont="1" applyBorder="1" applyAlignment="1">
      <alignment vertical="center"/>
    </xf>
    <xf numFmtId="0" fontId="17" fillId="0" borderId="54" xfId="4495" applyFont="1" applyBorder="1" applyAlignment="1">
      <alignment vertical="center" wrapText="1"/>
    </xf>
    <xf numFmtId="0" fontId="17" fillId="0" borderId="53" xfId="4495" applyFont="1" applyBorder="1" applyAlignment="1">
      <alignment vertical="top" wrapText="1"/>
    </xf>
    <xf numFmtId="0" fontId="17" fillId="0" borderId="58" xfId="0" applyFont="1" applyBorder="1" applyAlignment="1">
      <alignment horizontal="left"/>
    </xf>
    <xf numFmtId="9" fontId="17" fillId="0" borderId="0" xfId="543" applyNumberFormat="1" applyAlignment="1">
      <alignment horizontal="center"/>
    </xf>
    <xf numFmtId="0" fontId="49" fillId="0" borderId="0" xfId="4496" applyFont="1"/>
    <xf numFmtId="168" fontId="53" fillId="5" borderId="11" xfId="0" applyNumberFormat="1" applyFont="1" applyFill="1" applyBorder="1" applyAlignment="1" applyProtection="1">
      <alignment vertical="top" wrapText="1"/>
      <protection locked="0"/>
    </xf>
    <xf numFmtId="0" fontId="17" fillId="0" borderId="0" xfId="0" applyFont="1" applyAlignment="1">
      <alignment horizontal="left" wrapText="1"/>
    </xf>
    <xf numFmtId="4" fontId="35" fillId="0" borderId="0" xfId="0" applyNumberFormat="1" applyFont="1" applyAlignment="1">
      <alignment horizontal="left"/>
    </xf>
    <xf numFmtId="4" fontId="17" fillId="0" borderId="0" xfId="0" applyNumberFormat="1" applyFont="1" applyAlignment="1">
      <alignment horizontal="left" vertical="top" wrapText="1"/>
    </xf>
    <xf numFmtId="0" fontId="24" fillId="0" borderId="4" xfId="0" applyFont="1" applyBorder="1" applyAlignment="1">
      <alignment horizontal="left"/>
    </xf>
    <xf numFmtId="4" fontId="17" fillId="0" borderId="0" xfId="0" applyNumberFormat="1" applyFont="1" applyAlignment="1">
      <alignment horizontal="left"/>
    </xf>
    <xf numFmtId="43" fontId="51" fillId="0" borderId="0" xfId="4503" applyFont="1" applyAlignment="1" applyProtection="1">
      <alignment horizontal="center"/>
    </xf>
    <xf numFmtId="43" fontId="17" fillId="0" borderId="0" xfId="4503" applyFont="1" applyAlignment="1" applyProtection="1">
      <alignment horizontal="center"/>
    </xf>
    <xf numFmtId="43" fontId="17" fillId="0" borderId="0" xfId="4503" applyFont="1" applyProtection="1"/>
    <xf numFmtId="49" fontId="17" fillId="0" borderId="0" xfId="0" applyNumberFormat="1" applyFont="1"/>
    <xf numFmtId="49" fontId="17" fillId="0" borderId="0" xfId="0" applyNumberFormat="1" applyFont="1" applyAlignment="1">
      <alignment horizontal="center"/>
    </xf>
    <xf numFmtId="4" fontId="17" fillId="0" borderId="0" xfId="0" applyNumberFormat="1" applyFont="1" applyAlignment="1">
      <alignment vertical="top" wrapText="1"/>
    </xf>
    <xf numFmtId="0" fontId="17" fillId="0" borderId="0" xfId="0" quotePrefix="1" applyFont="1"/>
    <xf numFmtId="0" fontId="47" fillId="0" borderId="0" xfId="0" applyFont="1" applyAlignment="1">
      <alignment horizontal="left"/>
    </xf>
    <xf numFmtId="0" fontId="17" fillId="0" borderId="4" xfId="0" applyFont="1" applyBorder="1" applyAlignment="1">
      <alignment horizontal="left"/>
    </xf>
    <xf numFmtId="0" fontId="17" fillId="0" borderId="0" xfId="0" quotePrefix="1" applyFont="1" applyAlignment="1">
      <alignment horizontal="left"/>
    </xf>
    <xf numFmtId="0" fontId="17" fillId="0" borderId="0" xfId="0" quotePrefix="1" applyFont="1" applyAlignment="1">
      <alignment horizontal="left" vertical="top"/>
    </xf>
    <xf numFmtId="0" fontId="47" fillId="0" borderId="0" xfId="1192" applyFont="1" applyAlignment="1">
      <alignment horizontal="left"/>
    </xf>
    <xf numFmtId="0" fontId="51" fillId="0" borderId="0" xfId="0" applyFont="1" applyAlignment="1">
      <alignment horizontal="center" vertical="center"/>
    </xf>
    <xf numFmtId="49" fontId="24" fillId="0" borderId="0" xfId="0" applyNumberFormat="1" applyFont="1" applyAlignment="1">
      <alignment horizontal="center" vertical="center"/>
    </xf>
    <xf numFmtId="49" fontId="17" fillId="0" borderId="0" xfId="0" applyNumberFormat="1" applyFont="1" applyAlignment="1">
      <alignment vertical="center"/>
    </xf>
    <xf numFmtId="4" fontId="17" fillId="0" borderId="0" xfId="0" applyNumberFormat="1" applyFont="1" applyAlignment="1">
      <alignment horizontal="center"/>
    </xf>
    <xf numFmtId="4" fontId="17" fillId="0" borderId="0" xfId="0" applyNumberFormat="1" applyFont="1"/>
    <xf numFmtId="10" fontId="17" fillId="0" borderId="0" xfId="4495" applyNumberFormat="1" applyFont="1"/>
    <xf numFmtId="10" fontId="122" fillId="0" borderId="0" xfId="4496" applyNumberFormat="1" applyFont="1" applyAlignment="1">
      <alignment horizontal="center" vertical="top" wrapText="1"/>
    </xf>
    <xf numFmtId="10" fontId="122" fillId="0" borderId="64" xfId="4496" applyNumberFormat="1" applyFont="1" applyBorder="1" applyAlignment="1">
      <alignment horizontal="center" vertical="top" wrapText="1"/>
    </xf>
    <xf numFmtId="10" fontId="122"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7" fillId="0" borderId="0" xfId="1192" quotePrefix="1" applyNumberFormat="1" applyAlignment="1">
      <alignment horizontal="center"/>
    </xf>
    <xf numFmtId="0" fontId="122" fillId="0" borderId="0" xfId="4495" applyFont="1"/>
    <xf numFmtId="10" fontId="122" fillId="0" borderId="0" xfId="4495" applyNumberFormat="1" applyFont="1"/>
    <xf numFmtId="172" fontId="17" fillId="0" borderId="0" xfId="4495" applyNumberFormat="1" applyFont="1"/>
    <xf numFmtId="0" fontId="40" fillId="0" borderId="0" xfId="0" applyFont="1" applyAlignment="1">
      <alignment horizontal="center"/>
    </xf>
    <xf numFmtId="0" fontId="36" fillId="0" borderId="0" xfId="0" applyFont="1" applyAlignment="1">
      <alignment horizontal="left"/>
    </xf>
    <xf numFmtId="0" fontId="0" fillId="0" borderId="10" xfId="0" applyBorder="1" applyAlignment="1">
      <alignment horizontal="left"/>
    </xf>
    <xf numFmtId="1" fontId="17" fillId="0" borderId="0" xfId="1192" applyNumberFormat="1" applyAlignment="1">
      <alignment horizontal="center"/>
    </xf>
    <xf numFmtId="0" fontId="120" fillId="0" borderId="63" xfId="4495" applyBorder="1"/>
    <xf numFmtId="0" fontId="53" fillId="0" borderId="0" xfId="271" applyFont="1" applyAlignment="1">
      <alignment vertical="top"/>
    </xf>
    <xf numFmtId="0" fontId="24" fillId="0" borderId="11" xfId="0" applyFont="1" applyBorder="1" applyAlignment="1">
      <alignment horizontal="right" vertical="top" wrapText="1"/>
    </xf>
    <xf numFmtId="0" fontId="26" fillId="0" borderId="11" xfId="271" applyBorder="1" applyAlignment="1" applyProtection="1">
      <alignment horizontal="right" vertical="top" wrapText="1"/>
      <protection locked="0"/>
    </xf>
    <xf numFmtId="0" fontId="17" fillId="0" borderId="54" xfId="4495" applyFont="1" applyBorder="1" applyAlignment="1">
      <alignment vertical="top"/>
    </xf>
    <xf numFmtId="9" fontId="26" fillId="0" borderId="0" xfId="0" applyNumberFormat="1" applyFont="1"/>
    <xf numFmtId="0" fontId="17" fillId="0" borderId="16" xfId="569" applyBorder="1" applyAlignment="1">
      <alignment horizontal="center"/>
    </xf>
    <xf numFmtId="164" fontId="17" fillId="0" borderId="57" xfId="4495" applyNumberFormat="1" applyFont="1" applyBorder="1" applyAlignment="1">
      <alignment vertical="top" wrapText="1"/>
    </xf>
    <xf numFmtId="164" fontId="17" fillId="0" borderId="58" xfId="4495" applyNumberFormat="1" applyFont="1" applyBorder="1" applyAlignment="1">
      <alignment vertical="top" wrapText="1"/>
    </xf>
    <xf numFmtId="164" fontId="17" fillId="0" borderId="59" xfId="4495" applyNumberFormat="1" applyFont="1" applyBorder="1" applyAlignment="1">
      <alignment vertical="top" wrapText="1"/>
    </xf>
    <xf numFmtId="0" fontId="24" fillId="0" borderId="0" xfId="1192" applyFont="1" applyAlignment="1">
      <alignment horizontal="left" vertical="top" wrapText="1"/>
    </xf>
    <xf numFmtId="0" fontId="17" fillId="0" borderId="16" xfId="569" applyBorder="1"/>
    <xf numFmtId="0" fontId="17" fillId="0" borderId="4" xfId="569" applyBorder="1"/>
    <xf numFmtId="0" fontId="24" fillId="0" borderId="4" xfId="569" applyFont="1" applyBorder="1"/>
    <xf numFmtId="49" fontId="17" fillId="0" borderId="4" xfId="569" applyNumberFormat="1" applyBorder="1"/>
    <xf numFmtId="0" fontId="149" fillId="0" borderId="0" xfId="0" applyFont="1"/>
    <xf numFmtId="0" fontId="17" fillId="0" borderId="0" xfId="0" applyFont="1" applyAlignment="1">
      <alignment horizontal="right"/>
    </xf>
    <xf numFmtId="1" fontId="17" fillId="0" borderId="0" xfId="0" applyNumberFormat="1" applyFont="1" applyAlignment="1">
      <alignment horizontal="center"/>
    </xf>
    <xf numFmtId="0" fontId="24" fillId="0" borderId="0" xfId="0" applyFont="1" applyAlignment="1">
      <alignment horizontal="left" vertical="center"/>
    </xf>
    <xf numFmtId="0" fontId="17" fillId="0" borderId="0" xfId="0" applyFont="1" applyAlignment="1">
      <alignment horizontal="left" vertical="center"/>
    </xf>
    <xf numFmtId="0" fontId="24" fillId="0" borderId="0" xfId="569" applyFont="1" applyAlignment="1">
      <alignment vertical="top"/>
    </xf>
    <xf numFmtId="0" fontId="18" fillId="0" borderId="0" xfId="244" applyAlignment="1"/>
    <xf numFmtId="0" fontId="24" fillId="0" borderId="0" xfId="0" applyFont="1" applyAlignment="1">
      <alignment vertical="top" wrapText="1"/>
    </xf>
    <xf numFmtId="49" fontId="24" fillId="0" borderId="0" xfId="0" applyNumberFormat="1" applyFont="1"/>
    <xf numFmtId="49" fontId="24" fillId="0" borderId="0" xfId="0" applyNumberFormat="1" applyFont="1" applyAlignment="1">
      <alignment vertical="top"/>
    </xf>
    <xf numFmtId="0" fontId="40" fillId="0" borderId="11" xfId="0" applyFont="1" applyBorder="1"/>
    <xf numFmtId="175" fontId="17" fillId="0" borderId="0" xfId="543" applyNumberFormat="1" applyAlignment="1">
      <alignment vertical="center"/>
    </xf>
    <xf numFmtId="0" fontId="98" fillId="43" borderId="6" xfId="4496" applyFont="1" applyFill="1" applyBorder="1" applyAlignment="1" applyProtection="1">
      <alignment horizontal="center"/>
      <protection locked="0"/>
    </xf>
    <xf numFmtId="0" fontId="98" fillId="0" borderId="0" xfId="4496" applyFont="1"/>
    <xf numFmtId="0" fontId="98"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8" fillId="0" borderId="0" xfId="4496" applyNumberFormat="1" applyFont="1" applyAlignment="1">
      <alignment horizontal="center"/>
    </xf>
    <xf numFmtId="182" fontId="98" fillId="0" borderId="6" xfId="4496" applyNumberFormat="1" applyFont="1" applyBorder="1"/>
    <xf numFmtId="0" fontId="98" fillId="0" borderId="0" xfId="4496" applyFont="1" applyAlignment="1">
      <alignment vertical="center"/>
    </xf>
    <xf numFmtId="182" fontId="98" fillId="0" borderId="0" xfId="4496" applyNumberFormat="1" applyFont="1" applyAlignment="1">
      <alignment vertical="center"/>
    </xf>
    <xf numFmtId="175" fontId="98" fillId="0" borderId="0" xfId="4499" applyNumberFormat="1" applyFont="1" applyFill="1" applyBorder="1" applyAlignment="1" applyProtection="1">
      <alignment horizontal="left" vertical="center"/>
    </xf>
    <xf numFmtId="9" fontId="98" fillId="0" borderId="0" xfId="4499" applyFont="1" applyFill="1" applyBorder="1" applyAlignment="1" applyProtection="1">
      <alignment vertical="center"/>
    </xf>
    <xf numFmtId="183" fontId="98" fillId="0" borderId="0" xfId="4496" applyNumberFormat="1" applyFont="1" applyAlignment="1">
      <alignment vertical="center" wrapText="1"/>
    </xf>
    <xf numFmtId="9" fontId="98" fillId="0" borderId="0" xfId="4499" applyFont="1" applyBorder="1" applyAlignment="1" applyProtection="1">
      <alignment vertical="center"/>
    </xf>
    <xf numFmtId="164" fontId="98" fillId="0" borderId="0" xfId="4496" applyNumberFormat="1" applyFont="1" applyAlignment="1">
      <alignment vertical="center" wrapText="1"/>
    </xf>
    <xf numFmtId="0" fontId="98" fillId="0" borderId="0" xfId="4496" applyFont="1" applyAlignment="1">
      <alignment horizontal="center" vertical="center"/>
    </xf>
    <xf numFmtId="182" fontId="98" fillId="0" borderId="11" xfId="8721" applyNumberFormat="1" applyFont="1" applyBorder="1" applyProtection="1"/>
    <xf numFmtId="182" fontId="98" fillId="0" borderId="11" xfId="4496" applyNumberFormat="1" applyFont="1" applyBorder="1"/>
    <xf numFmtId="164" fontId="98" fillId="0" borderId="0" xfId="4496" applyNumberFormat="1" applyFont="1" applyAlignment="1">
      <alignment wrapText="1"/>
    </xf>
    <xf numFmtId="49" fontId="98" fillId="0" borderId="0" xfId="4496" applyNumberFormat="1" applyFont="1" applyAlignment="1">
      <alignment horizontal="left"/>
    </xf>
    <xf numFmtId="0" fontId="140" fillId="0" borderId="0" xfId="4496" applyFont="1"/>
    <xf numFmtId="9" fontId="98" fillId="0" borderId="11" xfId="4494" applyFont="1" applyFill="1" applyBorder="1" applyAlignment="1" applyProtection="1">
      <alignment horizontal="right"/>
    </xf>
    <xf numFmtId="1" fontId="98" fillId="0" borderId="0" xfId="4496" applyNumberFormat="1" applyFont="1"/>
    <xf numFmtId="0" fontId="137" fillId="45" borderId="3" xfId="4496" applyFont="1" applyFill="1" applyBorder="1" applyAlignment="1">
      <alignment horizontal="left" indent="1"/>
    </xf>
    <xf numFmtId="0" fontId="98" fillId="45" borderId="4" xfId="4496" applyFont="1" applyFill="1" applyBorder="1"/>
    <xf numFmtId="2" fontId="98" fillId="45" borderId="5" xfId="4496" applyNumberFormat="1" applyFont="1" applyFill="1" applyBorder="1"/>
    <xf numFmtId="181" fontId="98" fillId="0" borderId="0" xfId="4496" applyNumberFormat="1" applyFont="1"/>
    <xf numFmtId="165" fontId="138" fillId="0" borderId="0" xfId="4499" applyNumberFormat="1" applyFont="1" applyFill="1" applyBorder="1" applyProtection="1"/>
    <xf numFmtId="9" fontId="98" fillId="0" borderId="0" xfId="4494" applyFont="1" applyFill="1" applyProtection="1"/>
    <xf numFmtId="0" fontId="98" fillId="0" borderId="11" xfId="4496" applyFont="1" applyBorder="1" applyAlignment="1">
      <alignment horizontal="center"/>
    </xf>
    <xf numFmtId="2" fontId="98" fillId="0" borderId="11" xfId="4496" applyNumberFormat="1" applyFont="1" applyBorder="1" applyAlignment="1">
      <alignment horizontal="center"/>
    </xf>
    <xf numFmtId="0" fontId="98" fillId="0" borderId="0" xfId="4496" applyFont="1" applyAlignment="1">
      <alignment vertical="top" wrapText="1"/>
    </xf>
    <xf numFmtId="0" fontId="98" fillId="0" borderId="11" xfId="4496" applyFont="1" applyBorder="1" applyAlignment="1">
      <alignment horizontal="center" vertical="top" wrapText="1"/>
    </xf>
    <xf numFmtId="182" fontId="98" fillId="0" borderId="0" xfId="8721" applyNumberFormat="1" applyFont="1" applyBorder="1" applyProtection="1"/>
    <xf numFmtId="0" fontId="98" fillId="0" borderId="0" xfId="4496" applyFont="1" applyAlignment="1">
      <alignment horizontal="left" indent="1"/>
    </xf>
    <xf numFmtId="182" fontId="98" fillId="0" borderId="0" xfId="4496" applyNumberFormat="1" applyFont="1"/>
    <xf numFmtId="184" fontId="98" fillId="0" borderId="0" xfId="4496" applyNumberFormat="1" applyFont="1"/>
    <xf numFmtId="0" fontId="98" fillId="0" borderId="0" xfId="4496" applyFont="1" applyAlignment="1">
      <alignment horizontal="left"/>
    </xf>
    <xf numFmtId="0" fontId="98" fillId="0" borderId="0" xfId="4496" applyFont="1" applyAlignment="1">
      <alignment horizontal="center"/>
    </xf>
    <xf numFmtId="3" fontId="22" fillId="0" borderId="11" xfId="271" applyNumberFormat="1" applyFont="1" applyBorder="1" applyAlignment="1">
      <alignment horizontal="center"/>
    </xf>
    <xf numFmtId="3" fontId="22" fillId="43" borderId="11" xfId="271" applyNumberFormat="1" applyFont="1" applyFill="1" applyBorder="1" applyProtection="1">
      <protection locked="0"/>
    </xf>
    <xf numFmtId="0" fontId="98" fillId="0" borderId="0" xfId="4496" applyFont="1" applyAlignment="1">
      <alignment horizontal="right"/>
    </xf>
    <xf numFmtId="168" fontId="26" fillId="0" borderId="0" xfId="0" applyNumberFormat="1" applyFont="1"/>
    <xf numFmtId="0" fontId="98" fillId="0" borderId="15" xfId="4496" applyFont="1" applyBorder="1" applyAlignment="1">
      <alignment horizontal="center" vertical="top" wrapText="1"/>
    </xf>
    <xf numFmtId="2" fontId="98" fillId="0" borderId="15" xfId="4496" applyNumberFormat="1" applyFont="1" applyBorder="1" applyAlignment="1">
      <alignment horizontal="center"/>
    </xf>
    <xf numFmtId="0" fontId="98"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8" fillId="0" borderId="0" xfId="4499" applyNumberFormat="1" applyFont="1" applyFill="1" applyBorder="1" applyAlignment="1" applyProtection="1">
      <alignment horizontal="right" vertical="center"/>
    </xf>
    <xf numFmtId="5" fontId="98" fillId="0" borderId="6" xfId="4496" applyNumberFormat="1" applyFont="1" applyBorder="1" applyAlignment="1">
      <alignment vertical="center"/>
    </xf>
    <xf numFmtId="0" fontId="98" fillId="0" borderId="66" xfId="4496" applyFont="1" applyBorder="1" applyAlignment="1">
      <alignment vertical="center"/>
    </xf>
    <xf numFmtId="0" fontId="98" fillId="0" borderId="41" xfId="4496" applyFont="1" applyBorder="1" applyAlignment="1">
      <alignment vertical="center"/>
    </xf>
    <xf numFmtId="182" fontId="98" fillId="0" borderId="73" xfId="4496" applyNumberFormat="1" applyFont="1" applyBorder="1" applyAlignment="1">
      <alignment vertical="center"/>
    </xf>
    <xf numFmtId="175" fontId="98" fillId="0" borderId="42" xfId="4499" applyNumberFormat="1" applyFont="1" applyFill="1" applyBorder="1" applyAlignment="1" applyProtection="1">
      <alignment horizontal="left" vertical="center"/>
    </xf>
    <xf numFmtId="0" fontId="98" fillId="0" borderId="42" xfId="4496" applyFont="1" applyBorder="1" applyAlignment="1">
      <alignment vertical="center"/>
    </xf>
    <xf numFmtId="0" fontId="98" fillId="0" borderId="44" xfId="4496" applyFont="1" applyBorder="1" applyAlignment="1">
      <alignment vertical="center"/>
    </xf>
    <xf numFmtId="49" fontId="98" fillId="0" borderId="0" xfId="4496" applyNumberFormat="1" applyFont="1" applyAlignment="1">
      <alignment horizontal="center" vertical="center"/>
    </xf>
    <xf numFmtId="0" fontId="98" fillId="0" borderId="65" xfId="4496" applyFont="1" applyBorder="1" applyAlignment="1">
      <alignment vertical="center"/>
    </xf>
    <xf numFmtId="0" fontId="98" fillId="0" borderId="29" xfId="4496" applyFont="1" applyBorder="1" applyAlignment="1">
      <alignment vertical="center"/>
    </xf>
    <xf numFmtId="0" fontId="98" fillId="0" borderId="29" xfId="4496" applyFont="1" applyBorder="1" applyAlignment="1">
      <alignment horizontal="right" vertical="center"/>
    </xf>
    <xf numFmtId="5" fontId="98" fillId="0" borderId="29" xfId="4496" applyNumberFormat="1" applyFont="1" applyBorder="1" applyAlignment="1">
      <alignment vertical="center"/>
    </xf>
    <xf numFmtId="0" fontId="98"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8" fillId="0" borderId="0" xfId="4496" applyFont="1" applyAlignment="1">
      <alignment horizontal="right" vertical="top" wrapText="1" indent="1"/>
    </xf>
    <xf numFmtId="182" fontId="98" fillId="0" borderId="6" xfId="8721" applyNumberFormat="1" applyFont="1" applyBorder="1" applyAlignment="1" applyProtection="1">
      <alignment horizontal="center"/>
    </xf>
    <xf numFmtId="0" fontId="98" fillId="0" borderId="0" xfId="4496" applyFont="1" applyAlignment="1">
      <alignment horizontal="right" indent="1"/>
    </xf>
    <xf numFmtId="0" fontId="98"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8" fillId="0" borderId="0" xfId="4494" applyNumberFormat="1" applyFont="1" applyBorder="1" applyAlignment="1" applyProtection="1">
      <alignment horizontal="center"/>
    </xf>
    <xf numFmtId="184" fontId="98"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8" fillId="0" borderId="6" xfId="8721" applyNumberFormat="1" applyFont="1" applyBorder="1" applyProtection="1"/>
    <xf numFmtId="184" fontId="98" fillId="0" borderId="0" xfId="4496" applyNumberFormat="1" applyFont="1" applyAlignment="1">
      <alignment horizontal="center"/>
    </xf>
    <xf numFmtId="0" fontId="98" fillId="0" borderId="6" xfId="4496" applyFont="1" applyBorder="1" applyAlignment="1">
      <alignment horizontal="right" vertical="top" wrapText="1" indent="1"/>
    </xf>
    <xf numFmtId="0" fontId="98" fillId="0" borderId="67" xfId="4496" applyFont="1" applyBorder="1" applyAlignment="1">
      <alignment horizontal="right" indent="1"/>
    </xf>
    <xf numFmtId="0" fontId="98" fillId="0" borderId="72" xfId="4496" applyFont="1" applyBorder="1" applyAlignment="1">
      <alignment horizontal="right" indent="1"/>
    </xf>
    <xf numFmtId="0" fontId="98" fillId="0" borderId="72" xfId="4496" quotePrefix="1" applyFont="1" applyBorder="1" applyAlignment="1">
      <alignment horizontal="right" indent="1"/>
    </xf>
    <xf numFmtId="0" fontId="98" fillId="0" borderId="69" xfId="4496" applyFont="1" applyBorder="1" applyAlignment="1">
      <alignment horizontal="right" indent="1"/>
    </xf>
    <xf numFmtId="182" fontId="98" fillId="0" borderId="71" xfId="4496" applyNumberFormat="1" applyFont="1" applyBorder="1"/>
    <xf numFmtId="182" fontId="98" fillId="0" borderId="76" xfId="4496" applyNumberFormat="1" applyFont="1" applyBorder="1"/>
    <xf numFmtId="182" fontId="98" fillId="0" borderId="77" xfId="4496" applyNumberFormat="1" applyFont="1" applyBorder="1"/>
    <xf numFmtId="175" fontId="24" fillId="0" borderId="0" xfId="543" applyNumberFormat="1" applyFont="1" applyAlignment="1">
      <alignment vertical="center"/>
    </xf>
    <xf numFmtId="10" fontId="137" fillId="0" borderId="0" xfId="4494" applyNumberFormat="1" applyFont="1" applyProtection="1"/>
    <xf numFmtId="0" fontId="24" fillId="0" borderId="0" xfId="1192" applyFont="1" applyAlignment="1">
      <alignment horizontal="left" indent="1"/>
    </xf>
    <xf numFmtId="168" fontId="98"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8" fillId="0" borderId="13" xfId="4496" applyNumberFormat="1" applyFont="1" applyBorder="1"/>
    <xf numFmtId="182" fontId="98" fillId="0" borderId="70" xfId="4496" applyNumberFormat="1" applyFont="1" applyBorder="1"/>
    <xf numFmtId="0" fontId="35" fillId="0" borderId="0" xfId="4495" applyFont="1" applyAlignment="1">
      <alignment vertical="center"/>
    </xf>
    <xf numFmtId="0" fontId="122" fillId="0" borderId="0" xfId="4496" applyFont="1" applyAlignment="1">
      <alignment vertical="center" wrapText="1"/>
    </xf>
    <xf numFmtId="0" fontId="22" fillId="43" borderId="0" xfId="1192" applyFont="1" applyFill="1"/>
    <xf numFmtId="3" fontId="68" fillId="43" borderId="6" xfId="1192" applyNumberFormat="1" applyFont="1" applyFill="1" applyBorder="1"/>
    <xf numFmtId="0" fontId="153" fillId="0" borderId="0" xfId="0" applyFont="1"/>
    <xf numFmtId="0" fontId="22"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3" fillId="5" borderId="11" xfId="0" applyFont="1" applyFill="1" applyBorder="1" applyAlignment="1" applyProtection="1">
      <alignment horizontal="right" vertical="top" wrapText="1"/>
      <protection locked="0"/>
    </xf>
    <xf numFmtId="0" fontId="17" fillId="43" borderId="3" xfId="569" applyFill="1" applyBorder="1"/>
    <xf numFmtId="0" fontId="158" fillId="0" borderId="0" xfId="0" applyFont="1" applyAlignment="1">
      <alignment horizontal="right"/>
    </xf>
    <xf numFmtId="1" fontId="25" fillId="0" borderId="0" xfId="4495" applyNumberFormat="1" applyFont="1"/>
    <xf numFmtId="0" fontId="24" fillId="0" borderId="4" xfId="569" applyFont="1" applyBorder="1" applyAlignment="1">
      <alignment horizontal="center"/>
    </xf>
    <xf numFmtId="43" fontId="24" fillId="0" borderId="0" xfId="4503" applyFont="1" applyAlignment="1" applyProtection="1">
      <alignment horizontal="center"/>
    </xf>
    <xf numFmtId="0" fontId="24" fillId="0" borderId="0" xfId="569" applyFont="1" applyAlignment="1">
      <alignment horizontal="center" vertical="center"/>
    </xf>
    <xf numFmtId="0" fontId="24" fillId="0" borderId="16" xfId="569" applyFont="1" applyBorder="1" applyAlignment="1">
      <alignment horizontal="center"/>
    </xf>
    <xf numFmtId="49" fontId="24" fillId="0" borderId="4" xfId="569" applyNumberFormat="1" applyFont="1" applyBorder="1" applyAlignment="1">
      <alignment horizontal="center"/>
    </xf>
    <xf numFmtId="4" fontId="24" fillId="0" borderId="0" xfId="569" applyNumberFormat="1" applyFont="1" applyAlignment="1">
      <alignment horizontal="center"/>
    </xf>
    <xf numFmtId="0" fontId="17" fillId="0" borderId="0" xfId="569" applyAlignment="1">
      <alignment horizontal="center" wrapText="1"/>
    </xf>
    <xf numFmtId="0" fontId="98" fillId="0" borderId="6" xfId="4496" applyFont="1" applyBorder="1" applyAlignment="1">
      <alignment horizontal="left" vertical="top"/>
    </xf>
    <xf numFmtId="0" fontId="17" fillId="0" borderId="0" xfId="0" applyFont="1" applyAlignment="1">
      <alignment vertical="center" wrapText="1"/>
    </xf>
    <xf numFmtId="3" fontId="22" fillId="43" borderId="11" xfId="271" applyNumberFormat="1" applyFont="1" applyFill="1" applyBorder="1" applyAlignment="1" applyProtection="1">
      <alignment horizontal="left"/>
      <protection locked="0"/>
    </xf>
    <xf numFmtId="0" fontId="98" fillId="43" borderId="6" xfId="4496" applyFont="1" applyFill="1" applyBorder="1" applyProtection="1">
      <protection locked="0"/>
    </xf>
    <xf numFmtId="1" fontId="98" fillId="0" borderId="0" xfId="4496" applyNumberFormat="1" applyFont="1" applyProtection="1">
      <protection locked="0"/>
    </xf>
    <xf numFmtId="182" fontId="163" fillId="0" borderId="11" xfId="4496" applyNumberFormat="1" applyFont="1" applyBorder="1"/>
    <xf numFmtId="44" fontId="98" fillId="0" borderId="0" xfId="4496" applyNumberFormat="1" applyFont="1"/>
    <xf numFmtId="182" fontId="22" fillId="0" borderId="11" xfId="4496" applyNumberFormat="1" applyFont="1" applyBorder="1"/>
    <xf numFmtId="9" fontId="98" fillId="0" borderId="0" xfId="4494" applyFont="1"/>
    <xf numFmtId="182" fontId="98" fillId="43" borderId="6" xfId="8721" applyNumberFormat="1" applyFont="1" applyFill="1" applyBorder="1" applyProtection="1">
      <protection locked="0"/>
    </xf>
    <xf numFmtId="0" fontId="17" fillId="0" borderId="0" xfId="4495" applyFont="1" applyAlignment="1">
      <alignment wrapText="1"/>
    </xf>
    <xf numFmtId="168" fontId="175" fillId="48" borderId="79" xfId="700" applyNumberFormat="1" applyFont="1" applyFill="1" applyBorder="1" applyAlignment="1" applyProtection="1">
      <protection locked="0"/>
    </xf>
    <xf numFmtId="3" fontId="45"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4" fillId="0" borderId="0" xfId="4495" applyFont="1" applyAlignment="1">
      <alignment wrapText="1"/>
    </xf>
    <xf numFmtId="182" fontId="17" fillId="0" borderId="0" xfId="700" applyNumberFormat="1" applyFont="1"/>
    <xf numFmtId="9" fontId="17" fillId="0" borderId="0" xfId="1022" applyFont="1"/>
    <xf numFmtId="168" fontId="17"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2" fillId="0" borderId="0" xfId="8733"/>
    <xf numFmtId="0" fontId="103" fillId="0" borderId="0" xfId="8733" applyFont="1"/>
    <xf numFmtId="0" fontId="2" fillId="47" borderId="66" xfId="8733" applyFill="1" applyBorder="1"/>
    <xf numFmtId="0" fontId="2" fillId="47" borderId="0" xfId="8733" applyFill="1"/>
    <xf numFmtId="0" fontId="102" fillId="47" borderId="41" xfId="8733" applyFont="1" applyFill="1" applyBorder="1" applyAlignment="1">
      <alignment horizontal="center"/>
    </xf>
    <xf numFmtId="0" fontId="102" fillId="47" borderId="0" xfId="8733" applyFont="1" applyFill="1"/>
    <xf numFmtId="182" fontId="174" fillId="47" borderId="0" xfId="8734" applyNumberFormat="1" applyFont="1" applyFill="1" applyBorder="1" applyAlignment="1"/>
    <xf numFmtId="0" fontId="2" fillId="47" borderId="41" xfId="8733" applyFill="1" applyBorder="1"/>
    <xf numFmtId="0" fontId="103" fillId="47" borderId="0" xfId="8733" applyFont="1" applyFill="1"/>
    <xf numFmtId="0" fontId="178" fillId="47" borderId="0" xfId="8733" applyFont="1" applyFill="1"/>
    <xf numFmtId="0" fontId="102" fillId="47" borderId="41" xfId="8733" applyFont="1" applyFill="1" applyBorder="1"/>
    <xf numFmtId="0" fontId="102" fillId="0" borderId="0" xfId="8733" applyFont="1"/>
    <xf numFmtId="0" fontId="102" fillId="54" borderId="100" xfId="8733" applyFont="1" applyFill="1" applyBorder="1"/>
    <xf numFmtId="0" fontId="2" fillId="53" borderId="99" xfId="8733" applyFill="1" applyBorder="1"/>
    <xf numFmtId="0" fontId="2" fillId="52" borderId="99" xfId="8733" applyFill="1" applyBorder="1"/>
    <xf numFmtId="0" fontId="102" fillId="45" borderId="65" xfId="8733" applyFont="1" applyFill="1" applyBorder="1"/>
    <xf numFmtId="0" fontId="2" fillId="45" borderId="80" xfId="8733" applyFill="1" applyBorder="1"/>
    <xf numFmtId="0" fontId="2" fillId="45" borderId="79" xfId="8733" applyFill="1" applyBorder="1"/>
    <xf numFmtId="0" fontId="2" fillId="45" borderId="78" xfId="8733" applyFill="1" applyBorder="1"/>
    <xf numFmtId="0" fontId="102" fillId="45" borderId="0" xfId="8733" applyFont="1" applyFill="1"/>
    <xf numFmtId="0" fontId="102" fillId="45" borderId="12" xfId="8733" applyFont="1" applyFill="1" applyBorder="1"/>
    <xf numFmtId="0" fontId="102" fillId="45" borderId="29" xfId="8733" applyFont="1" applyFill="1" applyBorder="1"/>
    <xf numFmtId="0" fontId="102" fillId="45" borderId="80" xfId="8733" applyFont="1" applyFill="1" applyBorder="1"/>
    <xf numFmtId="0" fontId="102" fillId="45" borderId="79" xfId="8733" applyFont="1" applyFill="1" applyBorder="1"/>
    <xf numFmtId="0" fontId="102" fillId="45" borderId="78" xfId="8733" applyFont="1" applyFill="1" applyBorder="1"/>
    <xf numFmtId="0" fontId="102" fillId="45" borderId="93" xfId="8733" applyFont="1" applyFill="1" applyBorder="1"/>
    <xf numFmtId="0" fontId="102" fillId="45" borderId="6" xfId="8733" applyFont="1" applyFill="1" applyBorder="1"/>
    <xf numFmtId="0" fontId="102" fillId="45" borderId="10" xfId="8733" applyFont="1" applyFill="1" applyBorder="1"/>
    <xf numFmtId="0" fontId="2" fillId="45" borderId="29" xfId="8733" applyFill="1" applyBorder="1"/>
    <xf numFmtId="0" fontId="2" fillId="45" borderId="31" xfId="8733" applyFill="1" applyBorder="1"/>
    <xf numFmtId="0" fontId="102" fillId="45" borderId="92" xfId="8733" applyFont="1" applyFill="1" applyBorder="1"/>
    <xf numFmtId="0" fontId="102" fillId="45" borderId="74" xfId="8733" applyFont="1" applyFill="1" applyBorder="1"/>
    <xf numFmtId="0" fontId="173" fillId="45" borderId="87" xfId="8733" applyFont="1" applyFill="1" applyBorder="1"/>
    <xf numFmtId="0" fontId="2" fillId="45" borderId="87" xfId="8733" applyFill="1" applyBorder="1"/>
    <xf numFmtId="0" fontId="2" fillId="45" borderId="86" xfId="8733" applyFill="1" applyBorder="1"/>
    <xf numFmtId="0" fontId="2" fillId="45" borderId="95" xfId="8733" applyFill="1" applyBorder="1"/>
    <xf numFmtId="0" fontId="180" fillId="47" borderId="0" xfId="8733" applyFont="1" applyFill="1"/>
    <xf numFmtId="0" fontId="102" fillId="45" borderId="31" xfId="8733" applyFont="1" applyFill="1" applyBorder="1"/>
    <xf numFmtId="0" fontId="2" fillId="47" borderId="0" xfId="8733" applyFill="1" applyAlignment="1">
      <alignment horizontal="left"/>
    </xf>
    <xf numFmtId="0" fontId="172" fillId="51" borderId="11" xfId="8733" applyFont="1" applyFill="1" applyBorder="1"/>
    <xf numFmtId="0" fontId="172" fillId="51" borderId="76" xfId="8733" applyFont="1" applyFill="1" applyBorder="1"/>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2" fillId="48" borderId="66" xfId="8733" applyFill="1" applyBorder="1"/>
    <xf numFmtId="0" fontId="2" fillId="48" borderId="0" xfId="8733" applyFill="1"/>
    <xf numFmtId="0" fontId="2" fillId="48" borderId="78" xfId="8733" applyFill="1" applyBorder="1"/>
    <xf numFmtId="0" fontId="102" fillId="47" borderId="66" xfId="8733" applyFont="1" applyFill="1" applyBorder="1"/>
    <xf numFmtId="49" fontId="102" fillId="47" borderId="66" xfId="8733" applyNumberFormat="1" applyFont="1" applyFill="1" applyBorder="1" applyAlignment="1">
      <alignment horizontal="right" vertical="top"/>
    </xf>
    <xf numFmtId="0" fontId="2" fillId="47" borderId="73" xfId="8733" applyFill="1" applyBorder="1"/>
    <xf numFmtId="0" fontId="2" fillId="47" borderId="42" xfId="8733" applyFill="1" applyBorder="1"/>
    <xf numFmtId="0" fontId="2" fillId="47" borderId="44" xfId="8733" applyFill="1" applyBorder="1"/>
    <xf numFmtId="0" fontId="2" fillId="44" borderId="66" xfId="8733" applyFill="1" applyBorder="1"/>
    <xf numFmtId="0" fontId="2" fillId="44" borderId="0" xfId="8733" applyFill="1"/>
    <xf numFmtId="0" fontId="2" fillId="44" borderId="41" xfId="8733" applyFill="1" applyBorder="1"/>
    <xf numFmtId="0" fontId="2" fillId="44" borderId="0" xfId="8733" applyFill="1" applyAlignment="1">
      <alignment horizontal="left"/>
    </xf>
    <xf numFmtId="0" fontId="2" fillId="44" borderId="73" xfId="8733" applyFill="1" applyBorder="1"/>
    <xf numFmtId="0" fontId="2" fillId="44" borderId="42" xfId="8733" applyFill="1" applyBorder="1"/>
    <xf numFmtId="0" fontId="2" fillId="44" borderId="44" xfId="8733" applyFill="1" applyBorder="1"/>
    <xf numFmtId="0" fontId="164" fillId="0" borderId="0" xfId="8733" applyFont="1"/>
    <xf numFmtId="168" fontId="0" fillId="0" borderId="0" xfId="0" applyNumberFormat="1"/>
    <xf numFmtId="0" fontId="122" fillId="52" borderId="113" xfId="0" applyFont="1" applyFill="1" applyBorder="1"/>
    <xf numFmtId="0" fontId="122" fillId="53" borderId="113" xfId="0" applyFont="1" applyFill="1" applyBorder="1"/>
    <xf numFmtId="1" fontId="0" fillId="0" borderId="0" xfId="0" applyNumberFormat="1"/>
    <xf numFmtId="0" fontId="18"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8" fillId="0" borderId="0" xfId="244" applyAlignment="1">
      <alignment horizontal="left" vertical="top"/>
    </xf>
    <xf numFmtId="9" fontId="17" fillId="0" borderId="0" xfId="0" applyNumberFormat="1" applyFont="1"/>
    <xf numFmtId="0" fontId="169" fillId="0" borderId="0" xfId="8733" applyFont="1"/>
    <xf numFmtId="0" fontId="166" fillId="0" borderId="0" xfId="8733" applyFont="1"/>
    <xf numFmtId="185" fontId="169" fillId="0" borderId="0" xfId="698" applyNumberFormat="1" applyFont="1"/>
    <xf numFmtId="10" fontId="169" fillId="0" borderId="0" xfId="1022" applyNumberFormat="1" applyFont="1"/>
    <xf numFmtId="0" fontId="17" fillId="0" borderId="0" xfId="0" applyFont="1" applyAlignment="1">
      <alignment horizontal="left" vertical="top" wrapText="1"/>
    </xf>
    <xf numFmtId="0" fontId="18" fillId="0" borderId="0" xfId="244"/>
    <xf numFmtId="0" fontId="0" fillId="0" borderId="0" xfId="0"/>
    <xf numFmtId="0" fontId="17" fillId="0" borderId="0" xfId="1192" applyAlignment="1">
      <alignment horizontal="left" vertical="top" wrapText="1"/>
    </xf>
    <xf numFmtId="0" fontId="24" fillId="0" borderId="0" xfId="0" applyFont="1" applyAlignment="1">
      <alignment horizontal="left" vertical="top" wrapText="1"/>
    </xf>
    <xf numFmtId="0" fontId="46" fillId="0" borderId="0" xfId="0" applyFont="1" applyAlignment="1">
      <alignment horizontal="left" vertical="top" wrapText="1"/>
    </xf>
    <xf numFmtId="0" fontId="17" fillId="0" borderId="0" xfId="0" applyFont="1" applyAlignment="1">
      <alignment horizontal="left" wrapText="1"/>
    </xf>
    <xf numFmtId="0" fontId="18" fillId="0" borderId="0" xfId="244" applyAlignment="1" applyProtection="1">
      <alignment horizontal="left"/>
    </xf>
    <xf numFmtId="0" fontId="113" fillId="0" borderId="0" xfId="0" applyFont="1" applyAlignment="1">
      <alignment horizontal="left" wrapText="1"/>
    </xf>
    <xf numFmtId="0" fontId="26" fillId="0" borderId="0" xfId="0" applyFont="1" applyAlignment="1">
      <alignment horizontal="left" wrapText="1"/>
    </xf>
    <xf numFmtId="0" fontId="23" fillId="3" borderId="0" xfId="0" applyFont="1" applyFill="1" applyAlignment="1">
      <alignment horizontal="center" vertical="center" wrapText="1"/>
    </xf>
    <xf numFmtId="0" fontId="23" fillId="3" borderId="16" xfId="0" applyFont="1" applyFill="1" applyBorder="1" applyAlignment="1">
      <alignment horizontal="center" vertical="center" wrapText="1"/>
    </xf>
    <xf numFmtId="0" fontId="105" fillId="0" borderId="0" xfId="0" applyFont="1" applyAlignment="1">
      <alignment horizontal="left" vertical="top" wrapText="1"/>
    </xf>
    <xf numFmtId="0" fontId="18" fillId="0" borderId="0" xfId="244" applyAlignment="1">
      <alignment horizontal="left" vertical="top"/>
    </xf>
    <xf numFmtId="0" fontId="114" fillId="0" borderId="0" xfId="569" applyFont="1" applyAlignment="1">
      <alignment horizontal="center"/>
    </xf>
    <xf numFmtId="0" fontId="115" fillId="0" borderId="0" xfId="569" applyFont="1"/>
    <xf numFmtId="0" fontId="17" fillId="0" borderId="0" xfId="569" applyAlignment="1">
      <alignment wrapText="1"/>
    </xf>
    <xf numFmtId="0" fontId="24" fillId="0" borderId="0" xfId="569" applyFont="1" applyAlignment="1">
      <alignment wrapText="1"/>
    </xf>
    <xf numFmtId="0" fontId="32" fillId="0" borderId="0" xfId="569" applyFont="1" applyAlignment="1">
      <alignment horizontal="center"/>
    </xf>
    <xf numFmtId="0" fontId="17" fillId="0" borderId="0" xfId="569"/>
    <xf numFmtId="0" fontId="17" fillId="0" borderId="0" xfId="1192" applyAlignment="1">
      <alignment vertical="top" wrapText="1"/>
    </xf>
    <xf numFmtId="0" fontId="35" fillId="0" borderId="0" xfId="569" applyFont="1" applyAlignment="1">
      <alignment horizontal="center"/>
    </xf>
    <xf numFmtId="0" fontId="24" fillId="0" borderId="0" xfId="569" applyFont="1" applyAlignment="1">
      <alignment horizontal="center"/>
    </xf>
    <xf numFmtId="0" fontId="17" fillId="0" borderId="0" xfId="569" applyAlignment="1">
      <alignment horizontal="left" vertical="top" wrapText="1"/>
    </xf>
    <xf numFmtId="0" fontId="17" fillId="0" borderId="0" xfId="569" applyAlignment="1">
      <alignment horizontal="left"/>
    </xf>
    <xf numFmtId="0" fontId="35" fillId="0" borderId="0" xfId="569" applyFont="1" applyAlignment="1">
      <alignment horizontal="left" vertical="top" wrapText="1"/>
    </xf>
    <xf numFmtId="0" fontId="24" fillId="0" borderId="4" xfId="569" applyFont="1" applyBorder="1" applyAlignment="1">
      <alignment horizontal="left"/>
    </xf>
    <xf numFmtId="4" fontId="17" fillId="0" borderId="0" xfId="1192" applyNumberFormat="1" applyAlignment="1">
      <alignment horizontal="left" vertical="top" wrapText="1"/>
    </xf>
    <xf numFmtId="49" fontId="17" fillId="0" borderId="0" xfId="0" applyNumberFormat="1" applyFont="1" applyAlignment="1">
      <alignment horizontal="left" vertical="top" wrapText="1"/>
    </xf>
    <xf numFmtId="0" fontId="17" fillId="0" borderId="0" xfId="569" applyAlignment="1">
      <alignment horizontal="left" vertical="top"/>
    </xf>
    <xf numFmtId="0" fontId="24" fillId="0" borderId="4" xfId="569" applyFont="1" applyBorder="1" applyAlignment="1">
      <alignment horizontal="left" vertical="top"/>
    </xf>
    <xf numFmtId="0" fontId="35" fillId="0" borderId="0" xfId="569" applyFont="1" applyAlignment="1">
      <alignment horizontal="left"/>
    </xf>
    <xf numFmtId="4" fontId="17" fillId="0" borderId="0" xfId="569" applyNumberFormat="1" applyAlignment="1">
      <alignment horizontal="left"/>
    </xf>
    <xf numFmtId="0" fontId="17" fillId="0" borderId="0" xfId="1192" applyAlignment="1" applyProtection="1">
      <alignment horizontal="left" vertical="top" wrapText="1"/>
      <protection locked="0"/>
    </xf>
    <xf numFmtId="0" fontId="17" fillId="0" borderId="27" xfId="569" applyBorder="1" applyAlignment="1">
      <alignment horizontal="left"/>
    </xf>
    <xf numFmtId="0" fontId="17" fillId="0" borderId="0" xfId="1192" applyAlignment="1">
      <alignment horizontal="left"/>
    </xf>
    <xf numFmtId="0" fontId="24" fillId="0" borderId="16" xfId="569" applyFont="1" applyBorder="1" applyAlignment="1">
      <alignment horizontal="left"/>
    </xf>
    <xf numFmtId="0" fontId="18" fillId="0" borderId="0" xfId="244" applyAlignment="1" applyProtection="1">
      <alignment horizontal="left" vertical="top" wrapText="1"/>
    </xf>
    <xf numFmtId="0" fontId="24" fillId="0" borderId="0" xfId="569" applyFont="1" applyAlignment="1">
      <alignment horizontal="left"/>
    </xf>
    <xf numFmtId="0" fontId="35" fillId="0" borderId="0" xfId="1192" applyFont="1" applyAlignment="1">
      <alignment horizontal="left"/>
    </xf>
    <xf numFmtId="0" fontId="17" fillId="0" borderId="0" xfId="0" applyFont="1" applyAlignment="1">
      <alignment horizontal="left"/>
    </xf>
    <xf numFmtId="0" fontId="17" fillId="0" borderId="0" xfId="0" applyFont="1" applyAlignment="1">
      <alignment horizontal="left" vertical="top"/>
    </xf>
    <xf numFmtId="0" fontId="24" fillId="0" borderId="0" xfId="0" applyFont="1" applyAlignment="1">
      <alignment horizontal="left" vertical="top"/>
    </xf>
    <xf numFmtId="49" fontId="17" fillId="0" borderId="0" xfId="1192" applyNumberFormat="1" applyAlignment="1">
      <alignment horizontal="left" vertical="top" wrapText="1"/>
    </xf>
    <xf numFmtId="0" fontId="18" fillId="0" borderId="0" xfId="244" applyNumberFormat="1" applyFill="1" applyAlignment="1" applyProtection="1">
      <alignment horizontal="left"/>
    </xf>
    <xf numFmtId="0" fontId="35" fillId="0" borderId="0" xfId="569" applyFont="1" applyAlignment="1">
      <alignment horizontal="left" wrapText="1"/>
    </xf>
    <xf numFmtId="0" fontId="35" fillId="0" borderId="0" xfId="569" applyFont="1" applyAlignment="1">
      <alignment horizontal="center" wrapText="1"/>
    </xf>
    <xf numFmtId="0" fontId="17" fillId="0" borderId="0" xfId="569" applyAlignment="1">
      <alignment horizontal="left" vertical="center" wrapText="1"/>
    </xf>
    <xf numFmtId="4" fontId="17" fillId="0" borderId="0" xfId="569" applyNumberFormat="1" applyAlignment="1">
      <alignment horizontal="left" vertical="top" wrapText="1"/>
    </xf>
    <xf numFmtId="0" fontId="24" fillId="0" borderId="4" xfId="0" applyFont="1" applyBorder="1" applyAlignment="1">
      <alignment horizontal="left"/>
    </xf>
    <xf numFmtId="0" fontId="0" fillId="0" borderId="0" xfId="0" applyAlignment="1">
      <alignment horizontal="left" vertical="top" wrapText="1"/>
    </xf>
    <xf numFmtId="0" fontId="35" fillId="0" borderId="0" xfId="1192" applyFont="1" applyAlignment="1">
      <alignment horizontal="left" vertical="top" wrapText="1"/>
    </xf>
    <xf numFmtId="0" fontId="17" fillId="0" borderId="0" xfId="569" applyAlignment="1">
      <alignment vertical="top" wrapText="1"/>
    </xf>
    <xf numFmtId="0" fontId="35" fillId="0" borderId="0" xfId="0" applyFont="1" applyAlignment="1">
      <alignment horizontal="left" vertical="top" wrapText="1"/>
    </xf>
    <xf numFmtId="4" fontId="35" fillId="0" borderId="0" xfId="0" applyNumberFormat="1" applyFont="1" applyAlignment="1">
      <alignment horizontal="left" vertical="top" wrapText="1"/>
    </xf>
    <xf numFmtId="0" fontId="24" fillId="0" borderId="4" xfId="0" applyFont="1" applyBorder="1" applyAlignment="1">
      <alignment horizontal="left" vertical="top"/>
    </xf>
    <xf numFmtId="4" fontId="17" fillId="0" borderId="0" xfId="0" applyNumberFormat="1" applyFont="1" applyAlignment="1">
      <alignment horizontal="left" vertical="top" wrapText="1"/>
    </xf>
    <xf numFmtId="0" fontId="17" fillId="0" borderId="0" xfId="0" quotePrefix="1" applyFont="1" applyAlignment="1">
      <alignment horizontal="left" vertical="top"/>
    </xf>
    <xf numFmtId="0" fontId="17" fillId="0" borderId="0" xfId="0" quotePrefix="1" applyFont="1" applyAlignment="1">
      <alignment horizontal="left" vertical="top" wrapText="1"/>
    </xf>
    <xf numFmtId="0" fontId="24" fillId="0" borderId="0" xfId="1192" applyFont="1" applyAlignment="1">
      <alignment horizontal="left" vertical="top" wrapText="1"/>
    </xf>
    <xf numFmtId="4" fontId="35" fillId="0" borderId="0" xfId="569" applyNumberFormat="1" applyFont="1" applyAlignment="1">
      <alignment horizontal="left" vertical="top" wrapText="1"/>
    </xf>
    <xf numFmtId="0" fontId="18" fillId="0" borderId="0" xfId="244" quotePrefix="1" applyAlignment="1" applyProtection="1">
      <alignment horizontal="left"/>
    </xf>
    <xf numFmtId="0" fontId="35" fillId="0" borderId="0" xfId="0" applyFont="1" applyAlignment="1">
      <alignment horizontal="left"/>
    </xf>
    <xf numFmtId="4" fontId="17" fillId="0" borderId="0" xfId="0" applyNumberFormat="1" applyFont="1" applyAlignment="1">
      <alignment horizontal="left"/>
    </xf>
    <xf numFmtId="0" fontId="24" fillId="0" borderId="0" xfId="0" applyFont="1" applyAlignment="1">
      <alignment vertical="top" wrapText="1"/>
    </xf>
    <xf numFmtId="4" fontId="35" fillId="0" borderId="0" xfId="0" applyNumberFormat="1" applyFont="1" applyAlignment="1">
      <alignment horizontal="left"/>
    </xf>
    <xf numFmtId="0" fontId="17" fillId="0" borderId="0" xfId="0" applyFont="1" applyAlignment="1">
      <alignment horizontal="left" vertical="center" wrapText="1"/>
    </xf>
    <xf numFmtId="0" fontId="17" fillId="0" borderId="0" xfId="569" applyAlignment="1">
      <alignment horizontal="left" wrapText="1"/>
    </xf>
    <xf numFmtId="0" fontId="17" fillId="0" borderId="0" xfId="0" applyFont="1" applyAlignment="1">
      <alignment vertical="top" wrapText="1"/>
    </xf>
    <xf numFmtId="0" fontId="18" fillId="0" borderId="0" xfId="244" applyFill="1" applyBorder="1" applyAlignment="1">
      <alignment horizontal="left" vertical="top" wrapText="1"/>
    </xf>
    <xf numFmtId="0" fontId="35" fillId="0" borderId="0" xfId="569" applyFont="1" applyAlignment="1">
      <alignment horizontal="left" vertical="top"/>
    </xf>
    <xf numFmtId="0" fontId="35" fillId="0" borderId="0" xfId="0" applyFont="1" applyAlignment="1">
      <alignment horizontal="left" vertical="top"/>
    </xf>
    <xf numFmtId="0" fontId="26" fillId="45" borderId="3" xfId="0" applyFont="1" applyFill="1" applyBorder="1" applyAlignment="1">
      <alignment horizontal="center"/>
    </xf>
    <xf numFmtId="0" fontId="26" fillId="45" borderId="4" xfId="0" applyFont="1" applyFill="1" applyBorder="1" applyAlignment="1">
      <alignment horizontal="center"/>
    </xf>
    <xf numFmtId="0" fontId="26" fillId="45" borderId="5" xfId="0" applyFont="1" applyFill="1" applyBorder="1" applyAlignment="1">
      <alignment horizontal="center"/>
    </xf>
    <xf numFmtId="0" fontId="17" fillId="5" borderId="9" xfId="569" applyFill="1" applyBorder="1" applyAlignment="1" applyProtection="1">
      <alignment horizontal="center"/>
      <protection locked="0"/>
    </xf>
    <xf numFmtId="0" fontId="17" fillId="5" borderId="6" xfId="569" applyFill="1" applyBorder="1" applyAlignment="1" applyProtection="1">
      <alignment horizontal="center"/>
      <protection locked="0"/>
    </xf>
    <xf numFmtId="0" fontId="17" fillId="5" borderId="4" xfId="569" applyFill="1" applyBorder="1" applyAlignment="1" applyProtection="1">
      <alignment horizontal="center"/>
      <protection locked="0"/>
    </xf>
    <xf numFmtId="0" fontId="17" fillId="5" borderId="5" xfId="569" applyFill="1" applyBorder="1" applyAlignment="1" applyProtection="1">
      <alignment horizontal="center"/>
      <protection locked="0"/>
    </xf>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0" fontId="40" fillId="0" borderId="3" xfId="0" applyFont="1" applyBorder="1" applyAlignment="1">
      <alignment horizontal="center"/>
    </xf>
    <xf numFmtId="0" fontId="40" fillId="0" borderId="4" xfId="0" applyFont="1" applyBorder="1" applyAlignment="1">
      <alignment horizontal="center"/>
    </xf>
    <xf numFmtId="0" fontId="40"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7" fillId="0" borderId="3" xfId="0" applyFont="1" applyBorder="1" applyAlignment="1">
      <alignment horizontal="center"/>
    </xf>
    <xf numFmtId="0" fontId="17" fillId="0" borderId="4" xfId="0" applyFont="1" applyBorder="1" applyAlignment="1">
      <alignment horizontal="center"/>
    </xf>
    <xf numFmtId="0" fontId="17" fillId="0" borderId="5" xfId="0" applyFont="1" applyBorder="1" applyAlignment="1">
      <alignment horizontal="center"/>
    </xf>
    <xf numFmtId="0" fontId="26" fillId="45" borderId="11" xfId="0" applyFont="1" applyFill="1" applyBorder="1" applyAlignment="1">
      <alignment horizontal="center"/>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26" fillId="0" borderId="3" xfId="0" applyNumberFormat="1" applyFont="1" applyBorder="1" applyAlignment="1">
      <alignment horizontal="center"/>
    </xf>
    <xf numFmtId="168" fontId="26" fillId="0" borderId="4" xfId="0" applyNumberFormat="1" applyFont="1" applyBorder="1" applyAlignment="1">
      <alignment horizontal="center"/>
    </xf>
    <xf numFmtId="168" fontId="26" fillId="0" borderId="5" xfId="0" applyNumberFormat="1" applyFont="1" applyBorder="1" applyAlignment="1">
      <alignment horizontal="center"/>
    </xf>
    <xf numFmtId="165" fontId="26" fillId="0" borderId="1" xfId="0" applyNumberFormat="1" applyFont="1" applyBorder="1" applyAlignment="1">
      <alignment horizontal="right"/>
    </xf>
    <xf numFmtId="165" fontId="26" fillId="0" borderId="2" xfId="0" applyNumberFormat="1" applyFont="1" applyBorder="1" applyAlignment="1">
      <alignment horizontal="right"/>
    </xf>
    <xf numFmtId="165" fontId="26" fillId="0" borderId="7" xfId="0" applyNumberFormat="1" applyFont="1" applyBorder="1" applyAlignment="1">
      <alignment horizontal="right"/>
    </xf>
    <xf numFmtId="1" fontId="26" fillId="5" borderId="3" xfId="0" applyNumberFormat="1" applyFont="1" applyFill="1" applyBorder="1" applyAlignment="1" applyProtection="1">
      <alignment horizontal="center"/>
      <protection locked="0"/>
    </xf>
    <xf numFmtId="1" fontId="26" fillId="5" borderId="4" xfId="0" applyNumberFormat="1" applyFont="1" applyFill="1" applyBorder="1" applyAlignment="1" applyProtection="1">
      <alignment horizontal="center"/>
      <protection locked="0"/>
    </xf>
    <xf numFmtId="1" fontId="26" fillId="5" borderId="5" xfId="0" applyNumberFormat="1" applyFont="1" applyFill="1" applyBorder="1" applyAlignment="1" applyProtection="1">
      <alignment horizontal="center"/>
      <protection locked="0"/>
    </xf>
    <xf numFmtId="0" fontId="17" fillId="0" borderId="11" xfId="0" applyFont="1" applyBorder="1" applyAlignment="1">
      <alignment horizontal="center"/>
    </xf>
    <xf numFmtId="0" fontId="26" fillId="2" borderId="11" xfId="0" applyFont="1" applyFill="1" applyBorder="1" applyAlignment="1">
      <alignment horizontal="center"/>
    </xf>
    <xf numFmtId="0" fontId="0" fillId="0" borderId="11" xfId="0" applyBorder="1" applyAlignment="1">
      <alignment horizontal="center"/>
    </xf>
    <xf numFmtId="168" fontId="17" fillId="0" borderId="3" xfId="0" applyNumberFormat="1" applyFont="1" applyBorder="1" applyAlignment="1">
      <alignment horizontal="left" vertical="top"/>
    </xf>
    <xf numFmtId="168" fontId="17" fillId="0" borderId="4" xfId="0" applyNumberFormat="1" applyFont="1" applyBorder="1" applyAlignment="1">
      <alignment horizontal="left" vertical="top"/>
    </xf>
    <xf numFmtId="168" fontId="17" fillId="0" borderId="5" xfId="0" applyNumberFormat="1" applyFont="1" applyBorder="1" applyAlignment="1">
      <alignment horizontal="left" vertical="top"/>
    </xf>
    <xf numFmtId="1" fontId="26" fillId="5" borderId="3" xfId="0" applyNumberFormat="1" applyFont="1" applyFill="1" applyBorder="1" applyAlignment="1" applyProtection="1">
      <alignment horizontal="right" vertical="top"/>
      <protection locked="0"/>
    </xf>
    <xf numFmtId="1" fontId="26" fillId="5" borderId="4" xfId="0" applyNumberFormat="1" applyFont="1" applyFill="1" applyBorder="1" applyAlignment="1" applyProtection="1">
      <alignment horizontal="right" vertical="top"/>
      <protection locked="0"/>
    </xf>
    <xf numFmtId="1" fontId="26" fillId="5" borderId="5" xfId="0" applyNumberFormat="1" applyFont="1" applyFill="1" applyBorder="1" applyAlignment="1" applyProtection="1">
      <alignment horizontal="right" vertical="top"/>
      <protection locked="0"/>
    </xf>
    <xf numFmtId="0" fontId="24" fillId="0" borderId="1"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0" xfId="0" applyFont="1" applyAlignment="1">
      <alignment horizontal="center" vertical="center" wrapText="1"/>
    </xf>
    <xf numFmtId="0" fontId="24" fillId="0" borderId="12" xfId="0" applyFont="1" applyBorder="1" applyAlignment="1">
      <alignment horizontal="center" vertical="center" wrapText="1"/>
    </xf>
    <xf numFmtId="0" fontId="24" fillId="0" borderId="9"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center"/>
      <protection locked="0"/>
    </xf>
    <xf numFmtId="180" fontId="25" fillId="43" borderId="3" xfId="0" applyNumberFormat="1" applyFont="1" applyFill="1" applyBorder="1" applyAlignment="1" applyProtection="1">
      <alignment horizontal="center" vertical="center"/>
      <protection locked="0"/>
    </xf>
    <xf numFmtId="180" fontId="25" fillId="43" borderId="4" xfId="0" applyNumberFormat="1" applyFont="1" applyFill="1" applyBorder="1" applyAlignment="1" applyProtection="1">
      <alignment horizontal="center" vertical="center"/>
      <protection locked="0"/>
    </xf>
    <xf numFmtId="180" fontId="25"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17" fillId="5" borderId="11" xfId="0" applyFon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6" fillId="0" borderId="11" xfId="0" applyNumberFormat="1" applyFont="1" applyBorder="1" applyAlignment="1">
      <alignment horizontal="center"/>
    </xf>
    <xf numFmtId="168" fontId="156" fillId="0" borderId="0" xfId="0" applyNumberFormat="1" applyFont="1" applyAlignment="1">
      <alignment horizontal="center" vertical="center" wrapText="1"/>
    </xf>
    <xf numFmtId="168" fontId="26" fillId="0" borderId="3" xfId="0" applyNumberFormat="1" applyFont="1" applyBorder="1" applyAlignment="1">
      <alignment horizontal="left" vertical="top"/>
    </xf>
    <xf numFmtId="168" fontId="26" fillId="0" borderId="4" xfId="0" applyNumberFormat="1" applyFont="1" applyBorder="1" applyAlignment="1">
      <alignment horizontal="left" vertical="top"/>
    </xf>
    <xf numFmtId="168" fontId="26"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6" fillId="5" borderId="11" xfId="0" applyFont="1" applyFill="1" applyBorder="1" applyAlignment="1" applyProtection="1">
      <alignment horizontal="center"/>
      <protection locked="0"/>
    </xf>
    <xf numFmtId="0" fontId="24" fillId="0" borderId="3" xfId="0" applyFont="1" applyBorder="1" applyAlignment="1">
      <alignment horizontal="center"/>
    </xf>
    <xf numFmtId="0" fontId="24" fillId="0" borderId="4" xfId="0" applyFont="1" applyBorder="1" applyAlignment="1">
      <alignment horizontal="center"/>
    </xf>
    <xf numFmtId="0" fontId="24" fillId="0" borderId="5" xfId="0" applyFont="1" applyBorder="1" applyAlignment="1">
      <alignment horizontal="center"/>
    </xf>
    <xf numFmtId="0" fontId="26" fillId="5" borderId="9" xfId="0" applyFont="1" applyFill="1" applyBorder="1" applyAlignment="1" applyProtection="1">
      <alignment horizontal="center"/>
      <protection locked="0"/>
    </xf>
    <xf numFmtId="0" fontId="26" fillId="5" borderId="6" xfId="0"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24" fillId="0" borderId="3" xfId="0" applyFont="1" applyBorder="1" applyAlignment="1">
      <alignment horizontal="right"/>
    </xf>
    <xf numFmtId="0" fontId="24" fillId="0" borderId="4" xfId="0" applyFont="1" applyBorder="1" applyAlignment="1">
      <alignment horizontal="right"/>
    </xf>
    <xf numFmtId="0" fontId="24" fillId="0" borderId="6" xfId="0" applyFont="1" applyBorder="1" applyAlignment="1">
      <alignment horizontal="right"/>
    </xf>
    <xf numFmtId="0" fontId="24" fillId="0" borderId="5" xfId="0" applyFont="1" applyBorder="1" applyAlignment="1">
      <alignment horizontal="right"/>
    </xf>
    <xf numFmtId="0" fontId="17" fillId="0" borderId="3"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7" fillId="43" borderId="3" xfId="0" applyNumberFormat="1" applyFont="1" applyFill="1" applyBorder="1" applyAlignment="1" applyProtection="1">
      <alignment horizontal="center" vertical="center"/>
      <protection locked="0"/>
    </xf>
    <xf numFmtId="168" fontId="17" fillId="43" borderId="4" xfId="0" applyNumberFormat="1" applyFont="1" applyFill="1" applyBorder="1" applyAlignment="1" applyProtection="1">
      <alignment horizontal="center" vertical="center"/>
      <protection locked="0"/>
    </xf>
    <xf numFmtId="168" fontId="17" fillId="43" borderId="5" xfId="0" applyNumberFormat="1" applyFont="1" applyFill="1" applyBorder="1" applyAlignment="1" applyProtection="1">
      <alignment horizontal="center" vertical="center"/>
      <protection locked="0"/>
    </xf>
    <xf numFmtId="0" fontId="17"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3" fontId="26" fillId="0" borderId="11" xfId="0" applyNumberFormat="1" applyFont="1" applyBorder="1" applyAlignment="1">
      <alignment horizontal="center"/>
    </xf>
    <xf numFmtId="0" fontId="17"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6" fillId="5" borderId="4" xfId="0" applyFont="1" applyFill="1" applyBorder="1" applyAlignment="1" applyProtection="1">
      <alignment horizontal="right"/>
      <protection locked="0"/>
    </xf>
    <xf numFmtId="168" fontId="26" fillId="5" borderId="6" xfId="0" applyNumberFormat="1" applyFont="1" applyFill="1" applyBorder="1" applyAlignment="1" applyProtection="1">
      <alignment horizontal="right"/>
      <protection locked="0"/>
    </xf>
    <xf numFmtId="168" fontId="26" fillId="5" borderId="4" xfId="0" applyNumberFormat="1" applyFont="1" applyFill="1" applyBorder="1" applyAlignment="1" applyProtection="1">
      <alignment horizontal="right"/>
      <protection locked="0"/>
    </xf>
    <xf numFmtId="165" fontId="26" fillId="5" borderId="3" xfId="0" applyNumberFormat="1" applyFont="1" applyFill="1" applyBorder="1" applyAlignment="1" applyProtection="1">
      <alignment horizontal="center"/>
      <protection locked="0"/>
    </xf>
    <xf numFmtId="165" fontId="26" fillId="5" borderId="4" xfId="0" applyNumberFormat="1" applyFont="1" applyFill="1" applyBorder="1" applyAlignment="1" applyProtection="1">
      <alignment horizontal="center"/>
      <protection locked="0"/>
    </xf>
    <xf numFmtId="165" fontId="2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6" fillId="5" borderId="11" xfId="0" quotePrefix="1" applyNumberFormat="1" applyFont="1" applyFill="1" applyBorder="1" applyAlignment="1" applyProtection="1">
      <alignment horizontal="center"/>
      <protection locked="0"/>
    </xf>
    <xf numFmtId="1" fontId="26" fillId="5" borderId="11" xfId="0" applyNumberFormat="1" applyFont="1" applyFill="1" applyBorder="1" applyAlignment="1" applyProtection="1">
      <alignment horizontal="center"/>
      <protection locked="0"/>
    </xf>
    <xf numFmtId="3" fontId="26"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6" fillId="5" borderId="3" xfId="0" applyNumberFormat="1" applyFont="1" applyFill="1" applyBorder="1" applyAlignment="1" applyProtection="1">
      <alignment horizontal="center"/>
      <protection locked="0"/>
    </xf>
    <xf numFmtId="168" fontId="26" fillId="5" borderId="4" xfId="0" applyNumberFormat="1" applyFont="1" applyFill="1" applyBorder="1" applyAlignment="1" applyProtection="1">
      <alignment horizontal="center"/>
      <protection locked="0"/>
    </xf>
    <xf numFmtId="168" fontId="26" fillId="5" borderId="5" xfId="0" applyNumberFormat="1" applyFont="1" applyFill="1" applyBorder="1" applyAlignment="1" applyProtection="1">
      <alignment horizontal="center"/>
      <protection locked="0"/>
    </xf>
    <xf numFmtId="0" fontId="26"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0" fontId="17" fillId="5" borderId="11" xfId="0" applyFont="1" applyFill="1" applyBorder="1" applyAlignment="1" applyProtection="1">
      <alignment vertical="center" wrapText="1"/>
      <protection locked="0"/>
    </xf>
    <xf numFmtId="0" fontId="26" fillId="5" borderId="4" xfId="0" applyFont="1" applyFill="1" applyBorder="1" applyAlignment="1" applyProtection="1">
      <alignment wrapText="1"/>
      <protection locked="0"/>
    </xf>
    <xf numFmtId="175" fontId="17" fillId="43" borderId="3" xfId="0" applyNumberFormat="1" applyFont="1" applyFill="1" applyBorder="1" applyAlignment="1" applyProtection="1">
      <alignment horizontal="center"/>
      <protection locked="0"/>
    </xf>
    <xf numFmtId="175" fontId="17" fillId="43" borderId="4" xfId="0" applyNumberFormat="1" applyFont="1" applyFill="1" applyBorder="1" applyAlignment="1" applyProtection="1">
      <alignment horizontal="center"/>
      <protection locked="0"/>
    </xf>
    <xf numFmtId="175" fontId="17"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5" borderId="11" xfId="0" applyFont="1" applyFill="1" applyBorder="1" applyAlignment="1" applyProtection="1">
      <alignment horizontal="left" wrapText="1"/>
      <protection locked="0"/>
    </xf>
    <xf numFmtId="0" fontId="26" fillId="0" borderId="1" xfId="0" applyFont="1" applyBorder="1" applyAlignment="1">
      <alignment horizontal="center" vertical="top" wrapText="1"/>
    </xf>
    <xf numFmtId="0" fontId="26" fillId="0" borderId="2" xfId="0" applyFont="1" applyBorder="1" applyAlignment="1">
      <alignment horizontal="center" vertical="top" wrapText="1"/>
    </xf>
    <xf numFmtId="0" fontId="26" fillId="0" borderId="7" xfId="0" applyFont="1" applyBorder="1" applyAlignment="1">
      <alignment horizontal="center" vertical="top" wrapText="1"/>
    </xf>
    <xf numFmtId="0" fontId="26" fillId="0" borderId="8" xfId="0" applyFont="1" applyBorder="1" applyAlignment="1">
      <alignment horizontal="center" vertical="top" wrapText="1"/>
    </xf>
    <xf numFmtId="0" fontId="26" fillId="0" borderId="0" xfId="0" applyFont="1" applyAlignment="1">
      <alignment horizontal="center" vertical="top" wrapText="1"/>
    </xf>
    <xf numFmtId="0" fontId="26" fillId="0" borderId="12" xfId="0" applyFont="1" applyBorder="1" applyAlignment="1">
      <alignment horizontal="center" vertical="top" wrapText="1"/>
    </xf>
    <xf numFmtId="0" fontId="26" fillId="0" borderId="9" xfId="0" applyFont="1" applyBorder="1" applyAlignment="1">
      <alignment horizontal="center" vertical="top" wrapText="1"/>
    </xf>
    <xf numFmtId="0" fontId="26" fillId="0" borderId="6" xfId="0" applyFont="1" applyBorder="1" applyAlignment="1">
      <alignment horizontal="center" vertical="top" wrapText="1"/>
    </xf>
    <xf numFmtId="0" fontId="26" fillId="0" borderId="10" xfId="0" applyFont="1" applyBorder="1" applyAlignment="1">
      <alignment horizontal="center" vertical="top" wrapText="1"/>
    </xf>
    <xf numFmtId="175" fontId="17" fillId="43" borderId="3" xfId="0" applyNumberFormat="1" applyFont="1" applyFill="1" applyBorder="1" applyAlignment="1" applyProtection="1">
      <alignment horizontal="center" vertical="center"/>
      <protection locked="0"/>
    </xf>
    <xf numFmtId="175" fontId="17" fillId="43" borderId="4" xfId="0" applyNumberFormat="1" applyFont="1" applyFill="1" applyBorder="1" applyAlignment="1" applyProtection="1">
      <alignment horizontal="center" vertical="center"/>
      <protection locked="0"/>
    </xf>
    <xf numFmtId="175" fontId="17" fillId="43" borderId="5" xfId="0" applyNumberFormat="1" applyFont="1" applyFill="1" applyBorder="1" applyAlignment="1" applyProtection="1">
      <alignment horizontal="center" vertical="center"/>
      <protection locked="0"/>
    </xf>
    <xf numFmtId="166" fontId="26" fillId="5" borderId="4" xfId="0" applyNumberFormat="1" applyFont="1" applyFill="1" applyBorder="1" applyAlignment="1" applyProtection="1">
      <alignment horizontal="left"/>
      <protection locked="0"/>
    </xf>
    <xf numFmtId="0" fontId="17" fillId="0" borderId="11" xfId="543" applyBorder="1" applyAlignment="1">
      <alignment horizontal="center"/>
    </xf>
    <xf numFmtId="0" fontId="36"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0" borderId="3" xfId="0" applyBorder="1" applyAlignment="1">
      <alignment horizontal="left"/>
    </xf>
    <xf numFmtId="0" fontId="17" fillId="0" borderId="4" xfId="0" applyFont="1" applyBorder="1" applyAlignment="1">
      <alignment horizontal="left"/>
    </xf>
    <xf numFmtId="0" fontId="17" fillId="0" borderId="5" xfId="0" applyFont="1"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7"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7" fillId="5" borderId="4" xfId="0" applyFont="1" applyFill="1" applyBorder="1" applyAlignment="1" applyProtection="1">
      <alignment wrapText="1"/>
      <protection locked="0"/>
    </xf>
    <xf numFmtId="0" fontId="17"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6"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78" fontId="26" fillId="5" borderId="4" xfId="0" applyNumberFormat="1" applyFont="1" applyFill="1" applyBorder="1" applyAlignment="1" applyProtection="1">
      <alignment horizontal="right"/>
      <protection locked="0"/>
    </xf>
    <xf numFmtId="0" fontId="25"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7" fillId="5" borderId="6" xfId="0" applyFont="1" applyFill="1" applyBorder="1" applyAlignment="1" applyProtection="1">
      <alignment horizontal="left"/>
      <protection locked="0"/>
    </xf>
    <xf numFmtId="1" fontId="26"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26"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6" fillId="0" borderId="0" xfId="0" applyFont="1" applyAlignment="1">
      <alignment horizontal="left" vertical="top" wrapText="1"/>
    </xf>
    <xf numFmtId="3" fontId="0" fillId="0" borderId="6" xfId="0" applyNumberFormat="1" applyBorder="1" applyAlignment="1">
      <alignment horizontal="right"/>
    </xf>
    <xf numFmtId="10" fontId="26" fillId="0" borderId="11" xfId="0" applyNumberFormat="1" applyFont="1" applyBorder="1" applyAlignment="1">
      <alignment horizontal="center"/>
    </xf>
    <xf numFmtId="0" fontId="0" fillId="5" borderId="6" xfId="0" applyFill="1" applyBorder="1" applyProtection="1">
      <protection locked="0"/>
    </xf>
    <xf numFmtId="0" fontId="26" fillId="0" borderId="4" xfId="0" applyFont="1" applyBorder="1" applyAlignment="1" applyProtection="1">
      <alignment horizontal="left"/>
      <protection locked="0"/>
    </xf>
    <xf numFmtId="0" fontId="17" fillId="43" borderId="6" xfId="0" applyFont="1" applyFill="1" applyBorder="1" applyAlignment="1" applyProtection="1">
      <alignment vertical="center"/>
      <protection locked="0"/>
    </xf>
    <xf numFmtId="0" fontId="23" fillId="3" borderId="0" xfId="0" applyFont="1" applyFill="1" applyAlignment="1">
      <alignment horizontal="center" vertical="center"/>
    </xf>
    <xf numFmtId="0" fontId="17" fillId="0" borderId="0" xfId="0" applyFont="1" applyAlignment="1">
      <alignment wrapText="1"/>
    </xf>
    <xf numFmtId="0" fontId="26" fillId="43" borderId="6" xfId="0" applyFont="1" applyFill="1" applyBorder="1" applyAlignment="1" applyProtection="1">
      <alignment horizontal="left"/>
      <protection locked="0"/>
    </xf>
    <xf numFmtId="0" fontId="17" fillId="0" borderId="6" xfId="0" applyFont="1" applyBorder="1" applyAlignment="1">
      <alignment horizontal="left"/>
    </xf>
    <xf numFmtId="0" fontId="0" fillId="43" borderId="6" xfId="0" applyFill="1" applyBorder="1" applyAlignment="1" applyProtection="1">
      <alignment horizontal="center"/>
      <protection locked="0"/>
    </xf>
    <xf numFmtId="0" fontId="17"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17" fillId="5" borderId="6" xfId="244" applyFont="1" applyFill="1" applyBorder="1" applyAlignment="1" applyProtection="1">
      <alignment horizontal="left"/>
      <protection locked="0"/>
    </xf>
    <xf numFmtId="0" fontId="17" fillId="5" borderId="0" xfId="244" applyFont="1" applyFill="1" applyBorder="1" applyAlignment="1" applyProtection="1">
      <alignment horizontal="left"/>
      <protection locked="0"/>
    </xf>
    <xf numFmtId="0" fontId="26" fillId="5" borderId="6" xfId="0" applyFont="1" applyFill="1" applyBorder="1" applyAlignment="1" applyProtection="1">
      <alignment horizontal="left" wrapText="1"/>
      <protection locked="0"/>
    </xf>
    <xf numFmtId="166" fontId="26" fillId="5" borderId="6" xfId="0" applyNumberFormat="1" applyFont="1" applyFill="1" applyBorder="1" applyAlignment="1" applyProtection="1">
      <alignment horizontal="left"/>
      <protection locked="0"/>
    </xf>
    <xf numFmtId="0" fontId="17" fillId="0" borderId="0" xfId="0" applyFont="1" applyAlignment="1" applyProtection="1">
      <alignment horizontal="left"/>
      <protection locked="0"/>
    </xf>
    <xf numFmtId="0" fontId="17" fillId="5" borderId="4" xfId="0" applyFont="1" applyFill="1" applyBorder="1" applyAlignment="1" applyProtection="1">
      <alignment horizontal="left"/>
      <protection locked="0"/>
    </xf>
    <xf numFmtId="9" fontId="25" fillId="0" borderId="3" xfId="4494" applyFont="1" applyBorder="1" applyAlignment="1" applyProtection="1">
      <alignment horizontal="center"/>
    </xf>
    <xf numFmtId="9" fontId="25" fillId="0" borderId="5" xfId="4494" applyFont="1" applyBorder="1" applyAlignment="1" applyProtection="1">
      <alignment horizontal="center"/>
    </xf>
    <xf numFmtId="0" fontId="0" fillId="0" borderId="0" xfId="0" applyAlignment="1">
      <alignment wrapText="1"/>
    </xf>
    <xf numFmtId="0" fontId="153" fillId="0" borderId="0" xfId="0" applyFont="1" applyAlignment="1" applyProtection="1">
      <alignment horizontal="left" vertical="top" wrapText="1"/>
      <protection locked="0"/>
    </xf>
    <xf numFmtId="0" fontId="17" fillId="0" borderId="6" xfId="0" applyFont="1" applyBorder="1" applyAlignment="1" applyProtection="1">
      <alignment horizontal="left"/>
      <protection locked="0"/>
    </xf>
    <xf numFmtId="0" fontId="18" fillId="0" borderId="0" xfId="244" applyFill="1" applyAlignment="1" applyProtection="1">
      <alignment horizontal="left"/>
      <protection locked="0"/>
    </xf>
    <xf numFmtId="168" fontId="17" fillId="0" borderId="6" xfId="0" applyNumberFormat="1" applyFont="1" applyBorder="1" applyAlignment="1">
      <alignment horizontal="center"/>
    </xf>
    <xf numFmtId="168" fontId="0" fillId="0" borderId="6" xfId="0" applyNumberFormat="1" applyBorder="1" applyAlignment="1">
      <alignment horizontal="center"/>
    </xf>
    <xf numFmtId="0" fontId="0" fillId="0" borderId="0" xfId="0" applyAlignment="1">
      <alignment vertical="top" wrapText="1"/>
    </xf>
    <xf numFmtId="0" fontId="17"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6" fillId="5" borderId="6" xfId="271"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6"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6" fillId="5" borderId="4" xfId="271" applyNumberFormat="1" applyFill="1" applyBorder="1" applyAlignment="1" applyProtection="1">
      <alignment horizontal="left"/>
      <protection locked="0"/>
    </xf>
    <xf numFmtId="0" fontId="17" fillId="0" borderId="3" xfId="271" applyFont="1" applyBorder="1" applyAlignment="1">
      <alignment horizontal="left"/>
    </xf>
    <xf numFmtId="0" fontId="17" fillId="0" borderId="4" xfId="271" applyFont="1" applyBorder="1" applyAlignment="1">
      <alignment horizontal="left"/>
    </xf>
    <xf numFmtId="0" fontId="17" fillId="0" borderId="5" xfId="271" applyFont="1" applyBorder="1" applyAlignment="1">
      <alignment horizontal="left"/>
    </xf>
    <xf numFmtId="10" fontId="26" fillId="5" borderId="4" xfId="0" applyNumberFormat="1" applyFont="1" applyFill="1" applyBorder="1" applyAlignment="1" applyProtection="1">
      <alignment horizontal="right"/>
      <protection locked="0"/>
    </xf>
    <xf numFmtId="0" fontId="25"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4" fillId="0" borderId="6" xfId="0" applyFont="1" applyBorder="1" applyAlignment="1">
      <alignment horizontal="center"/>
    </xf>
    <xf numFmtId="0" fontId="24" fillId="0" borderId="10" xfId="0" applyFont="1" applyBorder="1" applyAlignment="1">
      <alignment horizontal="center"/>
    </xf>
    <xf numFmtId="0" fontId="0" fillId="43" borderId="10" xfId="0" applyFill="1" applyBorder="1" applyAlignment="1" applyProtection="1">
      <alignment horizontal="left"/>
      <protection locked="0"/>
    </xf>
    <xf numFmtId="168" fontId="53" fillId="0" borderId="2" xfId="0" applyNumberFormat="1" applyFont="1" applyBorder="1" applyAlignment="1">
      <alignment horizontal="left" vertical="top" wrapText="1"/>
    </xf>
    <xf numFmtId="168" fontId="53"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6"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6"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6" fillId="5" borderId="3" xfId="0" applyNumberFormat="1" applyFont="1" applyFill="1" applyBorder="1" applyAlignment="1" applyProtection="1">
      <alignment horizontal="center"/>
      <protection locked="0"/>
    </xf>
    <xf numFmtId="9" fontId="26" fillId="5" borderId="4" xfId="0" applyNumberFormat="1" applyFont="1" applyFill="1" applyBorder="1" applyAlignment="1" applyProtection="1">
      <alignment horizontal="center"/>
      <protection locked="0"/>
    </xf>
    <xf numFmtId="9" fontId="26" fillId="5" borderId="5" xfId="0" applyNumberFormat="1" applyFont="1" applyFill="1" applyBorder="1" applyAlignment="1" applyProtection="1">
      <alignment horizontal="center"/>
      <protection locked="0"/>
    </xf>
    <xf numFmtId="0" fontId="24" fillId="5" borderId="11" xfId="0" applyFont="1" applyFill="1" applyBorder="1" applyAlignment="1" applyProtection="1">
      <alignment horizontal="center"/>
      <protection locked="0"/>
    </xf>
    <xf numFmtId="165" fontId="24" fillId="0" borderId="3" xfId="271" applyNumberFormat="1" applyFont="1" applyBorder="1" applyAlignment="1">
      <alignment horizontal="center"/>
    </xf>
    <xf numFmtId="165" fontId="24" fillId="0" borderId="4" xfId="271" applyNumberFormat="1" applyFont="1" applyBorder="1" applyAlignment="1">
      <alignment horizontal="center"/>
    </xf>
    <xf numFmtId="165" fontId="24" fillId="0" borderId="5" xfId="271" applyNumberFormat="1" applyFont="1" applyBorder="1" applyAlignment="1">
      <alignment horizontal="center"/>
    </xf>
    <xf numFmtId="9" fontId="17" fillId="0" borderId="0" xfId="543" applyNumberFormat="1" applyAlignment="1">
      <alignment horizontal="center" vertical="center"/>
    </xf>
    <xf numFmtId="0" fontId="24" fillId="0" borderId="11" xfId="0" applyFont="1" applyBorder="1" applyAlignment="1">
      <alignment horizontal="center"/>
    </xf>
    <xf numFmtId="14" fontId="17" fillId="5" borderId="3" xfId="0" quotePrefix="1" applyNumberFormat="1" applyFon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6"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7" fillId="0" borderId="3" xfId="0" applyFont="1" applyBorder="1"/>
    <xf numFmtId="0" fontId="17" fillId="0" borderId="4" xfId="0" applyFont="1" applyBorder="1"/>
    <xf numFmtId="0" fontId="17"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7" fillId="0" borderId="0" xfId="543" applyAlignment="1">
      <alignment horizontal="center"/>
    </xf>
    <xf numFmtId="2" fontId="17"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7" fillId="5" borderId="10" xfId="0" applyNumberFormat="1" applyFont="1" applyFill="1" applyBorder="1" applyAlignment="1" applyProtection="1">
      <alignment horizontal="right"/>
      <protection locked="0"/>
    </xf>
    <xf numFmtId="168" fontId="17"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7" fillId="5" borderId="3" xfId="0" applyFont="1" applyFill="1" applyBorder="1" applyProtection="1">
      <protection locked="0"/>
    </xf>
    <xf numFmtId="0" fontId="26" fillId="0" borderId="4" xfId="0" applyFont="1" applyBorder="1" applyProtection="1">
      <protection locked="0"/>
    </xf>
    <xf numFmtId="0" fontId="26" fillId="0" borderId="5" xfId="0" applyFont="1" applyBorder="1" applyProtection="1">
      <protection locked="0"/>
    </xf>
    <xf numFmtId="168" fontId="17" fillId="5" borderId="3" xfId="0" applyNumberFormat="1" applyFont="1" applyFill="1" applyBorder="1" applyAlignment="1" applyProtection="1">
      <alignment horizontal="right"/>
      <protection locked="0"/>
    </xf>
    <xf numFmtId="168" fontId="17" fillId="5" borderId="4" xfId="0" applyNumberFormat="1" applyFont="1" applyFill="1" applyBorder="1" applyAlignment="1" applyProtection="1">
      <alignment horizontal="right"/>
      <protection locked="0"/>
    </xf>
    <xf numFmtId="168" fontId="17" fillId="5" borderId="5" xfId="0" applyNumberFormat="1" applyFont="1" applyFill="1" applyBorder="1" applyAlignment="1" applyProtection="1">
      <alignment horizontal="right"/>
      <protection locked="0"/>
    </xf>
    <xf numFmtId="0" fontId="17" fillId="5" borderId="3" xfId="0" applyFont="1" applyFill="1" applyBorder="1" applyAlignment="1" applyProtection="1">
      <alignment horizontal="left"/>
      <protection locked="0"/>
    </xf>
    <xf numFmtId="0" fontId="17" fillId="5" borderId="5" xfId="0" applyFont="1" applyFill="1" applyBorder="1" applyAlignment="1" applyProtection="1">
      <alignment horizontal="left"/>
      <protection locked="0"/>
    </xf>
    <xf numFmtId="171" fontId="17" fillId="0" borderId="0" xfId="543" applyNumberFormat="1" applyAlignment="1">
      <alignment horizontal="center"/>
    </xf>
    <xf numFmtId="171" fontId="17"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4" fillId="5" borderId="3" xfId="0" applyFont="1" applyFill="1" applyBorder="1" applyAlignment="1" applyProtection="1">
      <alignment horizontal="right"/>
      <protection locked="0"/>
    </xf>
    <xf numFmtId="0" fontId="24" fillId="5" borderId="4" xfId="0" applyFont="1" applyFill="1" applyBorder="1" applyAlignment="1" applyProtection="1">
      <alignment horizontal="right"/>
      <protection locked="0"/>
    </xf>
    <xf numFmtId="0" fontId="24" fillId="5" borderId="5" xfId="0" applyFont="1" applyFill="1" applyBorder="1" applyAlignment="1" applyProtection="1">
      <alignment horizontal="right"/>
      <protection locked="0"/>
    </xf>
    <xf numFmtId="168" fontId="26" fillId="5" borderId="3" xfId="0" applyNumberFormat="1" applyFont="1" applyFill="1" applyBorder="1" applyAlignment="1" applyProtection="1">
      <alignment horizontal="left" vertical="top"/>
      <protection locked="0"/>
    </xf>
    <xf numFmtId="168" fontId="26" fillId="5" borderId="4" xfId="0" applyNumberFormat="1" applyFont="1" applyFill="1" applyBorder="1" applyAlignment="1" applyProtection="1">
      <alignment horizontal="left" vertical="top"/>
      <protection locked="0"/>
    </xf>
    <xf numFmtId="168" fontId="26" fillId="5" borderId="5" xfId="0" applyNumberFormat="1" applyFont="1" applyFill="1" applyBorder="1" applyAlignment="1" applyProtection="1">
      <alignment horizontal="left" vertical="top"/>
      <protection locked="0"/>
    </xf>
    <xf numFmtId="0" fontId="24" fillId="0" borderId="11" xfId="0" applyFont="1" applyBorder="1" applyAlignment="1">
      <alignment horizontal="center" vertical="center"/>
    </xf>
    <xf numFmtId="172" fontId="24" fillId="0" borderId="11" xfId="0" applyNumberFormat="1" applyFont="1" applyBorder="1" applyAlignment="1">
      <alignment horizontal="center" vertical="center" wrapText="1"/>
    </xf>
    <xf numFmtId="0" fontId="24" fillId="0" borderId="11" xfId="0" applyFont="1" applyBorder="1" applyAlignment="1">
      <alignment horizontal="center" vertical="center"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8" xfId="0" applyFont="1" applyBorder="1" applyAlignment="1">
      <alignment horizontal="center" vertical="center" wrapText="1"/>
    </xf>
    <xf numFmtId="0" fontId="33" fillId="0" borderId="0" xfId="0" applyFont="1" applyAlignment="1">
      <alignment horizontal="center" vertical="center" wrapText="1"/>
    </xf>
    <xf numFmtId="0" fontId="33" fillId="0" borderId="12"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10" xfId="0" applyFont="1" applyBorder="1" applyAlignment="1">
      <alignment horizontal="center" vertical="center" wrapText="1"/>
    </xf>
    <xf numFmtId="0" fontId="54" fillId="0" borderId="1" xfId="0" applyFont="1" applyBorder="1" applyAlignment="1">
      <alignment horizontal="center" vertical="center" wrapText="1"/>
    </xf>
    <xf numFmtId="0" fontId="54" fillId="0" borderId="2"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8" xfId="0" applyFont="1" applyBorder="1" applyAlignment="1">
      <alignment horizontal="center" vertical="center" wrapText="1"/>
    </xf>
    <xf numFmtId="0" fontId="54" fillId="0" borderId="0" xfId="0" applyFont="1" applyAlignment="1">
      <alignment horizontal="center" vertical="center" wrapText="1"/>
    </xf>
    <xf numFmtId="0" fontId="54" fillId="0" borderId="12" xfId="0" applyFont="1" applyBorder="1" applyAlignment="1">
      <alignment horizontal="center" vertical="center" wrapText="1"/>
    </xf>
    <xf numFmtId="0" fontId="54" fillId="0" borderId="9"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10" xfId="0" applyFont="1" applyBorder="1" applyAlignment="1">
      <alignment horizontal="center" vertical="center" wrapText="1"/>
    </xf>
    <xf numFmtId="10" fontId="0" fillId="5" borderId="4" xfId="0" applyNumberFormat="1" applyFill="1" applyBorder="1" applyAlignment="1" applyProtection="1">
      <alignment horizontal="center"/>
      <protection locked="0"/>
    </xf>
    <xf numFmtId="0" fontId="24" fillId="0" borderId="2" xfId="0" applyFont="1" applyBorder="1" applyAlignment="1">
      <alignment horizontal="center" wrapText="1"/>
    </xf>
    <xf numFmtId="0" fontId="24" fillId="0" borderId="7" xfId="0" applyFont="1" applyBorder="1" applyAlignment="1">
      <alignment horizontal="center" wrapText="1"/>
    </xf>
    <xf numFmtId="0" fontId="24" fillId="0" borderId="6" xfId="0" applyFont="1" applyBorder="1" applyAlignment="1">
      <alignment horizontal="center" wrapText="1"/>
    </xf>
    <xf numFmtId="0" fontId="24" fillId="0" borderId="10" xfId="0" applyFont="1" applyBorder="1" applyAlignment="1">
      <alignment horizontal="center" wrapText="1"/>
    </xf>
    <xf numFmtId="0" fontId="36" fillId="5" borderId="3" xfId="543" applyFont="1" applyFill="1" applyBorder="1" applyAlignment="1">
      <alignment horizontal="center"/>
    </xf>
    <xf numFmtId="0" fontId="36" fillId="5" borderId="4" xfId="543" applyFont="1" applyFill="1" applyBorder="1" applyAlignment="1">
      <alignment horizontal="center"/>
    </xf>
    <xf numFmtId="0" fontId="36" fillId="5" borderId="5" xfId="543" applyFont="1" applyFill="1" applyBorder="1" applyAlignment="1">
      <alignment horizontal="center"/>
    </xf>
    <xf numFmtId="49" fontId="17" fillId="5" borderId="3" xfId="543" applyNumberFormat="1" applyFill="1" applyBorder="1" applyAlignment="1">
      <alignment horizontal="center"/>
    </xf>
    <xf numFmtId="49" fontId="17" fillId="5" borderId="5" xfId="543" applyNumberFormat="1" applyFill="1" applyBorder="1" applyAlignment="1">
      <alignment horizontal="center"/>
    </xf>
    <xf numFmtId="0" fontId="17" fillId="0" borderId="8" xfId="543" applyBorder="1" applyAlignment="1">
      <alignment horizontal="left" vertical="top" wrapText="1"/>
    </xf>
    <xf numFmtId="0" fontId="17" fillId="0" borderId="0" xfId="543" applyAlignment="1">
      <alignment horizontal="left" vertical="top" wrapText="1"/>
    </xf>
    <xf numFmtId="0" fontId="17" fillId="0" borderId="12" xfId="543" applyBorder="1" applyAlignment="1">
      <alignment horizontal="left" vertical="top" wrapText="1"/>
    </xf>
    <xf numFmtId="164" fontId="36" fillId="5" borderId="4" xfId="0" applyNumberFormat="1" applyFont="1" applyFill="1" applyBorder="1" applyAlignment="1" applyProtection="1">
      <alignment horizontal="left"/>
      <protection locked="0"/>
    </xf>
    <xf numFmtId="164" fontId="36" fillId="5" borderId="5" xfId="0" applyNumberFormat="1" applyFont="1" applyFill="1" applyBorder="1" applyAlignment="1" applyProtection="1">
      <alignment horizontal="left"/>
      <protection locked="0"/>
    </xf>
    <xf numFmtId="0" fontId="26"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7"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7" fillId="5" borderId="3" xfId="0" applyNumberFormat="1" applyFont="1" applyFill="1" applyBorder="1" applyAlignment="1" applyProtection="1">
      <alignment horizontal="left"/>
      <protection locked="0"/>
    </xf>
    <xf numFmtId="168" fontId="17" fillId="5" borderId="4" xfId="0" applyNumberFormat="1" applyFont="1" applyFill="1" applyBorder="1" applyAlignment="1" applyProtection="1">
      <alignment horizontal="left"/>
      <protection locked="0"/>
    </xf>
    <xf numFmtId="168" fontId="17" fillId="5" borderId="5" xfId="0" applyNumberFormat="1" applyFont="1" applyFill="1" applyBorder="1" applyAlignment="1" applyProtection="1">
      <alignment horizontal="left"/>
      <protection locked="0"/>
    </xf>
    <xf numFmtId="0" fontId="24" fillId="0" borderId="2" xfId="0" applyFont="1" applyBorder="1" applyAlignment="1">
      <alignment horizontal="right"/>
    </xf>
    <xf numFmtId="0" fontId="24" fillId="0" borderId="7" xfId="0" applyFont="1" applyBorder="1" applyAlignment="1">
      <alignment horizontal="right"/>
    </xf>
    <xf numFmtId="168" fontId="17" fillId="5" borderId="9" xfId="0" applyNumberFormat="1" applyFont="1" applyFill="1" applyBorder="1" applyAlignment="1" applyProtection="1">
      <alignment horizontal="right"/>
      <protection locked="0"/>
    </xf>
    <xf numFmtId="0" fontId="24" fillId="0" borderId="1" xfId="0" applyFont="1" applyBorder="1" applyAlignment="1">
      <alignment horizontal="center"/>
    </xf>
    <xf numFmtId="0" fontId="24" fillId="0" borderId="2" xfId="0" applyFont="1" applyBorder="1" applyAlignment="1">
      <alignment horizontal="center"/>
    </xf>
    <xf numFmtId="0" fontId="24" fillId="0" borderId="7" xfId="0" applyFont="1" applyBorder="1" applyAlignment="1">
      <alignment horizontal="center"/>
    </xf>
    <xf numFmtId="1" fontId="17" fillId="43" borderId="11" xfId="0" applyNumberFormat="1" applyFont="1" applyFill="1" applyBorder="1" applyAlignment="1" applyProtection="1">
      <alignment horizontal="center"/>
      <protection locked="0"/>
    </xf>
    <xf numFmtId="0" fontId="17" fillId="43" borderId="11" xfId="0" applyFont="1" applyFill="1" applyBorder="1" applyAlignment="1" applyProtection="1">
      <alignment horizontal="center"/>
      <protection locked="0"/>
    </xf>
    <xf numFmtId="168" fontId="17" fillId="10" borderId="3" xfId="543" applyNumberFormat="1" applyFill="1" applyBorder="1" applyAlignment="1">
      <alignment horizontal="center"/>
    </xf>
    <xf numFmtId="168" fontId="17" fillId="10" borderId="4" xfId="543" applyNumberFormat="1" applyFill="1" applyBorder="1" applyAlignment="1">
      <alignment horizontal="center"/>
    </xf>
    <xf numFmtId="168" fontId="17" fillId="10" borderId="5" xfId="543" applyNumberFormat="1" applyFill="1" applyBorder="1" applyAlignment="1">
      <alignment horizontal="center"/>
    </xf>
    <xf numFmtId="1" fontId="17" fillId="0" borderId="3" xfId="0" applyNumberFormat="1" applyFont="1" applyBorder="1" applyAlignment="1">
      <alignment horizontal="center"/>
    </xf>
    <xf numFmtId="1" fontId="26" fillId="0" borderId="4" xfId="0" applyNumberFormat="1" applyFont="1" applyBorder="1" applyAlignment="1">
      <alignment horizontal="center"/>
    </xf>
    <xf numFmtId="1" fontId="26" fillId="0" borderId="5" xfId="0" applyNumberFormat="1" applyFont="1" applyBorder="1" applyAlignment="1">
      <alignment horizontal="center"/>
    </xf>
    <xf numFmtId="0" fontId="26" fillId="5" borderId="6" xfId="271" applyFill="1" applyBorder="1" applyProtection="1">
      <protection locked="0"/>
    </xf>
    <xf numFmtId="0" fontId="24"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7" fillId="0" borderId="1" xfId="543" applyNumberFormat="1" applyBorder="1" applyAlignment="1">
      <alignment horizontal="center" vertical="center"/>
    </xf>
    <xf numFmtId="168" fontId="17" fillId="0" borderId="2" xfId="543" applyNumberFormat="1" applyBorder="1" applyAlignment="1">
      <alignment horizontal="center" vertical="center"/>
    </xf>
    <xf numFmtId="168" fontId="17" fillId="0" borderId="7" xfId="543" applyNumberFormat="1" applyBorder="1" applyAlignment="1">
      <alignment horizontal="center" vertical="center"/>
    </xf>
    <xf numFmtId="168" fontId="17" fillId="0" borderId="8" xfId="543" applyNumberFormat="1" applyBorder="1" applyAlignment="1">
      <alignment horizontal="center" vertical="center"/>
    </xf>
    <xf numFmtId="168" fontId="17" fillId="0" borderId="0" xfId="543" applyNumberFormat="1" applyAlignment="1">
      <alignment horizontal="center" vertical="center"/>
    </xf>
    <xf numFmtId="168" fontId="17" fillId="0" borderId="12" xfId="543" applyNumberFormat="1" applyBorder="1" applyAlignment="1">
      <alignment horizontal="center" vertical="center"/>
    </xf>
    <xf numFmtId="168" fontId="17" fillId="0" borderId="9" xfId="543" applyNumberFormat="1" applyBorder="1" applyAlignment="1">
      <alignment horizontal="center" vertical="center"/>
    </xf>
    <xf numFmtId="168" fontId="17" fillId="0" borderId="6" xfId="543" applyNumberFormat="1" applyBorder="1" applyAlignment="1">
      <alignment horizontal="center" vertical="center"/>
    </xf>
    <xf numFmtId="168" fontId="17" fillId="0" borderId="10" xfId="543" applyNumberFormat="1" applyBorder="1" applyAlignment="1">
      <alignment horizontal="center" vertical="center"/>
    </xf>
    <xf numFmtId="0" fontId="24" fillId="0" borderId="1" xfId="543" applyFont="1" applyBorder="1" applyAlignment="1">
      <alignment horizontal="left" vertical="center" wrapText="1"/>
    </xf>
    <xf numFmtId="0" fontId="24" fillId="0" borderId="2" xfId="543" applyFont="1" applyBorder="1" applyAlignment="1">
      <alignment horizontal="left" vertical="center" wrapText="1"/>
    </xf>
    <xf numFmtId="0" fontId="24" fillId="0" borderId="7" xfId="543" applyFont="1" applyBorder="1" applyAlignment="1">
      <alignment horizontal="left" vertical="center" wrapText="1"/>
    </xf>
    <xf numFmtId="0" fontId="24" fillId="0" borderId="3" xfId="543" applyFont="1" applyBorder="1" applyAlignment="1">
      <alignment horizontal="right"/>
    </xf>
    <xf numFmtId="0" fontId="24" fillId="0" borderId="4" xfId="543" applyFont="1" applyBorder="1" applyAlignment="1">
      <alignment horizontal="right"/>
    </xf>
    <xf numFmtId="0" fontId="24" fillId="0" borderId="5" xfId="543" applyFont="1" applyBorder="1" applyAlignment="1">
      <alignment horizontal="right"/>
    </xf>
    <xf numFmtId="0" fontId="17" fillId="5" borderId="3" xfId="543"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7" fillId="0" borderId="9" xfId="543" applyBorder="1" applyAlignment="1">
      <alignment horizontal="left" vertical="top" wrapText="1"/>
    </xf>
    <xf numFmtId="0" fontId="17" fillId="0" borderId="6" xfId="543" applyBorder="1" applyAlignment="1">
      <alignment horizontal="left" vertical="top" wrapText="1"/>
    </xf>
    <xf numFmtId="0" fontId="17" fillId="0" borderId="10" xfId="543" applyBorder="1" applyAlignment="1">
      <alignment horizontal="left" vertical="top" wrapText="1"/>
    </xf>
    <xf numFmtId="0" fontId="17" fillId="2" borderId="3" xfId="543" applyFill="1" applyBorder="1" applyAlignment="1">
      <alignment horizontal="center"/>
    </xf>
    <xf numFmtId="0" fontId="17" fillId="2" borderId="4" xfId="543" applyFill="1" applyBorder="1" applyAlignment="1">
      <alignment horizontal="center"/>
    </xf>
    <xf numFmtId="0" fontId="17" fillId="2" borderId="5" xfId="543" applyFill="1" applyBorder="1" applyAlignment="1">
      <alignment horizontal="center"/>
    </xf>
    <xf numFmtId="0" fontId="36" fillId="0" borderId="3" xfId="543" applyFont="1" applyBorder="1" applyAlignment="1">
      <alignment horizontal="center"/>
    </xf>
    <xf numFmtId="0" fontId="36" fillId="0" borderId="5" xfId="543" applyFont="1" applyBorder="1" applyAlignment="1">
      <alignment horizontal="center"/>
    </xf>
    <xf numFmtId="0" fontId="36" fillId="5" borderId="3" xfId="543" applyFont="1" applyFill="1" applyBorder="1" applyAlignment="1" applyProtection="1">
      <alignment horizontal="center"/>
      <protection locked="0"/>
    </xf>
    <xf numFmtId="0" fontId="36" fillId="5" borderId="5" xfId="543" applyFont="1" applyFill="1" applyBorder="1" applyAlignment="1" applyProtection="1">
      <alignment horizontal="center"/>
      <protection locked="0"/>
    </xf>
    <xf numFmtId="0" fontId="36" fillId="5" borderId="9" xfId="543" applyFont="1" applyFill="1" applyBorder="1" applyAlignment="1" applyProtection="1">
      <alignment horizontal="center"/>
      <protection locked="0"/>
    </xf>
    <xf numFmtId="0" fontId="36" fillId="5" borderId="10" xfId="543" applyFont="1" applyFill="1" applyBorder="1" applyAlignment="1" applyProtection="1">
      <alignment horizontal="center"/>
      <protection locked="0"/>
    </xf>
    <xf numFmtId="0" fontId="24" fillId="0" borderId="1" xfId="0" applyFont="1" applyBorder="1" applyAlignment="1">
      <alignment horizontal="center" wrapText="1"/>
    </xf>
    <xf numFmtId="0" fontId="24" fillId="0" borderId="8" xfId="0" applyFont="1" applyBorder="1" applyAlignment="1">
      <alignment horizontal="center" wrapText="1"/>
    </xf>
    <xf numFmtId="0" fontId="24" fillId="0" borderId="0" xfId="0" applyFont="1" applyAlignment="1">
      <alignment horizontal="center" wrapText="1"/>
    </xf>
    <xf numFmtId="0" fontId="24" fillId="0" borderId="9" xfId="0" applyFont="1" applyBorder="1" applyAlignment="1">
      <alignment horizontal="center" wrapText="1"/>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4" fillId="0" borderId="8" xfId="543" applyFont="1" applyBorder="1" applyAlignment="1">
      <alignment horizontal="left" vertical="center" wrapText="1"/>
    </xf>
    <xf numFmtId="0" fontId="24" fillId="0" borderId="0" xfId="543" applyFont="1" applyAlignment="1">
      <alignment horizontal="left" vertical="center" wrapText="1"/>
    </xf>
    <xf numFmtId="0" fontId="24" fillId="0" borderId="12" xfId="543" applyFont="1" applyBorder="1" applyAlignment="1">
      <alignment horizontal="left" vertical="center" wrapText="1"/>
    </xf>
    <xf numFmtId="0" fontId="17" fillId="0" borderId="8" xfId="543" applyBorder="1" applyAlignment="1">
      <alignment horizontal="left" vertical="center" wrapText="1"/>
    </xf>
    <xf numFmtId="0" fontId="17" fillId="0" borderId="0" xfId="543" applyAlignment="1">
      <alignment horizontal="left" vertical="center" wrapText="1"/>
    </xf>
    <xf numFmtId="0" fontId="17" fillId="0" borderId="12" xfId="543" applyBorder="1" applyAlignment="1">
      <alignment horizontal="left" vertical="center" wrapText="1"/>
    </xf>
    <xf numFmtId="0" fontId="17" fillId="0" borderId="9" xfId="543" applyBorder="1" applyAlignment="1">
      <alignment horizontal="left" vertical="center" wrapText="1"/>
    </xf>
    <xf numFmtId="0" fontId="17" fillId="0" borderId="6" xfId="543" applyBorder="1" applyAlignment="1">
      <alignment horizontal="left" vertical="center" wrapText="1"/>
    </xf>
    <xf numFmtId="0" fontId="17" fillId="0" borderId="10" xfId="543" applyBorder="1" applyAlignment="1">
      <alignment horizontal="left" vertical="center" wrapText="1"/>
    </xf>
    <xf numFmtId="182" fontId="25"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4" fillId="0" borderId="12" xfId="0" applyFont="1" applyBorder="1" applyAlignment="1">
      <alignment horizontal="center" wrapText="1"/>
    </xf>
    <xf numFmtId="1" fontId="17" fillId="0" borderId="3" xfId="543" applyNumberFormat="1" applyBorder="1" applyAlignment="1">
      <alignment horizontal="center"/>
    </xf>
    <xf numFmtId="1" fontId="17" fillId="0" borderId="4" xfId="543" applyNumberFormat="1" applyBorder="1" applyAlignment="1">
      <alignment horizontal="center"/>
    </xf>
    <xf numFmtId="1" fontId="17" fillId="0" borderId="5" xfId="543" applyNumberFormat="1" applyBorder="1" applyAlignment="1">
      <alignment horizontal="center"/>
    </xf>
    <xf numFmtId="168" fontId="17" fillId="0" borderId="11" xfId="543" applyNumberFormat="1" applyBorder="1" applyAlignment="1">
      <alignment horizontal="center"/>
    </xf>
    <xf numFmtId="0" fontId="37" fillId="0" borderId="4" xfId="543" applyFont="1" applyBorder="1" applyAlignment="1">
      <alignment horizontal="right" vertical="top" wrapText="1"/>
    </xf>
    <xf numFmtId="0" fontId="37" fillId="0" borderId="5" xfId="543" applyFont="1" applyBorder="1" applyAlignment="1">
      <alignment horizontal="right" vertical="top" wrapText="1"/>
    </xf>
    <xf numFmtId="0" fontId="25" fillId="0" borderId="3" xfId="543" applyFont="1" applyBorder="1" applyAlignment="1">
      <alignment horizontal="center"/>
    </xf>
    <xf numFmtId="0" fontId="25" fillId="0" borderId="5" xfId="543" applyFont="1" applyBorder="1" applyAlignment="1">
      <alignment horizontal="center"/>
    </xf>
    <xf numFmtId="1" fontId="25" fillId="0" borderId="3" xfId="543" applyNumberFormat="1" applyFont="1" applyBorder="1" applyAlignment="1">
      <alignment horizontal="center"/>
    </xf>
    <xf numFmtId="1" fontId="25" fillId="0" borderId="5" xfId="543" applyNumberFormat="1" applyFont="1" applyBorder="1" applyAlignment="1">
      <alignment horizontal="center"/>
    </xf>
    <xf numFmtId="0" fontId="38" fillId="0" borderId="3" xfId="543" applyFont="1" applyBorder="1" applyAlignment="1">
      <alignment horizontal="center"/>
    </xf>
    <xf numFmtId="0" fontId="38" fillId="0" borderId="4" xfId="543" applyFont="1" applyBorder="1" applyAlignment="1">
      <alignment horizontal="center"/>
    </xf>
    <xf numFmtId="0" fontId="38" fillId="0" borderId="5" xfId="543" applyFont="1" applyBorder="1" applyAlignment="1">
      <alignment horizontal="center"/>
    </xf>
    <xf numFmtId="0" fontId="37" fillId="0" borderId="1" xfId="543" applyFont="1" applyBorder="1" applyAlignment="1">
      <alignment horizontal="right"/>
    </xf>
    <xf numFmtId="0" fontId="37" fillId="0" borderId="2" xfId="543" applyFont="1" applyBorder="1" applyAlignment="1">
      <alignment horizontal="right"/>
    </xf>
    <xf numFmtId="0" fontId="37" fillId="0" borderId="7" xfId="543" applyFont="1" applyBorder="1" applyAlignment="1">
      <alignment horizontal="right"/>
    </xf>
    <xf numFmtId="0" fontId="17" fillId="0" borderId="3" xfId="543" applyBorder="1" applyAlignment="1">
      <alignment horizontal="center"/>
    </xf>
    <xf numFmtId="0" fontId="17" fillId="0" borderId="4" xfId="543" applyBorder="1" applyAlignment="1">
      <alignment horizontal="center"/>
    </xf>
    <xf numFmtId="0" fontId="17" fillId="0" borderId="5" xfId="543" applyBorder="1" applyAlignment="1">
      <alignment horizontal="center"/>
    </xf>
    <xf numFmtId="168" fontId="24" fillId="0" borderId="3" xfId="543" applyNumberFormat="1" applyFont="1" applyBorder="1" applyAlignment="1">
      <alignment horizontal="center" vertical="center"/>
    </xf>
    <xf numFmtId="168" fontId="24" fillId="0" borderId="4" xfId="543" applyNumberFormat="1" applyFont="1" applyBorder="1" applyAlignment="1">
      <alignment horizontal="center" vertical="center"/>
    </xf>
    <xf numFmtId="168" fontId="24" fillId="0" borderId="5" xfId="543" applyNumberFormat="1" applyFont="1" applyBorder="1" applyAlignment="1">
      <alignment horizontal="center" vertical="center"/>
    </xf>
    <xf numFmtId="0" fontId="17" fillId="0" borderId="8" xfId="0" applyFont="1" applyBorder="1" applyAlignment="1">
      <alignment horizontal="left" wrapText="1"/>
    </xf>
    <xf numFmtId="0" fontId="17" fillId="0" borderId="12" xfId="0" applyFont="1" applyBorder="1" applyAlignment="1">
      <alignment horizontal="left" wrapText="1"/>
    </xf>
    <xf numFmtId="0" fontId="17" fillId="0" borderId="9" xfId="0" applyFont="1" applyBorder="1" applyAlignment="1">
      <alignment horizontal="left" wrapText="1"/>
    </xf>
    <xf numFmtId="0" fontId="17" fillId="0" borderId="6" xfId="0" applyFont="1" applyBorder="1" applyAlignment="1">
      <alignment horizontal="left" wrapText="1"/>
    </xf>
    <xf numFmtId="0" fontId="17" fillId="0" borderId="10" xfId="0" applyFont="1" applyBorder="1" applyAlignment="1">
      <alignment horizontal="left" wrapText="1"/>
    </xf>
    <xf numFmtId="0" fontId="53" fillId="5" borderId="3" xfId="0" applyFont="1" applyFill="1" applyBorder="1" applyAlignment="1" applyProtection="1">
      <alignment horizontal="right"/>
      <protection locked="0"/>
    </xf>
    <xf numFmtId="0" fontId="53" fillId="5" borderId="4" xfId="0" applyFont="1" applyFill="1" applyBorder="1" applyAlignment="1" applyProtection="1">
      <alignment horizontal="right"/>
      <protection locked="0"/>
    </xf>
    <xf numFmtId="0" fontId="53" fillId="5" borderId="5" xfId="0" applyFon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24" fillId="0" borderId="1" xfId="543" applyFont="1" applyBorder="1" applyAlignment="1">
      <alignment horizontal="left" vertical="top" wrapText="1"/>
    </xf>
    <xf numFmtId="0" fontId="24" fillId="0" borderId="2" xfId="543" applyFont="1" applyBorder="1" applyAlignment="1">
      <alignment horizontal="left" vertical="top" wrapText="1"/>
    </xf>
    <xf numFmtId="0" fontId="24" fillId="0" borderId="7" xfId="543" applyFont="1" applyBorder="1" applyAlignment="1">
      <alignment horizontal="left" vertical="top" wrapText="1"/>
    </xf>
    <xf numFmtId="0" fontId="24" fillId="0" borderId="8" xfId="543" applyFont="1" applyBorder="1" applyAlignment="1">
      <alignment horizontal="left" vertical="top" wrapText="1"/>
    </xf>
    <xf numFmtId="0" fontId="24" fillId="0" borderId="0" xfId="543" applyFont="1" applyAlignment="1">
      <alignment horizontal="left" vertical="top" wrapText="1"/>
    </xf>
    <xf numFmtId="0" fontId="24"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64" fontId="36" fillId="5" borderId="3" xfId="0" applyNumberFormat="1" applyFont="1" applyFill="1" applyBorder="1" applyAlignment="1" applyProtection="1">
      <alignment horizontal="left"/>
      <protection locked="0"/>
    </xf>
    <xf numFmtId="0" fontId="25" fillId="5" borderId="3" xfId="543" applyFont="1"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24" fillId="10" borderId="3" xfId="543" applyFont="1" applyFill="1" applyBorder="1" applyAlignment="1">
      <alignment horizontal="center"/>
    </xf>
    <xf numFmtId="0" fontId="24" fillId="10" borderId="4" xfId="543" applyFont="1" applyFill="1" applyBorder="1" applyAlignment="1">
      <alignment horizontal="center"/>
    </xf>
    <xf numFmtId="0" fontId="24" fillId="10" borderId="5" xfId="543" applyFont="1" applyFill="1" applyBorder="1" applyAlignment="1">
      <alignment horizontal="center"/>
    </xf>
    <xf numFmtId="0" fontId="36" fillId="5" borderId="3" xfId="543" applyFont="1" applyFill="1" applyBorder="1" applyAlignment="1" applyProtection="1">
      <alignment horizontal="center" vertical="top"/>
      <protection locked="0"/>
    </xf>
    <xf numFmtId="0" fontId="36" fillId="5" borderId="5" xfId="543" applyFont="1" applyFill="1" applyBorder="1" applyAlignment="1" applyProtection="1">
      <alignment horizontal="center" vertical="top"/>
      <protection locked="0"/>
    </xf>
    <xf numFmtId="0" fontId="44" fillId="0" borderId="8" xfId="543" applyFont="1" applyBorder="1" applyAlignment="1">
      <alignment horizontal="center" vertical="center" wrapText="1"/>
    </xf>
    <xf numFmtId="0" fontId="44" fillId="0" borderId="0" xfId="543" applyFont="1" applyAlignment="1">
      <alignment horizontal="center" vertical="center" wrapText="1"/>
    </xf>
    <xf numFmtId="0" fontId="44" fillId="0" borderId="12" xfId="543" applyFont="1" applyBorder="1" applyAlignment="1">
      <alignment horizontal="center" vertical="center" wrapText="1"/>
    </xf>
    <xf numFmtId="0" fontId="24" fillId="0" borderId="9" xfId="0" applyFont="1" applyBorder="1" applyAlignment="1">
      <alignment horizontal="right"/>
    </xf>
    <xf numFmtId="0" fontId="24" fillId="0" borderId="10" xfId="0" applyFont="1" applyBorder="1" applyAlignment="1">
      <alignment horizontal="right"/>
    </xf>
    <xf numFmtId="0" fontId="24" fillId="0" borderId="9" xfId="0" applyFont="1" applyBorder="1" applyAlignment="1">
      <alignment horizontal="center"/>
    </xf>
    <xf numFmtId="180" fontId="0" fillId="0" borderId="6" xfId="0" applyNumberFormat="1" applyBorder="1" applyAlignment="1">
      <alignment horizontal="center"/>
    </xf>
    <xf numFmtId="0" fontId="50" fillId="0" borderId="0" xfId="0" applyFont="1" applyAlignment="1">
      <alignment horizontal="center"/>
    </xf>
    <xf numFmtId="0" fontId="24" fillId="0" borderId="0" xfId="0" applyFont="1" applyAlignment="1">
      <alignment horizontal="center"/>
    </xf>
    <xf numFmtId="0" fontId="17" fillId="0" borderId="0" xfId="0" applyFont="1" applyAlignment="1">
      <alignment horizontal="center"/>
    </xf>
    <xf numFmtId="0" fontId="32" fillId="0" borderId="0" xfId="0" applyFont="1" applyAlignment="1">
      <alignment horizontal="center"/>
    </xf>
    <xf numFmtId="0" fontId="17" fillId="0" borderId="0" xfId="0" applyFont="1" applyAlignment="1">
      <alignment horizontal="center" vertical="top"/>
    </xf>
    <xf numFmtId="168" fontId="26" fillId="0" borderId="6" xfId="0" applyNumberFormat="1" applyFont="1" applyBorder="1" applyAlignment="1">
      <alignment horizontal="center"/>
    </xf>
    <xf numFmtId="0" fontId="17" fillId="5" borderId="6" xfId="0" applyFont="1" applyFill="1" applyBorder="1" applyAlignment="1" applyProtection="1">
      <alignment horizontal="left" wrapText="1"/>
      <protection locked="0"/>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6" fillId="0" borderId="0" xfId="543" applyFont="1" applyAlignment="1">
      <alignment horizontal="center"/>
    </xf>
    <xf numFmtId="0" fontId="17" fillId="0" borderId="0" xfId="0" applyFont="1" applyAlignment="1">
      <alignment vertical="center" wrapText="1"/>
    </xf>
    <xf numFmtId="0" fontId="17" fillId="0" borderId="0" xfId="543" applyAlignment="1">
      <alignment wrapText="1"/>
    </xf>
    <xf numFmtId="0" fontId="26" fillId="0" borderId="2" xfId="0" applyFont="1" applyBorder="1" applyAlignment="1">
      <alignment horizontal="left" vertical="top" wrapText="1"/>
    </xf>
    <xf numFmtId="177" fontId="26" fillId="5" borderId="6" xfId="0" applyNumberFormat="1" applyFont="1" applyFill="1" applyBorder="1" applyAlignment="1" applyProtection="1">
      <alignment horizontal="left" vertical="top" wrapText="1"/>
      <protection locked="0"/>
    </xf>
    <xf numFmtId="0" fontId="54" fillId="0" borderId="0" xfId="0" applyFont="1" applyAlignment="1">
      <alignment vertical="top" wrapText="1"/>
    </xf>
    <xf numFmtId="0" fontId="26" fillId="0" borderId="0" xfId="0" applyFont="1" applyAlignment="1">
      <alignment vertical="top" wrapText="1"/>
    </xf>
    <xf numFmtId="0" fontId="26" fillId="0" borderId="6" xfId="0" applyFont="1" applyBorder="1" applyAlignment="1">
      <alignment horizontal="right" vertical="top" wrapText="1"/>
    </xf>
    <xf numFmtId="0" fontId="26" fillId="0" borderId="6" xfId="0" applyFont="1" applyBorder="1" applyAlignment="1">
      <alignment vertical="top" wrapText="1"/>
    </xf>
    <xf numFmtId="0" fontId="58" fillId="2" borderId="3" xfId="0" applyFont="1" applyFill="1" applyBorder="1" applyAlignment="1">
      <alignment horizontal="center" vertical="top"/>
    </xf>
    <xf numFmtId="0" fontId="58" fillId="2" borderId="4" xfId="0" applyFont="1" applyFill="1" applyBorder="1" applyAlignment="1">
      <alignment horizontal="center" vertical="top"/>
    </xf>
    <xf numFmtId="0" fontId="58" fillId="2" borderId="5" xfId="0" applyFont="1" applyFill="1" applyBorder="1" applyAlignment="1">
      <alignment horizontal="center" vertical="top"/>
    </xf>
    <xf numFmtId="0" fontId="26" fillId="0" borderId="2" xfId="0" applyFont="1" applyBorder="1" applyAlignment="1">
      <alignment vertical="top" wrapText="1"/>
    </xf>
    <xf numFmtId="0" fontId="53" fillId="0" borderId="0" xfId="0" applyFont="1" applyAlignment="1">
      <alignment vertical="top" wrapText="1"/>
    </xf>
    <xf numFmtId="0" fontId="54" fillId="0" borderId="0" xfId="569" applyFont="1" applyAlignment="1">
      <alignment vertical="top" wrapText="1"/>
    </xf>
    <xf numFmtId="0" fontId="17" fillId="0" borderId="0" xfId="569" applyAlignment="1">
      <alignment horizontal="right" vertical="top" wrapText="1"/>
    </xf>
    <xf numFmtId="0" fontId="23" fillId="3" borderId="3" xfId="0" applyFont="1" applyFill="1" applyBorder="1" applyAlignment="1">
      <alignment horizontal="left" vertical="top"/>
    </xf>
    <xf numFmtId="0" fontId="23" fillId="3" borderId="4" xfId="0" applyFont="1" applyFill="1" applyBorder="1" applyAlignment="1">
      <alignment horizontal="left" vertical="top"/>
    </xf>
    <xf numFmtId="0" fontId="23" fillId="3" borderId="5" xfId="0" applyFont="1" applyFill="1" applyBorder="1" applyAlignment="1">
      <alignment horizontal="left" vertical="top"/>
    </xf>
    <xf numFmtId="0" fontId="169" fillId="44" borderId="80" xfId="8733" applyFont="1" applyFill="1" applyBorder="1" applyAlignment="1">
      <alignment horizontal="left"/>
    </xf>
    <xf numFmtId="0" fontId="169" fillId="44" borderId="79" xfId="8733" applyFont="1" applyFill="1" applyBorder="1" applyAlignment="1">
      <alignment horizontal="left"/>
    </xf>
    <xf numFmtId="0" fontId="169" fillId="44" borderId="78" xfId="8733" applyFont="1" applyFill="1" applyBorder="1" applyAlignment="1">
      <alignment horizontal="left"/>
    </xf>
    <xf numFmtId="0" fontId="170" fillId="45" borderId="11" xfId="8733" applyFont="1" applyFill="1" applyBorder="1" applyAlignment="1">
      <alignment horizontal="right"/>
    </xf>
    <xf numFmtId="1" fontId="169" fillId="48" borderId="11" xfId="8733" applyNumberFormat="1" applyFont="1" applyFill="1" applyBorder="1" applyAlignment="1" applyProtection="1">
      <alignment horizontal="center"/>
      <protection locked="0"/>
    </xf>
    <xf numFmtId="0" fontId="2" fillId="44" borderId="80" xfId="8733" applyFill="1" applyBorder="1" applyAlignment="1">
      <alignment horizontal="center"/>
    </xf>
    <xf numFmtId="0" fontId="2" fillId="44" borderId="79" xfId="8733" applyFill="1" applyBorder="1" applyAlignment="1">
      <alignment horizontal="center"/>
    </xf>
    <xf numFmtId="0" fontId="2" fillId="44" borderId="78" xfId="8733" applyFill="1" applyBorder="1" applyAlignment="1">
      <alignment horizontal="center"/>
    </xf>
    <xf numFmtId="0" fontId="181" fillId="51" borderId="65" xfId="8733" applyFont="1" applyFill="1" applyBorder="1" applyAlignment="1">
      <alignment horizontal="center"/>
    </xf>
    <xf numFmtId="0" fontId="181" fillId="51" borderId="29" xfId="8733" applyFont="1" applyFill="1" applyBorder="1" applyAlignment="1">
      <alignment horizontal="center"/>
    </xf>
    <xf numFmtId="0" fontId="181" fillId="51" borderId="31" xfId="8733" applyFont="1" applyFill="1" applyBorder="1" applyAlignment="1">
      <alignment horizontal="center"/>
    </xf>
    <xf numFmtId="0" fontId="166" fillId="48" borderId="66" xfId="8733" applyFont="1" applyFill="1" applyBorder="1" applyAlignment="1">
      <alignment horizontal="center"/>
    </xf>
    <xf numFmtId="0" fontId="166" fillId="48" borderId="0" xfId="8733" applyFont="1" applyFill="1" applyAlignment="1">
      <alignment horizontal="center"/>
    </xf>
    <xf numFmtId="0" fontId="166" fillId="48" borderId="41" xfId="8733" applyFont="1" applyFill="1" applyBorder="1" applyAlignment="1">
      <alignment horizontal="center"/>
    </xf>
    <xf numFmtId="0" fontId="176" fillId="45" borderId="11" xfId="8733" applyFont="1" applyFill="1" applyBorder="1" applyAlignment="1">
      <alignment horizontal="right"/>
    </xf>
    <xf numFmtId="14" fontId="169" fillId="48" borderId="11" xfId="8733" applyNumberFormat="1" applyFont="1" applyFill="1" applyBorder="1" applyAlignment="1" applyProtection="1">
      <alignment horizontal="center"/>
      <protection locked="0"/>
    </xf>
    <xf numFmtId="0" fontId="169" fillId="48" borderId="11" xfId="8733" applyFont="1" applyFill="1" applyBorder="1" applyAlignment="1" applyProtection="1">
      <alignment horizontal="center"/>
      <protection locked="0"/>
    </xf>
    <xf numFmtId="0" fontId="102" fillId="45" borderId="80" xfId="8733" applyFont="1" applyFill="1" applyBorder="1" applyAlignment="1">
      <alignment horizontal="center"/>
    </xf>
    <xf numFmtId="0" fontId="102" fillId="45" borderId="79" xfId="8733" applyFont="1" applyFill="1" applyBorder="1" applyAlignment="1">
      <alignment horizontal="center"/>
    </xf>
    <xf numFmtId="0" fontId="102" fillId="45" borderId="78" xfId="8733" applyFont="1" applyFill="1" applyBorder="1" applyAlignment="1">
      <alignment horizontal="center"/>
    </xf>
    <xf numFmtId="0" fontId="169" fillId="48" borderId="80" xfId="8733" applyFont="1" applyFill="1" applyBorder="1" applyAlignment="1" applyProtection="1">
      <alignment horizontal="center"/>
      <protection locked="0"/>
    </xf>
    <xf numFmtId="0" fontId="169" fillId="48" borderId="79" xfId="8733" applyFont="1" applyFill="1" applyBorder="1" applyAlignment="1" applyProtection="1">
      <alignment horizontal="center"/>
      <protection locked="0"/>
    </xf>
    <xf numFmtId="0" fontId="169" fillId="48" borderId="78" xfId="8733" applyFont="1" applyFill="1" applyBorder="1" applyAlignment="1" applyProtection="1">
      <alignment horizontal="center"/>
      <protection locked="0"/>
    </xf>
    <xf numFmtId="0" fontId="173" fillId="45" borderId="11" xfId="8733" applyFont="1" applyFill="1" applyBorder="1" applyAlignment="1">
      <alignment horizontal="right"/>
    </xf>
    <xf numFmtId="1" fontId="2" fillId="44" borderId="11" xfId="8733" applyNumberFormat="1" applyFill="1" applyBorder="1" applyAlignment="1">
      <alignment horizontal="center"/>
    </xf>
    <xf numFmtId="0" fontId="2" fillId="44" borderId="11" xfId="8733" applyFill="1" applyBorder="1" applyAlignment="1">
      <alignment horizontal="center"/>
    </xf>
    <xf numFmtId="0" fontId="170" fillId="45" borderId="11" xfId="8733" applyFont="1" applyFill="1" applyBorder="1" applyAlignment="1">
      <alignment horizontal="right" wrapText="1"/>
    </xf>
    <xf numFmtId="14" fontId="169" fillId="48" borderId="11" xfId="8733" applyNumberFormat="1" applyFont="1" applyFill="1" applyBorder="1" applyAlignment="1" applyProtection="1">
      <alignment horizontal="center" vertical="center"/>
      <protection locked="0"/>
    </xf>
    <xf numFmtId="0" fontId="169" fillId="48" borderId="11" xfId="8733" applyFont="1" applyFill="1" applyBorder="1" applyAlignment="1" applyProtection="1">
      <alignment horizontal="center" vertical="center"/>
      <protection locked="0"/>
    </xf>
    <xf numFmtId="168" fontId="174" fillId="44" borderId="11" xfId="8734" applyNumberFormat="1" applyFont="1" applyFill="1" applyBorder="1" applyAlignment="1" applyProtection="1">
      <alignment horizontal="left"/>
    </xf>
    <xf numFmtId="0" fontId="102" fillId="45" borderId="80" xfId="8733" applyFont="1" applyFill="1" applyBorder="1" applyAlignment="1">
      <alignment horizontal="right"/>
    </xf>
    <xf numFmtId="0" fontId="102" fillId="45" borderId="79" xfId="8733" applyFont="1" applyFill="1" applyBorder="1" applyAlignment="1">
      <alignment horizontal="right"/>
    </xf>
    <xf numFmtId="0" fontId="102" fillId="45" borderId="103" xfId="8733" applyFont="1" applyFill="1" applyBorder="1" applyAlignment="1">
      <alignment horizontal="right"/>
    </xf>
    <xf numFmtId="0" fontId="2" fillId="44" borderId="84" xfId="8733" applyFill="1" applyBorder="1" applyAlignment="1">
      <alignment horizontal="center"/>
    </xf>
    <xf numFmtId="0" fontId="2" fillId="44" borderId="102" xfId="8733" applyFill="1" applyBorder="1" applyAlignment="1">
      <alignment horizontal="center"/>
    </xf>
    <xf numFmtId="0" fontId="166" fillId="45" borderId="93" xfId="8733" applyFont="1" applyFill="1" applyBorder="1" applyAlignment="1">
      <alignment horizontal="center"/>
    </xf>
    <xf numFmtId="0" fontId="166" fillId="45" borderId="92" xfId="8733" applyFont="1" applyFill="1" applyBorder="1" applyAlignment="1">
      <alignment horizontal="center"/>
    </xf>
    <xf numFmtId="0" fontId="166" fillId="45" borderId="91" xfId="8733" applyFont="1" applyFill="1" applyBorder="1" applyAlignment="1">
      <alignment horizontal="center"/>
    </xf>
    <xf numFmtId="0" fontId="173" fillId="45" borderId="97" xfId="8733" applyFont="1" applyFill="1" applyBorder="1" applyAlignment="1">
      <alignment horizontal="center"/>
    </xf>
    <xf numFmtId="0" fontId="173" fillId="45" borderId="2" xfId="8733" applyFont="1" applyFill="1" applyBorder="1" applyAlignment="1">
      <alignment horizontal="center"/>
    </xf>
    <xf numFmtId="0" fontId="173" fillId="45" borderId="7" xfId="8733" applyFont="1" applyFill="1" applyBorder="1" applyAlignment="1">
      <alignment horizontal="center"/>
    </xf>
    <xf numFmtId="0" fontId="173" fillId="45" borderId="3" xfId="8733" applyFont="1" applyFill="1" applyBorder="1" applyAlignment="1">
      <alignment horizontal="center"/>
    </xf>
    <xf numFmtId="0" fontId="173" fillId="45" borderId="4" xfId="8733" applyFont="1" applyFill="1" applyBorder="1" applyAlignment="1">
      <alignment horizontal="center"/>
    </xf>
    <xf numFmtId="0" fontId="173" fillId="45" borderId="5" xfId="8733" applyFont="1" applyFill="1" applyBorder="1" applyAlignment="1">
      <alignment horizontal="center"/>
    </xf>
    <xf numFmtId="0" fontId="173" fillId="45" borderId="81" xfId="8733" applyFont="1" applyFill="1" applyBorder="1" applyAlignment="1">
      <alignment horizontal="center"/>
    </xf>
    <xf numFmtId="9" fontId="172" fillId="48" borderId="90" xfId="8733" applyNumberFormat="1" applyFont="1" applyFill="1" applyBorder="1" applyAlignment="1" applyProtection="1">
      <alignment horizontal="center"/>
      <protection locked="0"/>
    </xf>
    <xf numFmtId="9" fontId="172" fillId="48" borderId="4" xfId="8733" applyNumberFormat="1" applyFont="1" applyFill="1" applyBorder="1" applyAlignment="1" applyProtection="1">
      <alignment horizontal="center"/>
      <protection locked="0"/>
    </xf>
    <xf numFmtId="9" fontId="172" fillId="48" borderId="5" xfId="8733" applyNumberFormat="1" applyFont="1" applyFill="1" applyBorder="1" applyAlignment="1" applyProtection="1">
      <alignment horizontal="center"/>
      <protection locked="0"/>
    </xf>
    <xf numFmtId="0" fontId="172" fillId="44" borderId="3" xfId="8733" applyFont="1" applyFill="1" applyBorder="1" applyAlignment="1">
      <alignment horizontal="center"/>
    </xf>
    <xf numFmtId="0" fontId="172" fillId="44" borderId="4" xfId="8733" applyFont="1" applyFill="1" applyBorder="1" applyAlignment="1">
      <alignment horizontal="center"/>
    </xf>
    <xf numFmtId="0" fontId="172" fillId="44" borderId="5" xfId="8733" applyFont="1" applyFill="1" applyBorder="1" applyAlignment="1">
      <alignment horizontal="center"/>
    </xf>
    <xf numFmtId="9" fontId="173" fillId="44" borderId="3" xfId="8733" applyNumberFormat="1" applyFont="1" applyFill="1" applyBorder="1" applyAlignment="1">
      <alignment horizontal="center"/>
    </xf>
    <xf numFmtId="9" fontId="173" fillId="44" borderId="4" xfId="8733" applyNumberFormat="1" applyFont="1" applyFill="1" applyBorder="1" applyAlignment="1">
      <alignment horizontal="center"/>
    </xf>
    <xf numFmtId="9" fontId="173" fillId="44" borderId="81" xfId="8733" applyNumberFormat="1" applyFont="1" applyFill="1" applyBorder="1" applyAlignment="1">
      <alignment horizontal="center"/>
    </xf>
    <xf numFmtId="0" fontId="172" fillId="48" borderId="3" xfId="8733" applyFont="1" applyFill="1" applyBorder="1" applyAlignment="1" applyProtection="1">
      <alignment horizontal="center"/>
      <protection locked="0"/>
    </xf>
    <xf numFmtId="0" fontId="172" fillId="48" borderId="4" xfId="8733" applyFont="1" applyFill="1" applyBorder="1" applyAlignment="1" applyProtection="1">
      <alignment horizontal="center"/>
      <protection locked="0"/>
    </xf>
    <xf numFmtId="0" fontId="172" fillId="48" borderId="5" xfId="8733" applyFont="1" applyFill="1" applyBorder="1" applyAlignment="1" applyProtection="1">
      <alignment horizontal="center"/>
      <protection locked="0"/>
    </xf>
    <xf numFmtId="0" fontId="173" fillId="44" borderId="87" xfId="8733" applyFont="1" applyFill="1" applyBorder="1" applyAlignment="1">
      <alignment horizontal="center"/>
    </xf>
    <xf numFmtId="0" fontId="173" fillId="44" borderId="86" xfId="8733" applyFont="1" applyFill="1" applyBorder="1" applyAlignment="1">
      <alignment horizontal="center"/>
    </xf>
    <xf numFmtId="0" fontId="173" fillId="44" borderId="95" xfId="8733" applyFont="1" applyFill="1" applyBorder="1" applyAlignment="1">
      <alignment horizontal="center"/>
    </xf>
    <xf numFmtId="0" fontId="172" fillId="44" borderId="94"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9" fontId="173" fillId="44" borderId="94" xfId="8733" applyNumberFormat="1" applyFont="1" applyFill="1" applyBorder="1" applyAlignment="1">
      <alignment horizontal="center"/>
    </xf>
    <xf numFmtId="9" fontId="173" fillId="44" borderId="86" xfId="8733" applyNumberFormat="1" applyFont="1" applyFill="1" applyBorder="1" applyAlignment="1">
      <alignment horizontal="center"/>
    </xf>
    <xf numFmtId="9" fontId="173" fillId="44" borderId="85" xfId="8733" applyNumberFormat="1" applyFont="1" applyFill="1" applyBorder="1" applyAlignment="1">
      <alignment horizontal="center"/>
    </xf>
    <xf numFmtId="0" fontId="173" fillId="44" borderId="101" xfId="8733" applyFont="1" applyFill="1" applyBorder="1" applyAlignment="1">
      <alignment horizontal="center"/>
    </xf>
    <xf numFmtId="0" fontId="173" fillId="44" borderId="42" xfId="8733" applyFont="1" applyFill="1" applyBorder="1" applyAlignment="1">
      <alignment horizontal="center"/>
    </xf>
    <xf numFmtId="0" fontId="173" fillId="44" borderId="96" xfId="8733"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3" applyFont="1" applyFill="1" applyBorder="1" applyAlignment="1">
      <alignment horizontal="center"/>
    </xf>
    <xf numFmtId="0" fontId="166" fillId="45" borderId="79" xfId="8733" applyFont="1" applyFill="1" applyBorder="1" applyAlignment="1">
      <alignment horizontal="center"/>
    </xf>
    <xf numFmtId="0" fontId="166" fillId="45" borderId="78" xfId="8733" applyFont="1" applyFill="1" applyBorder="1" applyAlignment="1">
      <alignment horizontal="center"/>
    </xf>
    <xf numFmtId="0" fontId="165" fillId="45" borderId="98" xfId="8733" applyFont="1" applyFill="1" applyBorder="1" applyAlignment="1">
      <alignment horizontal="center" vertical="center" wrapText="1"/>
    </xf>
    <xf numFmtId="0" fontId="165" fillId="45" borderId="13" xfId="8733" applyFont="1" applyFill="1" applyBorder="1" applyAlignment="1">
      <alignment horizontal="center" vertical="center"/>
    </xf>
    <xf numFmtId="0" fontId="165" fillId="45" borderId="72" xfId="8733" applyFont="1" applyFill="1" applyBorder="1" applyAlignment="1">
      <alignment horizontal="center" vertical="center"/>
    </xf>
    <xf numFmtId="0" fontId="165" fillId="45" borderId="11" xfId="8733" applyFont="1" applyFill="1" applyBorder="1" applyAlignment="1">
      <alignment horizontal="center" vertical="center"/>
    </xf>
    <xf numFmtId="0" fontId="173" fillId="45" borderId="13" xfId="8733" applyFont="1" applyFill="1" applyBorder="1" applyAlignment="1">
      <alignment horizontal="center" vertical="center" wrapText="1"/>
    </xf>
    <xf numFmtId="0" fontId="173" fillId="45" borderId="13" xfId="8733" applyFont="1" applyFill="1" applyBorder="1" applyAlignment="1">
      <alignment horizontal="center" vertical="center"/>
    </xf>
    <xf numFmtId="0" fontId="173" fillId="45" borderId="11" xfId="8733" applyFont="1" applyFill="1" applyBorder="1" applyAlignment="1">
      <alignment horizontal="center" vertical="center"/>
    </xf>
    <xf numFmtId="0" fontId="173" fillId="45" borderId="9" xfId="8733" applyFont="1" applyFill="1" applyBorder="1" applyAlignment="1">
      <alignment horizontal="center" vertical="center"/>
    </xf>
    <xf numFmtId="0" fontId="173" fillId="45" borderId="3" xfId="8733" applyFont="1" applyFill="1" applyBorder="1" applyAlignment="1">
      <alignment horizontal="center" vertic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5" fillId="45" borderId="65" xfId="8733" applyFont="1" applyFill="1" applyBorder="1" applyAlignment="1">
      <alignment horizontal="center" vertical="center" wrapText="1"/>
    </xf>
    <xf numFmtId="0" fontId="165" fillId="45" borderId="29" xfId="8733" applyFont="1" applyFill="1" applyBorder="1" applyAlignment="1">
      <alignment horizontal="center" vertical="center" wrapText="1"/>
    </xf>
    <xf numFmtId="0" fontId="165" fillId="45" borderId="31" xfId="8733" applyFont="1" applyFill="1" applyBorder="1" applyAlignment="1">
      <alignment horizontal="center" vertical="center" wrapText="1"/>
    </xf>
    <xf numFmtId="0" fontId="165" fillId="45" borderId="73" xfId="8733" applyFont="1" applyFill="1" applyBorder="1" applyAlignment="1">
      <alignment horizontal="center" vertical="center" wrapText="1"/>
    </xf>
    <xf numFmtId="0" fontId="165" fillId="45" borderId="42" xfId="8733" applyFont="1" applyFill="1" applyBorder="1" applyAlignment="1">
      <alignment horizontal="center" vertical="center" wrapText="1"/>
    </xf>
    <xf numFmtId="0" fontId="165" fillId="45" borderId="44" xfId="8733" applyFont="1" applyFill="1" applyBorder="1" applyAlignment="1">
      <alignment horizontal="center" vertical="center" wrapText="1"/>
    </xf>
    <xf numFmtId="9" fontId="173" fillId="48" borderId="13" xfId="8733" applyNumberFormat="1" applyFont="1" applyFill="1" applyBorder="1" applyAlignment="1" applyProtection="1">
      <alignment horizontal="center"/>
      <protection locked="0"/>
    </xf>
    <xf numFmtId="0" fontId="173" fillId="44" borderId="73" xfId="8733" applyFont="1" applyFill="1" applyBorder="1" applyAlignment="1">
      <alignment horizontal="center"/>
    </xf>
    <xf numFmtId="0" fontId="165" fillId="44" borderId="9" xfId="8733" applyFont="1" applyFill="1" applyBorder="1" applyAlignment="1">
      <alignment horizontal="center"/>
    </xf>
    <xf numFmtId="0" fontId="165" fillId="44" borderId="6" xfId="8733" applyFont="1" applyFill="1" applyBorder="1" applyAlignment="1">
      <alignment horizontal="center"/>
    </xf>
    <xf numFmtId="0" fontId="165" fillId="44" borderId="82" xfId="8733" applyFont="1" applyFill="1" applyBorder="1" applyAlignment="1">
      <alignment horizontal="center"/>
    </xf>
    <xf numFmtId="9" fontId="173" fillId="48" borderId="9" xfId="8733" applyNumberFormat="1" applyFont="1" applyFill="1" applyBorder="1" applyAlignment="1" applyProtection="1">
      <alignment horizontal="center"/>
      <protection locked="0"/>
    </xf>
    <xf numFmtId="9" fontId="173" fillId="48" borderId="6" xfId="8733" applyNumberFormat="1" applyFont="1" applyFill="1" applyBorder="1" applyAlignment="1" applyProtection="1">
      <alignment horizontal="center"/>
      <protection locked="0"/>
    </xf>
    <xf numFmtId="9" fontId="173" fillId="48" borderId="10" xfId="8733" applyNumberFormat="1" applyFont="1" applyFill="1" applyBorder="1" applyAlignment="1" applyProtection="1">
      <alignment horizontal="center"/>
      <protection locked="0"/>
    </xf>
    <xf numFmtId="9" fontId="165" fillId="48" borderId="9" xfId="8733" applyNumberFormat="1" applyFont="1" applyFill="1" applyBorder="1" applyAlignment="1" applyProtection="1">
      <alignment horizontal="center"/>
      <protection locked="0"/>
    </xf>
    <xf numFmtId="9" fontId="165" fillId="48" borderId="6" xfId="8733" applyNumberFormat="1" applyFont="1" applyFill="1" applyBorder="1" applyAlignment="1" applyProtection="1">
      <alignment horizontal="center"/>
      <protection locked="0"/>
    </xf>
    <xf numFmtId="9" fontId="165" fillId="48" borderId="10" xfId="8733" applyNumberFormat="1" applyFont="1" applyFill="1" applyBorder="1" applyAlignment="1" applyProtection="1">
      <alignment horizontal="center"/>
      <protection locked="0"/>
    </xf>
    <xf numFmtId="0" fontId="165" fillId="44" borderId="10" xfId="8733" applyFont="1" applyFill="1" applyBorder="1" applyAlignment="1">
      <alignment horizontal="center"/>
    </xf>
    <xf numFmtId="1" fontId="177" fillId="48" borderId="3" xfId="8733" applyNumberFormat="1" applyFont="1" applyFill="1" applyBorder="1" applyAlignment="1" applyProtection="1">
      <alignment horizontal="center"/>
      <protection locked="0"/>
    </xf>
    <xf numFmtId="1" fontId="177" fillId="48" borderId="4" xfId="8733" applyNumberFormat="1" applyFont="1" applyFill="1" applyBorder="1" applyAlignment="1" applyProtection="1">
      <alignment horizontal="center"/>
      <protection locked="0"/>
    </xf>
    <xf numFmtId="1" fontId="177" fillId="48" borderId="5" xfId="8733" applyNumberFormat="1" applyFont="1" applyFill="1" applyBorder="1" applyAlignment="1" applyProtection="1">
      <alignment horizontal="center"/>
      <protection locked="0"/>
    </xf>
    <xf numFmtId="1" fontId="165" fillId="44" borderId="3" xfId="8733" applyNumberFormat="1" applyFont="1" applyFill="1" applyBorder="1" applyAlignment="1">
      <alignment horizontal="center"/>
    </xf>
    <xf numFmtId="1" fontId="165" fillId="44" borderId="4" xfId="8733" applyNumberFormat="1" applyFont="1" applyFill="1" applyBorder="1" applyAlignment="1">
      <alignment horizontal="center"/>
    </xf>
    <xf numFmtId="1" fontId="165" fillId="44" borderId="5" xfId="8733" applyNumberFormat="1" applyFont="1" applyFill="1" applyBorder="1" applyAlignment="1">
      <alignment horizontal="center"/>
    </xf>
    <xf numFmtId="9" fontId="165" fillId="44" borderId="3" xfId="8735" applyFont="1" applyFill="1" applyBorder="1" applyAlignment="1">
      <alignment horizontal="center"/>
    </xf>
    <xf numFmtId="9" fontId="165" fillId="44" borderId="4" xfId="8735" applyFont="1" applyFill="1" applyBorder="1" applyAlignment="1">
      <alignment horizontal="center"/>
    </xf>
    <xf numFmtId="9" fontId="165" fillId="44" borderId="81" xfId="8735" applyFont="1" applyFill="1" applyBorder="1" applyAlignment="1">
      <alignment horizontal="center"/>
    </xf>
    <xf numFmtId="0" fontId="174" fillId="48" borderId="72" xfId="8733" applyFont="1" applyFill="1" applyBorder="1" applyAlignment="1" applyProtection="1">
      <alignment horizontal="right"/>
      <protection locked="0"/>
    </xf>
    <xf numFmtId="0" fontId="174" fillId="48" borderId="11" xfId="8733" applyFont="1" applyFill="1" applyBorder="1" applyAlignment="1" applyProtection="1">
      <alignment horizontal="right"/>
      <protection locked="0"/>
    </xf>
    <xf numFmtId="0" fontId="177" fillId="48" borderId="11" xfId="8733" applyFont="1" applyFill="1" applyBorder="1" applyAlignment="1" applyProtection="1">
      <alignment horizontal="center"/>
      <protection locked="0"/>
    </xf>
    <xf numFmtId="1" fontId="177" fillId="48" borderId="11" xfId="8733" applyNumberFormat="1" applyFont="1" applyFill="1" applyBorder="1" applyAlignment="1" applyProtection="1">
      <alignment horizontal="center"/>
      <protection locked="0"/>
    </xf>
    <xf numFmtId="0" fontId="172" fillId="48" borderId="72" xfId="8733" applyFont="1" applyFill="1" applyBorder="1" applyAlignment="1" applyProtection="1">
      <alignment horizontal="right"/>
      <protection locked="0"/>
    </xf>
    <xf numFmtId="0" fontId="172" fillId="48" borderId="11" xfId="8733" applyFont="1" applyFill="1" applyBorder="1" applyAlignment="1" applyProtection="1">
      <alignment horizontal="right"/>
      <protection locked="0"/>
    </xf>
    <xf numFmtId="0" fontId="172" fillId="48" borderId="69" xfId="8733" applyFont="1" applyFill="1" applyBorder="1" applyAlignment="1" applyProtection="1">
      <alignment horizontal="right"/>
      <protection locked="0"/>
    </xf>
    <xf numFmtId="0" fontId="172" fillId="48" borderId="70" xfId="8733" applyFont="1" applyFill="1" applyBorder="1" applyAlignment="1" applyProtection="1">
      <alignment horizontal="right"/>
      <protection locked="0"/>
    </xf>
    <xf numFmtId="0" fontId="177" fillId="48" borderId="70" xfId="8733" applyFont="1" applyFill="1" applyBorder="1" applyAlignment="1" applyProtection="1">
      <alignment horizontal="center"/>
      <protection locked="0"/>
    </xf>
    <xf numFmtId="1" fontId="177" fillId="48" borderId="70" xfId="8733" applyNumberFormat="1" applyFont="1" applyFill="1" applyBorder="1" applyAlignment="1" applyProtection="1">
      <alignment horizontal="center"/>
      <protection locked="0"/>
    </xf>
    <xf numFmtId="9" fontId="165" fillId="44" borderId="94" xfId="8735" applyFont="1" applyFill="1" applyBorder="1" applyAlignment="1">
      <alignment horizontal="center"/>
    </xf>
    <xf numFmtId="9" fontId="165" fillId="44" borderId="86" xfId="8735" applyFont="1" applyFill="1" applyBorder="1" applyAlignment="1">
      <alignment horizontal="center"/>
    </xf>
    <xf numFmtId="9" fontId="165" fillId="44" borderId="85" xfId="8735" applyFont="1" applyFill="1" applyBorder="1" applyAlignment="1">
      <alignment horizontal="center"/>
    </xf>
    <xf numFmtId="1" fontId="177" fillId="48" borderId="94" xfId="8733" applyNumberFormat="1" applyFont="1" applyFill="1" applyBorder="1" applyAlignment="1" applyProtection="1">
      <alignment horizontal="center"/>
      <protection locked="0"/>
    </xf>
    <xf numFmtId="1" fontId="177" fillId="48" borderId="86" xfId="8733" applyNumberFormat="1" applyFont="1" applyFill="1" applyBorder="1" applyAlignment="1" applyProtection="1">
      <alignment horizontal="center"/>
      <protection locked="0"/>
    </xf>
    <xf numFmtId="1" fontId="177" fillId="48" borderId="95" xfId="8733" applyNumberFormat="1" applyFont="1" applyFill="1" applyBorder="1" applyAlignment="1" applyProtection="1">
      <alignment horizontal="center"/>
      <protection locked="0"/>
    </xf>
    <xf numFmtId="0" fontId="166" fillId="45" borderId="67" xfId="8733" applyFont="1" applyFill="1" applyBorder="1" applyAlignment="1">
      <alignment horizontal="center"/>
    </xf>
    <xf numFmtId="0" fontId="166" fillId="45" borderId="68" xfId="8733" applyFont="1" applyFill="1" applyBorder="1" applyAlignment="1">
      <alignment horizontal="center"/>
    </xf>
    <xf numFmtId="0" fontId="166" fillId="45" borderId="71" xfId="8733" applyFont="1" applyFill="1" applyBorder="1" applyAlignment="1">
      <alignment horizontal="center"/>
    </xf>
    <xf numFmtId="0" fontId="173" fillId="45" borderId="72" xfId="8733" applyFont="1" applyFill="1" applyBorder="1" applyAlignment="1">
      <alignment horizontal="center"/>
    </xf>
    <xf numFmtId="0" fontId="173" fillId="45" borderId="11" xfId="8733" applyFont="1" applyFill="1" applyBorder="1" applyAlignment="1">
      <alignment horizontal="center"/>
    </xf>
    <xf numFmtId="0" fontId="165" fillId="45" borderId="11" xfId="8733" applyFont="1" applyFill="1" applyBorder="1" applyAlignment="1">
      <alignment horizontal="center" vertical="center" wrapText="1"/>
    </xf>
    <xf numFmtId="0" fontId="165" fillId="45" borderId="76" xfId="8733" applyFont="1" applyFill="1" applyBorder="1" applyAlignment="1">
      <alignment horizontal="center" vertical="center" wrapText="1"/>
    </xf>
    <xf numFmtId="0" fontId="172" fillId="48" borderId="11" xfId="8733" applyFont="1" applyFill="1" applyBorder="1" applyAlignment="1" applyProtection="1">
      <alignment horizontal="center"/>
      <protection locked="0"/>
    </xf>
    <xf numFmtId="168" fontId="172" fillId="48" borderId="11" xfId="8734" applyNumberFormat="1" applyFont="1" applyFill="1" applyBorder="1" applyAlignment="1" applyProtection="1">
      <alignment horizontal="center"/>
      <protection locked="0"/>
    </xf>
    <xf numFmtId="1" fontId="172" fillId="48" borderId="11" xfId="8733"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3" applyFont="1" applyFill="1" applyBorder="1" applyAlignment="1">
      <alignment horizontal="center"/>
    </xf>
    <xf numFmtId="0" fontId="166" fillId="45" borderId="29" xfId="8733" applyFont="1" applyFill="1" applyBorder="1" applyAlignment="1">
      <alignment horizontal="center"/>
    </xf>
    <xf numFmtId="0" fontId="166" fillId="45" borderId="31" xfId="8733" applyFont="1" applyFill="1" applyBorder="1" applyAlignment="1">
      <alignment horizontal="center"/>
    </xf>
    <xf numFmtId="0" fontId="172" fillId="44" borderId="72" xfId="8733" applyFont="1" applyFill="1" applyBorder="1" applyAlignment="1" applyProtection="1">
      <alignment horizontal="right"/>
      <protection locked="0"/>
    </xf>
    <xf numFmtId="0" fontId="172" fillId="44" borderId="11" xfId="8733" applyFont="1" applyFill="1" applyBorder="1" applyAlignment="1" applyProtection="1">
      <alignment horizontal="right"/>
      <protection locked="0"/>
    </xf>
    <xf numFmtId="0" fontId="172" fillId="44" borderId="76" xfId="8733" applyFont="1" applyFill="1" applyBorder="1" applyAlignment="1" applyProtection="1">
      <alignment horizontal="right"/>
      <protection locked="0"/>
    </xf>
    <xf numFmtId="0" fontId="172" fillId="48" borderId="5" xfId="8733" applyFont="1" applyFill="1" applyBorder="1" applyAlignment="1" applyProtection="1">
      <alignment horizontal="left"/>
      <protection locked="0"/>
    </xf>
    <xf numFmtId="0" fontId="172" fillId="48" borderId="11" xfId="8733" applyFont="1" applyFill="1" applyBorder="1" applyAlignment="1" applyProtection="1">
      <alignment horizontal="left"/>
      <protection locked="0"/>
    </xf>
    <xf numFmtId="0" fontId="172" fillId="48" borderId="76" xfId="8733" applyFont="1" applyFill="1" applyBorder="1" applyAlignment="1" applyProtection="1">
      <alignment horizontal="left"/>
      <protection locked="0"/>
    </xf>
    <xf numFmtId="0" fontId="173" fillId="45" borderId="69" xfId="8733" applyFont="1" applyFill="1" applyBorder="1" applyAlignment="1">
      <alignment horizontal="center"/>
    </xf>
    <xf numFmtId="0" fontId="173" fillId="45" borderId="70" xfId="8733" applyFont="1" applyFill="1" applyBorder="1" applyAlignment="1">
      <alignment horizontal="center"/>
    </xf>
    <xf numFmtId="168" fontId="173" fillId="45" borderId="70" xfId="8734" applyNumberFormat="1" applyFont="1" applyFill="1" applyBorder="1" applyAlignment="1">
      <alignment horizontal="center"/>
    </xf>
    <xf numFmtId="1" fontId="173" fillId="45" borderId="70" xfId="8734" applyNumberFormat="1" applyFont="1" applyFill="1" applyBorder="1" applyAlignment="1">
      <alignment horizontal="center"/>
    </xf>
    <xf numFmtId="0" fontId="173" fillId="45" borderId="70" xfId="8734" applyNumberFormat="1" applyFont="1" applyFill="1" applyBorder="1" applyAlignment="1">
      <alignment horizontal="center"/>
    </xf>
    <xf numFmtId="0" fontId="173" fillId="45" borderId="77" xfId="8734" applyNumberFormat="1" applyFont="1" applyFill="1" applyBorder="1" applyAlignment="1">
      <alignment horizontal="center"/>
    </xf>
    <xf numFmtId="0" fontId="169" fillId="48" borderId="74" xfId="8733" applyFont="1" applyFill="1" applyBorder="1" applyAlignment="1" applyProtection="1">
      <alignment horizontal="left"/>
      <protection locked="0"/>
    </xf>
    <xf numFmtId="0" fontId="169" fillId="48" borderId="68" xfId="8733" applyFont="1" applyFill="1" applyBorder="1" applyAlignment="1" applyProtection="1">
      <alignment horizontal="left"/>
      <protection locked="0"/>
    </xf>
    <xf numFmtId="0" fontId="169" fillId="48" borderId="71" xfId="8733" applyFont="1" applyFill="1" applyBorder="1" applyAlignment="1" applyProtection="1">
      <alignment horizontal="left"/>
      <protection locked="0"/>
    </xf>
    <xf numFmtId="0" fontId="166" fillId="45" borderId="72" xfId="8733" applyFont="1" applyFill="1" applyBorder="1" applyAlignment="1">
      <alignment horizontal="center"/>
    </xf>
    <xf numFmtId="0" fontId="166" fillId="45" borderId="11" xfId="8733" applyFont="1" applyFill="1" applyBorder="1" applyAlignment="1">
      <alignment horizontal="center"/>
    </xf>
    <xf numFmtId="0" fontId="166" fillId="45" borderId="3" xfId="8733" applyFont="1" applyFill="1" applyBorder="1" applyAlignment="1">
      <alignment horizontal="center"/>
    </xf>
    <xf numFmtId="0" fontId="166" fillId="45" borderId="4" xfId="8733" applyFont="1" applyFill="1" applyBorder="1" applyAlignment="1">
      <alignment horizontal="center"/>
    </xf>
    <xf numFmtId="0" fontId="166" fillId="45" borderId="81" xfId="8733" applyFont="1" applyFill="1" applyBorder="1" applyAlignment="1">
      <alignment horizontal="center"/>
    </xf>
    <xf numFmtId="0" fontId="102" fillId="45" borderId="69" xfId="8733" applyFont="1" applyFill="1" applyBorder="1" applyAlignment="1">
      <alignment horizontal="center"/>
    </xf>
    <xf numFmtId="0" fontId="102" fillId="45" borderId="70" xfId="8733" applyFont="1" applyFill="1" applyBorder="1" applyAlignment="1">
      <alignment horizontal="center"/>
    </xf>
    <xf numFmtId="0" fontId="172" fillId="44" borderId="69" xfId="8733" applyFont="1" applyFill="1" applyBorder="1" applyAlignment="1" applyProtection="1">
      <alignment horizontal="right"/>
      <protection locked="0"/>
    </xf>
    <xf numFmtId="0" fontId="172" fillId="44" borderId="70" xfId="8733" applyFont="1" applyFill="1" applyBorder="1" applyAlignment="1" applyProtection="1">
      <alignment horizontal="right"/>
      <protection locked="0"/>
    </xf>
    <xf numFmtId="0" fontId="172" fillId="44" borderId="77" xfId="8733" applyFont="1" applyFill="1" applyBorder="1" applyAlignment="1" applyProtection="1">
      <alignment horizontal="right"/>
      <protection locked="0"/>
    </xf>
    <xf numFmtId="0" fontId="172" fillId="48" borderId="95" xfId="8733" applyFont="1" applyFill="1" applyBorder="1" applyAlignment="1" applyProtection="1">
      <alignment horizontal="left"/>
      <protection locked="0"/>
    </xf>
    <xf numFmtId="0" fontId="172" fillId="48" borderId="70" xfId="8733" applyFont="1" applyFill="1" applyBorder="1" applyAlignment="1" applyProtection="1">
      <alignment horizontal="left"/>
      <protection locked="0"/>
    </xf>
    <xf numFmtId="0" fontId="172" fillId="48" borderId="77" xfId="8733"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3" applyFont="1" applyFill="1" applyBorder="1" applyAlignment="1" applyProtection="1">
      <alignment horizontal="left"/>
      <protection locked="0"/>
    </xf>
    <xf numFmtId="0" fontId="172" fillId="48" borderId="71" xfId="8733" applyFont="1" applyFill="1" applyBorder="1" applyAlignment="1" applyProtection="1">
      <alignment horizontal="left"/>
      <protection locked="0"/>
    </xf>
    <xf numFmtId="0" fontId="166" fillId="45" borderId="69" xfId="8733" applyFont="1" applyFill="1" applyBorder="1" applyAlignment="1">
      <alignment horizontal="center"/>
    </xf>
    <xf numFmtId="0" fontId="166" fillId="45" borderId="70" xfId="8733" applyFont="1" applyFill="1" applyBorder="1" applyAlignment="1">
      <alignment horizontal="center"/>
    </xf>
    <xf numFmtId="0" fontId="102" fillId="45" borderId="67" xfId="8733" applyFont="1" applyFill="1" applyBorder="1" applyAlignment="1">
      <alignment horizontal="center"/>
    </xf>
    <xf numFmtId="0" fontId="102" fillId="45" borderId="68" xfId="8733" applyFont="1" applyFill="1" applyBorder="1" applyAlignment="1">
      <alignment horizontal="center"/>
    </xf>
    <xf numFmtId="0" fontId="2" fillId="48" borderId="9" xfId="8733" applyFill="1" applyBorder="1" applyAlignment="1" applyProtection="1">
      <alignment horizontal="center"/>
      <protection locked="0"/>
    </xf>
    <xf numFmtId="0" fontId="2" fillId="48" borderId="6" xfId="8733" applyFill="1" applyBorder="1" applyAlignment="1" applyProtection="1">
      <alignment horizontal="center"/>
      <protection locked="0"/>
    </xf>
    <xf numFmtId="0" fontId="2" fillId="48" borderId="82" xfId="8733" applyFill="1" applyBorder="1" applyAlignment="1" applyProtection="1">
      <alignment horizontal="center"/>
      <protection locked="0"/>
    </xf>
    <xf numFmtId="0" fontId="173" fillId="45" borderId="97" xfId="8733" applyFont="1" applyFill="1" applyBorder="1" applyAlignment="1">
      <alignment horizontal="left"/>
    </xf>
    <xf numFmtId="0" fontId="173" fillId="45" borderId="2" xfId="8733" applyFont="1" applyFill="1" applyBorder="1" applyAlignment="1">
      <alignment horizontal="left"/>
    </xf>
    <xf numFmtId="10" fontId="2" fillId="0" borderId="94" xfId="8733" applyNumberFormat="1" applyBorder="1" applyAlignment="1">
      <alignment horizontal="center"/>
    </xf>
    <xf numFmtId="10" fontId="2" fillId="0" borderId="86" xfId="8733" applyNumberFormat="1" applyBorder="1" applyAlignment="1">
      <alignment horizontal="center"/>
    </xf>
    <xf numFmtId="10" fontId="2" fillId="0" borderId="85" xfId="8733" applyNumberFormat="1" applyBorder="1" applyAlignment="1">
      <alignment horizontal="center"/>
    </xf>
    <xf numFmtId="0" fontId="173" fillId="45" borderId="73" xfId="8733" applyFont="1" applyFill="1" applyBorder="1" applyAlignment="1">
      <alignment horizontal="left"/>
    </xf>
    <xf numFmtId="0" fontId="173" fillId="45" borderId="42" xfId="8733" applyFont="1" applyFill="1" applyBorder="1" applyAlignment="1">
      <alignment horizontal="left"/>
    </xf>
    <xf numFmtId="10" fontId="2" fillId="48" borderId="94" xfId="8733" applyNumberFormat="1" applyFill="1" applyBorder="1" applyAlignment="1" applyProtection="1">
      <alignment horizontal="center"/>
      <protection locked="0"/>
    </xf>
    <xf numFmtId="10" fontId="2" fillId="48" borderId="86" xfId="8733" applyNumberFormat="1" applyFill="1" applyBorder="1" applyAlignment="1" applyProtection="1">
      <alignment horizontal="center"/>
      <protection locked="0"/>
    </xf>
    <xf numFmtId="10" fontId="2" fillId="48" borderId="85" xfId="8733" applyNumberFormat="1" applyFill="1" applyBorder="1" applyAlignment="1" applyProtection="1">
      <alignment horizontal="center"/>
      <protection locked="0"/>
    </xf>
    <xf numFmtId="0" fontId="102" fillId="45" borderId="67" xfId="8733" applyFont="1" applyFill="1" applyBorder="1" applyAlignment="1">
      <alignment horizontal="center" wrapText="1"/>
    </xf>
    <xf numFmtId="0" fontId="102" fillId="45" borderId="68" xfId="8733" applyFont="1" applyFill="1" applyBorder="1" applyAlignment="1">
      <alignment horizontal="center" wrapText="1"/>
    </xf>
    <xf numFmtId="0" fontId="102" fillId="45" borderId="71" xfId="8733" applyFont="1" applyFill="1" applyBorder="1" applyAlignment="1">
      <alignment horizontal="center" wrapText="1"/>
    </xf>
    <xf numFmtId="0" fontId="166" fillId="45" borderId="98" xfId="8733" applyFont="1" applyFill="1" applyBorder="1" applyAlignment="1">
      <alignment horizontal="center"/>
    </xf>
    <xf numFmtId="0" fontId="166" fillId="45" borderId="13" xfId="8733" applyFont="1" applyFill="1" applyBorder="1" applyAlignment="1">
      <alignment horizontal="center"/>
    </xf>
    <xf numFmtId="0" fontId="172" fillId="48" borderId="72" xfId="8733" applyFont="1" applyFill="1" applyBorder="1" applyAlignment="1" applyProtection="1">
      <alignment horizontal="left" vertical="top"/>
      <protection locked="0"/>
    </xf>
    <xf numFmtId="0" fontId="172" fillId="48" borderId="11" xfId="8733" applyFont="1" applyFill="1" applyBorder="1" applyAlignment="1" applyProtection="1">
      <alignment horizontal="left" vertical="top"/>
      <protection locked="0"/>
    </xf>
    <xf numFmtId="0" fontId="172" fillId="48" borderId="76" xfId="8733" applyFont="1" applyFill="1" applyBorder="1" applyAlignment="1" applyProtection="1">
      <alignment horizontal="left" vertical="top"/>
      <protection locked="0"/>
    </xf>
    <xf numFmtId="0" fontId="172" fillId="48" borderId="69" xfId="8733" applyFont="1" applyFill="1" applyBorder="1" applyAlignment="1" applyProtection="1">
      <alignment horizontal="left" vertical="top"/>
      <protection locked="0"/>
    </xf>
    <xf numFmtId="0" fontId="172" fillId="48" borderId="70" xfId="8733" applyFont="1" applyFill="1" applyBorder="1" applyAlignment="1" applyProtection="1">
      <alignment horizontal="left" vertical="top"/>
      <protection locked="0"/>
    </xf>
    <xf numFmtId="0" fontId="172" fillId="48" borderId="77" xfId="8733" applyFont="1" applyFill="1" applyBorder="1" applyAlignment="1" applyProtection="1">
      <alignment horizontal="left" vertical="top"/>
      <protection locked="0"/>
    </xf>
    <xf numFmtId="0" fontId="172" fillId="48" borderId="72" xfId="8733" applyFont="1" applyFill="1" applyBorder="1" applyAlignment="1" applyProtection="1">
      <alignment horizontal="center"/>
      <protection locked="0"/>
    </xf>
    <xf numFmtId="0" fontId="166" fillId="45" borderId="89" xfId="8733" applyFont="1" applyFill="1" applyBorder="1" applyAlignment="1">
      <alignment horizontal="right"/>
    </xf>
    <xf numFmtId="0" fontId="166" fillId="45" borderId="43" xfId="8733" applyFont="1" applyFill="1" applyBorder="1" applyAlignment="1">
      <alignment horizontal="right"/>
    </xf>
    <xf numFmtId="168" fontId="166" fillId="45" borderId="43" xfId="8733" applyNumberFormat="1" applyFont="1" applyFill="1" applyBorder="1" applyAlignment="1">
      <alignment horizontal="left"/>
    </xf>
    <xf numFmtId="168" fontId="166" fillId="45" borderId="88" xfId="8733" applyNumberFormat="1" applyFont="1" applyFill="1" applyBorder="1" applyAlignment="1">
      <alignment horizontal="left"/>
    </xf>
    <xf numFmtId="0" fontId="2" fillId="48" borderId="11" xfId="8733" applyFill="1" applyBorder="1" applyAlignment="1" applyProtection="1">
      <alignment horizontal="center"/>
      <protection locked="0"/>
    </xf>
    <xf numFmtId="0" fontId="2" fillId="48" borderId="76" xfId="8733" applyFill="1" applyBorder="1" applyAlignment="1" applyProtection="1">
      <alignment horizontal="center"/>
      <protection locked="0"/>
    </xf>
    <xf numFmtId="0" fontId="102" fillId="45" borderId="67" xfId="8733" applyFont="1" applyFill="1" applyBorder="1" applyAlignment="1">
      <alignment horizontal="left" wrapText="1"/>
    </xf>
    <xf numFmtId="0" fontId="102" fillId="45" borderId="68" xfId="8733" applyFont="1" applyFill="1" applyBorder="1" applyAlignment="1">
      <alignment horizontal="left" wrapText="1"/>
    </xf>
    <xf numFmtId="0" fontId="102" fillId="45" borderId="72" xfId="8733" applyFont="1" applyFill="1" applyBorder="1" applyAlignment="1">
      <alignment horizontal="left" wrapText="1"/>
    </xf>
    <xf numFmtId="0" fontId="102" fillId="45" borderId="11" xfId="8733" applyFont="1" applyFill="1" applyBorder="1" applyAlignment="1">
      <alignment horizontal="left" wrapText="1"/>
    </xf>
    <xf numFmtId="0" fontId="169" fillId="48" borderId="68" xfId="8733" applyFont="1" applyFill="1" applyBorder="1" applyAlignment="1" applyProtection="1">
      <alignment horizontal="left" wrapText="1"/>
      <protection locked="0"/>
    </xf>
    <xf numFmtId="0" fontId="169" fillId="48" borderId="71" xfId="8733" applyFont="1" applyFill="1" applyBorder="1" applyAlignment="1" applyProtection="1">
      <alignment horizontal="left" wrapText="1"/>
      <protection locked="0"/>
    </xf>
    <xf numFmtId="0" fontId="169" fillId="48" borderId="11" xfId="8733" applyFont="1" applyFill="1" applyBorder="1" applyAlignment="1" applyProtection="1">
      <alignment horizontal="left" wrapText="1"/>
      <protection locked="0"/>
    </xf>
    <xf numFmtId="0" fontId="169" fillId="48" borderId="76" xfId="8733" applyFont="1" applyFill="1" applyBorder="1" applyAlignment="1" applyProtection="1">
      <alignment horizontal="left" wrapText="1"/>
      <protection locked="0"/>
    </xf>
    <xf numFmtId="0" fontId="173" fillId="45" borderId="11" xfId="8733" applyFont="1" applyFill="1" applyBorder="1" applyAlignment="1">
      <alignment horizontal="center" wrapText="1"/>
    </xf>
    <xf numFmtId="0" fontId="165" fillId="45" borderId="11" xfId="8733" applyFont="1" applyFill="1" applyBorder="1" applyAlignment="1">
      <alignment horizontal="center"/>
    </xf>
    <xf numFmtId="0" fontId="165" fillId="45" borderId="76" xfId="8733" applyFont="1" applyFill="1" applyBorder="1" applyAlignment="1">
      <alignment horizontal="center"/>
    </xf>
    <xf numFmtId="0" fontId="173" fillId="45" borderId="7" xfId="8733" applyFont="1" applyFill="1" applyBorder="1" applyAlignment="1">
      <alignment horizontal="left"/>
    </xf>
    <xf numFmtId="0" fontId="173" fillId="45" borderId="96" xfId="8733" applyFont="1" applyFill="1" applyBorder="1" applyAlignment="1">
      <alignment horizontal="left"/>
    </xf>
    <xf numFmtId="0" fontId="2" fillId="48" borderId="70" xfId="8733" applyFill="1" applyBorder="1" applyAlignment="1" applyProtection="1">
      <alignment horizontal="center"/>
      <protection locked="0"/>
    </xf>
    <xf numFmtId="0" fontId="2" fillId="48" borderId="77" xfId="8733" applyFill="1" applyBorder="1" applyAlignment="1" applyProtection="1">
      <alignment horizontal="center"/>
      <protection locked="0"/>
    </xf>
    <xf numFmtId="0" fontId="169" fillId="48" borderId="3" xfId="8733" applyFont="1" applyFill="1" applyBorder="1" applyAlignment="1" applyProtection="1">
      <alignment horizontal="center"/>
      <protection locked="0"/>
    </xf>
    <xf numFmtId="0" fontId="169" fillId="48" borderId="4" xfId="8733" applyFont="1" applyFill="1" applyBorder="1" applyAlignment="1" applyProtection="1">
      <alignment horizontal="center"/>
      <protection locked="0"/>
    </xf>
    <xf numFmtId="0" fontId="169" fillId="48" borderId="81" xfId="8733" applyFont="1" applyFill="1" applyBorder="1" applyAlignment="1" applyProtection="1">
      <alignment horizontal="center"/>
      <protection locked="0"/>
    </xf>
    <xf numFmtId="0" fontId="102" fillId="45" borderId="71" xfId="8733" applyFont="1" applyFill="1" applyBorder="1" applyAlignment="1">
      <alignment horizontal="center"/>
    </xf>
    <xf numFmtId="0" fontId="179" fillId="45" borderId="11" xfId="8733" applyFont="1" applyFill="1" applyBorder="1" applyAlignment="1">
      <alignment horizontal="left"/>
    </xf>
    <xf numFmtId="0" fontId="179" fillId="45" borderId="76" xfId="8733" applyFont="1" applyFill="1" applyBorder="1" applyAlignment="1">
      <alignment horizontal="left"/>
    </xf>
    <xf numFmtId="0" fontId="176" fillId="45" borderId="72" xfId="8733" applyFont="1" applyFill="1" applyBorder="1" applyAlignment="1">
      <alignment horizontal="left"/>
    </xf>
    <xf numFmtId="0" fontId="176" fillId="45" borderId="11" xfId="8733" applyFont="1" applyFill="1" applyBorder="1" applyAlignment="1">
      <alignment horizontal="left"/>
    </xf>
    <xf numFmtId="0" fontId="176" fillId="45" borderId="69" xfId="8733" applyFont="1" applyFill="1" applyBorder="1" applyAlignment="1">
      <alignment horizontal="left"/>
    </xf>
    <xf numFmtId="0" fontId="176" fillId="45" borderId="70" xfId="8733" applyFont="1" applyFill="1" applyBorder="1" applyAlignment="1">
      <alignment horizontal="left"/>
    </xf>
    <xf numFmtId="0" fontId="2" fillId="51" borderId="70" xfId="8733" applyFill="1" applyBorder="1" applyAlignment="1" applyProtection="1">
      <alignment horizontal="center"/>
      <protection locked="0"/>
    </xf>
    <xf numFmtId="0" fontId="2" fillId="51" borderId="77" xfId="8733" applyFill="1" applyBorder="1" applyAlignment="1" applyProtection="1">
      <alignment horizontal="center"/>
      <protection locked="0"/>
    </xf>
    <xf numFmtId="0" fontId="102" fillId="45" borderId="67" xfId="8733" applyFont="1" applyFill="1" applyBorder="1" applyAlignment="1" applyProtection="1">
      <alignment horizontal="left" vertical="center" wrapText="1"/>
      <protection locked="0"/>
    </xf>
    <xf numFmtId="0" fontId="102" fillId="45" borderId="68" xfId="8733" applyFont="1" applyFill="1" applyBorder="1" applyAlignment="1" applyProtection="1">
      <alignment horizontal="left" vertical="center" wrapText="1"/>
      <protection locked="0"/>
    </xf>
    <xf numFmtId="0" fontId="102" fillId="45" borderId="72" xfId="8733" applyFont="1" applyFill="1" applyBorder="1" applyAlignment="1" applyProtection="1">
      <alignment horizontal="left" vertical="center" wrapText="1"/>
      <protection locked="0"/>
    </xf>
    <xf numFmtId="0" fontId="102" fillId="45" borderId="11" xfId="8733" applyFont="1" applyFill="1" applyBorder="1" applyAlignment="1" applyProtection="1">
      <alignment horizontal="left" vertical="center" wrapText="1"/>
      <protection locked="0"/>
    </xf>
    <xf numFmtId="0" fontId="169" fillId="48" borderId="68" xfId="8733" applyFont="1" applyFill="1" applyBorder="1" applyAlignment="1" applyProtection="1">
      <alignment horizontal="left" vertical="center" wrapText="1"/>
      <protection locked="0"/>
    </xf>
    <xf numFmtId="0" fontId="169" fillId="48" borderId="71" xfId="8733" applyFont="1" applyFill="1" applyBorder="1" applyAlignment="1" applyProtection="1">
      <alignment horizontal="left" vertical="center" wrapText="1"/>
      <protection locked="0"/>
    </xf>
    <xf numFmtId="0" fontId="169" fillId="48" borderId="11" xfId="8733" applyFont="1" applyFill="1" applyBorder="1" applyAlignment="1" applyProtection="1">
      <alignment horizontal="left" vertical="center" wrapText="1"/>
      <protection locked="0"/>
    </xf>
    <xf numFmtId="0" fontId="169" fillId="48" borderId="76" xfId="8733" applyFont="1" applyFill="1" applyBorder="1" applyAlignment="1" applyProtection="1">
      <alignment horizontal="left" vertical="center" wrapText="1"/>
      <protection locked="0"/>
    </xf>
    <xf numFmtId="0" fontId="172" fillId="48" borderId="72" xfId="8733" applyFont="1" applyFill="1" applyBorder="1" applyAlignment="1" applyProtection="1">
      <alignment horizontal="left" vertical="top" wrapText="1"/>
      <protection locked="0"/>
    </xf>
    <xf numFmtId="0" fontId="172" fillId="48" borderId="11" xfId="8733" applyFont="1" applyFill="1" applyBorder="1" applyAlignment="1" applyProtection="1">
      <alignment horizontal="left" vertical="top" wrapText="1"/>
      <protection locked="0"/>
    </xf>
    <xf numFmtId="0" fontId="172" fillId="48" borderId="69" xfId="8733" applyFont="1" applyFill="1" applyBorder="1" applyAlignment="1" applyProtection="1">
      <alignment horizontal="left" vertical="top" wrapText="1"/>
      <protection locked="0"/>
    </xf>
    <xf numFmtId="0" fontId="172" fillId="48" borderId="70" xfId="8733" applyFont="1" applyFill="1" applyBorder="1" applyAlignment="1" applyProtection="1">
      <alignment horizontal="left" vertical="top" wrapText="1"/>
      <protection locked="0"/>
    </xf>
    <xf numFmtId="0" fontId="169" fillId="48" borderId="11" xfId="8733" applyFont="1" applyFill="1" applyBorder="1" applyAlignment="1" applyProtection="1">
      <alignment horizontal="center" vertical="center" wrapText="1"/>
      <protection locked="0"/>
    </xf>
    <xf numFmtId="0" fontId="169" fillId="48" borderId="76" xfId="8733" applyFont="1" applyFill="1" applyBorder="1" applyAlignment="1" applyProtection="1">
      <alignment horizontal="center" vertical="center" wrapText="1"/>
      <protection locked="0"/>
    </xf>
    <xf numFmtId="0" fontId="169" fillId="48" borderId="70" xfId="8733" applyFont="1" applyFill="1" applyBorder="1" applyAlignment="1" applyProtection="1">
      <alignment horizontal="center" vertical="center" wrapText="1"/>
      <protection locked="0"/>
    </xf>
    <xf numFmtId="0" fontId="169" fillId="48" borderId="77" xfId="8733" applyFont="1" applyFill="1" applyBorder="1" applyAlignment="1" applyProtection="1">
      <alignment horizontal="center" vertical="center" wrapText="1"/>
      <protection locked="0"/>
    </xf>
    <xf numFmtId="0" fontId="102" fillId="45" borderId="71" xfId="8733" applyFont="1" applyFill="1" applyBorder="1" applyAlignment="1">
      <alignment horizontal="left" wrapText="1"/>
    </xf>
    <xf numFmtId="0" fontId="102" fillId="45" borderId="76" xfId="8733" applyFont="1" applyFill="1" applyBorder="1" applyAlignment="1">
      <alignment horizontal="left" wrapText="1"/>
    </xf>
    <xf numFmtId="0" fontId="102" fillId="45" borderId="65" xfId="8733" applyFont="1" applyFill="1" applyBorder="1" applyAlignment="1">
      <alignment horizontal="center"/>
    </xf>
    <xf numFmtId="0" fontId="102" fillId="45" borderId="29" xfId="8733" applyFont="1" applyFill="1" applyBorder="1" applyAlignment="1">
      <alignment horizontal="center"/>
    </xf>
    <xf numFmtId="0" fontId="102" fillId="45" borderId="31" xfId="8733" applyFont="1" applyFill="1" applyBorder="1" applyAlignment="1">
      <alignment horizontal="center"/>
    </xf>
    <xf numFmtId="0" fontId="165" fillId="48" borderId="90" xfId="8733" applyFont="1" applyFill="1" applyBorder="1" applyAlignment="1">
      <alignment horizontal="left"/>
    </xf>
    <xf numFmtId="0" fontId="165" fillId="48" borderId="4" xfId="8733" applyFont="1" applyFill="1" applyBorder="1" applyAlignment="1">
      <alignment horizontal="left"/>
    </xf>
    <xf numFmtId="0" fontId="165" fillId="48" borderId="5" xfId="8733" applyFont="1" applyFill="1" applyBorder="1" applyAlignment="1">
      <alignment horizontal="left"/>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77" fillId="48" borderId="11" xfId="8733" applyFont="1" applyFill="1" applyBorder="1" applyAlignment="1" applyProtection="1">
      <alignment horizontal="left"/>
      <protection locked="0"/>
    </xf>
    <xf numFmtId="0" fontId="177" fillId="48" borderId="76" xfId="8733" applyFont="1" applyFill="1" applyBorder="1" applyAlignment="1" applyProtection="1">
      <alignment horizontal="left"/>
      <protection locked="0"/>
    </xf>
    <xf numFmtId="0" fontId="174" fillId="48" borderId="72" xfId="8733" applyFont="1" applyFill="1" applyBorder="1" applyAlignment="1" applyProtection="1">
      <alignment horizontal="left" vertical="top"/>
      <protection locked="0"/>
    </xf>
    <xf numFmtId="0" fontId="174" fillId="48" borderId="11" xfId="8733" applyFont="1" applyFill="1" applyBorder="1" applyAlignment="1" applyProtection="1">
      <alignment horizontal="left" vertical="top"/>
      <protection locked="0"/>
    </xf>
    <xf numFmtId="0" fontId="174" fillId="48" borderId="76" xfId="8733" applyFont="1" applyFill="1" applyBorder="1" applyAlignment="1" applyProtection="1">
      <alignment horizontal="left" vertical="top"/>
      <protection locked="0"/>
    </xf>
    <xf numFmtId="0" fontId="174" fillId="48" borderId="69" xfId="8733" applyFont="1" applyFill="1" applyBorder="1" applyAlignment="1" applyProtection="1">
      <alignment horizontal="left" vertical="top"/>
      <protection locked="0"/>
    </xf>
    <xf numFmtId="0" fontId="174" fillId="48" borderId="70" xfId="8733" applyFont="1" applyFill="1" applyBorder="1" applyAlignment="1" applyProtection="1">
      <alignment horizontal="left" vertical="top"/>
      <protection locked="0"/>
    </xf>
    <xf numFmtId="0" fontId="174" fillId="48" borderId="77" xfId="8733" applyFont="1" applyFill="1" applyBorder="1" applyAlignment="1" applyProtection="1">
      <alignment horizontal="left" vertical="top"/>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02" fillId="45" borderId="72" xfId="8733" applyFont="1" applyFill="1" applyBorder="1" applyAlignment="1">
      <alignment horizontal="center"/>
    </xf>
    <xf numFmtId="0" fontId="102" fillId="45" borderId="11" xfId="8733" applyFont="1" applyFill="1" applyBorder="1" applyAlignment="1">
      <alignment horizontal="center"/>
    </xf>
    <xf numFmtId="0" fontId="165" fillId="45" borderId="11" xfId="8733" applyFont="1" applyFill="1" applyBorder="1" applyAlignment="1">
      <alignment horizontal="center" wrapText="1"/>
    </xf>
    <xf numFmtId="0" fontId="165" fillId="45" borderId="76" xfId="8733" applyFont="1" applyFill="1" applyBorder="1" applyAlignment="1">
      <alignment horizontal="center" wrapText="1"/>
    </xf>
    <xf numFmtId="0" fontId="171" fillId="45" borderId="72" xfId="8733" applyFont="1" applyFill="1" applyBorder="1" applyAlignment="1">
      <alignment horizontal="center"/>
    </xf>
    <xf numFmtId="0" fontId="171" fillId="45" borderId="11" xfId="8733" applyFont="1" applyFill="1" applyBorder="1" applyAlignment="1">
      <alignment horizontal="center"/>
    </xf>
    <xf numFmtId="0" fontId="174" fillId="48" borderId="11" xfId="8733" applyFont="1" applyFill="1" applyBorder="1" applyAlignment="1" applyProtection="1">
      <alignment horizontal="center"/>
      <protection locked="0"/>
    </xf>
    <xf numFmtId="14" fontId="172" fillId="48" borderId="11" xfId="8733" applyNumberFormat="1" applyFont="1" applyFill="1" applyBorder="1" applyAlignment="1" applyProtection="1">
      <alignment horizontal="center"/>
      <protection locked="0"/>
    </xf>
    <xf numFmtId="14" fontId="174" fillId="48" borderId="11" xfId="8733" applyNumberFormat="1" applyFont="1" applyFill="1" applyBorder="1" applyAlignment="1" applyProtection="1">
      <alignment horizontal="center"/>
      <protection locked="0"/>
    </xf>
    <xf numFmtId="0" fontId="102" fillId="45" borderId="76" xfId="8733" applyFont="1" applyFill="1" applyBorder="1" applyAlignment="1">
      <alignment horizontal="center"/>
    </xf>
    <xf numFmtId="168" fontId="174" fillId="48" borderId="11" xfId="8734" applyNumberFormat="1" applyFont="1" applyFill="1" applyBorder="1" applyAlignment="1" applyProtection="1">
      <alignment horizontal="center"/>
      <protection locked="0"/>
    </xf>
    <xf numFmtId="168" fontId="174" fillId="48" borderId="76" xfId="8734" applyNumberFormat="1" applyFont="1" applyFill="1" applyBorder="1" applyAlignment="1" applyProtection="1">
      <alignment horizontal="center"/>
      <protection locked="0"/>
    </xf>
    <xf numFmtId="0" fontId="175" fillId="48" borderId="11" xfId="8733" applyFont="1" applyFill="1" applyBorder="1" applyAlignment="1" applyProtection="1">
      <alignment horizontal="left"/>
      <protection locked="0"/>
    </xf>
    <xf numFmtId="0" fontId="171" fillId="45" borderId="69" xfId="8733" applyFont="1" applyFill="1" applyBorder="1" applyAlignment="1">
      <alignment horizontal="center"/>
    </xf>
    <xf numFmtId="0" fontId="171" fillId="45" borderId="70" xfId="8733" applyFont="1" applyFill="1" applyBorder="1" applyAlignment="1">
      <alignment horizontal="center"/>
    </xf>
    <xf numFmtId="0" fontId="175" fillId="48" borderId="70" xfId="8733" applyFont="1" applyFill="1" applyBorder="1" applyAlignment="1" applyProtection="1">
      <alignment horizontal="left"/>
      <protection locked="0"/>
    </xf>
    <xf numFmtId="0" fontId="174" fillId="48" borderId="70" xfId="8733" applyFont="1" applyFill="1" applyBorder="1" applyAlignment="1" applyProtection="1">
      <alignment horizontal="center"/>
      <protection locked="0"/>
    </xf>
    <xf numFmtId="14" fontId="174" fillId="48" borderId="70" xfId="8733" applyNumberFormat="1" applyFont="1" applyFill="1" applyBorder="1" applyAlignment="1" applyProtection="1">
      <alignment horizontal="center"/>
      <protection locked="0"/>
    </xf>
    <xf numFmtId="168" fontId="174" fillId="48" borderId="70" xfId="8734" applyNumberFormat="1" applyFont="1" applyFill="1" applyBorder="1" applyAlignment="1" applyProtection="1">
      <alignment horizontal="center"/>
      <protection locked="0"/>
    </xf>
    <xf numFmtId="168" fontId="174" fillId="48" borderId="77" xfId="8734" applyNumberFormat="1" applyFont="1" applyFill="1" applyBorder="1" applyAlignment="1" applyProtection="1">
      <alignment horizontal="center"/>
      <protection locked="0"/>
    </xf>
    <xf numFmtId="0" fontId="166" fillId="45" borderId="67" xfId="8733" applyFont="1" applyFill="1" applyBorder="1" applyAlignment="1">
      <alignment horizontal="left"/>
    </xf>
    <xf numFmtId="0" fontId="166" fillId="45" borderId="68" xfId="8733" applyFont="1" applyFill="1" applyBorder="1" applyAlignment="1">
      <alignment horizontal="left"/>
    </xf>
    <xf numFmtId="0" fontId="166" fillId="45" borderId="71" xfId="8733" applyFont="1" applyFill="1" applyBorder="1" applyAlignment="1">
      <alignment horizontal="left"/>
    </xf>
    <xf numFmtId="14" fontId="172" fillId="48" borderId="76" xfId="8733" applyNumberFormat="1" applyFont="1" applyFill="1" applyBorder="1" applyAlignment="1" applyProtection="1">
      <alignment horizontal="center"/>
      <protection locked="0"/>
    </xf>
    <xf numFmtId="0" fontId="172" fillId="48" borderId="69" xfId="8733" applyFont="1" applyFill="1" applyBorder="1" applyAlignment="1" applyProtection="1">
      <alignment horizontal="center"/>
      <protection locked="0"/>
    </xf>
    <xf numFmtId="0" fontId="172" fillId="48" borderId="70" xfId="8733" applyFont="1" applyFill="1" applyBorder="1" applyAlignment="1" applyProtection="1">
      <alignment horizontal="center"/>
      <protection locked="0"/>
    </xf>
    <xf numFmtId="14" fontId="172" fillId="48" borderId="70" xfId="8733" applyNumberFormat="1" applyFont="1" applyFill="1" applyBorder="1" applyAlignment="1" applyProtection="1">
      <alignment horizontal="center"/>
      <protection locked="0"/>
    </xf>
    <xf numFmtId="14" fontId="172" fillId="48" borderId="77" xfId="8733" applyNumberFormat="1" applyFont="1" applyFill="1" applyBorder="1" applyAlignment="1" applyProtection="1">
      <alignment horizontal="center"/>
      <protection locked="0"/>
    </xf>
    <xf numFmtId="0" fontId="172" fillId="45" borderId="72" xfId="8733" applyFont="1" applyFill="1" applyBorder="1" applyAlignment="1">
      <alignment horizontal="right"/>
    </xf>
    <xf numFmtId="0" fontId="172" fillId="45" borderId="11" xfId="8733" applyFont="1" applyFill="1" applyBorder="1" applyAlignment="1">
      <alignment horizontal="right"/>
    </xf>
    <xf numFmtId="168" fontId="174" fillId="44" borderId="11" xfId="700" applyNumberFormat="1" applyFont="1" applyFill="1" applyBorder="1" applyAlignment="1">
      <alignment horizontal="left"/>
    </xf>
    <xf numFmtId="0" fontId="102" fillId="45" borderId="65" xfId="8733" applyFont="1" applyFill="1" applyBorder="1" applyAlignment="1">
      <alignment horizontal="left" wrapText="1"/>
    </xf>
    <xf numFmtId="0" fontId="102" fillId="45" borderId="29" xfId="8733" applyFont="1" applyFill="1" applyBorder="1" applyAlignment="1">
      <alignment horizontal="left" wrapText="1"/>
    </xf>
    <xf numFmtId="0" fontId="102" fillId="45" borderId="31" xfId="8733" applyFont="1" applyFill="1" applyBorder="1" applyAlignment="1">
      <alignment horizontal="left" wrapText="1"/>
    </xf>
    <xf numFmtId="0" fontId="102" fillId="45" borderId="73" xfId="8733" applyFont="1" applyFill="1" applyBorder="1" applyAlignment="1">
      <alignment horizontal="left" wrapText="1"/>
    </xf>
    <xf numFmtId="0" fontId="102" fillId="45" borderId="42" xfId="8733" applyFont="1" applyFill="1" applyBorder="1" applyAlignment="1">
      <alignment horizontal="left" wrapText="1"/>
    </xf>
    <xf numFmtId="0" fontId="102" fillId="45" borderId="44" xfId="8733"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2" fillId="47" borderId="0" xfId="8733" applyFont="1" applyFill="1" applyAlignment="1">
      <alignment horizontal="center"/>
    </xf>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174" fillId="45" borderId="72" xfId="8733" applyFont="1" applyFill="1" applyBorder="1" applyAlignment="1">
      <alignment horizontal="right"/>
    </xf>
    <xf numFmtId="0" fontId="174" fillId="45" borderId="11" xfId="8733"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3" applyFill="1" applyBorder="1" applyAlignment="1">
      <alignment horizontal="center"/>
    </xf>
    <xf numFmtId="0" fontId="2" fillId="48" borderId="4" xfId="8733" applyFill="1" applyBorder="1" applyAlignment="1">
      <alignment horizontal="center"/>
    </xf>
    <xf numFmtId="0" fontId="2" fillId="48" borderId="81" xfId="8733"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3" applyFont="1" applyFill="1" applyBorder="1" applyAlignment="1">
      <alignment horizontal="center"/>
    </xf>
    <xf numFmtId="0" fontId="172" fillId="48" borderId="6" xfId="8733" applyFont="1" applyFill="1" applyBorder="1" applyAlignment="1">
      <alignment horizontal="center"/>
    </xf>
    <xf numFmtId="0" fontId="172" fillId="48" borderId="82" xfId="8733" applyFont="1" applyFill="1" applyBorder="1" applyAlignment="1">
      <alignment horizontal="center"/>
    </xf>
    <xf numFmtId="0" fontId="174" fillId="48" borderId="11" xfId="8733" applyFont="1" applyFill="1" applyBorder="1" applyAlignment="1" applyProtection="1">
      <alignment horizontal="left"/>
      <protection locked="0"/>
    </xf>
    <xf numFmtId="0" fontId="2" fillId="48" borderId="1" xfId="8733" applyFill="1" applyBorder="1" applyAlignment="1">
      <alignment horizontal="center"/>
    </xf>
    <xf numFmtId="0" fontId="2" fillId="48" borderId="2" xfId="8733" applyFill="1" applyBorder="1" applyAlignment="1">
      <alignment horizontal="center"/>
    </xf>
    <xf numFmtId="0" fontId="2" fillId="48" borderId="112" xfId="8733" applyFill="1" applyBorder="1" applyAlignment="1">
      <alignment horizontal="center"/>
    </xf>
    <xf numFmtId="0" fontId="174" fillId="48" borderId="72" xfId="8733"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3" applyFont="1" applyFill="1" applyBorder="1" applyAlignment="1">
      <alignment horizontal="right"/>
    </xf>
    <xf numFmtId="0" fontId="174" fillId="45" borderId="68" xfId="8733"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3" applyFont="1" applyFill="1" applyBorder="1" applyAlignment="1">
      <alignment horizontal="left" wrapText="1"/>
    </xf>
    <xf numFmtId="0" fontId="171" fillId="48" borderId="0" xfId="8733" applyFont="1" applyFill="1" applyAlignment="1">
      <alignment horizontal="left" wrapText="1"/>
    </xf>
    <xf numFmtId="0" fontId="171" fillId="48" borderId="41" xfId="8733" applyFont="1" applyFill="1" applyBorder="1" applyAlignment="1">
      <alignment horizontal="left" wrapText="1"/>
    </xf>
    <xf numFmtId="0" fontId="171" fillId="48" borderId="73" xfId="8733" applyFont="1" applyFill="1" applyBorder="1" applyAlignment="1">
      <alignment horizontal="left" wrapText="1"/>
    </xf>
    <xf numFmtId="0" fontId="171" fillId="48" borderId="42" xfId="8733" applyFont="1" applyFill="1" applyBorder="1" applyAlignment="1">
      <alignment horizontal="left" wrapText="1"/>
    </xf>
    <xf numFmtId="0" fontId="171" fillId="48" borderId="44" xfId="8733" applyFont="1" applyFill="1" applyBorder="1" applyAlignment="1">
      <alignment horizontal="left" wrapText="1"/>
    </xf>
    <xf numFmtId="0" fontId="173" fillId="45" borderId="69" xfId="8733" applyFont="1" applyFill="1" applyBorder="1" applyAlignment="1">
      <alignment horizontal="right"/>
    </xf>
    <xf numFmtId="0" fontId="173" fillId="45" borderId="70" xfId="8733"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3"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center"/>
      <protection locked="0"/>
    </xf>
    <xf numFmtId="0" fontId="172" fillId="48" borderId="86" xfId="8733" applyFont="1" applyFill="1" applyBorder="1" applyAlignment="1" applyProtection="1">
      <alignment horizontal="center"/>
      <protection locked="0"/>
    </xf>
    <xf numFmtId="0" fontId="174" fillId="48" borderId="70" xfId="8733" applyFont="1" applyFill="1" applyBorder="1" applyAlignment="1" applyProtection="1">
      <alignment horizontal="left"/>
      <protection locked="0"/>
    </xf>
    <xf numFmtId="0" fontId="174" fillId="48" borderId="77" xfId="8733"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left"/>
      <protection locked="0"/>
    </xf>
    <xf numFmtId="0" fontId="172" fillId="48" borderId="86" xfId="8733" applyFont="1" applyFill="1" applyBorder="1" applyAlignment="1" applyProtection="1">
      <alignment horizontal="left"/>
      <protection locked="0"/>
    </xf>
    <xf numFmtId="0" fontId="172" fillId="48" borderId="85" xfId="8733" applyFont="1" applyFill="1" applyBorder="1" applyAlignment="1" applyProtection="1">
      <alignment horizontal="left"/>
      <protection locked="0"/>
    </xf>
    <xf numFmtId="0" fontId="102" fillId="48" borderId="80" xfId="8733" applyFont="1" applyFill="1" applyBorder="1" applyAlignment="1">
      <alignment horizontal="left"/>
    </xf>
    <xf numFmtId="0" fontId="102" fillId="48" borderId="79" xfId="8733"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3"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3" applyNumberFormat="1" applyBorder="1" applyAlignment="1">
      <alignment horizontal="center"/>
    </xf>
    <xf numFmtId="0" fontId="2" fillId="0" borderId="13" xfId="8733" applyBorder="1" applyAlignment="1">
      <alignment horizontal="center"/>
    </xf>
    <xf numFmtId="0" fontId="165" fillId="45" borderId="80" xfId="0" applyFont="1" applyFill="1" applyBorder="1" applyAlignment="1" applyProtection="1">
      <alignment horizontal="center" wrapText="1"/>
      <protection hidden="1"/>
    </xf>
    <xf numFmtId="0" fontId="165" fillId="45" borderId="79" xfId="0" applyFont="1" applyFill="1" applyBorder="1" applyAlignment="1" applyProtection="1">
      <alignment horizontal="center" wrapText="1"/>
      <protection hidden="1"/>
    </xf>
    <xf numFmtId="0" fontId="165" fillId="45" borderId="78" xfId="0" applyFont="1" applyFill="1" applyBorder="1" applyAlignment="1" applyProtection="1">
      <alignment horizontal="center" wrapText="1"/>
      <protection hidden="1"/>
    </xf>
    <xf numFmtId="0" fontId="165" fillId="45" borderId="13" xfId="0" applyFont="1" applyFill="1" applyBorder="1" applyAlignment="1" applyProtection="1">
      <alignment horizontal="left" wrapText="1"/>
      <protection hidden="1"/>
    </xf>
    <xf numFmtId="0" fontId="165" fillId="45" borderId="13" xfId="0" applyFont="1" applyFill="1" applyBorder="1" applyAlignment="1" applyProtection="1">
      <alignment horizontal="center" wrapText="1"/>
      <protection hidden="1"/>
    </xf>
    <xf numFmtId="0" fontId="171" fillId="45" borderId="11" xfId="8733"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0"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3" applyFont="1" applyFill="1" applyBorder="1" applyAlignment="1">
      <alignment horizontal="center"/>
    </xf>
    <xf numFmtId="0" fontId="167" fillId="47" borderId="29" xfId="8733" applyFont="1" applyFill="1" applyBorder="1" applyAlignment="1">
      <alignment horizontal="center"/>
    </xf>
    <xf numFmtId="0" fontId="167" fillId="47" borderId="31" xfId="8733" applyFont="1" applyFill="1" applyBorder="1" applyAlignment="1">
      <alignment horizontal="center"/>
    </xf>
    <xf numFmtId="0" fontId="2" fillId="47" borderId="66" xfId="8733" applyFill="1" applyBorder="1" applyAlignment="1">
      <alignment horizontal="center"/>
    </xf>
    <xf numFmtId="0" fontId="2" fillId="47" borderId="0" xfId="8733" applyFill="1" applyAlignment="1">
      <alignment horizontal="center"/>
    </xf>
    <xf numFmtId="0" fontId="2" fillId="47" borderId="41" xfId="8733" applyFill="1" applyBorder="1" applyAlignment="1">
      <alignment horizontal="center"/>
    </xf>
    <xf numFmtId="0" fontId="166" fillId="47" borderId="66" xfId="8733" applyFont="1" applyFill="1" applyBorder="1" applyAlignment="1">
      <alignment horizontal="center"/>
    </xf>
    <xf numFmtId="0" fontId="166" fillId="47" borderId="0" xfId="8733" applyFont="1" applyFill="1" applyAlignment="1">
      <alignment horizontal="center"/>
    </xf>
    <xf numFmtId="0" fontId="166" fillId="47" borderId="41" xfId="8733" applyFont="1" applyFill="1" applyBorder="1" applyAlignment="1">
      <alignment horizontal="center"/>
    </xf>
    <xf numFmtId="0" fontId="102" fillId="47" borderId="66" xfId="8733" applyFont="1" applyFill="1" applyBorder="1" applyAlignment="1">
      <alignment horizontal="center"/>
    </xf>
    <xf numFmtId="0" fontId="102" fillId="47" borderId="41" xfId="8733" applyFont="1" applyFill="1" applyBorder="1" applyAlignment="1">
      <alignment horizontal="center"/>
    </xf>
    <xf numFmtId="0" fontId="102" fillId="47" borderId="0" xfId="8733"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4494"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2" fillId="44" borderId="0" xfId="8733" applyFont="1" applyFill="1" applyAlignment="1">
      <alignment horizontal="left"/>
    </xf>
    <xf numFmtId="0" fontId="2" fillId="48" borderId="80" xfId="8733" applyFill="1" applyBorder="1" applyAlignment="1" applyProtection="1">
      <alignment horizontal="left"/>
      <protection locked="0"/>
    </xf>
    <xf numFmtId="0" fontId="2" fillId="48" borderId="79" xfId="8733" applyFill="1" applyBorder="1" applyAlignment="1" applyProtection="1">
      <alignment horizontal="left"/>
      <protection locked="0"/>
    </xf>
    <xf numFmtId="0" fontId="2" fillId="48" borderId="78" xfId="8733" applyFill="1" applyBorder="1" applyAlignment="1" applyProtection="1">
      <alignment horizontal="left"/>
      <protection locked="0"/>
    </xf>
    <xf numFmtId="0" fontId="165" fillId="44" borderId="0" xfId="8733" applyFont="1" applyFill="1" applyAlignment="1">
      <alignment horizontal="left" vertical="top"/>
    </xf>
    <xf numFmtId="0" fontId="102" fillId="44" borderId="0" xfId="8730" applyFont="1" applyFill="1" applyBorder="1" applyAlignment="1">
      <alignment horizontal="left" vertical="top"/>
    </xf>
    <xf numFmtId="14" fontId="2" fillId="48" borderId="80" xfId="8733" applyNumberFormat="1" applyFill="1" applyBorder="1" applyAlignment="1" applyProtection="1">
      <alignment horizontal="center"/>
      <protection locked="0"/>
    </xf>
    <xf numFmtId="14" fontId="2" fillId="48" borderId="79" xfId="8733" applyNumberFormat="1" applyFill="1" applyBorder="1" applyAlignment="1" applyProtection="1">
      <alignment horizontal="center"/>
      <protection locked="0"/>
    </xf>
    <xf numFmtId="14" fontId="2" fillId="48" borderId="78" xfId="8733" applyNumberFormat="1" applyFill="1" applyBorder="1" applyAlignment="1" applyProtection="1">
      <alignment horizontal="center"/>
      <protection locked="0"/>
    </xf>
    <xf numFmtId="0" fontId="166" fillId="47" borderId="0" xfId="8733" applyFont="1" applyFill="1" applyAlignment="1">
      <alignment horizontal="left" vertical="top" wrapText="1"/>
    </xf>
    <xf numFmtId="0" fontId="102" fillId="47" borderId="42" xfId="8733" applyFont="1" applyFill="1" applyBorder="1" applyAlignment="1">
      <alignment horizontal="center"/>
    </xf>
    <xf numFmtId="0" fontId="2" fillId="48" borderId="80" xfId="8733" applyFill="1" applyBorder="1" applyAlignment="1" applyProtection="1">
      <alignment horizontal="center"/>
      <protection locked="0"/>
    </xf>
    <xf numFmtId="0" fontId="2" fillId="48" borderId="79" xfId="8733" applyFill="1" applyBorder="1" applyAlignment="1" applyProtection="1">
      <alignment horizontal="center"/>
      <protection locked="0"/>
    </xf>
    <xf numFmtId="0" fontId="2" fillId="48" borderId="78" xfId="8733" applyFill="1" applyBorder="1" applyAlignment="1" applyProtection="1">
      <alignment horizontal="center"/>
      <protection locked="0"/>
    </xf>
    <xf numFmtId="168" fontId="17" fillId="2" borderId="3" xfId="569" applyNumberFormat="1" applyFill="1" applyBorder="1" applyAlignment="1">
      <alignment horizontal="center"/>
    </xf>
    <xf numFmtId="168" fontId="17" fillId="2" borderId="4" xfId="569" applyNumberFormat="1" applyFill="1" applyBorder="1" applyAlignment="1">
      <alignment horizontal="center"/>
    </xf>
    <xf numFmtId="168" fontId="17" fillId="2" borderId="5" xfId="569" applyNumberFormat="1" applyFill="1" applyBorder="1" applyAlignment="1">
      <alignment horizontal="center"/>
    </xf>
    <xf numFmtId="168" fontId="17" fillId="5" borderId="5" xfId="569" applyNumberFormat="1" applyFill="1" applyBorder="1" applyAlignment="1" applyProtection="1">
      <alignment horizontal="center"/>
      <protection locked="0"/>
    </xf>
    <xf numFmtId="168" fontId="17" fillId="5" borderId="11" xfId="569" applyNumberFormat="1" applyFill="1" applyBorder="1" applyAlignment="1" applyProtection="1">
      <alignment horizontal="center"/>
      <protection locked="0"/>
    </xf>
    <xf numFmtId="168" fontId="17" fillId="0" borderId="5" xfId="569" applyNumberFormat="1" applyBorder="1" applyAlignment="1">
      <alignment horizontal="center"/>
    </xf>
    <xf numFmtId="168" fontId="17" fillId="0" borderId="11" xfId="569" applyNumberFormat="1" applyBorder="1" applyAlignment="1">
      <alignment horizontal="center"/>
    </xf>
    <xf numFmtId="168" fontId="17" fillId="0" borderId="3" xfId="569" applyNumberFormat="1" applyBorder="1" applyAlignment="1">
      <alignment horizontal="center"/>
    </xf>
    <xf numFmtId="168" fontId="17" fillId="0" borderId="4" xfId="569" applyNumberFormat="1" applyBorder="1" applyAlignment="1">
      <alignment horizontal="center"/>
    </xf>
    <xf numFmtId="179" fontId="24" fillId="0" borderId="0" xfId="569" applyNumberFormat="1" applyFont="1" applyAlignment="1">
      <alignment horizontal="center" wrapText="1"/>
    </xf>
    <xf numFmtId="0" fontId="24" fillId="0" borderId="16" xfId="271" applyFont="1" applyBorder="1" applyAlignment="1">
      <alignment horizontal="center"/>
    </xf>
    <xf numFmtId="164" fontId="24" fillId="0" borderId="0" xfId="569" applyNumberFormat="1" applyFont="1" applyAlignment="1">
      <alignment horizontal="center" wrapText="1"/>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53" fillId="0" borderId="0" xfId="569" applyFont="1" applyAlignment="1">
      <alignment horizontal="left"/>
    </xf>
    <xf numFmtId="0" fontId="17" fillId="0" borderId="3" xfId="569" applyBorder="1" applyAlignment="1">
      <alignment horizontal="right"/>
    </xf>
    <xf numFmtId="0" fontId="17" fillId="0" borderId="4" xfId="569" applyBorder="1" applyAlignment="1">
      <alignment horizontal="right"/>
    </xf>
    <xf numFmtId="0" fontId="17" fillId="0" borderId="5" xfId="569" applyBorder="1" applyAlignment="1">
      <alignment horizontal="right"/>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168" fontId="17" fillId="0" borderId="3" xfId="569" applyNumberFormat="1" applyBorder="1" applyAlignment="1">
      <alignment horizontal="right"/>
    </xf>
    <xf numFmtId="168" fontId="17" fillId="0" borderId="4" xfId="569" applyNumberFormat="1" applyBorder="1" applyAlignment="1">
      <alignment horizontal="right"/>
    </xf>
    <xf numFmtId="168" fontId="17" fillId="0" borderId="5" xfId="569" applyNumberFormat="1" applyBorder="1" applyAlignment="1">
      <alignment horizontal="right"/>
    </xf>
    <xf numFmtId="9" fontId="17" fillId="0" borderId="5" xfId="569" applyNumberFormat="1" applyBorder="1" applyAlignment="1">
      <alignment horizontal="center"/>
    </xf>
    <xf numFmtId="9" fontId="17" fillId="0" borderId="11" xfId="569" applyNumberFormat="1" applyBorder="1" applyAlignment="1">
      <alignment horizontal="center"/>
    </xf>
    <xf numFmtId="0" fontId="24" fillId="0" borderId="3" xfId="569" applyFont="1" applyBorder="1" applyAlignment="1">
      <alignment horizontal="left"/>
    </xf>
    <xf numFmtId="0" fontId="24" fillId="0" borderId="5" xfId="569" applyFont="1" applyBorder="1" applyAlignment="1">
      <alignment horizontal="left"/>
    </xf>
    <xf numFmtId="0" fontId="25" fillId="0" borderId="4" xfId="569" applyFont="1" applyBorder="1" applyAlignment="1">
      <alignment horizontal="left"/>
    </xf>
    <xf numFmtId="0" fontId="25" fillId="0" borderId="5" xfId="569" applyFont="1" applyBorder="1" applyAlignment="1">
      <alignment horizontal="left"/>
    </xf>
    <xf numFmtId="0" fontId="23" fillId="3" borderId="2" xfId="569" applyFont="1" applyFill="1" applyBorder="1" applyAlignment="1">
      <alignment horizontal="center" vertical="center"/>
    </xf>
    <xf numFmtId="0" fontId="23" fillId="3" borderId="16" xfId="569" applyFont="1" applyFill="1" applyBorder="1" applyAlignment="1">
      <alignment horizontal="center" vertical="center"/>
    </xf>
    <xf numFmtId="0" fontId="24" fillId="0" borderId="11" xfId="569" applyFont="1" applyBorder="1" applyAlignment="1">
      <alignment horizontal="center" wrapText="1"/>
    </xf>
    <xf numFmtId="168" fontId="17" fillId="0" borderId="7" xfId="569" applyNumberFormat="1" applyBorder="1" applyAlignment="1">
      <alignment horizontal="center"/>
    </xf>
    <xf numFmtId="168" fontId="17" fillId="0" borderId="15" xfId="569" applyNumberFormat="1" applyBorder="1" applyAlignment="1">
      <alignment horizontal="center"/>
    </xf>
    <xf numFmtId="168" fontId="17" fillId="5" borderId="10" xfId="569" applyNumberFormat="1" applyFill="1" applyBorder="1" applyAlignment="1" applyProtection="1">
      <alignment horizontal="center"/>
      <protection locked="0"/>
    </xf>
    <xf numFmtId="168" fontId="17" fillId="5" borderId="13" xfId="569" applyNumberFormat="1" applyFill="1" applyBorder="1" applyAlignment="1" applyProtection="1">
      <alignment horizontal="center"/>
      <protection locked="0"/>
    </xf>
    <xf numFmtId="5" fontId="17" fillId="0" borderId="5" xfId="569" applyNumberFormat="1" applyBorder="1" applyAlignment="1">
      <alignment horizontal="center"/>
    </xf>
    <xf numFmtId="5" fontId="17" fillId="0" borderId="11" xfId="569" applyNumberFormat="1" applyBorder="1" applyAlignment="1">
      <alignment horizontal="center"/>
    </xf>
    <xf numFmtId="5" fontId="17" fillId="0" borderId="3" xfId="569" applyNumberFormat="1" applyBorder="1" applyAlignment="1">
      <alignment horizontal="center"/>
    </xf>
    <xf numFmtId="5" fontId="17" fillId="0" borderId="4" xfId="569" applyNumberFormat="1" applyBorder="1" applyAlignment="1">
      <alignment horizontal="center"/>
    </xf>
    <xf numFmtId="9" fontId="17" fillId="0" borderId="9" xfId="569" applyNumberFormat="1" applyBorder="1" applyAlignment="1">
      <alignment horizontal="center" vertical="center"/>
    </xf>
    <xf numFmtId="9" fontId="17" fillId="0" borderId="6" xfId="569" applyNumberFormat="1" applyBorder="1" applyAlignment="1">
      <alignment horizontal="center" vertical="center"/>
    </xf>
    <xf numFmtId="9" fontId="17" fillId="0" borderId="10" xfId="569" applyNumberFormat="1" applyBorder="1" applyAlignment="1">
      <alignment horizontal="center" vertical="center"/>
    </xf>
    <xf numFmtId="168" fontId="17" fillId="0" borderId="11" xfId="569" applyNumberFormat="1" applyBorder="1" applyAlignment="1">
      <alignment horizontal="right"/>
    </xf>
    <xf numFmtId="0" fontId="24" fillId="0" borderId="6" xfId="569" applyFont="1" applyBorder="1" applyAlignment="1">
      <alignment horizontal="center"/>
    </xf>
    <xf numFmtId="0" fontId="17" fillId="0" borderId="4" xfId="569" applyBorder="1" applyAlignment="1">
      <alignment horizontal="center"/>
    </xf>
    <xf numFmtId="0" fontId="17" fillId="0" borderId="5" xfId="569" applyBorder="1" applyAlignment="1">
      <alignment horizontal="center"/>
    </xf>
    <xf numFmtId="176" fontId="17" fillId="5" borderId="3" xfId="569" applyNumberFormat="1" applyFill="1" applyBorder="1" applyAlignment="1" applyProtection="1">
      <alignment horizontal="right"/>
      <protection locked="0"/>
    </xf>
    <xf numFmtId="176" fontId="17" fillId="5" borderId="4" xfId="569" applyNumberFormat="1" applyFill="1" applyBorder="1" applyAlignment="1" applyProtection="1">
      <alignment horizontal="right"/>
      <protection locked="0"/>
    </xf>
    <xf numFmtId="176" fontId="17" fillId="5" borderId="5" xfId="569" applyNumberFormat="1" applyFill="1" applyBorder="1" applyAlignment="1" applyProtection="1">
      <alignment horizontal="right"/>
      <protection locked="0"/>
    </xf>
    <xf numFmtId="0" fontId="107" fillId="0" borderId="0" xfId="569" applyFont="1" applyAlignment="1">
      <alignment horizontal="left" wrapText="1"/>
    </xf>
    <xf numFmtId="0" fontId="24" fillId="0" borderId="11" xfId="569" applyFont="1" applyBorder="1" applyAlignment="1">
      <alignment horizontal="center"/>
    </xf>
    <xf numFmtId="165" fontId="17" fillId="0" borderId="11" xfId="569" applyNumberFormat="1" applyBorder="1" applyAlignment="1" applyProtection="1">
      <alignment horizontal="center"/>
      <protection locked="0"/>
    </xf>
    <xf numFmtId="168" fontId="17" fillId="0" borderId="11" xfId="569" applyNumberFormat="1" applyBorder="1"/>
    <xf numFmtId="168" fontId="17" fillId="0" borderId="3" xfId="569" applyNumberFormat="1" applyBorder="1"/>
    <xf numFmtId="168" fontId="17" fillId="0" borderId="4" xfId="569" applyNumberFormat="1" applyBorder="1"/>
    <xf numFmtId="168" fontId="17" fillId="0" borderId="5" xfId="569" applyNumberFormat="1" applyBorder="1"/>
    <xf numFmtId="168" fontId="17" fillId="0" borderId="11" xfId="569" applyNumberFormat="1" applyBorder="1" applyAlignment="1">
      <alignment wrapText="1"/>
    </xf>
    <xf numFmtId="9" fontId="17" fillId="0" borderId="15" xfId="569" applyNumberFormat="1" applyBorder="1" applyAlignment="1">
      <alignment horizontal="center"/>
    </xf>
    <xf numFmtId="0" fontId="17" fillId="0" borderId="11" xfId="569" applyBorder="1" applyAlignment="1">
      <alignment horizontal="center"/>
    </xf>
    <xf numFmtId="0" fontId="107" fillId="0" borderId="0" xfId="0" applyFont="1" applyAlignment="1">
      <alignment horizontal="left" vertical="top" wrapText="1"/>
    </xf>
    <xf numFmtId="0" fontId="24" fillId="0" borderId="0" xfId="4495" applyFont="1" applyAlignment="1">
      <alignment horizontal="left" wrapText="1"/>
    </xf>
    <xf numFmtId="0" fontId="17" fillId="0" borderId="0" xfId="4495" applyFont="1" applyAlignment="1">
      <alignment wrapText="1"/>
    </xf>
    <xf numFmtId="0" fontId="17" fillId="0" borderId="0" xfId="4495" applyFont="1" applyAlignment="1">
      <alignment horizontal="left"/>
    </xf>
    <xf numFmtId="0" fontId="17" fillId="5" borderId="6" xfId="4495" applyFont="1" applyFill="1" applyBorder="1" applyAlignment="1" applyProtection="1">
      <alignment horizontal="center"/>
      <protection locked="0"/>
    </xf>
    <xf numFmtId="164" fontId="17" fillId="0" borderId="50" xfId="4495" applyNumberFormat="1" applyFont="1" applyBorder="1" applyAlignment="1">
      <alignment horizontal="left" vertical="top" wrapText="1"/>
    </xf>
    <xf numFmtId="164" fontId="17" fillId="0" borderId="51" xfId="4495" applyNumberFormat="1" applyFont="1" applyBorder="1" applyAlignment="1">
      <alignment horizontal="left" vertical="top" wrapText="1"/>
    </xf>
    <xf numFmtId="164" fontId="17" fillId="0" borderId="52" xfId="4495" applyNumberFormat="1" applyFont="1" applyBorder="1" applyAlignment="1">
      <alignment horizontal="left" vertical="top" wrapText="1"/>
    </xf>
    <xf numFmtId="164" fontId="17" fillId="0" borderId="53" xfId="4495" applyNumberFormat="1" applyFont="1" applyBorder="1" applyAlignment="1">
      <alignment horizontal="left" vertical="top" wrapText="1"/>
    </xf>
    <xf numFmtId="164" fontId="17" fillId="0" borderId="0" xfId="4495" applyNumberFormat="1" applyFont="1" applyAlignment="1">
      <alignment horizontal="left" vertical="top" wrapText="1"/>
    </xf>
    <xf numFmtId="164" fontId="17" fillId="0" borderId="54" xfId="4495" applyNumberFormat="1" applyFont="1" applyBorder="1" applyAlignment="1">
      <alignment horizontal="left" vertical="top" wrapText="1"/>
    </xf>
    <xf numFmtId="164" fontId="17" fillId="0" borderId="57" xfId="4495" applyNumberFormat="1" applyFont="1" applyBorder="1" applyAlignment="1">
      <alignment horizontal="left" vertical="top" wrapText="1"/>
    </xf>
    <xf numFmtId="164" fontId="17" fillId="0" borderId="58" xfId="4495" applyNumberFormat="1" applyFont="1" applyBorder="1" applyAlignment="1">
      <alignment horizontal="left" vertical="top" wrapText="1"/>
    </xf>
    <xf numFmtId="164" fontId="17" fillId="0" borderId="59" xfId="4495" applyNumberFormat="1" applyFont="1" applyBorder="1" applyAlignment="1">
      <alignment horizontal="left" vertical="top" wrapText="1"/>
    </xf>
    <xf numFmtId="0" fontId="17" fillId="45" borderId="11" xfId="4495" applyFont="1" applyFill="1" applyBorder="1" applyAlignment="1">
      <alignment horizontal="center"/>
    </xf>
    <xf numFmtId="4" fontId="25" fillId="0" borderId="3" xfId="4495" applyNumberFormat="1" applyFont="1" applyBorder="1" applyAlignment="1">
      <alignment horizontal="center"/>
    </xf>
    <xf numFmtId="4" fontId="25" fillId="0" borderId="4" xfId="4495" applyNumberFormat="1" applyFont="1" applyBorder="1" applyAlignment="1">
      <alignment horizontal="center"/>
    </xf>
    <xf numFmtId="4" fontId="25" fillId="0" borderId="5" xfId="4495" applyNumberFormat="1" applyFont="1" applyBorder="1" applyAlignment="1">
      <alignment horizontal="center"/>
    </xf>
    <xf numFmtId="165" fontId="122" fillId="0" borderId="3" xfId="4496" applyNumberFormat="1" applyFont="1" applyBorder="1" applyAlignment="1">
      <alignment horizontal="center" vertical="top" wrapText="1"/>
    </xf>
    <xf numFmtId="165" fontId="122" fillId="0" borderId="4" xfId="4496" applyNumberFormat="1" applyFont="1" applyBorder="1" applyAlignment="1">
      <alignment horizontal="center" vertical="top" wrapText="1"/>
    </xf>
    <xf numFmtId="165" fontId="122" fillId="0" borderId="5" xfId="4496" applyNumberFormat="1" applyFont="1" applyBorder="1" applyAlignment="1">
      <alignment horizontal="center" vertical="top" wrapText="1"/>
    </xf>
    <xf numFmtId="3" fontId="17" fillId="43" borderId="6" xfId="1192" applyNumberFormat="1" applyFill="1" applyBorder="1" applyAlignment="1" applyProtection="1">
      <alignment horizontal="right"/>
      <protection locked="0"/>
    </xf>
    <xf numFmtId="168" fontId="17" fillId="0" borderId="0" xfId="1192" applyNumberFormat="1" applyAlignment="1">
      <alignment horizontal="right"/>
    </xf>
    <xf numFmtId="0" fontId="142" fillId="0" borderId="0" xfId="1192" applyFont="1" applyAlignment="1">
      <alignment horizontal="center"/>
    </xf>
    <xf numFmtId="168" fontId="17" fillId="43" borderId="6" xfId="543" applyNumberFormat="1" applyFill="1" applyBorder="1" applyAlignment="1" applyProtection="1">
      <alignment horizontal="center"/>
      <protection locked="0"/>
    </xf>
    <xf numFmtId="168" fontId="17" fillId="5" borderId="4" xfId="1192" applyNumberFormat="1" applyFill="1" applyBorder="1" applyAlignment="1" applyProtection="1">
      <alignment horizontal="center"/>
      <protection locked="0"/>
    </xf>
    <xf numFmtId="4" fontId="25" fillId="0" borderId="6" xfId="4495" applyNumberFormat="1" applyFont="1" applyBorder="1" applyAlignment="1">
      <alignment horizontal="center"/>
    </xf>
    <xf numFmtId="1" fontId="17" fillId="5" borderId="2" xfId="1192" applyNumberFormat="1" applyFill="1" applyBorder="1" applyAlignment="1" applyProtection="1">
      <alignment horizontal="center"/>
      <protection locked="0"/>
    </xf>
    <xf numFmtId="168" fontId="17" fillId="0" borderId="6" xfId="1192" applyNumberFormat="1" applyBorder="1" applyAlignment="1">
      <alignment horizontal="right"/>
    </xf>
    <xf numFmtId="168" fontId="17" fillId="0" borderId="4" xfId="1192" applyNumberFormat="1" applyBorder="1" applyAlignment="1">
      <alignment horizontal="right"/>
    </xf>
    <xf numFmtId="4" fontId="25" fillId="0" borderId="0" xfId="4495" applyNumberFormat="1" applyFont="1" applyAlignment="1">
      <alignment horizontal="center"/>
    </xf>
    <xf numFmtId="0" fontId="17" fillId="0" borderId="53" xfId="4495" applyFont="1" applyBorder="1" applyAlignment="1">
      <alignment horizontal="left" vertical="top" wrapText="1"/>
    </xf>
    <xf numFmtId="0" fontId="17" fillId="0" borderId="0" xfId="4495" applyFont="1" applyAlignment="1">
      <alignment horizontal="left" vertical="top" wrapText="1"/>
    </xf>
    <xf numFmtId="0" fontId="17" fillId="0" borderId="54" xfId="4495" applyFont="1" applyBorder="1" applyAlignment="1">
      <alignment horizontal="left" vertical="top" wrapText="1"/>
    </xf>
    <xf numFmtId="0" fontId="17" fillId="0" borderId="57" xfId="4495" applyFont="1" applyBorder="1" applyAlignment="1">
      <alignment horizontal="left" vertical="top" wrapText="1"/>
    </xf>
    <xf numFmtId="0" fontId="17" fillId="0" borderId="58" xfId="4495" applyFont="1" applyBorder="1" applyAlignment="1">
      <alignment horizontal="left" vertical="top" wrapText="1"/>
    </xf>
    <xf numFmtId="168" fontId="17" fillId="0" borderId="6" xfId="4496" applyNumberFormat="1" applyFont="1" applyBorder="1" applyAlignment="1">
      <alignment horizontal="center"/>
    </xf>
    <xf numFmtId="168" fontId="17" fillId="0" borderId="4" xfId="4496" applyNumberFormat="1" applyFont="1" applyBorder="1" applyAlignment="1">
      <alignment horizontal="center"/>
    </xf>
    <xf numFmtId="9" fontId="17" fillId="0" borderId="4" xfId="4496" applyNumberFormat="1" applyFont="1" applyBorder="1" applyAlignment="1">
      <alignment horizontal="center"/>
    </xf>
    <xf numFmtId="0" fontId="17" fillId="0" borderId="3" xfId="4495" applyFont="1" applyBorder="1" applyAlignment="1">
      <alignment horizontal="center"/>
    </xf>
    <xf numFmtId="0" fontId="17" fillId="0" borderId="4" xfId="4495" applyFont="1" applyBorder="1" applyAlignment="1">
      <alignment horizontal="center"/>
    </xf>
    <xf numFmtId="0" fontId="17" fillId="0" borderId="5" xfId="4495" applyFont="1" applyBorder="1" applyAlignment="1">
      <alignment horizontal="center"/>
    </xf>
    <xf numFmtId="0" fontId="25" fillId="0" borderId="51" xfId="4495" applyFont="1" applyBorder="1" applyAlignment="1">
      <alignment horizontal="left" vertical="top" wrapText="1"/>
    </xf>
    <xf numFmtId="0" fontId="25" fillId="0" borderId="0" xfId="4495" applyFont="1" applyAlignment="1">
      <alignment horizontal="left" vertical="top" wrapText="1"/>
    </xf>
    <xf numFmtId="0" fontId="25" fillId="0" borderId="58" xfId="4495" applyFont="1" applyBorder="1" applyAlignment="1">
      <alignment horizontal="left" vertical="top" wrapText="1"/>
    </xf>
    <xf numFmtId="10" fontId="25" fillId="0" borderId="2" xfId="4495" applyNumberFormat="1" applyFont="1" applyBorder="1" applyAlignment="1">
      <alignment horizontal="center"/>
    </xf>
    <xf numFmtId="0" fontId="25" fillId="0" borderId="0" xfId="4495" applyFont="1" applyAlignment="1">
      <alignment horizontal="center"/>
    </xf>
    <xf numFmtId="9" fontId="25" fillId="5" borderId="6" xfId="4495" applyNumberFormat="1" applyFont="1" applyFill="1" applyBorder="1" applyAlignment="1">
      <alignment horizontal="left"/>
    </xf>
    <xf numFmtId="0" fontId="130" fillId="0" borderId="0" xfId="4495" applyFont="1" applyAlignment="1">
      <alignment horizontal="left" vertical="top" wrapText="1"/>
    </xf>
    <xf numFmtId="0" fontId="33" fillId="42" borderId="2" xfId="4495" applyFont="1" applyFill="1" applyBorder="1" applyAlignment="1">
      <alignment horizontal="center"/>
    </xf>
    <xf numFmtId="0" fontId="33" fillId="42" borderId="6" xfId="4495" applyFont="1" applyFill="1" applyBorder="1" applyAlignment="1">
      <alignment horizontal="center"/>
    </xf>
    <xf numFmtId="0" fontId="24" fillId="0" borderId="11" xfId="4495" applyFont="1" applyBorder="1" applyAlignment="1">
      <alignment horizontal="center"/>
    </xf>
    <xf numFmtId="0" fontId="120" fillId="5" borderId="55" xfId="4495" applyFill="1" applyBorder="1" applyAlignment="1" applyProtection="1">
      <alignment horizontal="center"/>
      <protection locked="0"/>
    </xf>
    <xf numFmtId="0" fontId="120" fillId="5" borderId="6" xfId="4495" applyFill="1" applyBorder="1" applyAlignment="1" applyProtection="1">
      <alignment horizontal="center"/>
      <protection locked="0"/>
    </xf>
    <xf numFmtId="0" fontId="24" fillId="0" borderId="0" xfId="4495" applyFont="1" applyAlignment="1">
      <alignment horizontal="center"/>
    </xf>
    <xf numFmtId="0" fontId="24" fillId="0" borderId="54" xfId="4495" applyFont="1" applyBorder="1" applyAlignment="1">
      <alignment horizontal="center"/>
    </xf>
    <xf numFmtId="0" fontId="17" fillId="5" borderId="6" xfId="4495" applyFont="1" applyFill="1" applyBorder="1" applyAlignment="1" applyProtection="1">
      <alignment horizontal="center" vertical="center" wrapText="1" shrinkToFit="1"/>
      <protection locked="0"/>
    </xf>
    <xf numFmtId="0" fontId="118" fillId="0" borderId="4" xfId="1192" applyFont="1" applyBorder="1" applyAlignment="1">
      <alignment horizontal="left"/>
    </xf>
    <xf numFmtId="0" fontId="142" fillId="0" borderId="6" xfId="1192" applyFont="1" applyBorder="1" applyAlignment="1">
      <alignment horizontal="center"/>
    </xf>
    <xf numFmtId="168" fontId="17" fillId="43" borderId="6" xfId="1192" applyNumberFormat="1" applyFill="1" applyBorder="1" applyAlignment="1" applyProtection="1">
      <alignment horizontal="right"/>
      <protection locked="0"/>
    </xf>
    <xf numFmtId="0" fontId="25" fillId="5" borderId="58" xfId="4495" applyFont="1" applyFill="1" applyBorder="1" applyAlignment="1">
      <alignment horizontal="left"/>
    </xf>
    <xf numFmtId="0" fontId="120" fillId="5" borderId="50" xfId="4495" applyFill="1" applyBorder="1" applyAlignment="1">
      <alignment horizontal="center"/>
    </xf>
    <xf numFmtId="0" fontId="120" fillId="5" borderId="51" xfId="4495" applyFill="1" applyBorder="1" applyAlignment="1">
      <alignment horizontal="center"/>
    </xf>
    <xf numFmtId="0" fontId="53" fillId="0" borderId="51" xfId="4495" applyFont="1" applyBorder="1" applyAlignment="1">
      <alignment horizontal="left" vertical="top" wrapText="1"/>
    </xf>
    <xf numFmtId="0" fontId="53" fillId="0" borderId="0" xfId="4495" applyFont="1" applyAlignment="1">
      <alignment horizontal="left" vertical="top" wrapText="1"/>
    </xf>
    <xf numFmtId="9" fontId="25" fillId="5" borderId="58" xfId="4495" applyNumberFormat="1" applyFont="1" applyFill="1" applyBorder="1" applyAlignment="1">
      <alignment horizontal="left"/>
    </xf>
    <xf numFmtId="0" fontId="120" fillId="0" borderId="0" xfId="4495" applyAlignment="1">
      <alignment horizontal="center"/>
    </xf>
    <xf numFmtId="0" fontId="25" fillId="5" borderId="6" xfId="4495" applyFont="1" applyFill="1" applyBorder="1" applyAlignment="1">
      <alignment horizontal="left"/>
    </xf>
    <xf numFmtId="0" fontId="120" fillId="5" borderId="62" xfId="4495" applyFill="1" applyBorder="1" applyAlignment="1">
      <alignment horizontal="center"/>
    </xf>
    <xf numFmtId="0" fontId="120" fillId="5" borderId="63" xfId="4495" applyFill="1" applyBorder="1" applyAlignment="1">
      <alignment horizontal="center"/>
    </xf>
    <xf numFmtId="0" fontId="24" fillId="0" borderId="51" xfId="4495" applyFont="1" applyBorder="1" applyAlignment="1">
      <alignment horizontal="center" vertical="top"/>
    </xf>
    <xf numFmtId="0" fontId="24" fillId="0" borderId="52" xfId="4495" applyFont="1" applyBorder="1" applyAlignment="1">
      <alignment horizontal="center" vertical="top"/>
    </xf>
    <xf numFmtId="0" fontId="24" fillId="0" borderId="0" xfId="4495" applyFont="1" applyAlignment="1">
      <alignment horizontal="right"/>
    </xf>
    <xf numFmtId="0" fontId="17" fillId="0" borderId="6" xfId="1192" applyBorder="1" applyAlignment="1">
      <alignment horizontal="right"/>
    </xf>
    <xf numFmtId="9" fontId="17" fillId="5" borderId="4" xfId="1192" applyNumberFormat="1" applyFill="1" applyBorder="1" applyAlignment="1" applyProtection="1">
      <alignment horizontal="left"/>
      <protection locked="0"/>
    </xf>
    <xf numFmtId="0" fontId="122" fillId="0" borderId="50" xfId="4496" applyFont="1" applyBorder="1" applyAlignment="1">
      <alignment horizontal="left" wrapText="1"/>
    </xf>
    <xf numFmtId="0" fontId="122" fillId="0" borderId="51" xfId="4496" applyFont="1" applyBorder="1" applyAlignment="1">
      <alignment horizontal="left" wrapText="1"/>
    </xf>
    <xf numFmtId="0" fontId="122" fillId="0" borderId="52" xfId="4496" applyFont="1" applyBorder="1" applyAlignment="1">
      <alignment horizontal="left" wrapText="1"/>
    </xf>
    <xf numFmtId="0" fontId="122" fillId="0" borderId="57" xfId="4496" applyFont="1" applyBorder="1" applyAlignment="1">
      <alignment horizontal="left" wrapText="1"/>
    </xf>
    <xf numFmtId="0" fontId="122" fillId="0" borderId="58" xfId="4496" applyFont="1" applyBorder="1" applyAlignment="1">
      <alignment horizontal="left" wrapText="1"/>
    </xf>
    <xf numFmtId="0" fontId="122" fillId="0" borderId="59" xfId="4496" applyFont="1" applyBorder="1" applyAlignment="1">
      <alignment horizontal="left" wrapText="1"/>
    </xf>
    <xf numFmtId="0" fontId="120" fillId="0" borderId="53" xfId="4495" applyBorder="1" applyAlignment="1">
      <alignment horizontal="center"/>
    </xf>
    <xf numFmtId="0" fontId="25" fillId="5" borderId="0" xfId="4495" applyFont="1" applyFill="1" applyAlignment="1">
      <alignment horizontal="left" vertical="top"/>
    </xf>
    <xf numFmtId="0" fontId="24" fillId="0" borderId="4" xfId="4495" applyFont="1" applyBorder="1" applyAlignment="1">
      <alignment horizontal="left"/>
    </xf>
    <xf numFmtId="0" fontId="24" fillId="0" borderId="5" xfId="4495" applyFont="1" applyBorder="1" applyAlignment="1">
      <alignment horizontal="left"/>
    </xf>
    <xf numFmtId="1" fontId="24" fillId="0" borderId="11" xfId="4495" applyNumberFormat="1" applyFont="1" applyBorder="1" applyAlignment="1">
      <alignment horizontal="center"/>
    </xf>
    <xf numFmtId="0" fontId="24" fillId="0" borderId="3" xfId="4495" applyFont="1" applyBorder="1" applyAlignment="1">
      <alignment horizontal="center" wrapText="1"/>
    </xf>
    <xf numFmtId="0" fontId="24" fillId="0" borderId="4" xfId="4495" applyFont="1" applyBorder="1" applyAlignment="1">
      <alignment horizontal="center" wrapText="1"/>
    </xf>
    <xf numFmtId="0" fontId="24" fillId="0" borderId="5" xfId="4495" applyFont="1" applyBorder="1" applyAlignment="1">
      <alignment horizontal="center" wrapText="1"/>
    </xf>
    <xf numFmtId="0" fontId="17" fillId="0" borderId="4" xfId="4495" applyFont="1" applyBorder="1" applyAlignment="1">
      <alignment horizontal="left"/>
    </xf>
    <xf numFmtId="0" fontId="17" fillId="0" borderId="5" xfId="4495" applyFont="1" applyBorder="1" applyAlignment="1">
      <alignment horizontal="left"/>
    </xf>
    <xf numFmtId="1" fontId="17" fillId="0" borderId="11" xfId="4495" applyNumberFormat="1" applyFont="1" applyBorder="1" applyAlignment="1">
      <alignment horizontal="center"/>
    </xf>
    <xf numFmtId="0" fontId="17" fillId="0" borderId="11" xfId="4495" applyFont="1" applyBorder="1" applyAlignment="1">
      <alignment horizontal="center"/>
    </xf>
    <xf numFmtId="1" fontId="17" fillId="46" borderId="11" xfId="4495" applyNumberFormat="1" applyFont="1" applyFill="1" applyBorder="1" applyAlignment="1">
      <alignment horizontal="center"/>
    </xf>
    <xf numFmtId="0" fontId="24" fillId="0" borderId="3" xfId="4495" applyFont="1" applyBorder="1" applyAlignment="1">
      <alignment horizontal="center"/>
    </xf>
    <xf numFmtId="0" fontId="24" fillId="0" borderId="4" xfId="4495" applyFont="1" applyBorder="1" applyAlignment="1">
      <alignment horizontal="center"/>
    </xf>
    <xf numFmtId="0" fontId="24" fillId="0" borderId="5" xfId="4495" applyFont="1" applyBorder="1" applyAlignment="1">
      <alignment horizontal="center"/>
    </xf>
    <xf numFmtId="0" fontId="24" fillId="0" borderId="3" xfId="4495" applyFont="1" applyBorder="1" applyAlignment="1">
      <alignment horizontal="left"/>
    </xf>
    <xf numFmtId="0" fontId="17" fillId="5" borderId="11" xfId="4495" applyFont="1" applyFill="1" applyBorder="1" applyAlignment="1" applyProtection="1">
      <alignment horizontal="center"/>
      <protection locked="0"/>
    </xf>
    <xf numFmtId="164" fontId="64" fillId="0" borderId="1" xfId="4495" applyNumberFormat="1" applyFont="1" applyBorder="1" applyAlignment="1">
      <alignment horizontal="right" vertical="center"/>
    </xf>
    <xf numFmtId="164" fontId="64" fillId="0" borderId="2" xfId="4495" applyNumberFormat="1" applyFont="1" applyBorder="1" applyAlignment="1">
      <alignment horizontal="right" vertical="center"/>
    </xf>
    <xf numFmtId="164" fontId="64" fillId="0" borderId="7" xfId="4495" applyNumberFormat="1" applyFont="1" applyBorder="1" applyAlignment="1">
      <alignment horizontal="right" vertical="center"/>
    </xf>
    <xf numFmtId="164" fontId="64" fillId="0" borderId="9" xfId="4495" applyNumberFormat="1" applyFont="1" applyBorder="1" applyAlignment="1">
      <alignment horizontal="right" vertical="center"/>
    </xf>
    <xf numFmtId="164" fontId="64" fillId="0" borderId="6" xfId="4495" applyNumberFormat="1" applyFont="1" applyBorder="1" applyAlignment="1">
      <alignment horizontal="right" vertical="center"/>
    </xf>
    <xf numFmtId="164" fontId="64" fillId="0" borderId="10" xfId="4495" applyNumberFormat="1" applyFont="1" applyBorder="1" applyAlignment="1">
      <alignment horizontal="right" vertical="center"/>
    </xf>
    <xf numFmtId="180" fontId="64" fillId="0" borderId="1" xfId="4495" applyNumberFormat="1" applyFont="1" applyBorder="1" applyAlignment="1">
      <alignment horizontal="center" vertical="center"/>
    </xf>
    <xf numFmtId="180" fontId="64" fillId="0" borderId="2" xfId="4495" applyNumberFormat="1" applyFont="1" applyBorder="1" applyAlignment="1">
      <alignment horizontal="center" vertical="center"/>
    </xf>
    <xf numFmtId="180" fontId="64" fillId="0" borderId="7" xfId="4495" applyNumberFormat="1" applyFont="1" applyBorder="1" applyAlignment="1">
      <alignment horizontal="center" vertical="center"/>
    </xf>
    <xf numFmtId="180" fontId="64" fillId="0" borderId="9" xfId="4495" applyNumberFormat="1" applyFont="1" applyBorder="1" applyAlignment="1">
      <alignment horizontal="center" vertical="center"/>
    </xf>
    <xf numFmtId="180" fontId="64" fillId="0" borderId="6" xfId="4495" applyNumberFormat="1" applyFont="1" applyBorder="1" applyAlignment="1">
      <alignment horizontal="center" vertical="center"/>
    </xf>
    <xf numFmtId="180" fontId="64" fillId="0" borderId="10" xfId="4495" applyNumberFormat="1" applyFont="1" applyBorder="1" applyAlignment="1">
      <alignment horizontal="center" vertical="center"/>
    </xf>
    <xf numFmtId="1" fontId="24" fillId="0" borderId="4" xfId="4495" applyNumberFormat="1" applyFont="1" applyBorder="1" applyAlignment="1">
      <alignment horizontal="center" wrapText="1"/>
    </xf>
    <xf numFmtId="0" fontId="17" fillId="0" borderId="50" xfId="4496" applyFont="1" applyBorder="1" applyAlignment="1">
      <alignment horizontal="left" wrapText="1"/>
    </xf>
    <xf numFmtId="0" fontId="17" fillId="0" borderId="51" xfId="4496" applyFont="1" applyBorder="1" applyAlignment="1">
      <alignment horizontal="left" wrapText="1"/>
    </xf>
    <xf numFmtId="0" fontId="17" fillId="0" borderId="52" xfId="4496" applyFont="1" applyBorder="1" applyAlignment="1">
      <alignment horizontal="left" wrapText="1"/>
    </xf>
    <xf numFmtId="0" fontId="17" fillId="0" borderId="53" xfId="4496" applyFont="1" applyBorder="1" applyAlignment="1">
      <alignment horizontal="left" wrapText="1"/>
    </xf>
    <xf numFmtId="0" fontId="17" fillId="0" borderId="0" xfId="4496" applyFont="1" applyAlignment="1">
      <alignment horizontal="left" wrapText="1"/>
    </xf>
    <xf numFmtId="0" fontId="17" fillId="0" borderId="54" xfId="4496" applyFont="1" applyBorder="1" applyAlignment="1">
      <alignment horizontal="left" wrapText="1"/>
    </xf>
    <xf numFmtId="0" fontId="17" fillId="0" borderId="57" xfId="4496" applyFont="1" applyBorder="1" applyAlignment="1">
      <alignment horizontal="left" wrapText="1"/>
    </xf>
    <xf numFmtId="0" fontId="17" fillId="0" borderId="58" xfId="4496" applyFont="1" applyBorder="1" applyAlignment="1">
      <alignment horizontal="left" wrapText="1"/>
    </xf>
    <xf numFmtId="0" fontId="17" fillId="0" borderId="59" xfId="4496" applyFont="1" applyBorder="1" applyAlignment="1">
      <alignment horizontal="left" wrapText="1"/>
    </xf>
    <xf numFmtId="1" fontId="17" fillId="0" borderId="4" xfId="4496" applyNumberFormat="1" applyFont="1" applyBorder="1" applyAlignment="1">
      <alignment horizontal="center"/>
    </xf>
    <xf numFmtId="1" fontId="17" fillId="0" borderId="5" xfId="4496" applyNumberFormat="1" applyFont="1" applyBorder="1" applyAlignment="1">
      <alignment horizontal="center"/>
    </xf>
    <xf numFmtId="49" fontId="23" fillId="3" borderId="2" xfId="4495" applyNumberFormat="1" applyFont="1" applyFill="1" applyBorder="1" applyAlignment="1">
      <alignment horizontal="center" vertical="center" wrapText="1"/>
    </xf>
    <xf numFmtId="49" fontId="23" fillId="3" borderId="2" xfId="4495" applyNumberFormat="1" applyFont="1" applyFill="1" applyBorder="1" applyAlignment="1">
      <alignment horizontal="center" vertical="center"/>
    </xf>
    <xf numFmtId="49" fontId="23" fillId="3" borderId="0" xfId="4495" applyNumberFormat="1" applyFont="1" applyFill="1" applyAlignment="1">
      <alignment horizontal="center" vertical="center"/>
    </xf>
    <xf numFmtId="0" fontId="24" fillId="0" borderId="1" xfId="4495" applyFont="1" applyBorder="1" applyAlignment="1">
      <alignment horizontal="center" wrapText="1"/>
    </xf>
    <xf numFmtId="0" fontId="24" fillId="0" borderId="2" xfId="4495" applyFont="1" applyBorder="1" applyAlignment="1">
      <alignment horizontal="center" wrapText="1"/>
    </xf>
    <xf numFmtId="0" fontId="24" fillId="0" borderId="7" xfId="4495" applyFont="1" applyBorder="1" applyAlignment="1">
      <alignment horizontal="center" wrapText="1"/>
    </xf>
    <xf numFmtId="0" fontId="24" fillId="0" borderId="9" xfId="4495" applyFont="1" applyBorder="1" applyAlignment="1">
      <alignment horizontal="center" wrapText="1"/>
    </xf>
    <xf numFmtId="0" fontId="24" fillId="0" borderId="6" xfId="4495" applyFont="1" applyBorder="1" applyAlignment="1">
      <alignment horizontal="center" wrapText="1"/>
    </xf>
    <xf numFmtId="0" fontId="24" fillId="0" borderId="10" xfId="4495" applyFont="1" applyBorder="1" applyAlignment="1">
      <alignment horizontal="center" wrapText="1"/>
    </xf>
    <xf numFmtId="0" fontId="24" fillId="0" borderId="0" xfId="4495" applyFont="1" applyAlignment="1">
      <alignment horizontal="center" vertical="top"/>
    </xf>
    <xf numFmtId="0" fontId="120" fillId="5" borderId="53" xfId="4495" applyFill="1" applyBorder="1" applyAlignment="1">
      <alignment horizontal="center"/>
    </xf>
    <xf numFmtId="0" fontId="120" fillId="5" borderId="0" xfId="4495" applyFill="1" applyAlignment="1">
      <alignment horizontal="center"/>
    </xf>
    <xf numFmtId="0" fontId="120" fillId="5" borderId="55" xfId="4495" applyFill="1" applyBorder="1" applyAlignment="1">
      <alignment horizontal="center"/>
    </xf>
    <xf numFmtId="0" fontId="120" fillId="5" borderId="6" xfId="4495" applyFill="1" applyBorder="1" applyAlignment="1">
      <alignment horizontal="center"/>
    </xf>
    <xf numFmtId="0" fontId="25" fillId="5" borderId="0" xfId="4495" applyFont="1" applyFill="1" applyAlignment="1">
      <alignment horizontal="left" vertical="top" wrapText="1"/>
    </xf>
    <xf numFmtId="0" fontId="25" fillId="5" borderId="58" xfId="4495" applyFont="1" applyFill="1" applyBorder="1" applyAlignment="1">
      <alignment horizontal="left" vertical="top" wrapText="1"/>
    </xf>
    <xf numFmtId="0" fontId="53" fillId="0" borderId="51" xfId="4495" applyFont="1" applyBorder="1" applyAlignment="1">
      <alignment horizontal="left" wrapText="1"/>
    </xf>
    <xf numFmtId="0" fontId="53" fillId="0" borderId="0" xfId="4495" applyFont="1" applyAlignment="1">
      <alignment horizontal="left" wrapText="1"/>
    </xf>
    <xf numFmtId="0" fontId="24" fillId="0" borderId="54" xfId="4495" applyFont="1" applyBorder="1" applyAlignment="1">
      <alignment horizontal="center" vertical="top"/>
    </xf>
    <xf numFmtId="0" fontId="130" fillId="0" borderId="0" xfId="4495" applyFont="1" applyAlignment="1">
      <alignment horizontal="left" vertical="center" wrapText="1"/>
    </xf>
    <xf numFmtId="0" fontId="24" fillId="0" borderId="0" xfId="4495" applyFont="1" applyAlignment="1">
      <alignment horizontal="left" vertical="top" wrapText="1"/>
    </xf>
    <xf numFmtId="0" fontId="17" fillId="0" borderId="0" xfId="4495" applyFont="1" applyAlignment="1">
      <alignment horizontal="left" vertical="top" wrapText="1" shrinkToFit="1"/>
    </xf>
    <xf numFmtId="44" fontId="17" fillId="0" borderId="0" xfId="707" applyFont="1" applyFill="1" applyBorder="1" applyAlignment="1" applyProtection="1">
      <alignment horizontal="left" vertical="top" wrapText="1"/>
    </xf>
    <xf numFmtId="0" fontId="17" fillId="0" borderId="0" xfId="4495" applyFont="1" applyAlignment="1">
      <alignment horizontal="left" vertical="center" wrapText="1" shrinkToFit="1"/>
    </xf>
    <xf numFmtId="0" fontId="17" fillId="5" borderId="6" xfId="4495" applyFont="1" applyFill="1" applyBorder="1" applyAlignment="1" applyProtection="1">
      <alignment horizontal="left" wrapText="1" shrinkToFit="1"/>
      <protection locked="0"/>
    </xf>
    <xf numFmtId="0" fontId="17"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7" fillId="0" borderId="50" xfId="4495" applyFont="1" applyBorder="1" applyAlignment="1">
      <alignment horizontal="left" vertical="center" wrapText="1"/>
    </xf>
    <xf numFmtId="0" fontId="17" fillId="0" borderId="51" xfId="4495" applyFont="1" applyBorder="1" applyAlignment="1">
      <alignment horizontal="left" vertical="center" wrapText="1"/>
    </xf>
    <xf numFmtId="0" fontId="17" fillId="0" borderId="52" xfId="4495" applyFont="1" applyBorder="1" applyAlignment="1">
      <alignment horizontal="left" vertical="center" wrapText="1"/>
    </xf>
    <xf numFmtId="0" fontId="17" fillId="0" borderId="53" xfId="4495" applyFont="1" applyBorder="1" applyAlignment="1">
      <alignment horizontal="left" vertical="center" wrapText="1"/>
    </xf>
    <xf numFmtId="0" fontId="17" fillId="0" borderId="0" xfId="4495" applyFont="1" applyAlignment="1">
      <alignment horizontal="left" vertical="center" wrapText="1"/>
    </xf>
    <xf numFmtId="0" fontId="17" fillId="0" borderId="54" xfId="4495" applyFont="1" applyBorder="1" applyAlignment="1">
      <alignment horizontal="left" vertical="center" wrapText="1"/>
    </xf>
    <xf numFmtId="0" fontId="17" fillId="43" borderId="53" xfId="4495" applyFont="1" applyFill="1" applyBorder="1" applyAlignment="1" applyProtection="1">
      <alignment vertical="top" wrapText="1"/>
      <protection locked="0"/>
    </xf>
    <xf numFmtId="0" fontId="17" fillId="43" borderId="0" xfId="4495" applyFont="1" applyFill="1" applyAlignment="1" applyProtection="1">
      <alignment vertical="top" wrapText="1"/>
      <protection locked="0"/>
    </xf>
    <xf numFmtId="0" fontId="17" fillId="43" borderId="54" xfId="4495" applyFont="1" applyFill="1" applyBorder="1" applyAlignment="1" applyProtection="1">
      <alignment vertical="top" wrapText="1"/>
      <protection locked="0"/>
    </xf>
    <xf numFmtId="0" fontId="17" fillId="43" borderId="55" xfId="4495" applyFont="1" applyFill="1" applyBorder="1" applyAlignment="1" applyProtection="1">
      <alignment vertical="top" wrapText="1"/>
      <protection locked="0"/>
    </xf>
    <xf numFmtId="0" fontId="17" fillId="43" borderId="6" xfId="4495" applyFont="1" applyFill="1" applyBorder="1" applyAlignment="1" applyProtection="1">
      <alignment vertical="top" wrapText="1"/>
      <protection locked="0"/>
    </xf>
    <xf numFmtId="0" fontId="17" fillId="43" borderId="56" xfId="4495" applyFont="1" applyFill="1" applyBorder="1" applyAlignment="1" applyProtection="1">
      <alignment vertical="top" wrapText="1"/>
      <protection locked="0"/>
    </xf>
    <xf numFmtId="0" fontId="17" fillId="43" borderId="0" xfId="4495" applyFont="1" applyFill="1" applyAlignment="1" applyProtection="1">
      <alignment horizontal="left" vertical="center" wrapText="1"/>
      <protection locked="0"/>
    </xf>
    <xf numFmtId="0" fontId="17" fillId="43" borderId="54" xfId="4495" applyFont="1" applyFill="1" applyBorder="1" applyAlignment="1" applyProtection="1">
      <alignment horizontal="left" vertical="center" wrapText="1"/>
      <protection locked="0"/>
    </xf>
    <xf numFmtId="0" fontId="17" fillId="43" borderId="6" xfId="4495" applyFont="1" applyFill="1" applyBorder="1" applyAlignment="1" applyProtection="1">
      <alignment horizontal="left" vertical="center" wrapText="1"/>
      <protection locked="0"/>
    </xf>
    <xf numFmtId="0" fontId="17" fillId="43" borderId="56" xfId="4495" applyFont="1" applyFill="1" applyBorder="1" applyAlignment="1" applyProtection="1">
      <alignment horizontal="left" vertical="center" wrapText="1"/>
      <protection locked="0"/>
    </xf>
    <xf numFmtId="0" fontId="120" fillId="5" borderId="62" xfId="4495" applyFill="1" applyBorder="1" applyAlignment="1" applyProtection="1">
      <alignment horizontal="center"/>
      <protection locked="0"/>
    </xf>
    <xf numFmtId="0" fontId="120" fillId="5" borderId="63" xfId="4495" applyFill="1" applyBorder="1" applyAlignment="1" applyProtection="1">
      <alignment horizontal="center"/>
      <protection locked="0"/>
    </xf>
    <xf numFmtId="0" fontId="17" fillId="0" borderId="59" xfId="4495" applyFont="1" applyBorder="1" applyAlignment="1">
      <alignment horizontal="left" vertical="top" wrapText="1"/>
    </xf>
    <xf numFmtId="0" fontId="17" fillId="0" borderId="4" xfId="4496" applyFont="1" applyBorder="1" applyAlignment="1">
      <alignment horizontal="center"/>
    </xf>
    <xf numFmtId="0" fontId="17" fillId="0" borderId="5" xfId="4496" applyFont="1" applyBorder="1" applyAlignment="1">
      <alignment horizontal="center"/>
    </xf>
    <xf numFmtId="0" fontId="17" fillId="0" borderId="50" xfId="4495" applyFont="1" applyBorder="1" applyAlignment="1">
      <alignment horizontal="left" vertical="top" wrapText="1"/>
    </xf>
    <xf numFmtId="0" fontId="17" fillId="0" borderId="51" xfId="4495" applyFont="1" applyBorder="1" applyAlignment="1">
      <alignment horizontal="left" vertical="top" wrapText="1"/>
    </xf>
    <xf numFmtId="0" fontId="17" fillId="0" borderId="52" xfId="4495" applyFont="1" applyBorder="1" applyAlignment="1">
      <alignment horizontal="left" vertical="top" wrapText="1"/>
    </xf>
    <xf numFmtId="0" fontId="24" fillId="0" borderId="0" xfId="4495" applyFont="1"/>
    <xf numFmtId="0" fontId="17" fillId="0" borderId="57" xfId="4495" applyFont="1" applyBorder="1" applyAlignment="1">
      <alignment horizontal="left" vertical="center" wrapText="1"/>
    </xf>
    <xf numFmtId="0" fontId="17" fillId="0" borderId="58" xfId="4495" applyFont="1" applyBorder="1" applyAlignment="1">
      <alignment horizontal="left" vertical="center" wrapText="1"/>
    </xf>
    <xf numFmtId="0" fontId="17" fillId="0" borderId="59" xfId="4495" applyFont="1" applyBorder="1" applyAlignment="1">
      <alignment horizontal="left" vertical="center" wrapText="1"/>
    </xf>
    <xf numFmtId="0" fontId="24" fillId="0" borderId="0" xfId="4495" applyFont="1" applyAlignment="1">
      <alignment horizontal="left" vertical="top"/>
    </xf>
    <xf numFmtId="0" fontId="120" fillId="0" borderId="0" xfId="4495" applyAlignment="1" applyProtection="1">
      <alignment horizontal="center"/>
      <protection locked="0"/>
    </xf>
    <xf numFmtId="9" fontId="17" fillId="0" borderId="4" xfId="543" applyNumberFormat="1" applyBorder="1" applyAlignment="1">
      <alignment horizontal="center"/>
    </xf>
    <xf numFmtId="168" fontId="17" fillId="0" borderId="6" xfId="4495" applyNumberFormat="1" applyFont="1" applyBorder="1" applyAlignment="1">
      <alignment horizontal="right"/>
    </xf>
    <xf numFmtId="168" fontId="118" fillId="0" borderId="6" xfId="4495" applyNumberFormat="1" applyFont="1" applyBorder="1" applyAlignment="1">
      <alignment horizontal="right"/>
    </xf>
    <xf numFmtId="168" fontId="17" fillId="43" borderId="6" xfId="4495" applyNumberFormat="1" applyFont="1" applyFill="1" applyBorder="1" applyAlignment="1" applyProtection="1">
      <alignment horizontal="right"/>
      <protection locked="0"/>
    </xf>
    <xf numFmtId="6" fontId="17" fillId="0" borderId="3" xfId="1192" applyNumberFormat="1" applyBorder="1" applyAlignment="1">
      <alignment horizontal="right"/>
    </xf>
    <xf numFmtId="6" fontId="17" fillId="0" borderId="4" xfId="1192" applyNumberFormat="1" applyBorder="1" applyAlignment="1">
      <alignment horizontal="right"/>
    </xf>
    <xf numFmtId="6" fontId="17" fillId="0" borderId="5" xfId="1192" applyNumberFormat="1" applyBorder="1" applyAlignment="1">
      <alignment horizontal="right"/>
    </xf>
    <xf numFmtId="168" fontId="17" fillId="0" borderId="4" xfId="4495" applyNumberFormat="1" applyFont="1" applyBorder="1" applyAlignment="1">
      <alignment horizontal="right"/>
    </xf>
    <xf numFmtId="165" fontId="17" fillId="43" borderId="3" xfId="4495" applyNumberFormat="1" applyFont="1" applyFill="1" applyBorder="1" applyAlignment="1" applyProtection="1">
      <alignment horizontal="center"/>
      <protection locked="0"/>
    </xf>
    <xf numFmtId="165" fontId="17" fillId="43" borderId="4" xfId="4495" applyNumberFormat="1" applyFont="1" applyFill="1" applyBorder="1" applyAlignment="1" applyProtection="1">
      <alignment horizontal="center"/>
      <protection locked="0"/>
    </xf>
    <xf numFmtId="165" fontId="17" fillId="43" borderId="5" xfId="4495" applyNumberFormat="1" applyFont="1" applyFill="1" applyBorder="1" applyAlignment="1" applyProtection="1">
      <alignment horizontal="center"/>
      <protection locked="0"/>
    </xf>
    <xf numFmtId="165" fontId="17" fillId="0" borderId="6" xfId="1192" applyNumberFormat="1" applyBorder="1" applyAlignment="1">
      <alignment horizontal="right"/>
    </xf>
    <xf numFmtId="168" fontId="17" fillId="0" borderId="2" xfId="1192" applyNumberFormat="1" applyBorder="1" applyAlignment="1">
      <alignment horizontal="right"/>
    </xf>
    <xf numFmtId="0" fontId="17" fillId="5" borderId="6" xfId="1192" applyFill="1" applyBorder="1" applyAlignment="1" applyProtection="1">
      <alignment horizontal="left"/>
      <protection locked="0"/>
    </xf>
    <xf numFmtId="165" fontId="17" fillId="0" borderId="0" xfId="1192" applyNumberFormat="1" applyAlignment="1">
      <alignment horizontal="right"/>
    </xf>
    <xf numFmtId="2" fontId="17" fillId="0" borderId="0" xfId="1192" applyNumberFormat="1" applyAlignment="1">
      <alignment horizontal="right"/>
    </xf>
    <xf numFmtId="1" fontId="17" fillId="0" borderId="3" xfId="4495" applyNumberFormat="1" applyFont="1" applyBorder="1" applyAlignment="1">
      <alignment horizontal="center"/>
    </xf>
    <xf numFmtId="1" fontId="17" fillId="0" borderId="4" xfId="4495" applyNumberFormat="1" applyFont="1" applyBorder="1" applyAlignment="1">
      <alignment horizontal="center"/>
    </xf>
    <xf numFmtId="1" fontId="17" fillId="0" borderId="5" xfId="4495" applyNumberFormat="1" applyFont="1" applyBorder="1" applyAlignment="1">
      <alignment horizontal="center"/>
    </xf>
    <xf numFmtId="0" fontId="25" fillId="5" borderId="6" xfId="4495" applyFont="1" applyFill="1" applyBorder="1" applyAlignment="1" applyProtection="1">
      <alignment horizontal="left"/>
      <protection locked="0"/>
    </xf>
    <xf numFmtId="0" fontId="17" fillId="5" borderId="6" xfId="4495" applyFont="1" applyFill="1" applyBorder="1" applyAlignment="1" applyProtection="1">
      <alignment horizontal="left"/>
      <protection locked="0"/>
    </xf>
    <xf numFmtId="0" fontId="53" fillId="5" borderId="6" xfId="4495" applyFont="1" applyFill="1" applyBorder="1" applyAlignment="1" applyProtection="1">
      <alignment horizontal="left"/>
      <protection locked="0"/>
    </xf>
    <xf numFmtId="0" fontId="17" fillId="44" borderId="6" xfId="4495" applyFont="1" applyFill="1" applyBorder="1" applyAlignment="1">
      <alignment horizontal="left"/>
    </xf>
    <xf numFmtId="0" fontId="17" fillId="0" borderId="0" xfId="1192" applyAlignment="1">
      <alignment horizontal="right"/>
    </xf>
    <xf numFmtId="9" fontId="17" fillId="0" borderId="6" xfId="1192" applyNumberFormat="1" applyBorder="1" applyAlignment="1">
      <alignment horizontal="center"/>
    </xf>
    <xf numFmtId="9" fontId="17" fillId="0" borderId="6" xfId="1192" quotePrefix="1" applyNumberFormat="1" applyBorder="1" applyAlignment="1">
      <alignment horizontal="center"/>
    </xf>
    <xf numFmtId="9" fontId="17" fillId="0" borderId="0" xfId="1192" quotePrefix="1" applyNumberFormat="1" applyAlignment="1">
      <alignment horizontal="center"/>
    </xf>
    <xf numFmtId="1" fontId="17" fillId="5" borderId="4" xfId="1192" applyNumberFormat="1" applyFill="1" applyBorder="1" applyAlignment="1" applyProtection="1">
      <alignment horizontal="center"/>
      <protection locked="0"/>
    </xf>
    <xf numFmtId="0" fontId="17" fillId="0" borderId="6" xfId="1192" applyBorder="1" applyAlignment="1">
      <alignment horizontal="left"/>
    </xf>
    <xf numFmtId="1" fontId="122" fillId="0" borderId="55" xfId="4496" applyNumberFormat="1" applyFont="1" applyBorder="1" applyAlignment="1">
      <alignment horizontal="center" vertical="top" wrapText="1"/>
    </xf>
    <xf numFmtId="1" fontId="122" fillId="0" borderId="6" xfId="4496" applyNumberFormat="1" applyFont="1" applyBorder="1" applyAlignment="1">
      <alignment horizontal="center" vertical="top" wrapText="1"/>
    </xf>
    <xf numFmtId="165" fontId="122" fillId="0" borderId="55" xfId="4496" applyNumberFormat="1" applyFont="1" applyBorder="1" applyAlignment="1">
      <alignment horizontal="center" vertical="top" wrapText="1"/>
    </xf>
    <xf numFmtId="165" fontId="122" fillId="0" borderId="6" xfId="4496" applyNumberFormat="1" applyFont="1" applyBorder="1" applyAlignment="1">
      <alignment horizontal="center" vertical="top" wrapText="1"/>
    </xf>
    <xf numFmtId="168" fontId="122" fillId="43" borderId="55" xfId="4496" applyNumberFormat="1" applyFont="1" applyFill="1" applyBorder="1" applyAlignment="1" applyProtection="1">
      <alignment horizontal="center" vertical="top" wrapText="1"/>
      <protection locked="0"/>
    </xf>
    <xf numFmtId="168" fontId="122" fillId="43" borderId="6" xfId="4496" applyNumberFormat="1" applyFont="1" applyFill="1" applyBorder="1" applyAlignment="1" applyProtection="1">
      <alignment horizontal="center" vertical="top" wrapText="1"/>
      <protection locked="0"/>
    </xf>
    <xf numFmtId="0" fontId="122" fillId="0" borderId="50" xfId="4496" applyFont="1" applyBorder="1" applyAlignment="1">
      <alignment horizontal="left" vertical="top" wrapText="1"/>
    </xf>
    <xf numFmtId="0" fontId="122" fillId="0" borderId="51" xfId="4496" applyFont="1" applyBorder="1" applyAlignment="1">
      <alignment horizontal="left" vertical="top" wrapText="1"/>
    </xf>
    <xf numFmtId="0" fontId="122" fillId="0" borderId="52" xfId="4496" applyFont="1" applyBorder="1" applyAlignment="1">
      <alignment horizontal="left" vertical="top" wrapText="1"/>
    </xf>
    <xf numFmtId="0" fontId="122" fillId="0" borderId="53" xfId="4496" applyFont="1" applyBorder="1" applyAlignment="1">
      <alignment horizontal="left" vertical="top" wrapText="1"/>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168" fontId="122" fillId="0" borderId="55" xfId="4496" applyNumberFormat="1" applyFont="1" applyBorder="1" applyAlignment="1">
      <alignment horizontal="center" vertical="top"/>
    </xf>
    <xf numFmtId="168" fontId="122" fillId="0" borderId="6" xfId="4496" applyNumberFormat="1" applyFont="1" applyBorder="1" applyAlignment="1">
      <alignment horizontal="center" vertical="top"/>
    </xf>
    <xf numFmtId="0" fontId="122" fillId="5" borderId="6" xfId="4496" applyFont="1" applyFill="1" applyBorder="1" applyAlignment="1" applyProtection="1">
      <alignment horizontal="center"/>
      <protection locked="0"/>
    </xf>
    <xf numFmtId="10" fontId="122" fillId="0" borderId="3" xfId="4496" applyNumberFormat="1" applyFont="1" applyBorder="1" applyAlignment="1">
      <alignment horizontal="center" vertical="top" wrapText="1"/>
    </xf>
    <xf numFmtId="10" fontId="122" fillId="0" borderId="4" xfId="4496" applyNumberFormat="1" applyFont="1" applyBorder="1" applyAlignment="1">
      <alignment horizontal="center" vertical="top" wrapText="1"/>
    </xf>
    <xf numFmtId="10" fontId="122" fillId="0" borderId="5" xfId="4496" applyNumberFormat="1" applyFont="1" applyBorder="1" applyAlignment="1">
      <alignment horizontal="center" vertical="top" wrapText="1"/>
    </xf>
    <xf numFmtId="0" fontId="122" fillId="0" borderId="55" xfId="4496" applyFont="1" applyBorder="1" applyAlignment="1">
      <alignment horizontal="center" vertical="top" wrapText="1"/>
    </xf>
    <xf numFmtId="0" fontId="122" fillId="0" borderId="6" xfId="4496" applyFont="1" applyBorder="1" applyAlignment="1">
      <alignment horizontal="center" vertical="top" wrapText="1"/>
    </xf>
    <xf numFmtId="0" fontId="23" fillId="3" borderId="2" xfId="4495" applyFont="1" applyFill="1" applyBorder="1" applyAlignment="1">
      <alignment horizontal="center" vertical="center"/>
    </xf>
    <xf numFmtId="0" fontId="23" fillId="3" borderId="16" xfId="4495" applyFont="1" applyFill="1" applyBorder="1" applyAlignment="1">
      <alignment horizontal="center" vertical="center"/>
    </xf>
    <xf numFmtId="0" fontId="24" fillId="0" borderId="48" xfId="4495" applyFont="1" applyBorder="1" applyAlignment="1">
      <alignment horizontal="left" vertical="top"/>
    </xf>
    <xf numFmtId="0" fontId="24" fillId="0" borderId="49" xfId="4495" applyFont="1" applyBorder="1" applyAlignment="1">
      <alignment horizontal="left" vertical="top"/>
    </xf>
    <xf numFmtId="0" fontId="17" fillId="0" borderId="50" xfId="4495" applyFont="1" applyBorder="1" applyAlignment="1">
      <alignment vertical="center" wrapText="1"/>
    </xf>
    <xf numFmtId="0" fontId="17" fillId="0" borderId="51" xfId="4495" applyFont="1" applyBorder="1" applyAlignment="1">
      <alignment vertical="center" wrapText="1"/>
    </xf>
    <xf numFmtId="0" fontId="17" fillId="0" borderId="52" xfId="4495" applyFont="1" applyBorder="1" applyAlignment="1">
      <alignment vertical="center" wrapText="1"/>
    </xf>
    <xf numFmtId="0" fontId="17" fillId="0" borderId="57" xfId="4495" applyFont="1" applyBorder="1" applyAlignment="1">
      <alignment vertical="center" wrapText="1"/>
    </xf>
    <xf numFmtId="0" fontId="17" fillId="0" borderId="58" xfId="4495" applyFont="1" applyBorder="1" applyAlignment="1">
      <alignment vertical="center" wrapText="1"/>
    </xf>
    <xf numFmtId="0" fontId="17" fillId="0" borderId="59" xfId="4495" applyFont="1" applyBorder="1" applyAlignment="1">
      <alignment vertical="center" wrapText="1"/>
    </xf>
    <xf numFmtId="0" fontId="122" fillId="43" borderId="55" xfId="4496" applyFont="1" applyFill="1" applyBorder="1" applyAlignment="1" applyProtection="1">
      <alignment horizontal="left" vertical="top" wrapText="1"/>
      <protection locked="0"/>
    </xf>
    <xf numFmtId="0" fontId="122" fillId="43" borderId="6" xfId="4496" applyFont="1" applyFill="1" applyBorder="1" applyAlignment="1" applyProtection="1">
      <alignment horizontal="left" vertical="top" wrapText="1"/>
      <protection locked="0"/>
    </xf>
    <xf numFmtId="0" fontId="122" fillId="43" borderId="56" xfId="4496" applyFont="1" applyFill="1" applyBorder="1" applyAlignment="1" applyProtection="1">
      <alignment horizontal="left" vertical="top" wrapText="1"/>
      <protection locked="0"/>
    </xf>
    <xf numFmtId="165" fontId="122" fillId="0" borderId="60" xfId="4496" applyNumberFormat="1" applyFont="1" applyBorder="1" applyAlignment="1">
      <alignment horizontal="center" vertical="top" wrapText="1"/>
    </xf>
    <xf numFmtId="0" fontId="122" fillId="5" borderId="60" xfId="4496" applyFont="1" applyFill="1" applyBorder="1" applyAlignment="1" applyProtection="1">
      <alignment horizontal="center"/>
      <protection locked="0"/>
    </xf>
    <xf numFmtId="0" fontId="122" fillId="5" borderId="4" xfId="4496" applyFont="1" applyFill="1" applyBorder="1" applyAlignment="1" applyProtection="1">
      <alignment horizontal="center"/>
      <protection locked="0"/>
    </xf>
    <xf numFmtId="0" fontId="122" fillId="0" borderId="57" xfId="4496" applyFont="1" applyBorder="1" applyAlignment="1">
      <alignment horizontal="left" vertical="top" wrapText="1"/>
    </xf>
    <xf numFmtId="0" fontId="122" fillId="0" borderId="58" xfId="4496" applyFont="1" applyBorder="1" applyAlignment="1">
      <alignment horizontal="left" vertical="top" wrapText="1"/>
    </xf>
    <xf numFmtId="0" fontId="122" fillId="0" borderId="59" xfId="4496" applyFont="1" applyBorder="1" applyAlignment="1">
      <alignment horizontal="left" vertical="top" wrapText="1"/>
    </xf>
    <xf numFmtId="0" fontId="122" fillId="5" borderId="55" xfId="4496" applyFont="1" applyFill="1" applyBorder="1" applyAlignment="1" applyProtection="1">
      <alignment horizontal="center"/>
      <protection locked="0"/>
    </xf>
    <xf numFmtId="0" fontId="122" fillId="0" borderId="47" xfId="4496" applyFont="1" applyBorder="1"/>
    <xf numFmtId="0" fontId="122" fillId="0" borderId="48" xfId="4496" applyFont="1" applyBorder="1"/>
    <xf numFmtId="0" fontId="122" fillId="0" borderId="49" xfId="4496" applyFont="1" applyBorder="1"/>
    <xf numFmtId="0" fontId="17" fillId="0" borderId="47" xfId="4495" applyFont="1" applyBorder="1" applyAlignment="1">
      <alignment horizontal="left" vertical="center" wrapText="1"/>
    </xf>
    <xf numFmtId="0" fontId="17" fillId="0" borderId="48" xfId="4495" applyFont="1" applyBorder="1" applyAlignment="1">
      <alignment horizontal="left" vertical="center" wrapText="1"/>
    </xf>
    <xf numFmtId="0" fontId="17" fillId="0" borderId="49" xfId="4495" applyFont="1" applyBorder="1" applyAlignment="1">
      <alignment horizontal="left" vertical="center" wrapText="1"/>
    </xf>
    <xf numFmtId="0" fontId="98" fillId="0" borderId="3" xfId="4496" applyFont="1" applyBorder="1" applyAlignment="1">
      <alignment horizontal="left" indent="2"/>
    </xf>
    <xf numFmtId="0" fontId="98" fillId="0" borderId="4" xfId="4496" applyFont="1" applyBorder="1" applyAlignment="1">
      <alignment horizontal="left" indent="2"/>
    </xf>
    <xf numFmtId="0" fontId="98"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8" fillId="0" borderId="0" xfId="4496" applyFont="1" applyAlignment="1">
      <alignment wrapText="1"/>
    </xf>
    <xf numFmtId="49" fontId="98" fillId="45" borderId="15" xfId="4496" applyNumberFormat="1" applyFont="1" applyFill="1" applyBorder="1" applyAlignment="1">
      <alignment horizontal="center" vertical="center" wrapText="1"/>
    </xf>
    <xf numFmtId="49" fontId="98"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8" fillId="0" borderId="0" xfId="4496" applyFont="1" applyAlignment="1">
      <alignment horizontal="left" wrapText="1"/>
    </xf>
    <xf numFmtId="0" fontId="98" fillId="0" borderId="0" xfId="4496" applyFont="1" applyAlignment="1">
      <alignment horizontal="center" vertical="center" wrapText="1"/>
    </xf>
    <xf numFmtId="0" fontId="98" fillId="43" borderId="0" xfId="4496" applyFont="1" applyFill="1" applyAlignment="1" applyProtection="1">
      <alignment horizontal="left" vertical="top" wrapText="1"/>
      <protection locked="0"/>
    </xf>
    <xf numFmtId="0" fontId="98" fillId="43" borderId="6" xfId="4496" applyFont="1" applyFill="1" applyBorder="1" applyAlignment="1" applyProtection="1">
      <alignment horizontal="left" vertical="top" wrapText="1"/>
      <protection locked="0"/>
    </xf>
    <xf numFmtId="168" fontId="98" fillId="0" borderId="13" xfId="4499" applyNumberFormat="1" applyFont="1" applyFill="1" applyBorder="1" applyAlignment="1" applyProtection="1">
      <alignment horizontal="left" vertical="center" indent="1"/>
    </xf>
    <xf numFmtId="168" fontId="98" fillId="0" borderId="11" xfId="4499" applyNumberFormat="1" applyFont="1" applyFill="1" applyBorder="1" applyAlignment="1" applyProtection="1">
      <alignment horizontal="left" vertical="center" indent="1"/>
    </xf>
    <xf numFmtId="0" fontId="98" fillId="0" borderId="3" xfId="4496" applyFont="1" applyBorder="1" applyAlignment="1">
      <alignment horizontal="left" indent="1"/>
    </xf>
    <xf numFmtId="0" fontId="98" fillId="0" borderId="4" xfId="4496" applyFont="1" applyBorder="1" applyAlignment="1">
      <alignment horizontal="left" indent="1"/>
    </xf>
    <xf numFmtId="0" fontId="98" fillId="0" borderId="5" xfId="4496" applyFont="1" applyBorder="1" applyAlignment="1">
      <alignment horizontal="left" indent="1"/>
    </xf>
    <xf numFmtId="0" fontId="98" fillId="0" borderId="67" xfId="4496" applyFont="1" applyBorder="1" applyAlignment="1">
      <alignment horizontal="right"/>
    </xf>
    <xf numFmtId="0" fontId="98" fillId="0" borderId="68" xfId="4496" applyFont="1" applyBorder="1" applyAlignment="1">
      <alignment horizontal="right"/>
    </xf>
    <xf numFmtId="0" fontId="98" fillId="0" borderId="0" xfId="4496" applyFont="1" applyAlignment="1">
      <alignment horizontal="left" wrapText="1" indent="1"/>
    </xf>
    <xf numFmtId="49" fontId="136" fillId="3" borderId="0" xfId="1192" applyNumberFormat="1" applyFont="1" applyFill="1" applyAlignment="1">
      <alignment horizontal="center" vertical="center"/>
    </xf>
    <xf numFmtId="0" fontId="98" fillId="0" borderId="11" xfId="4496" applyFont="1" applyBorder="1" applyAlignment="1">
      <alignment horizontal="left" indent="1"/>
    </xf>
    <xf numFmtId="0" fontId="98"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0" fontId="137" fillId="0" borderId="68" xfId="4496" applyFont="1" applyBorder="1" applyAlignment="1">
      <alignment horizontal="left" indent="1"/>
    </xf>
    <xf numFmtId="168" fontId="98" fillId="0" borderId="70" xfId="4499" applyNumberFormat="1" applyFont="1" applyFill="1" applyBorder="1" applyAlignment="1" applyProtection="1">
      <alignment horizontal="left" vertical="center" indent="1"/>
    </xf>
    <xf numFmtId="0" fontId="98" fillId="0" borderId="72" xfId="4496" applyFont="1" applyBorder="1" applyAlignment="1">
      <alignment horizontal="right"/>
    </xf>
    <xf numFmtId="0" fontId="98" fillId="0" borderId="11" xfId="4496" applyFont="1" applyBorder="1" applyAlignment="1">
      <alignment horizontal="right"/>
    </xf>
    <xf numFmtId="0" fontId="98" fillId="0" borderId="69" xfId="4496" applyFont="1" applyBorder="1" applyAlignment="1">
      <alignment horizontal="right"/>
    </xf>
    <xf numFmtId="0" fontId="98" fillId="0" borderId="70" xfId="4496" applyFont="1" applyBorder="1" applyAlignment="1">
      <alignment horizontal="right"/>
    </xf>
    <xf numFmtId="0" fontId="98" fillId="0" borderId="11" xfId="4496" applyFont="1" applyBorder="1"/>
    <xf numFmtId="0" fontId="98" fillId="0" borderId="76" xfId="4496" applyFont="1" applyBorder="1"/>
    <xf numFmtId="0" fontId="98" fillId="0" borderId="70" xfId="4496" applyFont="1" applyBorder="1"/>
    <xf numFmtId="0" fontId="98" fillId="0" borderId="77" xfId="4496" applyFont="1" applyBorder="1"/>
    <xf numFmtId="0" fontId="98" fillId="0" borderId="68" xfId="4496" applyFont="1" applyBorder="1"/>
    <xf numFmtId="0" fontId="98" fillId="0" borderId="71" xfId="4496" applyFont="1" applyBorder="1"/>
    <xf numFmtId="0" fontId="22" fillId="0" borderId="6" xfId="271" applyFont="1" applyBorder="1" applyAlignment="1">
      <alignment horizontal="center"/>
    </xf>
    <xf numFmtId="0" fontId="22" fillId="0" borderId="0" xfId="0" applyFont="1" applyAlignment="1" applyProtection="1">
      <alignment wrapText="1"/>
      <protection locked="0"/>
    </xf>
    <xf numFmtId="3" fontId="17" fillId="0" borderId="0" xfId="0" applyNumberFormat="1" applyFont="1" applyAlignment="1">
      <alignment horizontal="left" vertical="top" wrapText="1"/>
    </xf>
    <xf numFmtId="3" fontId="26" fillId="0" borderId="0" xfId="0" applyNumberFormat="1" applyFont="1" applyAlignment="1">
      <alignment horizontal="left" vertical="top" wrapText="1"/>
    </xf>
    <xf numFmtId="0" fontId="17" fillId="43" borderId="0" xfId="0" applyFont="1" applyFill="1" applyAlignment="1">
      <alignment horizontal="left"/>
    </xf>
  </cellXfs>
  <cellStyles count="26464">
    <cellStyle name="20% - Accent1" xfId="1" builtinId="30" customBuiltin="1"/>
    <cellStyle name="20% - Accent1 10" xfId="4504" xr:uid="{00000000-0005-0000-0000-000001000000}"/>
    <cellStyle name="20% - Accent1 10 2" xfId="22234" xr:uid="{BA9FA20C-5062-418D-97A0-422E3CE5904A}"/>
    <cellStyle name="20% - Accent1 10 3" xfId="12954" xr:uid="{8A6E7E96-3C5A-4E28-B593-687183ED3A6E}"/>
    <cellStyle name="20% - Accent1 11" xfId="18017" xr:uid="{B49A65CD-B7C5-4D45-96D0-A8936537E18C}"/>
    <cellStyle name="20% - Accent1 12" xfId="17184" xr:uid="{18088EBE-A213-4270-A88E-C7EEEB32880A}"/>
    <cellStyle name="20% - Accent1 13" xfId="8736" xr:uid="{4E980F93-388B-419A-8FA1-B320C0A6790F}"/>
    <cellStyle name="20% - Accent1 2" xfId="2" xr:uid="{00000000-0005-0000-0000-000002000000}"/>
    <cellStyle name="20% - Accent1 2 10" xfId="18018" xr:uid="{AAD1A313-B48C-4449-A223-000E35F48F9C}"/>
    <cellStyle name="20% - Accent1 2 11" xfId="17185" xr:uid="{FB31E5BB-4E9C-4A1D-B223-6105719B5FF1}"/>
    <cellStyle name="20% - Accent1 2 12" xfId="8737" xr:uid="{98694CFF-E765-4489-BB4D-27C65729D0BD}"/>
    <cellStyle name="20% - Accent1 2 2" xfId="3" xr:uid="{00000000-0005-0000-0000-000003000000}"/>
    <cellStyle name="20% - Accent1 2 2 10" xfId="17186" xr:uid="{D6D8CD65-3157-4B5A-941D-492B4D506D60}"/>
    <cellStyle name="20% - Accent1 2 2 11" xfId="8738" xr:uid="{1751079F-C9ED-4304-9A10-5D0B8D731C41}"/>
    <cellStyle name="20% - Accent1 2 2 2" xfId="4" xr:uid="{00000000-0005-0000-0000-000004000000}"/>
    <cellStyle name="20% - Accent1 2 2 2 10" xfId="8739" xr:uid="{6529D281-A272-4A89-9438-487D70E7C1A3}"/>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24796" xr:uid="{4AA617C6-6F94-46D8-9430-DA93812D37B5}"/>
    <cellStyle name="20% - Accent1 2 2 2 2 2 2 3" xfId="15516" xr:uid="{690B56D4-284D-4B36-BE57-DEB0CA491329}"/>
    <cellStyle name="20% - Accent1 2 2 2 2 2 3" xfId="20579" xr:uid="{94C6ECF2-2588-4EC5-B2DB-CFE23B5DE15F}"/>
    <cellStyle name="20% - Accent1 2 2 2 2 2 4" xfId="11298" xr:uid="{93C2F610-EC4A-485C-9255-C927ADA91C6F}"/>
    <cellStyle name="20% - Accent1 2 2 2 2 3" xfId="4921" xr:uid="{00000000-0005-0000-0000-000008000000}"/>
    <cellStyle name="20% - Accent1 2 2 2 2 3 2" xfId="22651" xr:uid="{088C2ED4-7706-4766-81A9-69BC583694C7}"/>
    <cellStyle name="20% - Accent1 2 2 2 2 3 3" xfId="13371" xr:uid="{064B2CB1-B718-4E2A-8183-6F2EE2E1ED2C}"/>
    <cellStyle name="20% - Accent1 2 2 2 2 4" xfId="18434" xr:uid="{9FE3D700-1D1B-436E-AE3D-B8CECA54AA53}"/>
    <cellStyle name="20% - Accent1 2 2 2 2 5" xfId="17604" xr:uid="{F0339F43-3986-4F07-B734-67CB70A04E94}"/>
    <cellStyle name="20% - Accent1 2 2 2 2 6" xfId="9153" xr:uid="{C9B3FDEF-36CE-46FE-95F8-A6FB2B3DA945}"/>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25209" xr:uid="{7333DB1B-F1B0-45C4-BC27-87AEDC830059}"/>
    <cellStyle name="20% - Accent1 2 2 2 3 2 2 3" xfId="15929" xr:uid="{0C865BE8-C750-4BDB-9F8F-5ED1AB53AEEA}"/>
    <cellStyle name="20% - Accent1 2 2 2 3 2 3" xfId="20992" xr:uid="{7FD3E444-0931-4E94-9ED2-B1D01F87ECAE}"/>
    <cellStyle name="20% - Accent1 2 2 2 3 2 4" xfId="11711" xr:uid="{DB33B457-2E3A-423B-B8B7-45B9882757ED}"/>
    <cellStyle name="20% - Accent1 2 2 2 3 3" xfId="5334" xr:uid="{00000000-0005-0000-0000-00000C000000}"/>
    <cellStyle name="20% - Accent1 2 2 2 3 3 2" xfId="23064" xr:uid="{75BEAB23-5B37-48ED-85FC-D76F52228F8B}"/>
    <cellStyle name="20% - Accent1 2 2 2 3 3 3" xfId="13784" xr:uid="{6B047365-A04B-4DA8-809B-69CC54F081D0}"/>
    <cellStyle name="20% - Accent1 2 2 2 3 4" xfId="18847" xr:uid="{10752874-2401-4AEF-A8B3-925148228685}"/>
    <cellStyle name="20% - Accent1 2 2 2 3 5" xfId="9566" xr:uid="{E82C53BB-E16F-4870-BD62-87035E38E5F3}"/>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25622" xr:uid="{5A9B1C2E-05EA-41AC-8FB4-2324C1D6E190}"/>
    <cellStyle name="20% - Accent1 2 2 2 4 2 2 3" xfId="16342" xr:uid="{7AB78D95-6C15-4CBF-907C-4B1FE1CF92C1}"/>
    <cellStyle name="20% - Accent1 2 2 2 4 2 3" xfId="21405" xr:uid="{5B764816-EAF5-4DB2-A2F1-0A7B147ECAAB}"/>
    <cellStyle name="20% - Accent1 2 2 2 4 2 4" xfId="12124" xr:uid="{152E1A6A-38C2-4CAE-BBDC-670DC4102720}"/>
    <cellStyle name="20% - Accent1 2 2 2 4 3" xfId="5747" xr:uid="{00000000-0005-0000-0000-000010000000}"/>
    <cellStyle name="20% - Accent1 2 2 2 4 3 2" xfId="23477" xr:uid="{BF352885-FAD6-4E9E-917F-7AFD1EC81B8F}"/>
    <cellStyle name="20% - Accent1 2 2 2 4 3 3" xfId="14197" xr:uid="{035C6E2F-CBC7-41F6-AC5C-0EE54A9334EA}"/>
    <cellStyle name="20% - Accent1 2 2 2 4 4" xfId="19260" xr:uid="{1D6CE26F-770C-400F-A15B-65EF288644B4}"/>
    <cellStyle name="20% - Accent1 2 2 2 4 5" xfId="9979" xr:uid="{AD911F06-170C-45E2-95E1-26345EE7A9D1}"/>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26035" xr:uid="{3C68A8D7-C10F-4720-AB89-4267B1E2978A}"/>
    <cellStyle name="20% - Accent1 2 2 2 5 2 2 3" xfId="16755" xr:uid="{4C8EA684-D8A6-44E7-B48E-F183D4CCCFD1}"/>
    <cellStyle name="20% - Accent1 2 2 2 5 2 3" xfId="21818" xr:uid="{73367426-E0DF-4895-8CEA-1B59991EC621}"/>
    <cellStyle name="20% - Accent1 2 2 2 5 2 4" xfId="12537" xr:uid="{9C6F3FBE-6B96-4997-B04F-16E8B4ECB345}"/>
    <cellStyle name="20% - Accent1 2 2 2 5 3" xfId="6160" xr:uid="{00000000-0005-0000-0000-000014000000}"/>
    <cellStyle name="20% - Accent1 2 2 2 5 3 2" xfId="23890" xr:uid="{AC6A77C3-1F09-4533-84CB-FB1A9BB25028}"/>
    <cellStyle name="20% - Accent1 2 2 2 5 3 3" xfId="14610" xr:uid="{6F9C7B44-3A8E-4168-B7F1-6318C5CB0EF4}"/>
    <cellStyle name="20% - Accent1 2 2 2 5 4" xfId="19673" xr:uid="{D830C0AC-0A47-44DD-9034-628E86797194}"/>
    <cellStyle name="20% - Accent1 2 2 2 5 5" xfId="10392" xr:uid="{653713A2-8214-4A9D-BB39-A352599FFDD7}"/>
    <cellStyle name="20% - Accent1 2 2 2 6" xfId="2267" xr:uid="{00000000-0005-0000-0000-000015000000}"/>
    <cellStyle name="20% - Accent1 2 2 2 6 2" xfId="6573" xr:uid="{00000000-0005-0000-0000-000016000000}"/>
    <cellStyle name="20% - Accent1 2 2 2 6 2 2" xfId="24303" xr:uid="{6F59672F-9631-4F3E-8089-06B425823ACC}"/>
    <cellStyle name="20% - Accent1 2 2 2 6 2 3" xfId="15023" xr:uid="{DC9DE651-C827-47C2-9B29-C6AFC6A109D4}"/>
    <cellStyle name="20% - Accent1 2 2 2 6 3" xfId="20086" xr:uid="{7A25C8B0-5A6B-42C6-9BCD-D14C638383D7}"/>
    <cellStyle name="20% - Accent1 2 2 2 6 4" xfId="10805" xr:uid="{97C796FE-0A5E-4511-B1CF-B7B5A5784DF0}"/>
    <cellStyle name="20% - Accent1 2 2 2 7" xfId="4507" xr:uid="{00000000-0005-0000-0000-000017000000}"/>
    <cellStyle name="20% - Accent1 2 2 2 7 2" xfId="22237" xr:uid="{DB35EC8D-D243-4392-A5C5-005D801DF612}"/>
    <cellStyle name="20% - Accent1 2 2 2 7 3" xfId="12957" xr:uid="{4D09C6E9-309F-4F8C-ADA5-ABAFE0CFDE14}"/>
    <cellStyle name="20% - Accent1 2 2 2 8" xfId="18020" xr:uid="{370E092C-C09C-4CFF-82CD-C9F5FD05AE0E}"/>
    <cellStyle name="20% - Accent1 2 2 2 9" xfId="17187" xr:uid="{5A1F6100-E84E-4B0B-8C63-4069CDDB093D}"/>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24795" xr:uid="{44EF37AC-D7B7-4432-A258-F011804A01D2}"/>
    <cellStyle name="20% - Accent1 2 2 3 2 2 3" xfId="15515" xr:uid="{B4023BB6-AC6D-488F-B646-71B0AE02AF1E}"/>
    <cellStyle name="20% - Accent1 2 2 3 2 3" xfId="20578" xr:uid="{2E26A613-413A-40B8-ACD8-5A4BDF10FEDA}"/>
    <cellStyle name="20% - Accent1 2 2 3 2 4" xfId="11297" xr:uid="{933C6B01-6F6C-48D5-90E4-64040DA10575}"/>
    <cellStyle name="20% - Accent1 2 2 3 3" xfId="4920" xr:uid="{00000000-0005-0000-0000-00001B000000}"/>
    <cellStyle name="20% - Accent1 2 2 3 3 2" xfId="22650" xr:uid="{AA0C0186-14ED-4BED-BC02-B40FC9AF6963}"/>
    <cellStyle name="20% - Accent1 2 2 3 3 3" xfId="13370" xr:uid="{2B4AEF76-66CA-46EA-AE45-8EE310C7B757}"/>
    <cellStyle name="20% - Accent1 2 2 3 4" xfId="18433" xr:uid="{2C2DE514-A929-48A0-84E1-42590C06FC7B}"/>
    <cellStyle name="20% - Accent1 2 2 3 5" xfId="17603" xr:uid="{0E9E101F-0F8C-476E-A2D1-75ECDB942921}"/>
    <cellStyle name="20% - Accent1 2 2 3 6" xfId="9152" xr:uid="{84AD325D-E5D3-4CD7-A78A-CEB1EADAEA8A}"/>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25208" xr:uid="{52DBF198-05DC-41DD-B450-4D350396E4F7}"/>
    <cellStyle name="20% - Accent1 2 2 4 2 2 3" xfId="15928" xr:uid="{8EFAF488-800B-497D-A6C6-56C4620646E1}"/>
    <cellStyle name="20% - Accent1 2 2 4 2 3" xfId="20991" xr:uid="{BD0088F1-7C1E-44EB-AA9C-14837F78F9AB}"/>
    <cellStyle name="20% - Accent1 2 2 4 2 4" xfId="11710" xr:uid="{E0A10D3D-DAF4-4AF8-9453-7F75A4A73E11}"/>
    <cellStyle name="20% - Accent1 2 2 4 3" xfId="5333" xr:uid="{00000000-0005-0000-0000-00001F000000}"/>
    <cellStyle name="20% - Accent1 2 2 4 3 2" xfId="23063" xr:uid="{CF8E20EB-9A50-4086-92FE-A91902AF0DED}"/>
    <cellStyle name="20% - Accent1 2 2 4 3 3" xfId="13783" xr:uid="{434B08DE-9DCC-4758-B71F-5B80CD0853DE}"/>
    <cellStyle name="20% - Accent1 2 2 4 4" xfId="18846" xr:uid="{E157CD38-E878-4B26-9366-4F80D6FA17BC}"/>
    <cellStyle name="20% - Accent1 2 2 4 5" xfId="9565" xr:uid="{4159AEE8-82A1-4FB4-A787-DAA553DCC5FC}"/>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25621" xr:uid="{25EB755B-4744-4517-BA2C-5592AE178FC6}"/>
    <cellStyle name="20% - Accent1 2 2 5 2 2 3" xfId="16341" xr:uid="{33B28F9B-BCB0-4F31-88AE-6299EDCCA1F5}"/>
    <cellStyle name="20% - Accent1 2 2 5 2 3" xfId="21404" xr:uid="{A83DA0FB-BD46-4485-9287-E32F72555CBA}"/>
    <cellStyle name="20% - Accent1 2 2 5 2 4" xfId="12123" xr:uid="{D4ED8308-6AA2-4F0E-934C-44E8A1BA8C4A}"/>
    <cellStyle name="20% - Accent1 2 2 5 3" xfId="5746" xr:uid="{00000000-0005-0000-0000-000023000000}"/>
    <cellStyle name="20% - Accent1 2 2 5 3 2" xfId="23476" xr:uid="{13653DFE-6885-4A0A-A6CE-DB7AF0C202FA}"/>
    <cellStyle name="20% - Accent1 2 2 5 3 3" xfId="14196" xr:uid="{4E9764C0-0691-4354-9C21-431258E97B8E}"/>
    <cellStyle name="20% - Accent1 2 2 5 4" xfId="19259" xr:uid="{6538DEE1-A8FF-41DF-A63C-82F5DDDA6355}"/>
    <cellStyle name="20% - Accent1 2 2 5 5" xfId="9978" xr:uid="{ED653EE0-723D-4CAA-A2EB-A488F6FF062F}"/>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26034" xr:uid="{D1186E5C-CD02-4099-9076-8077AB8504F8}"/>
    <cellStyle name="20% - Accent1 2 2 6 2 2 3" xfId="16754" xr:uid="{F381892C-47D8-4209-9FB0-A5FDACEA0F51}"/>
    <cellStyle name="20% - Accent1 2 2 6 2 3" xfId="21817" xr:uid="{7D7817FF-F8F2-4EC6-AF84-F8AD4064DDD8}"/>
    <cellStyle name="20% - Accent1 2 2 6 2 4" xfId="12536" xr:uid="{070AD881-BC97-4F28-BCB0-341DD806F830}"/>
    <cellStyle name="20% - Accent1 2 2 6 3" xfId="6159" xr:uid="{00000000-0005-0000-0000-000027000000}"/>
    <cellStyle name="20% - Accent1 2 2 6 3 2" xfId="23889" xr:uid="{2E9E72B9-5415-40C1-BAB1-CDB878DF27E1}"/>
    <cellStyle name="20% - Accent1 2 2 6 3 3" xfId="14609" xr:uid="{B7B125D3-7715-4FEA-832A-7328AD913273}"/>
    <cellStyle name="20% - Accent1 2 2 6 4" xfId="19672" xr:uid="{E9D135FD-0E99-42D7-8ACD-C330930EEDE8}"/>
    <cellStyle name="20% - Accent1 2 2 6 5" xfId="10391" xr:uid="{E38C981E-6C20-4A62-9E9D-A7C5E67B2877}"/>
    <cellStyle name="20% - Accent1 2 2 7" xfId="2266" xr:uid="{00000000-0005-0000-0000-000028000000}"/>
    <cellStyle name="20% - Accent1 2 2 7 2" xfId="6572" xr:uid="{00000000-0005-0000-0000-000029000000}"/>
    <cellStyle name="20% - Accent1 2 2 7 2 2" xfId="24302" xr:uid="{31CDBFC3-CF26-4662-B808-AC7F79FB15D8}"/>
    <cellStyle name="20% - Accent1 2 2 7 2 3" xfId="15022" xr:uid="{CA58D4BA-E34C-4C89-8961-8C153B9CF09B}"/>
    <cellStyle name="20% - Accent1 2 2 7 3" xfId="20085" xr:uid="{F63DD405-2D76-4D3D-8D75-7E8071DF1609}"/>
    <cellStyle name="20% - Accent1 2 2 7 4" xfId="10804" xr:uid="{A0FD2591-8D9F-4376-9D2D-BB8573BCA877}"/>
    <cellStyle name="20% - Accent1 2 2 8" xfId="4506" xr:uid="{00000000-0005-0000-0000-00002A000000}"/>
    <cellStyle name="20% - Accent1 2 2 8 2" xfId="22236" xr:uid="{64E214F5-4037-4E51-885D-1F2CE612D779}"/>
    <cellStyle name="20% - Accent1 2 2 8 3" xfId="12956" xr:uid="{6255ED23-38DC-46DF-B59F-9A64A4CC9220}"/>
    <cellStyle name="20% - Accent1 2 2 9" xfId="18019" xr:uid="{2B8DC9AA-93FD-4639-A8B9-7EBFEF34AC1A}"/>
    <cellStyle name="20% - Accent1 2 3" xfId="5" xr:uid="{00000000-0005-0000-0000-00002B000000}"/>
    <cellStyle name="20% - Accent1 2 3 10" xfId="8740" xr:uid="{49EBD7BA-3292-4515-A165-749B74D74751}"/>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24797" xr:uid="{0A559E20-B40E-4CB1-956B-C9691F3D4F01}"/>
    <cellStyle name="20% - Accent1 2 3 2 2 2 3" xfId="15517" xr:uid="{E258B810-131A-4755-A087-E600BEC60E6D}"/>
    <cellStyle name="20% - Accent1 2 3 2 2 3" xfId="20580" xr:uid="{13A84502-954A-42C0-A285-53AAF12A0508}"/>
    <cellStyle name="20% - Accent1 2 3 2 2 4" xfId="11299" xr:uid="{44F5BACA-A644-4E13-AE41-7F589BD7C2CA}"/>
    <cellStyle name="20% - Accent1 2 3 2 3" xfId="4922" xr:uid="{00000000-0005-0000-0000-00002F000000}"/>
    <cellStyle name="20% - Accent1 2 3 2 3 2" xfId="22652" xr:uid="{097BA5C3-EB99-436E-A547-CC9038D01649}"/>
    <cellStyle name="20% - Accent1 2 3 2 3 3" xfId="13372" xr:uid="{4805658C-881C-4F4C-B037-D06F9C11BF77}"/>
    <cellStyle name="20% - Accent1 2 3 2 4" xfId="18435" xr:uid="{14E595E0-4497-4CAF-A018-2023BFA730D7}"/>
    <cellStyle name="20% - Accent1 2 3 2 5" xfId="17605" xr:uid="{7C4E72B8-D1F6-423D-81C8-5CA541E60AE8}"/>
    <cellStyle name="20% - Accent1 2 3 2 6" xfId="9154" xr:uid="{BFE237B6-4164-4134-8696-89CA412B6321}"/>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25210" xr:uid="{BC7C31A1-9489-4AA1-817A-5F70E5BEA2CF}"/>
    <cellStyle name="20% - Accent1 2 3 3 2 2 3" xfId="15930" xr:uid="{095A80E0-C523-4341-8A0C-CB9A72EAEB5E}"/>
    <cellStyle name="20% - Accent1 2 3 3 2 3" xfId="20993" xr:uid="{880125BB-B60F-4F5F-A7A5-05FBB5D95F59}"/>
    <cellStyle name="20% - Accent1 2 3 3 2 4" xfId="11712" xr:uid="{D690DE04-30A2-4803-BC91-EC2BA62499F7}"/>
    <cellStyle name="20% - Accent1 2 3 3 3" xfId="5335" xr:uid="{00000000-0005-0000-0000-000033000000}"/>
    <cellStyle name="20% - Accent1 2 3 3 3 2" xfId="23065" xr:uid="{9041A85A-49A0-46D1-BA8B-3A4D11900C0E}"/>
    <cellStyle name="20% - Accent1 2 3 3 3 3" xfId="13785" xr:uid="{EF167AFE-375C-477C-8737-FA2950891934}"/>
    <cellStyle name="20% - Accent1 2 3 3 4" xfId="18848" xr:uid="{1E299116-F9D0-4583-949E-FBCD5AC78488}"/>
    <cellStyle name="20% - Accent1 2 3 3 5" xfId="9567" xr:uid="{B16C10D6-E76C-4938-B8F7-98D8137251A8}"/>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25623" xr:uid="{82EE607E-29CC-4BF5-B6C8-CBFFAAA55CD2}"/>
    <cellStyle name="20% - Accent1 2 3 4 2 2 3" xfId="16343" xr:uid="{AC4EDD05-0E8C-418C-805E-5973C05D673B}"/>
    <cellStyle name="20% - Accent1 2 3 4 2 3" xfId="21406" xr:uid="{13276BF1-0444-493E-B41A-6747E7FE6B95}"/>
    <cellStyle name="20% - Accent1 2 3 4 2 4" xfId="12125" xr:uid="{C18FCC15-B876-4D7D-ABAE-F855F8EA3246}"/>
    <cellStyle name="20% - Accent1 2 3 4 3" xfId="5748" xr:uid="{00000000-0005-0000-0000-000037000000}"/>
    <cellStyle name="20% - Accent1 2 3 4 3 2" xfId="23478" xr:uid="{CB74B068-D5F9-486B-B90D-854FCA79EEB0}"/>
    <cellStyle name="20% - Accent1 2 3 4 3 3" xfId="14198" xr:uid="{AAB403E5-12D4-4CC6-B358-FD66DBBA32AD}"/>
    <cellStyle name="20% - Accent1 2 3 4 4" xfId="19261" xr:uid="{2F853A91-6AAC-4F9B-826E-DFE4A66D1B0C}"/>
    <cellStyle name="20% - Accent1 2 3 4 5" xfId="9980" xr:uid="{3EADCEB3-DBC2-4B1F-8EF0-0BD0D8DC444A}"/>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26036" xr:uid="{6CF01E26-7D2E-481F-AA2C-6D35955FC5E5}"/>
    <cellStyle name="20% - Accent1 2 3 5 2 2 3" xfId="16756" xr:uid="{6AB63511-F248-4424-86D9-4DD6269DE9F6}"/>
    <cellStyle name="20% - Accent1 2 3 5 2 3" xfId="21819" xr:uid="{68792795-9F76-4F94-9C38-87A5B4E962B1}"/>
    <cellStyle name="20% - Accent1 2 3 5 2 4" xfId="12538" xr:uid="{21CFB139-F126-4C34-BE62-DC947072D847}"/>
    <cellStyle name="20% - Accent1 2 3 5 3" xfId="6161" xr:uid="{00000000-0005-0000-0000-00003B000000}"/>
    <cellStyle name="20% - Accent1 2 3 5 3 2" xfId="23891" xr:uid="{2B7EB3E8-CCE2-4099-923D-F6B1AB5D7084}"/>
    <cellStyle name="20% - Accent1 2 3 5 3 3" xfId="14611" xr:uid="{A34834AF-34C1-4790-A082-592669A987F2}"/>
    <cellStyle name="20% - Accent1 2 3 5 4" xfId="19674" xr:uid="{E3E8C76F-F668-441A-8453-E55D06F943C9}"/>
    <cellStyle name="20% - Accent1 2 3 5 5" xfId="10393" xr:uid="{5E66E75A-5513-4C20-8894-9058A5D0E38E}"/>
    <cellStyle name="20% - Accent1 2 3 6" xfId="2268" xr:uid="{00000000-0005-0000-0000-00003C000000}"/>
    <cellStyle name="20% - Accent1 2 3 6 2" xfId="6574" xr:uid="{00000000-0005-0000-0000-00003D000000}"/>
    <cellStyle name="20% - Accent1 2 3 6 2 2" xfId="24304" xr:uid="{ABA14914-986B-4F1E-943C-0C4582339E3F}"/>
    <cellStyle name="20% - Accent1 2 3 6 2 3" xfId="15024" xr:uid="{4244D194-1CD9-4975-9B45-2303DFE57015}"/>
    <cellStyle name="20% - Accent1 2 3 6 3" xfId="20087" xr:uid="{4921FCA8-B4F1-4C51-85DB-CBBA26EE0B04}"/>
    <cellStyle name="20% - Accent1 2 3 6 4" xfId="10806" xr:uid="{0B8900E2-F66D-475C-8DFB-D7994D7A028C}"/>
    <cellStyle name="20% - Accent1 2 3 7" xfId="4508" xr:uid="{00000000-0005-0000-0000-00003E000000}"/>
    <cellStyle name="20% - Accent1 2 3 7 2" xfId="22238" xr:uid="{5A5C9621-4C3A-4D02-A5A8-45E7D1516F56}"/>
    <cellStyle name="20% - Accent1 2 3 7 3" xfId="12958" xr:uid="{C68FD516-BFBD-4182-B573-1121FDC405DC}"/>
    <cellStyle name="20% - Accent1 2 3 8" xfId="18021" xr:uid="{3D2C7750-5CDF-4503-B92D-E25CD483BC08}"/>
    <cellStyle name="20% - Accent1 2 3 9" xfId="17188" xr:uid="{AE142FFD-12C6-4BCD-886D-FBC39AAA4841}"/>
    <cellStyle name="20% - Accent1 2 4" xfId="571" xr:uid="{00000000-0005-0000-0000-00003F000000}"/>
    <cellStyle name="20% - Accent1 2 4 2" xfId="2842" xr:uid="{00000000-0005-0000-0000-000040000000}"/>
    <cellStyle name="20% - Accent1 2 4 2 2" xfId="7064" xr:uid="{00000000-0005-0000-0000-000041000000}"/>
    <cellStyle name="20% - Accent1 2 4 2 2 2" xfId="24794" xr:uid="{5B69A0DE-AD56-4DC2-A785-DA63638F5DDB}"/>
    <cellStyle name="20% - Accent1 2 4 2 2 3" xfId="15514" xr:uid="{D03A9A1D-EAEC-4BE1-87B1-E334813FF1E9}"/>
    <cellStyle name="20% - Accent1 2 4 2 3" xfId="20577" xr:uid="{D4479647-CE04-4D79-A748-F1B2D92042DB}"/>
    <cellStyle name="20% - Accent1 2 4 2 4" xfId="11296" xr:uid="{BCF4EE5A-12EF-446F-A4AB-0B074EBBFB62}"/>
    <cellStyle name="20% - Accent1 2 4 3" xfId="4919" xr:uid="{00000000-0005-0000-0000-000042000000}"/>
    <cellStyle name="20% - Accent1 2 4 3 2" xfId="22649" xr:uid="{DDCD14E4-AE98-4183-8E8D-18EF54EDBA67}"/>
    <cellStyle name="20% - Accent1 2 4 3 3" xfId="13369" xr:uid="{3B6D426E-86A3-4809-B281-133B00D6E6CA}"/>
    <cellStyle name="20% - Accent1 2 4 4" xfId="18432" xr:uid="{A0CE51A8-D935-489B-A5F0-F29123DA3483}"/>
    <cellStyle name="20% - Accent1 2 4 5" xfId="17602" xr:uid="{4DE04506-96C4-42F4-8FEA-309630DC1C1A}"/>
    <cellStyle name="20% - Accent1 2 4 6" xfId="9151" xr:uid="{7E8AB7ED-37AF-4A76-8B3A-20B5665F7C2D}"/>
    <cellStyle name="20% - Accent1 2 5" xfId="1024" xr:uid="{00000000-0005-0000-0000-000043000000}"/>
    <cellStyle name="20% - Accent1 2 5 2" xfId="3255" xr:uid="{00000000-0005-0000-0000-000044000000}"/>
    <cellStyle name="20% - Accent1 2 5 2 2" xfId="7477" xr:uid="{00000000-0005-0000-0000-000045000000}"/>
    <cellStyle name="20% - Accent1 2 5 2 2 2" xfId="25207" xr:uid="{7111F0BF-8F0A-41FC-BA7A-0540820D3B69}"/>
    <cellStyle name="20% - Accent1 2 5 2 2 3" xfId="15927" xr:uid="{29E61A26-924A-42A2-ACF8-5A88BA2FD5B0}"/>
    <cellStyle name="20% - Accent1 2 5 2 3" xfId="20990" xr:uid="{BCB4BB20-5903-4BE0-8DE3-2901BE756287}"/>
    <cellStyle name="20% - Accent1 2 5 2 4" xfId="11709" xr:uid="{F4CD1A31-9EB3-4DDA-BE6E-099B2BA1FA73}"/>
    <cellStyle name="20% - Accent1 2 5 3" xfId="5332" xr:uid="{00000000-0005-0000-0000-000046000000}"/>
    <cellStyle name="20% - Accent1 2 5 3 2" xfId="23062" xr:uid="{370623B0-C95A-489B-9DCB-2ACD7182A20F}"/>
    <cellStyle name="20% - Accent1 2 5 3 3" xfId="13782" xr:uid="{1B334685-EDC1-46E9-8F11-B08E01C97A2F}"/>
    <cellStyle name="20% - Accent1 2 5 4" xfId="18845" xr:uid="{2E809CBA-D5AE-4E17-AC1E-B5B622101251}"/>
    <cellStyle name="20% - Accent1 2 5 5" xfId="9564" xr:uid="{BBD838D0-DB1A-4E49-9D75-12002ECCA456}"/>
    <cellStyle name="20% - Accent1 2 6" xfId="1438" xr:uid="{00000000-0005-0000-0000-000047000000}"/>
    <cellStyle name="20% - Accent1 2 6 2" xfId="3668" xr:uid="{00000000-0005-0000-0000-000048000000}"/>
    <cellStyle name="20% - Accent1 2 6 2 2" xfId="7890" xr:uid="{00000000-0005-0000-0000-000049000000}"/>
    <cellStyle name="20% - Accent1 2 6 2 2 2" xfId="25620" xr:uid="{623EA36E-4432-4B2C-AA84-608BA4A51E33}"/>
    <cellStyle name="20% - Accent1 2 6 2 2 3" xfId="16340" xr:uid="{2AC2286B-3CC8-4708-898B-DBF70EF38C30}"/>
    <cellStyle name="20% - Accent1 2 6 2 3" xfId="21403" xr:uid="{C3633F88-D4E9-48A1-B25B-9DF7A85EFE90}"/>
    <cellStyle name="20% - Accent1 2 6 2 4" xfId="12122" xr:uid="{7E0E7D7D-AC27-40C0-BE29-86D7DC819BEB}"/>
    <cellStyle name="20% - Accent1 2 6 3" xfId="5745" xr:uid="{00000000-0005-0000-0000-00004A000000}"/>
    <cellStyle name="20% - Accent1 2 6 3 2" xfId="23475" xr:uid="{A1A50432-E0AF-4F99-BA73-C31FCC57D217}"/>
    <cellStyle name="20% - Accent1 2 6 3 3" xfId="14195" xr:uid="{31238550-89DC-4CAD-A236-DC6315B939B4}"/>
    <cellStyle name="20% - Accent1 2 6 4" xfId="19258" xr:uid="{834817D1-F8D5-47E4-BB54-F36E29B4C035}"/>
    <cellStyle name="20% - Accent1 2 6 5" xfId="9977" xr:uid="{A3186CE1-45D8-40C7-83F0-87D0B052FE5E}"/>
    <cellStyle name="20% - Accent1 2 7" xfId="1852" xr:uid="{00000000-0005-0000-0000-00004B000000}"/>
    <cellStyle name="20% - Accent1 2 7 2" xfId="4081" xr:uid="{00000000-0005-0000-0000-00004C000000}"/>
    <cellStyle name="20% - Accent1 2 7 2 2" xfId="8303" xr:uid="{00000000-0005-0000-0000-00004D000000}"/>
    <cellStyle name="20% - Accent1 2 7 2 2 2" xfId="26033" xr:uid="{A841F04A-CDCC-4626-B5DE-EEC801C3924E}"/>
    <cellStyle name="20% - Accent1 2 7 2 2 3" xfId="16753" xr:uid="{F266A6C1-A5EA-44AA-AC4F-64F6789F6BCE}"/>
    <cellStyle name="20% - Accent1 2 7 2 3" xfId="21816" xr:uid="{7B4E9C08-0822-4EF4-ACA6-CC7668D3B55C}"/>
    <cellStyle name="20% - Accent1 2 7 2 4" xfId="12535" xr:uid="{B5F940D1-D792-4AE3-A049-3998360B9081}"/>
    <cellStyle name="20% - Accent1 2 7 3" xfId="6158" xr:uid="{00000000-0005-0000-0000-00004E000000}"/>
    <cellStyle name="20% - Accent1 2 7 3 2" xfId="23888" xr:uid="{F06BEEB8-BC14-4772-AFAC-3D83C9107564}"/>
    <cellStyle name="20% - Accent1 2 7 3 3" xfId="14608" xr:uid="{4A66D2D5-4652-4C49-8C07-F489496AED10}"/>
    <cellStyle name="20% - Accent1 2 7 4" xfId="19671" xr:uid="{2974F917-EBE4-4BCA-ADE2-BBD7D5AD4039}"/>
    <cellStyle name="20% - Accent1 2 7 5" xfId="10390" xr:uid="{907AE740-8170-4C10-8EDB-6FD30C90626D}"/>
    <cellStyle name="20% - Accent1 2 8" xfId="2265" xr:uid="{00000000-0005-0000-0000-00004F000000}"/>
    <cellStyle name="20% - Accent1 2 8 2" xfId="6571" xr:uid="{00000000-0005-0000-0000-000050000000}"/>
    <cellStyle name="20% - Accent1 2 8 2 2" xfId="24301" xr:uid="{E11B2BD8-37EA-4906-8B5E-0D95F873F2F9}"/>
    <cellStyle name="20% - Accent1 2 8 2 3" xfId="15021" xr:uid="{6D03161A-4979-42E9-A55A-70B1B39128CA}"/>
    <cellStyle name="20% - Accent1 2 8 3" xfId="20084" xr:uid="{F206FA4D-F41D-4AC3-B537-28B2046F9863}"/>
    <cellStyle name="20% - Accent1 2 8 4" xfId="10803" xr:uid="{A4C7C6C8-C06D-4CAD-A0A8-6A820DDF98CC}"/>
    <cellStyle name="20% - Accent1 2 9" xfId="4505" xr:uid="{00000000-0005-0000-0000-000051000000}"/>
    <cellStyle name="20% - Accent1 2 9 2" xfId="22235" xr:uid="{75A1A5B5-5383-4839-9CBA-511F893897E4}"/>
    <cellStyle name="20% - Accent1 2 9 3" xfId="12955" xr:uid="{22556DF9-F253-4ABE-BD07-719752767312}"/>
    <cellStyle name="20% - Accent1 3" xfId="6" xr:uid="{00000000-0005-0000-0000-000052000000}"/>
    <cellStyle name="20% - Accent1 3 10" xfId="17189" xr:uid="{3E065DEE-D00D-4BB0-8C08-B4CA6C5AE3DA}"/>
    <cellStyle name="20% - Accent1 3 11" xfId="8741" xr:uid="{415D537F-8FE2-4809-AE6A-23A83F565949}"/>
    <cellStyle name="20% - Accent1 3 2" xfId="7" xr:uid="{00000000-0005-0000-0000-000053000000}"/>
    <cellStyle name="20% - Accent1 3 2 10" xfId="8742" xr:uid="{AEFD17A8-5E98-4816-B7C3-8B72226B3225}"/>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24799" xr:uid="{37F709D6-C953-4B56-ACC5-7B9DDCC04F3D}"/>
    <cellStyle name="20% - Accent1 3 2 2 2 2 3" xfId="15519" xr:uid="{A847F8C6-70C0-467A-802B-C2EBEE512A50}"/>
    <cellStyle name="20% - Accent1 3 2 2 2 3" xfId="20582" xr:uid="{C00BC523-3C2A-42FC-854A-0244A6B81C15}"/>
    <cellStyle name="20% - Accent1 3 2 2 2 4" xfId="11301" xr:uid="{A70A848E-46E4-4C1D-83EC-B1D2B5D65C22}"/>
    <cellStyle name="20% - Accent1 3 2 2 3" xfId="4924" xr:uid="{00000000-0005-0000-0000-000057000000}"/>
    <cellStyle name="20% - Accent1 3 2 2 3 2" xfId="22654" xr:uid="{3ADE9E2E-B82E-4B1F-8C96-672A32E32BEB}"/>
    <cellStyle name="20% - Accent1 3 2 2 3 3" xfId="13374" xr:uid="{CA389135-BA14-4574-AC07-21AA0CB7C7B3}"/>
    <cellStyle name="20% - Accent1 3 2 2 4" xfId="18437" xr:uid="{15FD014A-0BAA-4FAF-B0CB-EAC6511CDC4B}"/>
    <cellStyle name="20% - Accent1 3 2 2 5" xfId="17607" xr:uid="{ECDF4ED4-8A25-47D5-922C-D8F15D26B3C4}"/>
    <cellStyle name="20% - Accent1 3 2 2 6" xfId="9156" xr:uid="{68CD7923-BBB9-4227-B825-993E971F159C}"/>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25212" xr:uid="{A8E8A97B-184F-4F54-AE82-80BF6E86D3AF}"/>
    <cellStyle name="20% - Accent1 3 2 3 2 2 3" xfId="15932" xr:uid="{DD6FE7E9-6CB5-4678-BDEC-2C4A976DF02C}"/>
    <cellStyle name="20% - Accent1 3 2 3 2 3" xfId="20995" xr:uid="{869DB1BD-410F-489F-8E9A-65EE36BD8CBB}"/>
    <cellStyle name="20% - Accent1 3 2 3 2 4" xfId="11714" xr:uid="{59D6CA8C-7624-4EA9-8B80-70B624859C2D}"/>
    <cellStyle name="20% - Accent1 3 2 3 3" xfId="5337" xr:uid="{00000000-0005-0000-0000-00005B000000}"/>
    <cellStyle name="20% - Accent1 3 2 3 3 2" xfId="23067" xr:uid="{92CEFF05-EC53-446A-BB45-7EB8F24C8081}"/>
    <cellStyle name="20% - Accent1 3 2 3 3 3" xfId="13787" xr:uid="{22C284E6-FE44-4700-96BD-72ED047DE864}"/>
    <cellStyle name="20% - Accent1 3 2 3 4" xfId="18850" xr:uid="{2DDF4B70-7CEC-4D5B-9D02-BD559811058B}"/>
    <cellStyle name="20% - Accent1 3 2 3 5" xfId="9569" xr:uid="{735DA4C8-0DE9-4B66-A748-31BACC96921C}"/>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25625" xr:uid="{67CDFE9E-58CA-405B-988D-AAE5541704E1}"/>
    <cellStyle name="20% - Accent1 3 2 4 2 2 3" xfId="16345" xr:uid="{B18B0D80-EEDF-4CF8-8744-BCB9269F9566}"/>
    <cellStyle name="20% - Accent1 3 2 4 2 3" xfId="21408" xr:uid="{00B0599D-374B-4403-9B9D-A22408641A23}"/>
    <cellStyle name="20% - Accent1 3 2 4 2 4" xfId="12127" xr:uid="{34305767-1A7C-4733-AAB6-0C5BC595BEBB}"/>
    <cellStyle name="20% - Accent1 3 2 4 3" xfId="5750" xr:uid="{00000000-0005-0000-0000-00005F000000}"/>
    <cellStyle name="20% - Accent1 3 2 4 3 2" xfId="23480" xr:uid="{D49A6485-E499-460A-9C29-A9B7E5AEF9C2}"/>
    <cellStyle name="20% - Accent1 3 2 4 3 3" xfId="14200" xr:uid="{20444A42-A377-4F31-A36B-FE70CB4D2D4E}"/>
    <cellStyle name="20% - Accent1 3 2 4 4" xfId="19263" xr:uid="{7061B385-CAB7-47C7-AAA9-5EADED79578E}"/>
    <cellStyle name="20% - Accent1 3 2 4 5" xfId="9982" xr:uid="{275D2F65-FB94-47D6-91F5-77972C327B3E}"/>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26038" xr:uid="{7E40133A-9232-456B-9CE9-B2EAB2F62C4A}"/>
    <cellStyle name="20% - Accent1 3 2 5 2 2 3" xfId="16758" xr:uid="{40B36CF3-1ED0-46FB-A96F-7CEB717DD0D6}"/>
    <cellStyle name="20% - Accent1 3 2 5 2 3" xfId="21821" xr:uid="{6EEA2511-915C-4CD4-8AD6-CBD6F9A3FD46}"/>
    <cellStyle name="20% - Accent1 3 2 5 2 4" xfId="12540" xr:uid="{CC87DA23-FB48-4B75-BF86-80DFB7041B0D}"/>
    <cellStyle name="20% - Accent1 3 2 5 3" xfId="6163" xr:uid="{00000000-0005-0000-0000-000063000000}"/>
    <cellStyle name="20% - Accent1 3 2 5 3 2" xfId="23893" xr:uid="{07E61151-CA2D-40C4-97D3-FBC9DA1DDDD9}"/>
    <cellStyle name="20% - Accent1 3 2 5 3 3" xfId="14613" xr:uid="{61CE03E4-3B4D-4FD1-9622-A7C2BE5268B4}"/>
    <cellStyle name="20% - Accent1 3 2 5 4" xfId="19676" xr:uid="{5742EFA2-9421-4B02-A54C-9B51B127E804}"/>
    <cellStyle name="20% - Accent1 3 2 5 5" xfId="10395" xr:uid="{7A67E810-2F41-4ABB-8525-D13B28027F2E}"/>
    <cellStyle name="20% - Accent1 3 2 6" xfId="2270" xr:uid="{00000000-0005-0000-0000-000064000000}"/>
    <cellStyle name="20% - Accent1 3 2 6 2" xfId="6576" xr:uid="{00000000-0005-0000-0000-000065000000}"/>
    <cellStyle name="20% - Accent1 3 2 6 2 2" xfId="24306" xr:uid="{CA741D9E-4F1E-4983-B20B-3F65A45B410B}"/>
    <cellStyle name="20% - Accent1 3 2 6 2 3" xfId="15026" xr:uid="{0BA370BD-B1B8-4B61-9291-60FEA4C240A3}"/>
    <cellStyle name="20% - Accent1 3 2 6 3" xfId="20089" xr:uid="{C01E6CCD-BA04-4670-9239-D07F1E3C2A05}"/>
    <cellStyle name="20% - Accent1 3 2 6 4" xfId="10808" xr:uid="{618F5805-5867-471D-9F03-EED974063838}"/>
    <cellStyle name="20% - Accent1 3 2 7" xfId="4510" xr:uid="{00000000-0005-0000-0000-000066000000}"/>
    <cellStyle name="20% - Accent1 3 2 7 2" xfId="22240" xr:uid="{862794E2-9342-46B3-9F26-0044CB5B4CAE}"/>
    <cellStyle name="20% - Accent1 3 2 7 3" xfId="12960" xr:uid="{26387051-0ADE-4A93-B7D0-E38BC2656EC4}"/>
    <cellStyle name="20% - Accent1 3 2 8" xfId="18023" xr:uid="{5603B1DB-54BC-4F87-8D39-036ACD3A4902}"/>
    <cellStyle name="20% - Accent1 3 2 9" xfId="17190" xr:uid="{0428BD2B-D308-4794-8D29-75D8FC8A3DC9}"/>
    <cellStyle name="20% - Accent1 3 3" xfId="575" xr:uid="{00000000-0005-0000-0000-000067000000}"/>
    <cellStyle name="20% - Accent1 3 3 2" xfId="2846" xr:uid="{00000000-0005-0000-0000-000068000000}"/>
    <cellStyle name="20% - Accent1 3 3 2 2" xfId="7068" xr:uid="{00000000-0005-0000-0000-000069000000}"/>
    <cellStyle name="20% - Accent1 3 3 2 2 2" xfId="24798" xr:uid="{B798688A-455E-41E4-8628-A959797C8DDC}"/>
    <cellStyle name="20% - Accent1 3 3 2 2 3" xfId="15518" xr:uid="{278C5003-A205-4FDC-8A36-BC05DD40522F}"/>
    <cellStyle name="20% - Accent1 3 3 2 3" xfId="20581" xr:uid="{5F649BF5-EB9A-4B93-9638-1C6D0FEAAD02}"/>
    <cellStyle name="20% - Accent1 3 3 2 4" xfId="11300" xr:uid="{F8D2E864-C7BE-4ADE-9E81-9C5551078058}"/>
    <cellStyle name="20% - Accent1 3 3 3" xfId="4923" xr:uid="{00000000-0005-0000-0000-00006A000000}"/>
    <cellStyle name="20% - Accent1 3 3 3 2" xfId="22653" xr:uid="{35327AEE-3BE7-4025-A310-694C64E15C03}"/>
    <cellStyle name="20% - Accent1 3 3 3 3" xfId="13373" xr:uid="{0A938E2D-17BC-4BD4-A063-D7A446816254}"/>
    <cellStyle name="20% - Accent1 3 3 4" xfId="18436" xr:uid="{0C2DE270-A616-4B7F-95BB-6FBD6674AD88}"/>
    <cellStyle name="20% - Accent1 3 3 5" xfId="17606" xr:uid="{1515E722-C021-4A15-BD5E-34E03EC3718A}"/>
    <cellStyle name="20% - Accent1 3 3 6" xfId="9155" xr:uid="{CA12A4B1-E4C8-4ADB-A368-8EB3222D368D}"/>
    <cellStyle name="20% - Accent1 3 4" xfId="1028" xr:uid="{00000000-0005-0000-0000-00006B000000}"/>
    <cellStyle name="20% - Accent1 3 4 2" xfId="3259" xr:uid="{00000000-0005-0000-0000-00006C000000}"/>
    <cellStyle name="20% - Accent1 3 4 2 2" xfId="7481" xr:uid="{00000000-0005-0000-0000-00006D000000}"/>
    <cellStyle name="20% - Accent1 3 4 2 2 2" xfId="25211" xr:uid="{AEB9A4AF-194F-4EC4-9F31-5ACCA0948F44}"/>
    <cellStyle name="20% - Accent1 3 4 2 2 3" xfId="15931" xr:uid="{9CCF066F-6EC5-43CC-BD4C-CB245DA66F20}"/>
    <cellStyle name="20% - Accent1 3 4 2 3" xfId="20994" xr:uid="{AE76C852-6B0A-43DC-93D0-37D40A0EA7D0}"/>
    <cellStyle name="20% - Accent1 3 4 2 4" xfId="11713" xr:uid="{D58D63B2-1023-426A-96D6-70B587EA2B2D}"/>
    <cellStyle name="20% - Accent1 3 4 3" xfId="5336" xr:uid="{00000000-0005-0000-0000-00006E000000}"/>
    <cellStyle name="20% - Accent1 3 4 3 2" xfId="23066" xr:uid="{688DDEF3-6E6D-4A01-870A-AE98AECEE9A0}"/>
    <cellStyle name="20% - Accent1 3 4 3 3" xfId="13786" xr:uid="{0F99B73E-FCCE-4C17-9DB3-18504BB118AC}"/>
    <cellStyle name="20% - Accent1 3 4 4" xfId="18849" xr:uid="{FB531018-D83C-443F-BC03-15A60C60CC8D}"/>
    <cellStyle name="20% - Accent1 3 4 5" xfId="9568" xr:uid="{B3F2E65E-5FE5-42BC-823F-3C232596F57B}"/>
    <cellStyle name="20% - Accent1 3 5" xfId="1442" xr:uid="{00000000-0005-0000-0000-00006F000000}"/>
    <cellStyle name="20% - Accent1 3 5 2" xfId="3672" xr:uid="{00000000-0005-0000-0000-000070000000}"/>
    <cellStyle name="20% - Accent1 3 5 2 2" xfId="7894" xr:uid="{00000000-0005-0000-0000-000071000000}"/>
    <cellStyle name="20% - Accent1 3 5 2 2 2" xfId="25624" xr:uid="{7D83C883-2192-40B1-9A83-DA4DAAA7024D}"/>
    <cellStyle name="20% - Accent1 3 5 2 2 3" xfId="16344" xr:uid="{B66AC7BC-5876-4D3D-9FEF-636FF7462FF9}"/>
    <cellStyle name="20% - Accent1 3 5 2 3" xfId="21407" xr:uid="{CDCC6557-BA91-4A29-AA13-CB8B48AE6A2B}"/>
    <cellStyle name="20% - Accent1 3 5 2 4" xfId="12126" xr:uid="{888A7F02-AF0B-466E-914B-F695046AC933}"/>
    <cellStyle name="20% - Accent1 3 5 3" xfId="5749" xr:uid="{00000000-0005-0000-0000-000072000000}"/>
    <cellStyle name="20% - Accent1 3 5 3 2" xfId="23479" xr:uid="{67E4E6D5-D1F6-4D55-9A44-D92B891F571C}"/>
    <cellStyle name="20% - Accent1 3 5 3 3" xfId="14199" xr:uid="{BAF98852-234F-44DF-A5C0-28DAF91B9772}"/>
    <cellStyle name="20% - Accent1 3 5 4" xfId="19262" xr:uid="{C5321C7A-EB8B-4CE5-A235-C41584626C99}"/>
    <cellStyle name="20% - Accent1 3 5 5" xfId="9981" xr:uid="{24B989EE-2B8E-4D47-9E73-03982B7ABE5C}"/>
    <cellStyle name="20% - Accent1 3 6" xfId="1856" xr:uid="{00000000-0005-0000-0000-000073000000}"/>
    <cellStyle name="20% - Accent1 3 6 2" xfId="4085" xr:uid="{00000000-0005-0000-0000-000074000000}"/>
    <cellStyle name="20% - Accent1 3 6 2 2" xfId="8307" xr:uid="{00000000-0005-0000-0000-000075000000}"/>
    <cellStyle name="20% - Accent1 3 6 2 2 2" xfId="26037" xr:uid="{751F6CCD-4FA3-4855-93E3-097893D3460A}"/>
    <cellStyle name="20% - Accent1 3 6 2 2 3" xfId="16757" xr:uid="{0FE1116E-A423-4F10-AB74-653610B9A7BF}"/>
    <cellStyle name="20% - Accent1 3 6 2 3" xfId="21820" xr:uid="{F72DDCA6-5E05-493F-AFE7-F37B23D56C6E}"/>
    <cellStyle name="20% - Accent1 3 6 2 4" xfId="12539" xr:uid="{A035600C-074B-4509-9516-C81E669D11B3}"/>
    <cellStyle name="20% - Accent1 3 6 3" xfId="6162" xr:uid="{00000000-0005-0000-0000-000076000000}"/>
    <cellStyle name="20% - Accent1 3 6 3 2" xfId="23892" xr:uid="{0991E78C-98DA-47A8-98D0-0869FBB88595}"/>
    <cellStyle name="20% - Accent1 3 6 3 3" xfId="14612" xr:uid="{59F0F21E-8935-42FD-BC56-F91A88545935}"/>
    <cellStyle name="20% - Accent1 3 6 4" xfId="19675" xr:uid="{CD49F0B0-362F-42E6-8B9C-0CED9D8B26E5}"/>
    <cellStyle name="20% - Accent1 3 6 5" xfId="10394" xr:uid="{EFBAA38A-0DFF-432C-B865-8F7F0D96B5E7}"/>
    <cellStyle name="20% - Accent1 3 7" xfId="2269" xr:uid="{00000000-0005-0000-0000-000077000000}"/>
    <cellStyle name="20% - Accent1 3 7 2" xfId="6575" xr:uid="{00000000-0005-0000-0000-000078000000}"/>
    <cellStyle name="20% - Accent1 3 7 2 2" xfId="24305" xr:uid="{C22F7D50-2DF1-4529-81C7-48D5BD680BBB}"/>
    <cellStyle name="20% - Accent1 3 7 2 3" xfId="15025" xr:uid="{33EDB627-1DFE-4894-AA77-EC42BE8E5514}"/>
    <cellStyle name="20% - Accent1 3 7 3" xfId="20088" xr:uid="{F2B65C8C-50AB-4195-98EC-6D417FB0796C}"/>
    <cellStyle name="20% - Accent1 3 7 4" xfId="10807" xr:uid="{B8324ED4-6F47-4D02-9CCA-C34233DD9E16}"/>
    <cellStyle name="20% - Accent1 3 8" xfId="4509" xr:uid="{00000000-0005-0000-0000-000079000000}"/>
    <cellStyle name="20% - Accent1 3 8 2" xfId="22239" xr:uid="{75AF019B-DE43-44EC-B34B-5F47CA09D276}"/>
    <cellStyle name="20% - Accent1 3 8 3" xfId="12959" xr:uid="{04CDB0BD-A59A-417F-BD3D-821C9A4EFAC5}"/>
    <cellStyle name="20% - Accent1 3 9" xfId="18022" xr:uid="{9EF28030-C41F-4527-9C1D-A1EFC0EE9CF4}"/>
    <cellStyle name="20% - Accent1 4" xfId="8" xr:uid="{00000000-0005-0000-0000-00007A000000}"/>
    <cellStyle name="20% - Accent1 4 10" xfId="8743" xr:uid="{34BC0FB1-E99F-4C6E-9932-F58D8A8955C1}"/>
    <cellStyle name="20% - Accent1 4 2" xfId="577" xr:uid="{00000000-0005-0000-0000-00007B000000}"/>
    <cellStyle name="20% - Accent1 4 2 2" xfId="2848" xr:uid="{00000000-0005-0000-0000-00007C000000}"/>
    <cellStyle name="20% - Accent1 4 2 2 2" xfId="7070" xr:uid="{00000000-0005-0000-0000-00007D000000}"/>
    <cellStyle name="20% - Accent1 4 2 2 2 2" xfId="24800" xr:uid="{B2EB5534-CBAB-4E2D-96A2-9B591BB8A2A2}"/>
    <cellStyle name="20% - Accent1 4 2 2 2 3" xfId="15520" xr:uid="{EA5548D5-0F70-413E-AAF4-9D7A584D0A6E}"/>
    <cellStyle name="20% - Accent1 4 2 2 3" xfId="20583" xr:uid="{716824FD-AFCF-4217-A604-016E5C8762D0}"/>
    <cellStyle name="20% - Accent1 4 2 2 4" xfId="11302" xr:uid="{79E1D722-071A-45CB-A44D-F5C1ECC8542B}"/>
    <cellStyle name="20% - Accent1 4 2 3" xfId="4925" xr:uid="{00000000-0005-0000-0000-00007E000000}"/>
    <cellStyle name="20% - Accent1 4 2 3 2" xfId="22655" xr:uid="{26D2389D-CA93-42F8-AF85-678CFE44A9FD}"/>
    <cellStyle name="20% - Accent1 4 2 3 3" xfId="13375" xr:uid="{ABB09468-59D2-4345-B25B-136918EB9B2F}"/>
    <cellStyle name="20% - Accent1 4 2 4" xfId="18438" xr:uid="{71330B30-427D-4E72-B3BF-81AF26D6F419}"/>
    <cellStyle name="20% - Accent1 4 2 5" xfId="17608" xr:uid="{CFA7F26D-3D03-40C0-B467-EFF7C7ACCD94}"/>
    <cellStyle name="20% - Accent1 4 2 6" xfId="9157" xr:uid="{619486A3-D9F3-4303-89E8-1D02E933D2D3}"/>
    <cellStyle name="20% - Accent1 4 3" xfId="1030" xr:uid="{00000000-0005-0000-0000-00007F000000}"/>
    <cellStyle name="20% - Accent1 4 3 2" xfId="3261" xr:uid="{00000000-0005-0000-0000-000080000000}"/>
    <cellStyle name="20% - Accent1 4 3 2 2" xfId="7483" xr:uid="{00000000-0005-0000-0000-000081000000}"/>
    <cellStyle name="20% - Accent1 4 3 2 2 2" xfId="25213" xr:uid="{A35CDF31-B8FA-4D8E-9654-872B64F29313}"/>
    <cellStyle name="20% - Accent1 4 3 2 2 3" xfId="15933" xr:uid="{0C7F10D4-1F4D-400B-A045-1E937B2AC186}"/>
    <cellStyle name="20% - Accent1 4 3 2 3" xfId="20996" xr:uid="{62D195DF-B7EB-4E0C-B7E0-6E3C75F4553D}"/>
    <cellStyle name="20% - Accent1 4 3 2 4" xfId="11715" xr:uid="{4924A3F4-653A-4252-82D9-BDF1B6DDF6FF}"/>
    <cellStyle name="20% - Accent1 4 3 3" xfId="5338" xr:uid="{00000000-0005-0000-0000-000082000000}"/>
    <cellStyle name="20% - Accent1 4 3 3 2" xfId="23068" xr:uid="{70BF055F-817C-40E3-BBA9-8F02BB021B98}"/>
    <cellStyle name="20% - Accent1 4 3 3 3" xfId="13788" xr:uid="{B57C0A08-9405-427B-9D8B-0BEF6B53C78E}"/>
    <cellStyle name="20% - Accent1 4 3 4" xfId="18851" xr:uid="{78BF8FFB-FE30-4542-9A92-0CC5458E711D}"/>
    <cellStyle name="20% - Accent1 4 3 5" xfId="9570" xr:uid="{F79B26C8-8F1C-44D4-BD4B-51ABFC19697F}"/>
    <cellStyle name="20% - Accent1 4 4" xfId="1444" xr:uid="{00000000-0005-0000-0000-000083000000}"/>
    <cellStyle name="20% - Accent1 4 4 2" xfId="3674" xr:uid="{00000000-0005-0000-0000-000084000000}"/>
    <cellStyle name="20% - Accent1 4 4 2 2" xfId="7896" xr:uid="{00000000-0005-0000-0000-000085000000}"/>
    <cellStyle name="20% - Accent1 4 4 2 2 2" xfId="25626" xr:uid="{E6371F03-4460-450E-8A67-B4BAE5348998}"/>
    <cellStyle name="20% - Accent1 4 4 2 2 3" xfId="16346" xr:uid="{BD714D48-C97E-40AA-8280-88990DB5D906}"/>
    <cellStyle name="20% - Accent1 4 4 2 3" xfId="21409" xr:uid="{13985B49-07C7-4547-81F2-7F597D6DDA84}"/>
    <cellStyle name="20% - Accent1 4 4 2 4" xfId="12128" xr:uid="{8D84E7D8-4516-4466-8B57-C19F072F3DCE}"/>
    <cellStyle name="20% - Accent1 4 4 3" xfId="5751" xr:uid="{00000000-0005-0000-0000-000086000000}"/>
    <cellStyle name="20% - Accent1 4 4 3 2" xfId="23481" xr:uid="{71563A3D-5411-486D-B715-F33A75271766}"/>
    <cellStyle name="20% - Accent1 4 4 3 3" xfId="14201" xr:uid="{FD0D5494-C119-4EE8-8967-4E94A2D9593C}"/>
    <cellStyle name="20% - Accent1 4 4 4" xfId="19264" xr:uid="{CFD7F6C6-8A2F-46CE-9A87-5C591BDB596E}"/>
    <cellStyle name="20% - Accent1 4 4 5" xfId="9983" xr:uid="{CEDF6E3C-6F48-43BA-B944-83D57047E539}"/>
    <cellStyle name="20% - Accent1 4 5" xfId="1858" xr:uid="{00000000-0005-0000-0000-000087000000}"/>
    <cellStyle name="20% - Accent1 4 5 2" xfId="4087" xr:uid="{00000000-0005-0000-0000-000088000000}"/>
    <cellStyle name="20% - Accent1 4 5 2 2" xfId="8309" xr:uid="{00000000-0005-0000-0000-000089000000}"/>
    <cellStyle name="20% - Accent1 4 5 2 2 2" xfId="26039" xr:uid="{11A769BA-A063-4B06-9B44-9AA95EEF730B}"/>
    <cellStyle name="20% - Accent1 4 5 2 2 3" xfId="16759" xr:uid="{68C892FF-0046-4CC6-B1B5-2823A6EFA377}"/>
    <cellStyle name="20% - Accent1 4 5 2 3" xfId="21822" xr:uid="{B03A05BC-6D84-4B69-B408-C1835FF7C443}"/>
    <cellStyle name="20% - Accent1 4 5 2 4" xfId="12541" xr:uid="{9B28B6CC-D1AE-4747-9D23-EBF255F4120E}"/>
    <cellStyle name="20% - Accent1 4 5 3" xfId="6164" xr:uid="{00000000-0005-0000-0000-00008A000000}"/>
    <cellStyle name="20% - Accent1 4 5 3 2" xfId="23894" xr:uid="{706DC019-41A3-4AC5-98CE-417AD851A080}"/>
    <cellStyle name="20% - Accent1 4 5 3 3" xfId="14614" xr:uid="{AACFA761-CF3A-432B-BB62-82962B09FB8E}"/>
    <cellStyle name="20% - Accent1 4 5 4" xfId="19677" xr:uid="{C0242D7C-D840-45C3-A0B7-784A7CC47A37}"/>
    <cellStyle name="20% - Accent1 4 5 5" xfId="10396" xr:uid="{4FD37BAF-6C40-4F99-BEE5-9A4D47E917BB}"/>
    <cellStyle name="20% - Accent1 4 6" xfId="2271" xr:uid="{00000000-0005-0000-0000-00008B000000}"/>
    <cellStyle name="20% - Accent1 4 6 2" xfId="6577" xr:uid="{00000000-0005-0000-0000-00008C000000}"/>
    <cellStyle name="20% - Accent1 4 6 2 2" xfId="24307" xr:uid="{7B7D1056-9083-40C0-B4DB-318D43F91E84}"/>
    <cellStyle name="20% - Accent1 4 6 2 3" xfId="15027" xr:uid="{E5094226-05AC-4C64-9266-CA549C46BDE7}"/>
    <cellStyle name="20% - Accent1 4 6 3" xfId="20090" xr:uid="{CA166D86-D59E-4CA5-929E-A6C464E0CCF2}"/>
    <cellStyle name="20% - Accent1 4 6 4" xfId="10809" xr:uid="{F456DE2C-B7D5-483E-894B-C95ED846634F}"/>
    <cellStyle name="20% - Accent1 4 7" xfId="4511" xr:uid="{00000000-0005-0000-0000-00008D000000}"/>
    <cellStyle name="20% - Accent1 4 7 2" xfId="22241" xr:uid="{DEBA9355-D544-4A01-BC98-223B5D002DCB}"/>
    <cellStyle name="20% - Accent1 4 7 3" xfId="12961" xr:uid="{48D81178-B11D-4781-B7EA-6DD395B41507}"/>
    <cellStyle name="20% - Accent1 4 8" xfId="18024" xr:uid="{A6B60E66-9E67-4845-B4A1-24488DDED71D}"/>
    <cellStyle name="20% - Accent1 4 9" xfId="17191" xr:uid="{73C065EF-4B71-44EB-B618-5E54A4A7C359}"/>
    <cellStyle name="20% - Accent1 5" xfId="570" xr:uid="{00000000-0005-0000-0000-00008E000000}"/>
    <cellStyle name="20% - Accent1 5 2" xfId="2841" xr:uid="{00000000-0005-0000-0000-00008F000000}"/>
    <cellStyle name="20% - Accent1 5 2 2" xfId="7063" xr:uid="{00000000-0005-0000-0000-000090000000}"/>
    <cellStyle name="20% - Accent1 5 2 2 2" xfId="24793" xr:uid="{E5F9F83A-42D0-4095-8586-DC8EF2450443}"/>
    <cellStyle name="20% - Accent1 5 2 2 3" xfId="15513" xr:uid="{312C434E-24C4-43F6-A1A2-77E82331AC4A}"/>
    <cellStyle name="20% - Accent1 5 2 3" xfId="20576" xr:uid="{B011D91C-169F-4AF4-BA1A-C3F84B3B08C9}"/>
    <cellStyle name="20% - Accent1 5 2 4" xfId="11295" xr:uid="{EA016D3F-8155-4C74-9418-909EB4387D80}"/>
    <cellStyle name="20% - Accent1 5 3" xfId="4918" xr:uid="{00000000-0005-0000-0000-000091000000}"/>
    <cellStyle name="20% - Accent1 5 3 2" xfId="22648" xr:uid="{2479B863-3839-49F1-9952-9D2C9A474DDC}"/>
    <cellStyle name="20% - Accent1 5 3 3" xfId="13368" xr:uid="{F6EFAF7E-686A-44E1-B59F-A9522C9BB3F3}"/>
    <cellStyle name="20% - Accent1 5 4" xfId="18431" xr:uid="{8F31E57B-6458-4CA0-87D6-1E2075AA3C22}"/>
    <cellStyle name="20% - Accent1 5 5" xfId="17601" xr:uid="{F023B2AD-556F-401B-822D-020D529F9AE4}"/>
    <cellStyle name="20% - Accent1 5 6" xfId="9150" xr:uid="{ECE36D9C-C55D-461B-8B67-AC42396CB16B}"/>
    <cellStyle name="20% - Accent1 6" xfId="1023" xr:uid="{00000000-0005-0000-0000-000092000000}"/>
    <cellStyle name="20% - Accent1 6 2" xfId="3254" xr:uid="{00000000-0005-0000-0000-000093000000}"/>
    <cellStyle name="20% - Accent1 6 2 2" xfId="7476" xr:uid="{00000000-0005-0000-0000-000094000000}"/>
    <cellStyle name="20% - Accent1 6 2 2 2" xfId="25206" xr:uid="{5B366886-3B96-4A3C-B52C-38BEA32BEE51}"/>
    <cellStyle name="20% - Accent1 6 2 2 3" xfId="15926" xr:uid="{9B35B4F6-3F5C-43A6-9E0E-12210662FCFE}"/>
    <cellStyle name="20% - Accent1 6 2 3" xfId="20989" xr:uid="{1ABED18D-8053-4C80-8370-4EE89EFA0B7B}"/>
    <cellStyle name="20% - Accent1 6 2 4" xfId="11708" xr:uid="{6FD810DA-B6BA-460B-8B49-DCE5536C2C95}"/>
    <cellStyle name="20% - Accent1 6 3" xfId="5331" xr:uid="{00000000-0005-0000-0000-000095000000}"/>
    <cellStyle name="20% - Accent1 6 3 2" xfId="23061" xr:uid="{B886F9AD-2DC3-4A2E-887F-8CF3F84DB6F3}"/>
    <cellStyle name="20% - Accent1 6 3 3" xfId="13781" xr:uid="{D658B2AB-D553-4436-9E35-986ACA382D48}"/>
    <cellStyle name="20% - Accent1 6 4" xfId="18844" xr:uid="{18231586-3618-4C26-8F5D-D2B25F232C10}"/>
    <cellStyle name="20% - Accent1 6 5" xfId="9563" xr:uid="{B63A2726-56D2-43D7-8A4F-904B53FC5D09}"/>
    <cellStyle name="20% - Accent1 7" xfId="1437" xr:uid="{00000000-0005-0000-0000-000096000000}"/>
    <cellStyle name="20% - Accent1 7 2" xfId="3667" xr:uid="{00000000-0005-0000-0000-000097000000}"/>
    <cellStyle name="20% - Accent1 7 2 2" xfId="7889" xr:uid="{00000000-0005-0000-0000-000098000000}"/>
    <cellStyle name="20% - Accent1 7 2 2 2" xfId="25619" xr:uid="{E5AEE07B-12E6-49DF-9AF7-70936BBBBA82}"/>
    <cellStyle name="20% - Accent1 7 2 2 3" xfId="16339" xr:uid="{676EEBE9-2B44-4678-AD0E-F3F268D15BA6}"/>
    <cellStyle name="20% - Accent1 7 2 3" xfId="21402" xr:uid="{1540C6FB-09FE-4E1E-8AE0-036B4E19E126}"/>
    <cellStyle name="20% - Accent1 7 2 4" xfId="12121" xr:uid="{7E463B04-C3DE-4385-AD35-6187664B985A}"/>
    <cellStyle name="20% - Accent1 7 3" xfId="5744" xr:uid="{00000000-0005-0000-0000-000099000000}"/>
    <cellStyle name="20% - Accent1 7 3 2" xfId="23474" xr:uid="{E184B6C5-CD86-4652-83E4-CAC9AF1F5A77}"/>
    <cellStyle name="20% - Accent1 7 3 3" xfId="14194" xr:uid="{8140D148-D530-4681-8D43-E4B510096C88}"/>
    <cellStyle name="20% - Accent1 7 4" xfId="19257" xr:uid="{9722974D-6D77-4396-8260-3F8687E192C5}"/>
    <cellStyle name="20% - Accent1 7 5" xfId="9976" xr:uid="{3E047834-E3AB-4338-B2F3-44A74FBA7095}"/>
    <cellStyle name="20% - Accent1 8" xfId="1851" xr:uid="{00000000-0005-0000-0000-00009A000000}"/>
    <cellStyle name="20% - Accent1 8 2" xfId="4080" xr:uid="{00000000-0005-0000-0000-00009B000000}"/>
    <cellStyle name="20% - Accent1 8 2 2" xfId="8302" xr:uid="{00000000-0005-0000-0000-00009C000000}"/>
    <cellStyle name="20% - Accent1 8 2 2 2" xfId="26032" xr:uid="{569E4EF5-8B35-49CB-9BB0-3D23E80C28B7}"/>
    <cellStyle name="20% - Accent1 8 2 2 3" xfId="16752" xr:uid="{3BDC9CF7-2B03-434E-9165-C65EE5A5D535}"/>
    <cellStyle name="20% - Accent1 8 2 3" xfId="21815" xr:uid="{BF3394AD-AF02-4D5A-914A-F77CD4570A46}"/>
    <cellStyle name="20% - Accent1 8 2 4" xfId="12534" xr:uid="{2E7E7737-DB46-4F9F-81BF-A438131C0374}"/>
    <cellStyle name="20% - Accent1 8 3" xfId="6157" xr:uid="{00000000-0005-0000-0000-00009D000000}"/>
    <cellStyle name="20% - Accent1 8 3 2" xfId="23887" xr:uid="{B4697531-4730-48BE-BA63-D5DEE3D69050}"/>
    <cellStyle name="20% - Accent1 8 3 3" xfId="14607" xr:uid="{06C437E7-96CE-4F88-B0F4-4AF2E6EF5EE6}"/>
    <cellStyle name="20% - Accent1 8 4" xfId="19670" xr:uid="{A7AAE487-DA94-46F9-A54E-0B65BE81A359}"/>
    <cellStyle name="20% - Accent1 8 5" xfId="10389" xr:uid="{55D6C579-8AD5-4892-A51F-80875BE139C6}"/>
    <cellStyle name="20% - Accent1 9" xfId="2264" xr:uid="{00000000-0005-0000-0000-00009E000000}"/>
    <cellStyle name="20% - Accent1 9 2" xfId="6570" xr:uid="{00000000-0005-0000-0000-00009F000000}"/>
    <cellStyle name="20% - Accent1 9 2 2" xfId="24300" xr:uid="{61A39E04-B499-4751-9992-854B9DB5A0B4}"/>
    <cellStyle name="20% - Accent1 9 2 3" xfId="15020" xr:uid="{131F6B6F-299C-47B3-B22F-D1D7575DF68F}"/>
    <cellStyle name="20% - Accent1 9 3" xfId="20083" xr:uid="{E7787822-51CA-4284-B26A-52F7D5C20FD9}"/>
    <cellStyle name="20% - Accent1 9 4" xfId="10802" xr:uid="{4DF73C0B-D6F2-4BD5-BF1B-6094605A23E5}"/>
    <cellStyle name="20% - Accent2" xfId="9" builtinId="34" customBuiltin="1"/>
    <cellStyle name="20% - Accent2 10" xfId="4512" xr:uid="{00000000-0005-0000-0000-0000A1000000}"/>
    <cellStyle name="20% - Accent2 10 2" xfId="22242" xr:uid="{BA1BEA11-83FE-4111-A15F-9DCAF0174A30}"/>
    <cellStyle name="20% - Accent2 10 3" xfId="12962" xr:uid="{A5699FE6-64B7-449B-A424-D0B15770F776}"/>
    <cellStyle name="20% - Accent2 11" xfId="18025" xr:uid="{94D3F578-DBA5-4A40-8E60-55E888A34DB5}"/>
    <cellStyle name="20% - Accent2 12" xfId="17192" xr:uid="{9D5D0BC9-79AF-4215-9B19-2805AA943A35}"/>
    <cellStyle name="20% - Accent2 13" xfId="8744" xr:uid="{E21B9BE2-5F33-41F7-9143-9006D796A9C4}"/>
    <cellStyle name="20% - Accent2 2" xfId="10" xr:uid="{00000000-0005-0000-0000-0000A2000000}"/>
    <cellStyle name="20% - Accent2 2 10" xfId="18026" xr:uid="{79D11063-054B-4B9D-9834-C4DA6FCBBB78}"/>
    <cellStyle name="20% - Accent2 2 11" xfId="17193" xr:uid="{B76F030F-8B27-4E8A-A768-B3950CB25717}"/>
    <cellStyle name="20% - Accent2 2 12" xfId="8745" xr:uid="{654CA5D6-07F8-43AD-95D4-FB0F06FBE448}"/>
    <cellStyle name="20% - Accent2 2 2" xfId="11" xr:uid="{00000000-0005-0000-0000-0000A3000000}"/>
    <cellStyle name="20% - Accent2 2 2 10" xfId="17194" xr:uid="{65F9C1FA-A9E9-4287-ACDD-68EA5D8D3368}"/>
    <cellStyle name="20% - Accent2 2 2 11" xfId="8746" xr:uid="{EACA8D74-48A4-4769-9807-2F13F7BE7EC1}"/>
    <cellStyle name="20% - Accent2 2 2 2" xfId="12" xr:uid="{00000000-0005-0000-0000-0000A4000000}"/>
    <cellStyle name="20% - Accent2 2 2 2 10" xfId="8747" xr:uid="{AA1367BB-91A0-4490-9071-CE89E778549B}"/>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24804" xr:uid="{243E3F74-8E8F-41A7-978E-945B5C4A7B78}"/>
    <cellStyle name="20% - Accent2 2 2 2 2 2 2 3" xfId="15524" xr:uid="{C4D15BFB-A410-4730-B0B7-3F515FD7AB85}"/>
    <cellStyle name="20% - Accent2 2 2 2 2 2 3" xfId="20587" xr:uid="{7A4E7291-4501-40CB-9C4F-B4C547502339}"/>
    <cellStyle name="20% - Accent2 2 2 2 2 2 4" xfId="11306" xr:uid="{B797D02C-19D9-4470-8D65-DE5D4865FF9C}"/>
    <cellStyle name="20% - Accent2 2 2 2 2 3" xfId="4929" xr:uid="{00000000-0005-0000-0000-0000A8000000}"/>
    <cellStyle name="20% - Accent2 2 2 2 2 3 2" xfId="22659" xr:uid="{B386E24E-967A-4B84-8FFF-9346998BBBD2}"/>
    <cellStyle name="20% - Accent2 2 2 2 2 3 3" xfId="13379" xr:uid="{95D1EDA8-5DE2-47B6-90FD-61EE5505DC6C}"/>
    <cellStyle name="20% - Accent2 2 2 2 2 4" xfId="18442" xr:uid="{E43176F5-3FB8-4848-96DF-D0439E2B6D9E}"/>
    <cellStyle name="20% - Accent2 2 2 2 2 5" xfId="17612" xr:uid="{23C7B650-1A3E-4D41-A001-572A261B0C2E}"/>
    <cellStyle name="20% - Accent2 2 2 2 2 6" xfId="9161" xr:uid="{F4DEA93E-0E50-4D1C-984C-41E944255FBA}"/>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25217" xr:uid="{649429FD-ED06-4CCB-9ED1-DA395395BC9D}"/>
    <cellStyle name="20% - Accent2 2 2 2 3 2 2 3" xfId="15937" xr:uid="{2C6161E5-8EC5-4047-85C9-5CE36FF5FD62}"/>
    <cellStyle name="20% - Accent2 2 2 2 3 2 3" xfId="21000" xr:uid="{276E70FF-2E68-4EFE-9DE1-72F0BBA44933}"/>
    <cellStyle name="20% - Accent2 2 2 2 3 2 4" xfId="11719" xr:uid="{1ADF448B-105D-4A93-9571-9A422917241B}"/>
    <cellStyle name="20% - Accent2 2 2 2 3 3" xfId="5342" xr:uid="{00000000-0005-0000-0000-0000AC000000}"/>
    <cellStyle name="20% - Accent2 2 2 2 3 3 2" xfId="23072" xr:uid="{C9266FD5-C53B-46DD-BCA9-2226C61062D7}"/>
    <cellStyle name="20% - Accent2 2 2 2 3 3 3" xfId="13792" xr:uid="{6B824AC5-C414-4B68-8220-1C70587781F6}"/>
    <cellStyle name="20% - Accent2 2 2 2 3 4" xfId="18855" xr:uid="{D4BFA82E-2F37-43AB-B182-C6B116CB81C9}"/>
    <cellStyle name="20% - Accent2 2 2 2 3 5" xfId="9574" xr:uid="{B025E68B-FF90-42A6-ACC9-EE2D5643516A}"/>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25630" xr:uid="{56538F86-A099-4264-A688-143DD27E66FA}"/>
    <cellStyle name="20% - Accent2 2 2 2 4 2 2 3" xfId="16350" xr:uid="{EB1B6845-50A9-45E1-AE16-94CDC41460AB}"/>
    <cellStyle name="20% - Accent2 2 2 2 4 2 3" xfId="21413" xr:uid="{89731265-5986-477F-8EA2-6A9F923C3252}"/>
    <cellStyle name="20% - Accent2 2 2 2 4 2 4" xfId="12132" xr:uid="{F3980C5E-4F31-4B20-8549-3C4764BE7626}"/>
    <cellStyle name="20% - Accent2 2 2 2 4 3" xfId="5755" xr:uid="{00000000-0005-0000-0000-0000B0000000}"/>
    <cellStyle name="20% - Accent2 2 2 2 4 3 2" xfId="23485" xr:uid="{64F8E758-21E9-401B-88C5-0CDC07835814}"/>
    <cellStyle name="20% - Accent2 2 2 2 4 3 3" xfId="14205" xr:uid="{D7A875B6-F5CD-4B8E-BB3D-C5B6DCC29103}"/>
    <cellStyle name="20% - Accent2 2 2 2 4 4" xfId="19268" xr:uid="{FD8749E3-B1BD-4367-9211-97866811886F}"/>
    <cellStyle name="20% - Accent2 2 2 2 4 5" xfId="9987" xr:uid="{7F3A2BC5-95A3-46B5-BFAF-9F3703E34753}"/>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26043" xr:uid="{BAE915E8-745B-4301-BDA3-CFE9D8C05305}"/>
    <cellStyle name="20% - Accent2 2 2 2 5 2 2 3" xfId="16763" xr:uid="{C493220B-EB7C-4874-82FD-436A15F84513}"/>
    <cellStyle name="20% - Accent2 2 2 2 5 2 3" xfId="21826" xr:uid="{D21BE369-7309-40DB-A0C2-E55C890A5237}"/>
    <cellStyle name="20% - Accent2 2 2 2 5 2 4" xfId="12545" xr:uid="{C9E69A1E-2D78-4C7D-8B99-478DBC1445CA}"/>
    <cellStyle name="20% - Accent2 2 2 2 5 3" xfId="6168" xr:uid="{00000000-0005-0000-0000-0000B4000000}"/>
    <cellStyle name="20% - Accent2 2 2 2 5 3 2" xfId="23898" xr:uid="{5585E20F-9723-4F5F-BBEA-05C6465A8F98}"/>
    <cellStyle name="20% - Accent2 2 2 2 5 3 3" xfId="14618" xr:uid="{CD3B2371-1009-4075-96F1-DEDCE9C399D4}"/>
    <cellStyle name="20% - Accent2 2 2 2 5 4" xfId="19681" xr:uid="{429914A9-1010-4747-8265-D993D0BA77A9}"/>
    <cellStyle name="20% - Accent2 2 2 2 5 5" xfId="10400" xr:uid="{4D7F4395-D5CB-489C-B842-77251AC4E353}"/>
    <cellStyle name="20% - Accent2 2 2 2 6" xfId="2275" xr:uid="{00000000-0005-0000-0000-0000B5000000}"/>
    <cellStyle name="20% - Accent2 2 2 2 6 2" xfId="6581" xr:uid="{00000000-0005-0000-0000-0000B6000000}"/>
    <cellStyle name="20% - Accent2 2 2 2 6 2 2" xfId="24311" xr:uid="{FDBE9F06-64FC-41F3-B518-CCF6C71FFFF6}"/>
    <cellStyle name="20% - Accent2 2 2 2 6 2 3" xfId="15031" xr:uid="{E5190331-6F7E-494A-BE80-D64645494043}"/>
    <cellStyle name="20% - Accent2 2 2 2 6 3" xfId="20094" xr:uid="{46D1C216-0E2B-4A8C-90A4-B86EB88010F8}"/>
    <cellStyle name="20% - Accent2 2 2 2 6 4" xfId="10813" xr:uid="{FF9BA4FC-FB8B-43FD-995E-1391E18E08B4}"/>
    <cellStyle name="20% - Accent2 2 2 2 7" xfId="4515" xr:uid="{00000000-0005-0000-0000-0000B7000000}"/>
    <cellStyle name="20% - Accent2 2 2 2 7 2" xfId="22245" xr:uid="{5E762B11-B53E-4189-B339-3F89EF11333E}"/>
    <cellStyle name="20% - Accent2 2 2 2 7 3" xfId="12965" xr:uid="{C86D1DBA-4963-4559-9EE9-A20941842ABA}"/>
    <cellStyle name="20% - Accent2 2 2 2 8" xfId="18028" xr:uid="{CF20A608-9763-48D0-8001-28917716993F}"/>
    <cellStyle name="20% - Accent2 2 2 2 9" xfId="17195" xr:uid="{3B1FFBF3-4AB8-42E3-9064-AF44CC474E7D}"/>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24803" xr:uid="{F4094989-2531-4E66-BD75-B03005C67596}"/>
    <cellStyle name="20% - Accent2 2 2 3 2 2 3" xfId="15523" xr:uid="{BCC886ED-1867-40A4-87A7-F67405BDDD68}"/>
    <cellStyle name="20% - Accent2 2 2 3 2 3" xfId="20586" xr:uid="{B8F6BAEF-E684-42A8-A358-574ACA3CCD73}"/>
    <cellStyle name="20% - Accent2 2 2 3 2 4" xfId="11305" xr:uid="{FB464E00-51A2-464F-995D-9C8D4428BC05}"/>
    <cellStyle name="20% - Accent2 2 2 3 3" xfId="4928" xr:uid="{00000000-0005-0000-0000-0000BB000000}"/>
    <cellStyle name="20% - Accent2 2 2 3 3 2" xfId="22658" xr:uid="{74C86B75-B31B-493E-86EB-6EC57BBBBD10}"/>
    <cellStyle name="20% - Accent2 2 2 3 3 3" xfId="13378" xr:uid="{6AD338A7-F71D-4856-9F9A-BF8959B6D359}"/>
    <cellStyle name="20% - Accent2 2 2 3 4" xfId="18441" xr:uid="{A53B12AB-CE6A-4353-A962-C759894BA677}"/>
    <cellStyle name="20% - Accent2 2 2 3 5" xfId="17611" xr:uid="{A2CA48C3-5B33-4E1B-B36E-898510B03311}"/>
    <cellStyle name="20% - Accent2 2 2 3 6" xfId="9160" xr:uid="{CFC8F131-C145-4926-AE5F-E65E1B8A2E65}"/>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25216" xr:uid="{091532AA-37F1-4816-9AE2-2968CF52609B}"/>
    <cellStyle name="20% - Accent2 2 2 4 2 2 3" xfId="15936" xr:uid="{41037B3B-BC88-4853-840E-56C0F092BDEE}"/>
    <cellStyle name="20% - Accent2 2 2 4 2 3" xfId="20999" xr:uid="{949A0AC9-BA4D-4612-BE52-19AD5A44E348}"/>
    <cellStyle name="20% - Accent2 2 2 4 2 4" xfId="11718" xr:uid="{4E569399-5523-444E-BF66-1982DFDB5FC9}"/>
    <cellStyle name="20% - Accent2 2 2 4 3" xfId="5341" xr:uid="{00000000-0005-0000-0000-0000BF000000}"/>
    <cellStyle name="20% - Accent2 2 2 4 3 2" xfId="23071" xr:uid="{E775BB16-85C4-49F2-A683-2F1B6298480B}"/>
    <cellStyle name="20% - Accent2 2 2 4 3 3" xfId="13791" xr:uid="{765633EC-76B2-4151-8923-9747AB902ABB}"/>
    <cellStyle name="20% - Accent2 2 2 4 4" xfId="18854" xr:uid="{72482577-144E-43E0-A113-4D5DAA0596A3}"/>
    <cellStyle name="20% - Accent2 2 2 4 5" xfId="9573" xr:uid="{47341237-B641-4BEC-A9FE-9903AA9ED6C9}"/>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25629" xr:uid="{5152FF2C-EE85-482C-A4A1-413FD182D5C6}"/>
    <cellStyle name="20% - Accent2 2 2 5 2 2 3" xfId="16349" xr:uid="{434D8CB9-C396-4983-B9BE-4A6B8AEF2ACA}"/>
    <cellStyle name="20% - Accent2 2 2 5 2 3" xfId="21412" xr:uid="{0CA5C0BA-3DFF-4ADA-B3B3-393161C6F3E7}"/>
    <cellStyle name="20% - Accent2 2 2 5 2 4" xfId="12131" xr:uid="{F5E1F811-E691-4247-9C91-ADF877C40596}"/>
    <cellStyle name="20% - Accent2 2 2 5 3" xfId="5754" xr:uid="{00000000-0005-0000-0000-0000C3000000}"/>
    <cellStyle name="20% - Accent2 2 2 5 3 2" xfId="23484" xr:uid="{CD8C1668-F468-497C-B854-4B8B8617FA76}"/>
    <cellStyle name="20% - Accent2 2 2 5 3 3" xfId="14204" xr:uid="{E61818ED-9DB6-4D24-A056-FECB8E5D061B}"/>
    <cellStyle name="20% - Accent2 2 2 5 4" xfId="19267" xr:uid="{294CBA3E-1CC8-4149-96F3-968F3B2165CC}"/>
    <cellStyle name="20% - Accent2 2 2 5 5" xfId="9986" xr:uid="{33F3A93A-7CCA-4B17-AE00-9A5EB3F9A5B4}"/>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26042" xr:uid="{484379A4-10FC-46F1-9DDD-BD4CF4AF5864}"/>
    <cellStyle name="20% - Accent2 2 2 6 2 2 3" xfId="16762" xr:uid="{67B04B3A-0B47-474B-BADB-89260A33F03D}"/>
    <cellStyle name="20% - Accent2 2 2 6 2 3" xfId="21825" xr:uid="{03102D64-612C-45FB-AF9C-4A3874F50427}"/>
    <cellStyle name="20% - Accent2 2 2 6 2 4" xfId="12544" xr:uid="{03C01A87-918D-4102-8F91-F93503DEE6D4}"/>
    <cellStyle name="20% - Accent2 2 2 6 3" xfId="6167" xr:uid="{00000000-0005-0000-0000-0000C7000000}"/>
    <cellStyle name="20% - Accent2 2 2 6 3 2" xfId="23897" xr:uid="{C23C2948-0C91-4FE5-926F-B82016667312}"/>
    <cellStyle name="20% - Accent2 2 2 6 3 3" xfId="14617" xr:uid="{05EFBE5D-4F08-4AC0-BBEC-D844F0028E4E}"/>
    <cellStyle name="20% - Accent2 2 2 6 4" xfId="19680" xr:uid="{2830702C-703C-4A0B-ADA8-1EC57F669FBE}"/>
    <cellStyle name="20% - Accent2 2 2 6 5" xfId="10399" xr:uid="{E9892B52-D821-4784-A4A7-94889BDFB387}"/>
    <cellStyle name="20% - Accent2 2 2 7" xfId="2274" xr:uid="{00000000-0005-0000-0000-0000C8000000}"/>
    <cellStyle name="20% - Accent2 2 2 7 2" xfId="6580" xr:uid="{00000000-0005-0000-0000-0000C9000000}"/>
    <cellStyle name="20% - Accent2 2 2 7 2 2" xfId="24310" xr:uid="{A73AECBA-7685-451D-AC21-FE632F6C216A}"/>
    <cellStyle name="20% - Accent2 2 2 7 2 3" xfId="15030" xr:uid="{D2EA88F8-C85F-4F8E-A41D-8522DBAE8CFA}"/>
    <cellStyle name="20% - Accent2 2 2 7 3" xfId="20093" xr:uid="{BF927689-22CC-4671-8407-C8AA4FC91AD8}"/>
    <cellStyle name="20% - Accent2 2 2 7 4" xfId="10812" xr:uid="{A0A18760-E04F-4D0B-8478-05EF7C897178}"/>
    <cellStyle name="20% - Accent2 2 2 8" xfId="4514" xr:uid="{00000000-0005-0000-0000-0000CA000000}"/>
    <cellStyle name="20% - Accent2 2 2 8 2" xfId="22244" xr:uid="{8580200A-A6D0-4BCC-AF32-E93DAEFB7E8B}"/>
    <cellStyle name="20% - Accent2 2 2 8 3" xfId="12964" xr:uid="{552D1261-E8DF-4ED6-950D-1C627FB2D9F4}"/>
    <cellStyle name="20% - Accent2 2 2 9" xfId="18027" xr:uid="{391C751A-DD4D-468A-B569-ECF24F57DFDA}"/>
    <cellStyle name="20% - Accent2 2 3" xfId="13" xr:uid="{00000000-0005-0000-0000-0000CB000000}"/>
    <cellStyle name="20% - Accent2 2 3 10" xfId="8748" xr:uid="{CB83252B-E2DA-41DD-AD7F-ED768E04C6CA}"/>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24805" xr:uid="{17E6ED11-B245-4FAD-9C7E-5628530D416E}"/>
    <cellStyle name="20% - Accent2 2 3 2 2 2 3" xfId="15525" xr:uid="{A2954669-3F43-4E13-9C5A-6EC63EE6ACC1}"/>
    <cellStyle name="20% - Accent2 2 3 2 2 3" xfId="20588" xr:uid="{F2F20548-A3F6-4061-AA45-A7EE692A17F6}"/>
    <cellStyle name="20% - Accent2 2 3 2 2 4" xfId="11307" xr:uid="{86DBE862-11E4-41C8-AA57-2CCB6B5F931F}"/>
    <cellStyle name="20% - Accent2 2 3 2 3" xfId="4930" xr:uid="{00000000-0005-0000-0000-0000CF000000}"/>
    <cellStyle name="20% - Accent2 2 3 2 3 2" xfId="22660" xr:uid="{5A7D7350-2A7A-4ABA-B088-C3D765D073F8}"/>
    <cellStyle name="20% - Accent2 2 3 2 3 3" xfId="13380" xr:uid="{20098913-6138-4939-9B9D-826C9846DD57}"/>
    <cellStyle name="20% - Accent2 2 3 2 4" xfId="18443" xr:uid="{C1D931A5-6131-479E-8844-91AD789B9367}"/>
    <cellStyle name="20% - Accent2 2 3 2 5" xfId="17613" xr:uid="{DE70933F-4BF4-4C32-BA55-420910AB0DE9}"/>
    <cellStyle name="20% - Accent2 2 3 2 6" xfId="9162" xr:uid="{209FAFA0-6087-40A3-9DF4-AC4C41742F59}"/>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25218" xr:uid="{8B07479E-C06D-4141-B63E-82008E9491AF}"/>
    <cellStyle name="20% - Accent2 2 3 3 2 2 3" xfId="15938" xr:uid="{077FC920-FD27-4B3F-B92D-2066080626F1}"/>
    <cellStyle name="20% - Accent2 2 3 3 2 3" xfId="21001" xr:uid="{D6290F44-D392-4D6A-8BD5-8103A8A9EE85}"/>
    <cellStyle name="20% - Accent2 2 3 3 2 4" xfId="11720" xr:uid="{EEFA82F3-BD1B-4801-8171-5260A3D38B03}"/>
    <cellStyle name="20% - Accent2 2 3 3 3" xfId="5343" xr:uid="{00000000-0005-0000-0000-0000D3000000}"/>
    <cellStyle name="20% - Accent2 2 3 3 3 2" xfId="23073" xr:uid="{68321DB5-EF82-4091-8799-7AFC2998E7F8}"/>
    <cellStyle name="20% - Accent2 2 3 3 3 3" xfId="13793" xr:uid="{AC792D36-C3FD-45B0-9689-F0F76CCD8E8B}"/>
    <cellStyle name="20% - Accent2 2 3 3 4" xfId="18856" xr:uid="{FACF9C86-ABAE-4C62-B908-3D041ADECFC7}"/>
    <cellStyle name="20% - Accent2 2 3 3 5" xfId="9575" xr:uid="{93F509AC-12A7-4A04-9FB4-DDFD584C22FE}"/>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25631" xr:uid="{AB4606CE-F674-4543-B82E-EA136D573755}"/>
    <cellStyle name="20% - Accent2 2 3 4 2 2 3" xfId="16351" xr:uid="{A59CBD16-688B-4FC5-BF23-CE32A111E221}"/>
    <cellStyle name="20% - Accent2 2 3 4 2 3" xfId="21414" xr:uid="{DBEFE2AE-D960-4F47-B7CB-A6E5D550BA07}"/>
    <cellStyle name="20% - Accent2 2 3 4 2 4" xfId="12133" xr:uid="{17CA75F6-FE6C-478B-946C-AE13DA269196}"/>
    <cellStyle name="20% - Accent2 2 3 4 3" xfId="5756" xr:uid="{00000000-0005-0000-0000-0000D7000000}"/>
    <cellStyle name="20% - Accent2 2 3 4 3 2" xfId="23486" xr:uid="{FE1A4F0E-F9A6-4B13-928D-7ADF9BEE6718}"/>
    <cellStyle name="20% - Accent2 2 3 4 3 3" xfId="14206" xr:uid="{6157BD0A-E207-41BB-AD01-6277F8CB7280}"/>
    <cellStyle name="20% - Accent2 2 3 4 4" xfId="19269" xr:uid="{ECE1C6FE-E6B8-4EDC-AE24-436EE0113CA3}"/>
    <cellStyle name="20% - Accent2 2 3 4 5" xfId="9988" xr:uid="{6118A233-0EBC-4C0E-97BD-E4731AA013B1}"/>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26044" xr:uid="{718122C9-5EA8-46BC-9729-05E70A5151FD}"/>
    <cellStyle name="20% - Accent2 2 3 5 2 2 3" xfId="16764" xr:uid="{A84FDFBA-984E-4AD1-9DED-778AA281DB73}"/>
    <cellStyle name="20% - Accent2 2 3 5 2 3" xfId="21827" xr:uid="{0BFD8501-9647-4B35-AF72-BF0ED55F41AF}"/>
    <cellStyle name="20% - Accent2 2 3 5 2 4" xfId="12546" xr:uid="{E18A7F8C-736D-4C06-B1A0-FC3944940ABC}"/>
    <cellStyle name="20% - Accent2 2 3 5 3" xfId="6169" xr:uid="{00000000-0005-0000-0000-0000DB000000}"/>
    <cellStyle name="20% - Accent2 2 3 5 3 2" xfId="23899" xr:uid="{3399DB5D-DD85-4C0E-8D53-F3E5F43490AA}"/>
    <cellStyle name="20% - Accent2 2 3 5 3 3" xfId="14619" xr:uid="{4BBB491D-7CBA-4E4C-A6CC-66DB7D146B9B}"/>
    <cellStyle name="20% - Accent2 2 3 5 4" xfId="19682" xr:uid="{4DDB2BBD-6540-412A-AE1B-BCB8A60A6B1B}"/>
    <cellStyle name="20% - Accent2 2 3 5 5" xfId="10401" xr:uid="{9F408432-3A84-483B-8FDD-E322A2F69DEB}"/>
    <cellStyle name="20% - Accent2 2 3 6" xfId="2276" xr:uid="{00000000-0005-0000-0000-0000DC000000}"/>
    <cellStyle name="20% - Accent2 2 3 6 2" xfId="6582" xr:uid="{00000000-0005-0000-0000-0000DD000000}"/>
    <cellStyle name="20% - Accent2 2 3 6 2 2" xfId="24312" xr:uid="{833FD754-3C7C-4940-88DB-B2FBBC4B0AD3}"/>
    <cellStyle name="20% - Accent2 2 3 6 2 3" xfId="15032" xr:uid="{A179901A-D0B0-4787-94CA-48006975FA5C}"/>
    <cellStyle name="20% - Accent2 2 3 6 3" xfId="20095" xr:uid="{7F4AB79F-D8B3-424C-ADD6-E9F2E5471035}"/>
    <cellStyle name="20% - Accent2 2 3 6 4" xfId="10814" xr:uid="{5FA5F524-FFBE-4652-8706-ACF6D02A0E97}"/>
    <cellStyle name="20% - Accent2 2 3 7" xfId="4516" xr:uid="{00000000-0005-0000-0000-0000DE000000}"/>
    <cellStyle name="20% - Accent2 2 3 7 2" xfId="22246" xr:uid="{5F1493E5-A0CA-44FA-99E1-67BE1841313A}"/>
    <cellStyle name="20% - Accent2 2 3 7 3" xfId="12966" xr:uid="{B5E0DE68-DF46-42FA-AA59-7D4F563B60E8}"/>
    <cellStyle name="20% - Accent2 2 3 8" xfId="18029" xr:uid="{C244CDA8-9C29-455B-B8C5-C244076854FF}"/>
    <cellStyle name="20% - Accent2 2 3 9" xfId="17196" xr:uid="{FA432555-C240-4E3B-9832-9ACF8F405BE1}"/>
    <cellStyle name="20% - Accent2 2 4" xfId="579" xr:uid="{00000000-0005-0000-0000-0000DF000000}"/>
    <cellStyle name="20% - Accent2 2 4 2" xfId="2850" xr:uid="{00000000-0005-0000-0000-0000E0000000}"/>
    <cellStyle name="20% - Accent2 2 4 2 2" xfId="7072" xr:uid="{00000000-0005-0000-0000-0000E1000000}"/>
    <cellStyle name="20% - Accent2 2 4 2 2 2" xfId="24802" xr:uid="{FF9D1FAF-71FC-4B89-A0CD-67BB46D3D9C5}"/>
    <cellStyle name="20% - Accent2 2 4 2 2 3" xfId="15522" xr:uid="{83B8721A-5E76-4992-BA26-5ED29C6871FD}"/>
    <cellStyle name="20% - Accent2 2 4 2 3" xfId="20585" xr:uid="{6017203A-2AA8-4C99-A350-1BBF920F90FF}"/>
    <cellStyle name="20% - Accent2 2 4 2 4" xfId="11304" xr:uid="{ABB6C091-031F-4FDF-91FD-3ADCE4AEB9F6}"/>
    <cellStyle name="20% - Accent2 2 4 3" xfId="4927" xr:uid="{00000000-0005-0000-0000-0000E2000000}"/>
    <cellStyle name="20% - Accent2 2 4 3 2" xfId="22657" xr:uid="{93321B9D-B0AE-4B86-B901-45795F296802}"/>
    <cellStyle name="20% - Accent2 2 4 3 3" xfId="13377" xr:uid="{F2D8C234-9F7F-4733-A947-1ADC5292CB3E}"/>
    <cellStyle name="20% - Accent2 2 4 4" xfId="18440" xr:uid="{D65DD0EC-6AB6-48CC-A98B-9576F18C606A}"/>
    <cellStyle name="20% - Accent2 2 4 5" xfId="17610" xr:uid="{F598A714-AE25-4C76-B975-508639882737}"/>
    <cellStyle name="20% - Accent2 2 4 6" xfId="9159" xr:uid="{7E663813-00AD-4B64-A820-2A86462D756F}"/>
    <cellStyle name="20% - Accent2 2 5" xfId="1032" xr:uid="{00000000-0005-0000-0000-0000E3000000}"/>
    <cellStyle name="20% - Accent2 2 5 2" xfId="3263" xr:uid="{00000000-0005-0000-0000-0000E4000000}"/>
    <cellStyle name="20% - Accent2 2 5 2 2" xfId="7485" xr:uid="{00000000-0005-0000-0000-0000E5000000}"/>
    <cellStyle name="20% - Accent2 2 5 2 2 2" xfId="25215" xr:uid="{B8AFD5D0-87B5-44B0-AADB-8970A9BBE6EE}"/>
    <cellStyle name="20% - Accent2 2 5 2 2 3" xfId="15935" xr:uid="{E0580BD2-F868-413F-9B8F-F6574891B5B9}"/>
    <cellStyle name="20% - Accent2 2 5 2 3" xfId="20998" xr:uid="{59706B3D-F544-43D7-9C1D-7A159F95E98E}"/>
    <cellStyle name="20% - Accent2 2 5 2 4" xfId="11717" xr:uid="{704734F6-53D5-4C8A-8914-90DEF44A1639}"/>
    <cellStyle name="20% - Accent2 2 5 3" xfId="5340" xr:uid="{00000000-0005-0000-0000-0000E6000000}"/>
    <cellStyle name="20% - Accent2 2 5 3 2" xfId="23070" xr:uid="{0BB43C26-83DA-45CA-A5BE-179385A7C73C}"/>
    <cellStyle name="20% - Accent2 2 5 3 3" xfId="13790" xr:uid="{5DA9F20A-A771-4BBD-B81F-847FBC684667}"/>
    <cellStyle name="20% - Accent2 2 5 4" xfId="18853" xr:uid="{651FC5F1-8AC0-4F85-BAF1-0A3F92D7DF76}"/>
    <cellStyle name="20% - Accent2 2 5 5" xfId="9572" xr:uid="{80E59F90-E63B-4A18-97E6-D03D7508659F}"/>
    <cellStyle name="20% - Accent2 2 6" xfId="1446" xr:uid="{00000000-0005-0000-0000-0000E7000000}"/>
    <cellStyle name="20% - Accent2 2 6 2" xfId="3676" xr:uid="{00000000-0005-0000-0000-0000E8000000}"/>
    <cellStyle name="20% - Accent2 2 6 2 2" xfId="7898" xr:uid="{00000000-0005-0000-0000-0000E9000000}"/>
    <cellStyle name="20% - Accent2 2 6 2 2 2" xfId="25628" xr:uid="{598F6BB1-EA06-4950-9702-8AECAC755EB4}"/>
    <cellStyle name="20% - Accent2 2 6 2 2 3" xfId="16348" xr:uid="{CD6AD0E2-8C4A-421F-9A0A-EDA361863204}"/>
    <cellStyle name="20% - Accent2 2 6 2 3" xfId="21411" xr:uid="{06AA22B2-DBBA-42DD-B670-77D1EA4D2036}"/>
    <cellStyle name="20% - Accent2 2 6 2 4" xfId="12130" xr:uid="{3D083824-6673-408F-90A3-BFFE7898FE4D}"/>
    <cellStyle name="20% - Accent2 2 6 3" xfId="5753" xr:uid="{00000000-0005-0000-0000-0000EA000000}"/>
    <cellStyle name="20% - Accent2 2 6 3 2" xfId="23483" xr:uid="{B4C9E646-E08E-4958-A831-FE6B79E25780}"/>
    <cellStyle name="20% - Accent2 2 6 3 3" xfId="14203" xr:uid="{5B171841-B057-4461-95C1-EB82977DEF8D}"/>
    <cellStyle name="20% - Accent2 2 6 4" xfId="19266" xr:uid="{557E85A5-F537-4B12-AA93-0FD1BC6B82F3}"/>
    <cellStyle name="20% - Accent2 2 6 5" xfId="9985" xr:uid="{29636F29-FE4D-4582-85D7-7CFD06FF2A0C}"/>
    <cellStyle name="20% - Accent2 2 7" xfId="1860" xr:uid="{00000000-0005-0000-0000-0000EB000000}"/>
    <cellStyle name="20% - Accent2 2 7 2" xfId="4089" xr:uid="{00000000-0005-0000-0000-0000EC000000}"/>
    <cellStyle name="20% - Accent2 2 7 2 2" xfId="8311" xr:uid="{00000000-0005-0000-0000-0000ED000000}"/>
    <cellStyle name="20% - Accent2 2 7 2 2 2" xfId="26041" xr:uid="{11E95C91-4A49-41FE-B5D7-3A0A58DF5B1A}"/>
    <cellStyle name="20% - Accent2 2 7 2 2 3" xfId="16761" xr:uid="{5E2E6957-8851-4C09-A424-8A32EB787941}"/>
    <cellStyle name="20% - Accent2 2 7 2 3" xfId="21824" xr:uid="{7D7146D5-FAF6-4AB7-BA4D-E84E5D15F410}"/>
    <cellStyle name="20% - Accent2 2 7 2 4" xfId="12543" xr:uid="{B4560DCC-8CF2-47C8-A312-8E34C3FA52B4}"/>
    <cellStyle name="20% - Accent2 2 7 3" xfId="6166" xr:uid="{00000000-0005-0000-0000-0000EE000000}"/>
    <cellStyle name="20% - Accent2 2 7 3 2" xfId="23896" xr:uid="{FD66551F-2F16-4DEB-9543-0E19D764CCFE}"/>
    <cellStyle name="20% - Accent2 2 7 3 3" xfId="14616" xr:uid="{911F4189-DA28-4442-8844-D4161238B34D}"/>
    <cellStyle name="20% - Accent2 2 7 4" xfId="19679" xr:uid="{17A7FAFE-930E-48F4-97B2-EE9127B1CC5D}"/>
    <cellStyle name="20% - Accent2 2 7 5" xfId="10398" xr:uid="{92539142-EFF7-4F4F-9523-9F44F971A1B2}"/>
    <cellStyle name="20% - Accent2 2 8" xfId="2273" xr:uid="{00000000-0005-0000-0000-0000EF000000}"/>
    <cellStyle name="20% - Accent2 2 8 2" xfId="6579" xr:uid="{00000000-0005-0000-0000-0000F0000000}"/>
    <cellStyle name="20% - Accent2 2 8 2 2" xfId="24309" xr:uid="{2BC0FC39-AC61-4659-97DB-F9C191065CC6}"/>
    <cellStyle name="20% - Accent2 2 8 2 3" xfId="15029" xr:uid="{A1B33D62-FB25-4677-85AA-F2BF3AF19B8E}"/>
    <cellStyle name="20% - Accent2 2 8 3" xfId="20092" xr:uid="{EE5D32DF-BA7A-4821-B48D-348A1B6AB9F8}"/>
    <cellStyle name="20% - Accent2 2 8 4" xfId="10811" xr:uid="{07792989-FCF2-4522-97DE-26F8BE48D6B1}"/>
    <cellStyle name="20% - Accent2 2 9" xfId="4513" xr:uid="{00000000-0005-0000-0000-0000F1000000}"/>
    <cellStyle name="20% - Accent2 2 9 2" xfId="22243" xr:uid="{F360B0CC-DDFB-4B23-B7EF-412952E5706C}"/>
    <cellStyle name="20% - Accent2 2 9 3" xfId="12963" xr:uid="{1CA9A9DA-2897-4DBB-80A8-187BFF9C9D3C}"/>
    <cellStyle name="20% - Accent2 3" xfId="14" xr:uid="{00000000-0005-0000-0000-0000F2000000}"/>
    <cellStyle name="20% - Accent2 3 10" xfId="17197" xr:uid="{95F220CA-D74D-4E82-97B2-DBFBF75B7471}"/>
    <cellStyle name="20% - Accent2 3 11" xfId="8749" xr:uid="{0E1B8D86-E4FF-4219-BE6E-D650B6450B73}"/>
    <cellStyle name="20% - Accent2 3 2" xfId="15" xr:uid="{00000000-0005-0000-0000-0000F3000000}"/>
    <cellStyle name="20% - Accent2 3 2 10" xfId="8750" xr:uid="{864459E6-4FB6-44B8-9E49-8C0E15B623F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24807" xr:uid="{0AB02F0B-1030-48F7-847B-3D39BCA52B69}"/>
    <cellStyle name="20% - Accent2 3 2 2 2 2 3" xfId="15527" xr:uid="{A74B9D03-1ED0-4316-8A26-95CC77B5DB41}"/>
    <cellStyle name="20% - Accent2 3 2 2 2 3" xfId="20590" xr:uid="{DBBD2BBC-248F-4F79-AB61-7FD85FBFB796}"/>
    <cellStyle name="20% - Accent2 3 2 2 2 4" xfId="11309" xr:uid="{7C5D6CF7-F9EF-449C-876A-FB4626D9B35A}"/>
    <cellStyle name="20% - Accent2 3 2 2 3" xfId="4932" xr:uid="{00000000-0005-0000-0000-0000F7000000}"/>
    <cellStyle name="20% - Accent2 3 2 2 3 2" xfId="22662" xr:uid="{2FB5FF2A-9964-40DB-A6E7-45C154F46434}"/>
    <cellStyle name="20% - Accent2 3 2 2 3 3" xfId="13382" xr:uid="{0AAA7332-8463-4F70-9597-2F105B856106}"/>
    <cellStyle name="20% - Accent2 3 2 2 4" xfId="18445" xr:uid="{B9C1E29B-D5FE-46CF-B14F-BB35644248EE}"/>
    <cellStyle name="20% - Accent2 3 2 2 5" xfId="17615" xr:uid="{637501A6-ACE2-4793-9CFC-5C3C68A358AA}"/>
    <cellStyle name="20% - Accent2 3 2 2 6" xfId="9164" xr:uid="{361A20A8-3B4F-44DE-8B08-16D4FCCE54AA}"/>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25220" xr:uid="{DB40CA8A-5AF3-4C33-A00F-3998EE111D66}"/>
    <cellStyle name="20% - Accent2 3 2 3 2 2 3" xfId="15940" xr:uid="{DEFBEF67-216D-4BCC-97BB-8E868C7DC43A}"/>
    <cellStyle name="20% - Accent2 3 2 3 2 3" xfId="21003" xr:uid="{B7C7DCA5-9659-4ADB-8B5F-7187833685EB}"/>
    <cellStyle name="20% - Accent2 3 2 3 2 4" xfId="11722" xr:uid="{CDB2F353-41E2-4C6B-94AB-AE8BAAA78817}"/>
    <cellStyle name="20% - Accent2 3 2 3 3" xfId="5345" xr:uid="{00000000-0005-0000-0000-0000FB000000}"/>
    <cellStyle name="20% - Accent2 3 2 3 3 2" xfId="23075" xr:uid="{BD89D862-08F2-472D-84D0-9CAB4F298BDF}"/>
    <cellStyle name="20% - Accent2 3 2 3 3 3" xfId="13795" xr:uid="{2CD518E3-264A-4AC8-8FC3-7D138956C3BD}"/>
    <cellStyle name="20% - Accent2 3 2 3 4" xfId="18858" xr:uid="{812F6365-0C81-401A-A4F5-71787926EC68}"/>
    <cellStyle name="20% - Accent2 3 2 3 5" xfId="9577" xr:uid="{DA6EE3A2-A099-4EA9-8863-8192DB058C8C}"/>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25633" xr:uid="{8C80B2A1-D71E-476C-BD50-9BAEE726D5F6}"/>
    <cellStyle name="20% - Accent2 3 2 4 2 2 3" xfId="16353" xr:uid="{F4524665-C8CD-4FC3-8B52-279C22D85F73}"/>
    <cellStyle name="20% - Accent2 3 2 4 2 3" xfId="21416" xr:uid="{9F919657-E8A0-437D-AC0C-00792F164F70}"/>
    <cellStyle name="20% - Accent2 3 2 4 2 4" xfId="12135" xr:uid="{A820F032-3135-4509-8FF3-50AB7864C9DE}"/>
    <cellStyle name="20% - Accent2 3 2 4 3" xfId="5758" xr:uid="{00000000-0005-0000-0000-0000FF000000}"/>
    <cellStyle name="20% - Accent2 3 2 4 3 2" xfId="23488" xr:uid="{BACB0D50-53FE-4DCB-A386-D52EBCBAF3DB}"/>
    <cellStyle name="20% - Accent2 3 2 4 3 3" xfId="14208" xr:uid="{00F2986D-4FAE-471D-B2FB-6B8924F91381}"/>
    <cellStyle name="20% - Accent2 3 2 4 4" xfId="19271" xr:uid="{2A6C471B-0FBD-4A99-A382-97EB92E527FD}"/>
    <cellStyle name="20% - Accent2 3 2 4 5" xfId="9990" xr:uid="{3D60A916-35A1-476A-AAFD-99A7B1931707}"/>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26046" xr:uid="{41E73E32-366B-4333-9126-47A269FBF55B}"/>
    <cellStyle name="20% - Accent2 3 2 5 2 2 3" xfId="16766" xr:uid="{D0163D92-5AAF-41D7-A335-2AA0D826D38A}"/>
    <cellStyle name="20% - Accent2 3 2 5 2 3" xfId="21829" xr:uid="{225D8D2E-9AD6-4C15-BFBA-F59AB7FA61AE}"/>
    <cellStyle name="20% - Accent2 3 2 5 2 4" xfId="12548" xr:uid="{9BF24216-254C-48E4-B54F-144B4026E74C}"/>
    <cellStyle name="20% - Accent2 3 2 5 3" xfId="6171" xr:uid="{00000000-0005-0000-0000-000003010000}"/>
    <cellStyle name="20% - Accent2 3 2 5 3 2" xfId="23901" xr:uid="{687E996A-2628-4C6A-9FAE-A313724C678D}"/>
    <cellStyle name="20% - Accent2 3 2 5 3 3" xfId="14621" xr:uid="{D6FA5E21-2D1B-49AF-A9AE-2465A4AD9A1E}"/>
    <cellStyle name="20% - Accent2 3 2 5 4" xfId="19684" xr:uid="{B12D3B35-3A26-454D-89F2-220B0F094B1A}"/>
    <cellStyle name="20% - Accent2 3 2 5 5" xfId="10403" xr:uid="{4EF8D851-3D1A-4C0F-AB10-505F97AAEE0B}"/>
    <cellStyle name="20% - Accent2 3 2 6" xfId="2278" xr:uid="{00000000-0005-0000-0000-000004010000}"/>
    <cellStyle name="20% - Accent2 3 2 6 2" xfId="6584" xr:uid="{00000000-0005-0000-0000-000005010000}"/>
    <cellStyle name="20% - Accent2 3 2 6 2 2" xfId="24314" xr:uid="{0F3EAB31-5727-4BC8-B12C-B06C1D37B097}"/>
    <cellStyle name="20% - Accent2 3 2 6 2 3" xfId="15034" xr:uid="{678ABEAF-3BD6-45DF-A80A-11C528A49ABC}"/>
    <cellStyle name="20% - Accent2 3 2 6 3" xfId="20097" xr:uid="{C5281BF2-DF6E-43F6-BE93-2135B718CAB7}"/>
    <cellStyle name="20% - Accent2 3 2 6 4" xfId="10816" xr:uid="{80FAB82E-CD03-4835-A929-B80FC70402BF}"/>
    <cellStyle name="20% - Accent2 3 2 7" xfId="4518" xr:uid="{00000000-0005-0000-0000-000006010000}"/>
    <cellStyle name="20% - Accent2 3 2 7 2" xfId="22248" xr:uid="{CAA3A0F8-364C-4F40-9259-B2A07CBE7D50}"/>
    <cellStyle name="20% - Accent2 3 2 7 3" xfId="12968" xr:uid="{18F9B994-D42E-4BDA-97C9-4EEC824E8C6D}"/>
    <cellStyle name="20% - Accent2 3 2 8" xfId="18031" xr:uid="{A02AC209-4D76-4BB7-AAFD-D579DB8DA7E0}"/>
    <cellStyle name="20% - Accent2 3 2 9" xfId="17198" xr:uid="{21C9C7B0-11CA-43FD-8E11-9AEEA5AF2086}"/>
    <cellStyle name="20% - Accent2 3 3" xfId="583" xr:uid="{00000000-0005-0000-0000-000007010000}"/>
    <cellStyle name="20% - Accent2 3 3 2" xfId="2854" xr:uid="{00000000-0005-0000-0000-000008010000}"/>
    <cellStyle name="20% - Accent2 3 3 2 2" xfId="7076" xr:uid="{00000000-0005-0000-0000-000009010000}"/>
    <cellStyle name="20% - Accent2 3 3 2 2 2" xfId="24806" xr:uid="{F558A9F0-BB05-40D1-B6BD-74CB4EF8C2D4}"/>
    <cellStyle name="20% - Accent2 3 3 2 2 3" xfId="15526" xr:uid="{6197DED0-A8F5-4982-A4C0-28C6C6673849}"/>
    <cellStyle name="20% - Accent2 3 3 2 3" xfId="20589" xr:uid="{23600009-E949-44D9-8DFA-8821672CAA79}"/>
    <cellStyle name="20% - Accent2 3 3 2 4" xfId="11308" xr:uid="{05624F62-5ED9-4164-A1F5-561382D0732D}"/>
    <cellStyle name="20% - Accent2 3 3 3" xfId="4931" xr:uid="{00000000-0005-0000-0000-00000A010000}"/>
    <cellStyle name="20% - Accent2 3 3 3 2" xfId="22661" xr:uid="{7D606846-7385-4B25-ABA4-CF75D4E69B36}"/>
    <cellStyle name="20% - Accent2 3 3 3 3" xfId="13381" xr:uid="{837959A1-D818-40EE-8333-CBB6E6C536A6}"/>
    <cellStyle name="20% - Accent2 3 3 4" xfId="18444" xr:uid="{C92B9435-D9EB-4634-B6D3-F72496FF5A6E}"/>
    <cellStyle name="20% - Accent2 3 3 5" xfId="17614" xr:uid="{B9389F77-1CCD-4397-9F85-49CDD65077C3}"/>
    <cellStyle name="20% - Accent2 3 3 6" xfId="9163" xr:uid="{0272F8A2-4E05-4523-A77A-33E583CCA6F4}"/>
    <cellStyle name="20% - Accent2 3 4" xfId="1036" xr:uid="{00000000-0005-0000-0000-00000B010000}"/>
    <cellStyle name="20% - Accent2 3 4 2" xfId="3267" xr:uid="{00000000-0005-0000-0000-00000C010000}"/>
    <cellStyle name="20% - Accent2 3 4 2 2" xfId="7489" xr:uid="{00000000-0005-0000-0000-00000D010000}"/>
    <cellStyle name="20% - Accent2 3 4 2 2 2" xfId="25219" xr:uid="{BE7EF0AE-EC0C-44FF-9204-2DD57A0FADED}"/>
    <cellStyle name="20% - Accent2 3 4 2 2 3" xfId="15939" xr:uid="{194B43EE-5574-473F-A352-B59E20612CC0}"/>
    <cellStyle name="20% - Accent2 3 4 2 3" xfId="21002" xr:uid="{E1CAD0AC-E22B-47FF-9FA9-2E3E42D3BAFD}"/>
    <cellStyle name="20% - Accent2 3 4 2 4" xfId="11721" xr:uid="{9CC36C8B-0723-4353-83FC-E909DE6682F0}"/>
    <cellStyle name="20% - Accent2 3 4 3" xfId="5344" xr:uid="{00000000-0005-0000-0000-00000E010000}"/>
    <cellStyle name="20% - Accent2 3 4 3 2" xfId="23074" xr:uid="{B02727F0-D738-4AE1-9369-54D4E3AFAA25}"/>
    <cellStyle name="20% - Accent2 3 4 3 3" xfId="13794" xr:uid="{57A46475-9F71-402A-8876-C3BADCB5D74D}"/>
    <cellStyle name="20% - Accent2 3 4 4" xfId="18857" xr:uid="{C092A45A-BEB2-4F78-9796-9F0FCDFE2581}"/>
    <cellStyle name="20% - Accent2 3 4 5" xfId="9576" xr:uid="{14F01A3E-5CEF-4749-98D9-3555FEE53C66}"/>
    <cellStyle name="20% - Accent2 3 5" xfId="1450" xr:uid="{00000000-0005-0000-0000-00000F010000}"/>
    <cellStyle name="20% - Accent2 3 5 2" xfId="3680" xr:uid="{00000000-0005-0000-0000-000010010000}"/>
    <cellStyle name="20% - Accent2 3 5 2 2" xfId="7902" xr:uid="{00000000-0005-0000-0000-000011010000}"/>
    <cellStyle name="20% - Accent2 3 5 2 2 2" xfId="25632" xr:uid="{E531A843-7ADC-4959-AF8D-8370426B4409}"/>
    <cellStyle name="20% - Accent2 3 5 2 2 3" xfId="16352" xr:uid="{B95F327A-AD54-47DE-86F9-8F0EBF5260B1}"/>
    <cellStyle name="20% - Accent2 3 5 2 3" xfId="21415" xr:uid="{FBA42036-BEC1-4281-8917-C1C12B05D402}"/>
    <cellStyle name="20% - Accent2 3 5 2 4" xfId="12134" xr:uid="{86606CD2-F457-4D67-8215-2A726E8891E0}"/>
    <cellStyle name="20% - Accent2 3 5 3" xfId="5757" xr:uid="{00000000-0005-0000-0000-000012010000}"/>
    <cellStyle name="20% - Accent2 3 5 3 2" xfId="23487" xr:uid="{7A527601-00D2-4D8F-A339-06A3DC461D8A}"/>
    <cellStyle name="20% - Accent2 3 5 3 3" xfId="14207" xr:uid="{73FB09D1-D28D-49DF-9686-3E2925E947D9}"/>
    <cellStyle name="20% - Accent2 3 5 4" xfId="19270" xr:uid="{4917E90D-9A69-4C7F-AFB7-C3EE7A88B192}"/>
    <cellStyle name="20% - Accent2 3 5 5" xfId="9989" xr:uid="{D08710CF-1374-44F8-AF42-45DAF1A7BFC4}"/>
    <cellStyle name="20% - Accent2 3 6" xfId="1864" xr:uid="{00000000-0005-0000-0000-000013010000}"/>
    <cellStyle name="20% - Accent2 3 6 2" xfId="4093" xr:uid="{00000000-0005-0000-0000-000014010000}"/>
    <cellStyle name="20% - Accent2 3 6 2 2" xfId="8315" xr:uid="{00000000-0005-0000-0000-000015010000}"/>
    <cellStyle name="20% - Accent2 3 6 2 2 2" xfId="26045" xr:uid="{BB975515-48F1-4267-AF6B-5B1C7BCDE26E}"/>
    <cellStyle name="20% - Accent2 3 6 2 2 3" xfId="16765" xr:uid="{84EAD76C-EEB6-421F-A76F-AEDA4F0AA10F}"/>
    <cellStyle name="20% - Accent2 3 6 2 3" xfId="21828" xr:uid="{9189912C-C5D7-442D-A883-E6383F6E491E}"/>
    <cellStyle name="20% - Accent2 3 6 2 4" xfId="12547" xr:uid="{46E358DF-5D1D-4B60-A6FF-E50E3C71F7B1}"/>
    <cellStyle name="20% - Accent2 3 6 3" xfId="6170" xr:uid="{00000000-0005-0000-0000-000016010000}"/>
    <cellStyle name="20% - Accent2 3 6 3 2" xfId="23900" xr:uid="{791D25E0-2ACB-4099-AD92-287C795C10B2}"/>
    <cellStyle name="20% - Accent2 3 6 3 3" xfId="14620" xr:uid="{B470E49B-E798-4CED-A4B3-E6EFDB360B82}"/>
    <cellStyle name="20% - Accent2 3 6 4" xfId="19683" xr:uid="{FF86C796-FD33-4F4F-9025-976F025187C5}"/>
    <cellStyle name="20% - Accent2 3 6 5" xfId="10402" xr:uid="{76D1AB46-1C21-4805-BB72-97625D59E2CC}"/>
    <cellStyle name="20% - Accent2 3 7" xfId="2277" xr:uid="{00000000-0005-0000-0000-000017010000}"/>
    <cellStyle name="20% - Accent2 3 7 2" xfId="6583" xr:uid="{00000000-0005-0000-0000-000018010000}"/>
    <cellStyle name="20% - Accent2 3 7 2 2" xfId="24313" xr:uid="{F8AEE606-7087-47C0-80DB-06C3A784666E}"/>
    <cellStyle name="20% - Accent2 3 7 2 3" xfId="15033" xr:uid="{4E76FF2C-8DDF-4100-8989-6393A68AC248}"/>
    <cellStyle name="20% - Accent2 3 7 3" xfId="20096" xr:uid="{E94D96FD-D9BC-4040-967C-492CAA0C5B69}"/>
    <cellStyle name="20% - Accent2 3 7 4" xfId="10815" xr:uid="{24F5CDB9-8500-46B7-9E99-412711A948C3}"/>
    <cellStyle name="20% - Accent2 3 8" xfId="4517" xr:uid="{00000000-0005-0000-0000-000019010000}"/>
    <cellStyle name="20% - Accent2 3 8 2" xfId="22247" xr:uid="{F6758774-F8B2-46CF-B6D8-1F1FC6C039E8}"/>
    <cellStyle name="20% - Accent2 3 8 3" xfId="12967" xr:uid="{EF968F07-35A6-45AF-A2E6-AF3AF82C6C81}"/>
    <cellStyle name="20% - Accent2 3 9" xfId="18030" xr:uid="{15502298-1070-4620-A0A7-118DE900BB88}"/>
    <cellStyle name="20% - Accent2 4" xfId="16" xr:uid="{00000000-0005-0000-0000-00001A010000}"/>
    <cellStyle name="20% - Accent2 4 10" xfId="8751" xr:uid="{2DAB7826-A032-4A71-AA23-D533335CD14F}"/>
    <cellStyle name="20% - Accent2 4 2" xfId="585" xr:uid="{00000000-0005-0000-0000-00001B010000}"/>
    <cellStyle name="20% - Accent2 4 2 2" xfId="2856" xr:uid="{00000000-0005-0000-0000-00001C010000}"/>
    <cellStyle name="20% - Accent2 4 2 2 2" xfId="7078" xr:uid="{00000000-0005-0000-0000-00001D010000}"/>
    <cellStyle name="20% - Accent2 4 2 2 2 2" xfId="24808" xr:uid="{262675F4-1591-49E1-8E78-26F5D732A4AA}"/>
    <cellStyle name="20% - Accent2 4 2 2 2 3" xfId="15528" xr:uid="{79576825-51C1-4AFB-803F-D47DA72301E1}"/>
    <cellStyle name="20% - Accent2 4 2 2 3" xfId="20591" xr:uid="{036A6614-4C14-4BCF-B34B-BE15169970B4}"/>
    <cellStyle name="20% - Accent2 4 2 2 4" xfId="11310" xr:uid="{B51EE094-7F4A-4B21-BAB6-7416749283DD}"/>
    <cellStyle name="20% - Accent2 4 2 3" xfId="4933" xr:uid="{00000000-0005-0000-0000-00001E010000}"/>
    <cellStyle name="20% - Accent2 4 2 3 2" xfId="22663" xr:uid="{F7E285F3-2210-457D-AB0D-6DD0AF18AD5C}"/>
    <cellStyle name="20% - Accent2 4 2 3 3" xfId="13383" xr:uid="{42C69F5B-F864-4946-9379-CE9810E6A4C4}"/>
    <cellStyle name="20% - Accent2 4 2 4" xfId="18446" xr:uid="{1C5B184F-6FDE-4CD0-AB1C-27EB55128236}"/>
    <cellStyle name="20% - Accent2 4 2 5" xfId="17616" xr:uid="{EDE2C4B0-2D7D-4601-BE21-A0F3FC636BF0}"/>
    <cellStyle name="20% - Accent2 4 2 6" xfId="9165" xr:uid="{E41644FC-838B-4C73-955E-9F6C615E687B}"/>
    <cellStyle name="20% - Accent2 4 3" xfId="1038" xr:uid="{00000000-0005-0000-0000-00001F010000}"/>
    <cellStyle name="20% - Accent2 4 3 2" xfId="3269" xr:uid="{00000000-0005-0000-0000-000020010000}"/>
    <cellStyle name="20% - Accent2 4 3 2 2" xfId="7491" xr:uid="{00000000-0005-0000-0000-000021010000}"/>
    <cellStyle name="20% - Accent2 4 3 2 2 2" xfId="25221" xr:uid="{B649EEA9-0C19-414E-9F0C-D40D290C49F2}"/>
    <cellStyle name="20% - Accent2 4 3 2 2 3" xfId="15941" xr:uid="{6F27AF23-6C58-408A-9088-28C034ADC692}"/>
    <cellStyle name="20% - Accent2 4 3 2 3" xfId="21004" xr:uid="{49653806-7205-4C0B-B2BC-0BE2F440F863}"/>
    <cellStyle name="20% - Accent2 4 3 2 4" xfId="11723" xr:uid="{AEE7E350-9345-4C3E-AF40-BF728CAE7CA4}"/>
    <cellStyle name="20% - Accent2 4 3 3" xfId="5346" xr:uid="{00000000-0005-0000-0000-000022010000}"/>
    <cellStyle name="20% - Accent2 4 3 3 2" xfId="23076" xr:uid="{9CF68ED0-9849-4D05-A66B-30C6D621E605}"/>
    <cellStyle name="20% - Accent2 4 3 3 3" xfId="13796" xr:uid="{8D0C92B4-A350-4A63-98A1-F0AE9083C155}"/>
    <cellStyle name="20% - Accent2 4 3 4" xfId="18859" xr:uid="{56449B6C-034A-45B4-8B2E-4E29D6865791}"/>
    <cellStyle name="20% - Accent2 4 3 5" xfId="9578" xr:uid="{2665DF35-67A9-4B0A-8A97-56DF807ACEFC}"/>
    <cellStyle name="20% - Accent2 4 4" xfId="1452" xr:uid="{00000000-0005-0000-0000-000023010000}"/>
    <cellStyle name="20% - Accent2 4 4 2" xfId="3682" xr:uid="{00000000-0005-0000-0000-000024010000}"/>
    <cellStyle name="20% - Accent2 4 4 2 2" xfId="7904" xr:uid="{00000000-0005-0000-0000-000025010000}"/>
    <cellStyle name="20% - Accent2 4 4 2 2 2" xfId="25634" xr:uid="{16ACD024-AC2A-4253-AB5D-D38EB0EF811E}"/>
    <cellStyle name="20% - Accent2 4 4 2 2 3" xfId="16354" xr:uid="{69A298AA-F443-47DB-9DDC-4FD462F98DCE}"/>
    <cellStyle name="20% - Accent2 4 4 2 3" xfId="21417" xr:uid="{48E44FC9-FBC8-49AA-8AC1-D6F6DBA74AE6}"/>
    <cellStyle name="20% - Accent2 4 4 2 4" xfId="12136" xr:uid="{EFD7E029-9458-4547-951A-61538533A4FC}"/>
    <cellStyle name="20% - Accent2 4 4 3" xfId="5759" xr:uid="{00000000-0005-0000-0000-000026010000}"/>
    <cellStyle name="20% - Accent2 4 4 3 2" xfId="23489" xr:uid="{FCC4FB4B-2143-4ABC-B5C0-783B382B04DB}"/>
    <cellStyle name="20% - Accent2 4 4 3 3" xfId="14209" xr:uid="{ACA3700B-9C77-49DC-9B0C-4AD028E3079B}"/>
    <cellStyle name="20% - Accent2 4 4 4" xfId="19272" xr:uid="{2D1CEF41-B83A-4B9F-9492-7FFFAE48CDB5}"/>
    <cellStyle name="20% - Accent2 4 4 5" xfId="9991" xr:uid="{2FA43685-9470-4C0D-91FB-83DEAFF94238}"/>
    <cellStyle name="20% - Accent2 4 5" xfId="1866" xr:uid="{00000000-0005-0000-0000-000027010000}"/>
    <cellStyle name="20% - Accent2 4 5 2" xfId="4095" xr:uid="{00000000-0005-0000-0000-000028010000}"/>
    <cellStyle name="20% - Accent2 4 5 2 2" xfId="8317" xr:uid="{00000000-0005-0000-0000-000029010000}"/>
    <cellStyle name="20% - Accent2 4 5 2 2 2" xfId="26047" xr:uid="{B188416A-0C73-494B-8F41-63BEAE09EC1A}"/>
    <cellStyle name="20% - Accent2 4 5 2 2 3" xfId="16767" xr:uid="{22EB7667-FCAD-4EB0-A15F-3426D1FE4F74}"/>
    <cellStyle name="20% - Accent2 4 5 2 3" xfId="21830" xr:uid="{1578DB60-B73C-460F-8189-197909C1CD05}"/>
    <cellStyle name="20% - Accent2 4 5 2 4" xfId="12549" xr:uid="{C14268D4-20FA-45E0-8E25-3274501B49F2}"/>
    <cellStyle name="20% - Accent2 4 5 3" xfId="6172" xr:uid="{00000000-0005-0000-0000-00002A010000}"/>
    <cellStyle name="20% - Accent2 4 5 3 2" xfId="23902" xr:uid="{919F4634-05B1-4302-8C47-57AA594A5E89}"/>
    <cellStyle name="20% - Accent2 4 5 3 3" xfId="14622" xr:uid="{A923EF0C-3969-46D6-A41D-5ECDCE04C227}"/>
    <cellStyle name="20% - Accent2 4 5 4" xfId="19685" xr:uid="{91148909-6E40-459C-B97E-D39823DCDEAF}"/>
    <cellStyle name="20% - Accent2 4 5 5" xfId="10404" xr:uid="{EFB05FE2-1D2E-40BC-A8C4-C2D874E2775E}"/>
    <cellStyle name="20% - Accent2 4 6" xfId="2279" xr:uid="{00000000-0005-0000-0000-00002B010000}"/>
    <cellStyle name="20% - Accent2 4 6 2" xfId="6585" xr:uid="{00000000-0005-0000-0000-00002C010000}"/>
    <cellStyle name="20% - Accent2 4 6 2 2" xfId="24315" xr:uid="{24D1F0C5-8380-484E-BE8B-D0B4BEB54A96}"/>
    <cellStyle name="20% - Accent2 4 6 2 3" xfId="15035" xr:uid="{05A01A3D-1967-4ED4-BFFB-209135304108}"/>
    <cellStyle name="20% - Accent2 4 6 3" xfId="20098" xr:uid="{05F4D057-C73B-438B-A51D-D783A74836B0}"/>
    <cellStyle name="20% - Accent2 4 6 4" xfId="10817" xr:uid="{97F9F058-9FEB-44A2-AC33-51AF183B97A3}"/>
    <cellStyle name="20% - Accent2 4 7" xfId="4519" xr:uid="{00000000-0005-0000-0000-00002D010000}"/>
    <cellStyle name="20% - Accent2 4 7 2" xfId="22249" xr:uid="{BE02C2D7-8E73-4615-9878-152A1D22DA56}"/>
    <cellStyle name="20% - Accent2 4 7 3" xfId="12969" xr:uid="{B7966037-FA2C-45B6-AA7A-EC8E4CA28123}"/>
    <cellStyle name="20% - Accent2 4 8" xfId="18032" xr:uid="{B8F33F94-4ECC-489A-8B27-F5798AD5BC9C}"/>
    <cellStyle name="20% - Accent2 4 9" xfId="17199" xr:uid="{93DFE6F7-88D8-4169-BC7C-36BE105AFA22}"/>
    <cellStyle name="20% - Accent2 5" xfId="578" xr:uid="{00000000-0005-0000-0000-00002E010000}"/>
    <cellStyle name="20% - Accent2 5 2" xfId="2849" xr:uid="{00000000-0005-0000-0000-00002F010000}"/>
    <cellStyle name="20% - Accent2 5 2 2" xfId="7071" xr:uid="{00000000-0005-0000-0000-000030010000}"/>
    <cellStyle name="20% - Accent2 5 2 2 2" xfId="24801" xr:uid="{79B7918A-6653-4681-8039-D8C271E5579E}"/>
    <cellStyle name="20% - Accent2 5 2 2 3" xfId="15521" xr:uid="{DF2DAB3C-0DBB-4F64-B412-AA51FDF8870A}"/>
    <cellStyle name="20% - Accent2 5 2 3" xfId="20584" xr:uid="{7388FDFD-068A-4836-BCCA-24F5C2BBB2EC}"/>
    <cellStyle name="20% - Accent2 5 2 4" xfId="11303" xr:uid="{59639030-9DC8-4A2C-A80F-EBF6DFE52B79}"/>
    <cellStyle name="20% - Accent2 5 3" xfId="4926" xr:uid="{00000000-0005-0000-0000-000031010000}"/>
    <cellStyle name="20% - Accent2 5 3 2" xfId="22656" xr:uid="{C19535F9-6B45-49FB-A7FB-CCE58D14499C}"/>
    <cellStyle name="20% - Accent2 5 3 3" xfId="13376" xr:uid="{E0212EC8-64A6-4826-A970-958BB0FF7883}"/>
    <cellStyle name="20% - Accent2 5 4" xfId="18439" xr:uid="{46C86037-6CC2-4A0A-8E95-20283C4A20B7}"/>
    <cellStyle name="20% - Accent2 5 5" xfId="17609" xr:uid="{2C2EAF24-AC1B-4390-A45E-2432C12356AF}"/>
    <cellStyle name="20% - Accent2 5 6" xfId="9158" xr:uid="{AA8E892F-0F97-45A9-B6B4-11834159A363}"/>
    <cellStyle name="20% - Accent2 6" xfId="1031" xr:uid="{00000000-0005-0000-0000-000032010000}"/>
    <cellStyle name="20% - Accent2 6 2" xfId="3262" xr:uid="{00000000-0005-0000-0000-000033010000}"/>
    <cellStyle name="20% - Accent2 6 2 2" xfId="7484" xr:uid="{00000000-0005-0000-0000-000034010000}"/>
    <cellStyle name="20% - Accent2 6 2 2 2" xfId="25214" xr:uid="{B796A7BB-0654-496E-BF20-808540F368E8}"/>
    <cellStyle name="20% - Accent2 6 2 2 3" xfId="15934" xr:uid="{5744D450-308E-4F80-823D-B7D19A36A1F1}"/>
    <cellStyle name="20% - Accent2 6 2 3" xfId="20997" xr:uid="{E0985331-B641-495E-B6F5-3D568A9A79AC}"/>
    <cellStyle name="20% - Accent2 6 2 4" xfId="11716" xr:uid="{B3010358-5BEB-4237-A6D4-78D679A6C131}"/>
    <cellStyle name="20% - Accent2 6 3" xfId="5339" xr:uid="{00000000-0005-0000-0000-000035010000}"/>
    <cellStyle name="20% - Accent2 6 3 2" xfId="23069" xr:uid="{239EB088-388E-4605-8377-A430214D77EF}"/>
    <cellStyle name="20% - Accent2 6 3 3" xfId="13789" xr:uid="{4232B029-F26E-475D-9B42-2ADF5B6FCBA8}"/>
    <cellStyle name="20% - Accent2 6 4" xfId="18852" xr:uid="{F6A951CF-CEA7-409E-8BCC-CCFB776E8CF6}"/>
    <cellStyle name="20% - Accent2 6 5" xfId="9571" xr:uid="{D6D31500-D674-4811-8FF1-308B0AF53FE7}"/>
    <cellStyle name="20% - Accent2 7" xfId="1445" xr:uid="{00000000-0005-0000-0000-000036010000}"/>
    <cellStyle name="20% - Accent2 7 2" xfId="3675" xr:uid="{00000000-0005-0000-0000-000037010000}"/>
    <cellStyle name="20% - Accent2 7 2 2" xfId="7897" xr:uid="{00000000-0005-0000-0000-000038010000}"/>
    <cellStyle name="20% - Accent2 7 2 2 2" xfId="25627" xr:uid="{75CB328B-88BA-4085-AC2E-21050D8EEB74}"/>
    <cellStyle name="20% - Accent2 7 2 2 3" xfId="16347" xr:uid="{3B231F44-A783-4F64-8768-87D18612733E}"/>
    <cellStyle name="20% - Accent2 7 2 3" xfId="21410" xr:uid="{BA1FED99-C992-475E-BBC3-575C4F6A6D45}"/>
    <cellStyle name="20% - Accent2 7 2 4" xfId="12129" xr:uid="{29AB1AC1-0E5A-4E62-926E-6181C47E4620}"/>
    <cellStyle name="20% - Accent2 7 3" xfId="5752" xr:uid="{00000000-0005-0000-0000-000039010000}"/>
    <cellStyle name="20% - Accent2 7 3 2" xfId="23482" xr:uid="{6BD00461-1D0C-41B9-91F7-0AFFA7C57433}"/>
    <cellStyle name="20% - Accent2 7 3 3" xfId="14202" xr:uid="{2707BFE1-36AB-4DA0-BCA1-356818B02464}"/>
    <cellStyle name="20% - Accent2 7 4" xfId="19265" xr:uid="{81A10184-27A3-414F-8D33-9DA35EB45F95}"/>
    <cellStyle name="20% - Accent2 7 5" xfId="9984" xr:uid="{7CFC2507-2A4A-45BD-830E-93D6ABF0FE51}"/>
    <cellStyle name="20% - Accent2 8" xfId="1859" xr:uid="{00000000-0005-0000-0000-00003A010000}"/>
    <cellStyle name="20% - Accent2 8 2" xfId="4088" xr:uid="{00000000-0005-0000-0000-00003B010000}"/>
    <cellStyle name="20% - Accent2 8 2 2" xfId="8310" xr:uid="{00000000-0005-0000-0000-00003C010000}"/>
    <cellStyle name="20% - Accent2 8 2 2 2" xfId="26040" xr:uid="{729EA84D-3C55-4531-981C-06A2C5147F93}"/>
    <cellStyle name="20% - Accent2 8 2 2 3" xfId="16760" xr:uid="{04A29EB9-A876-46AC-952D-55E0EA4697BA}"/>
    <cellStyle name="20% - Accent2 8 2 3" xfId="21823" xr:uid="{E49B2503-BC5F-4F87-B513-49B1E7C4B5CD}"/>
    <cellStyle name="20% - Accent2 8 2 4" xfId="12542" xr:uid="{96371DB0-998C-45CD-9D9B-3D3D22533284}"/>
    <cellStyle name="20% - Accent2 8 3" xfId="6165" xr:uid="{00000000-0005-0000-0000-00003D010000}"/>
    <cellStyle name="20% - Accent2 8 3 2" xfId="23895" xr:uid="{2FCBCFFA-37F9-43D8-A309-7D8ED67ABACC}"/>
    <cellStyle name="20% - Accent2 8 3 3" xfId="14615" xr:uid="{5F358213-2CCA-4EA2-B24E-8B06A188E4A2}"/>
    <cellStyle name="20% - Accent2 8 4" xfId="19678" xr:uid="{453D3CF2-F33C-4CD6-99DC-AB36E22DEB20}"/>
    <cellStyle name="20% - Accent2 8 5" xfId="10397" xr:uid="{23FB04C1-B551-4626-BBDA-34F5FB754056}"/>
    <cellStyle name="20% - Accent2 9" xfId="2272" xr:uid="{00000000-0005-0000-0000-00003E010000}"/>
    <cellStyle name="20% - Accent2 9 2" xfId="6578" xr:uid="{00000000-0005-0000-0000-00003F010000}"/>
    <cellStyle name="20% - Accent2 9 2 2" xfId="24308" xr:uid="{9A58579D-149F-4158-B9CE-183D53540F32}"/>
    <cellStyle name="20% - Accent2 9 2 3" xfId="15028" xr:uid="{07E0444F-A667-415E-8B39-98E75F3A67FE}"/>
    <cellStyle name="20% - Accent2 9 3" xfId="20091" xr:uid="{D752D2F4-21DD-42DF-9642-0F148871D03C}"/>
    <cellStyle name="20% - Accent2 9 4" xfId="10810" xr:uid="{CE8ADE89-DDF6-43C8-A3EA-D310AC829438}"/>
    <cellStyle name="20% - Accent3" xfId="17" builtinId="38" customBuiltin="1"/>
    <cellStyle name="20% - Accent3 10" xfId="4520" xr:uid="{00000000-0005-0000-0000-000041010000}"/>
    <cellStyle name="20% - Accent3 10 2" xfId="22250" xr:uid="{5AF72ACE-283B-43F9-BB99-A559046090BF}"/>
    <cellStyle name="20% - Accent3 10 3" xfId="12970" xr:uid="{DE29965E-A503-47C6-8E23-BE2F3600E840}"/>
    <cellStyle name="20% - Accent3 11" xfId="18033" xr:uid="{3C25948D-B82D-4457-B5B8-5D9D448A511F}"/>
    <cellStyle name="20% - Accent3 12" xfId="17200" xr:uid="{9048DBEF-765D-4257-A646-5B1BB61FA305}"/>
    <cellStyle name="20% - Accent3 13" xfId="8752" xr:uid="{A21B6DEC-ADB3-4A6A-B151-07AD585FFAA5}"/>
    <cellStyle name="20% - Accent3 2" xfId="18" xr:uid="{00000000-0005-0000-0000-000042010000}"/>
    <cellStyle name="20% - Accent3 2 10" xfId="18034" xr:uid="{1CCBEDFA-FB5D-4EFE-95F3-D4BED2E82C5F}"/>
    <cellStyle name="20% - Accent3 2 11" xfId="17201" xr:uid="{5424F44B-6DBF-4BF2-A37A-7C97FD3C0BC8}"/>
    <cellStyle name="20% - Accent3 2 12" xfId="8753" xr:uid="{4575FC11-7A9D-4296-88FF-D17E87F1374D}"/>
    <cellStyle name="20% - Accent3 2 2" xfId="19" xr:uid="{00000000-0005-0000-0000-000043010000}"/>
    <cellStyle name="20% - Accent3 2 2 10" xfId="17202" xr:uid="{F1CBB9DF-1E2C-4817-91E3-917172593584}"/>
    <cellStyle name="20% - Accent3 2 2 11" xfId="8754" xr:uid="{11C50F1A-4877-499E-B274-E2C68F4A33F3}"/>
    <cellStyle name="20% - Accent3 2 2 2" xfId="20" xr:uid="{00000000-0005-0000-0000-000044010000}"/>
    <cellStyle name="20% - Accent3 2 2 2 10" xfId="8755" xr:uid="{8EDFD084-4E40-4CCA-8647-DFCEE71439C2}"/>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24812" xr:uid="{D9C8B78F-7D4C-441C-8A5F-BF8498D155A2}"/>
    <cellStyle name="20% - Accent3 2 2 2 2 2 2 3" xfId="15532" xr:uid="{B3CD8FBF-9372-4298-B46F-3C545C0A5837}"/>
    <cellStyle name="20% - Accent3 2 2 2 2 2 3" xfId="20595" xr:uid="{0D34FDB2-705B-481C-B89A-4CA886840B39}"/>
    <cellStyle name="20% - Accent3 2 2 2 2 2 4" xfId="11314" xr:uid="{0C0B82B0-8BC6-49C1-AAB9-AF9F89504BD2}"/>
    <cellStyle name="20% - Accent3 2 2 2 2 3" xfId="4937" xr:uid="{00000000-0005-0000-0000-000048010000}"/>
    <cellStyle name="20% - Accent3 2 2 2 2 3 2" xfId="22667" xr:uid="{24D86E8D-4BB8-4A75-BDB0-EABEC365FBD2}"/>
    <cellStyle name="20% - Accent3 2 2 2 2 3 3" xfId="13387" xr:uid="{EB00B236-42B9-417D-80B8-DB36570CE658}"/>
    <cellStyle name="20% - Accent3 2 2 2 2 4" xfId="18450" xr:uid="{578D6C97-2A06-4782-A200-27F665EAF020}"/>
    <cellStyle name="20% - Accent3 2 2 2 2 5" xfId="17620" xr:uid="{5553F6D2-93AF-491F-8252-93A3824DF64D}"/>
    <cellStyle name="20% - Accent3 2 2 2 2 6" xfId="9169" xr:uid="{EFB7A580-7970-4788-8E65-FA05A691E6B6}"/>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25225" xr:uid="{065ACC40-19FB-4927-9DD8-683648A58A1C}"/>
    <cellStyle name="20% - Accent3 2 2 2 3 2 2 3" xfId="15945" xr:uid="{B9D49ABE-ED0A-425F-911F-B61F62A93DA4}"/>
    <cellStyle name="20% - Accent3 2 2 2 3 2 3" xfId="21008" xr:uid="{E433954A-F467-4EFC-9E84-187F007757FE}"/>
    <cellStyle name="20% - Accent3 2 2 2 3 2 4" xfId="11727" xr:uid="{81FA0AEA-835C-4095-968D-46707FF6965B}"/>
    <cellStyle name="20% - Accent3 2 2 2 3 3" xfId="5350" xr:uid="{00000000-0005-0000-0000-00004C010000}"/>
    <cellStyle name="20% - Accent3 2 2 2 3 3 2" xfId="23080" xr:uid="{E3D3FA28-0FC6-4A29-8D44-383A2C866A21}"/>
    <cellStyle name="20% - Accent3 2 2 2 3 3 3" xfId="13800" xr:uid="{187A9C24-3183-4F74-98AB-5AB4979F8798}"/>
    <cellStyle name="20% - Accent3 2 2 2 3 4" xfId="18863" xr:uid="{736C6F43-CFD8-4328-904F-0645BAF544E9}"/>
    <cellStyle name="20% - Accent3 2 2 2 3 5" xfId="9582" xr:uid="{958AF725-2F38-4D7D-831E-F196E9EA35AC}"/>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25638" xr:uid="{A19E10E4-02E2-4B23-B2B3-3BF7C40F698B}"/>
    <cellStyle name="20% - Accent3 2 2 2 4 2 2 3" xfId="16358" xr:uid="{7F4FBA0A-CACE-461B-9EA8-DBA45210BF15}"/>
    <cellStyle name="20% - Accent3 2 2 2 4 2 3" xfId="21421" xr:uid="{711868C1-70F3-4FF6-B6A4-F0068C13BFCD}"/>
    <cellStyle name="20% - Accent3 2 2 2 4 2 4" xfId="12140" xr:uid="{A39B5E80-765B-49EA-B56B-26BCC0BA0A1E}"/>
    <cellStyle name="20% - Accent3 2 2 2 4 3" xfId="5763" xr:uid="{00000000-0005-0000-0000-000050010000}"/>
    <cellStyle name="20% - Accent3 2 2 2 4 3 2" xfId="23493" xr:uid="{58173D2B-27AD-44C2-9BCA-159FB6FD0D51}"/>
    <cellStyle name="20% - Accent3 2 2 2 4 3 3" xfId="14213" xr:uid="{76B78577-25E0-4836-B4CB-734ECBE093F9}"/>
    <cellStyle name="20% - Accent3 2 2 2 4 4" xfId="19276" xr:uid="{88E276B0-E587-4A6F-A99E-6D45B6404AEC}"/>
    <cellStyle name="20% - Accent3 2 2 2 4 5" xfId="9995" xr:uid="{A53B559C-ACE8-4E94-9EBC-6D5BF1008AE9}"/>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26051" xr:uid="{066D6F80-0734-429D-A69B-4D16F009F9EB}"/>
    <cellStyle name="20% - Accent3 2 2 2 5 2 2 3" xfId="16771" xr:uid="{AC0A8B39-07C0-4E2F-BE87-FF4E3A69BC1B}"/>
    <cellStyle name="20% - Accent3 2 2 2 5 2 3" xfId="21834" xr:uid="{CED2EE6A-F3FE-49AF-9989-1C3A748FAA74}"/>
    <cellStyle name="20% - Accent3 2 2 2 5 2 4" xfId="12553" xr:uid="{2931878F-3B1A-4F39-8E85-71B82FC129B1}"/>
    <cellStyle name="20% - Accent3 2 2 2 5 3" xfId="6176" xr:uid="{00000000-0005-0000-0000-000054010000}"/>
    <cellStyle name="20% - Accent3 2 2 2 5 3 2" xfId="23906" xr:uid="{BF1EDEF9-335B-4A19-AD1A-5620969188D8}"/>
    <cellStyle name="20% - Accent3 2 2 2 5 3 3" xfId="14626" xr:uid="{5CF2D202-0D3D-4F4F-B077-CF28E9D4BE72}"/>
    <cellStyle name="20% - Accent3 2 2 2 5 4" xfId="19689" xr:uid="{C0734260-6DDB-4EF4-A61B-39831DEF02B0}"/>
    <cellStyle name="20% - Accent3 2 2 2 5 5" xfId="10408" xr:uid="{20927EA2-52CC-4D15-A8EC-B27EBAA8DCF7}"/>
    <cellStyle name="20% - Accent3 2 2 2 6" xfId="2283" xr:uid="{00000000-0005-0000-0000-000055010000}"/>
    <cellStyle name="20% - Accent3 2 2 2 6 2" xfId="6589" xr:uid="{00000000-0005-0000-0000-000056010000}"/>
    <cellStyle name="20% - Accent3 2 2 2 6 2 2" xfId="24319" xr:uid="{5E67018F-8485-4E87-A0BD-9988E798891A}"/>
    <cellStyle name="20% - Accent3 2 2 2 6 2 3" xfId="15039" xr:uid="{90D7782B-2EB9-438D-9D94-4FF0A586B565}"/>
    <cellStyle name="20% - Accent3 2 2 2 6 3" xfId="20102" xr:uid="{65011DE6-74E5-47AA-A71D-87FF028F9310}"/>
    <cellStyle name="20% - Accent3 2 2 2 6 4" xfId="10821" xr:uid="{C2A8684A-5587-4CEB-9DF9-7FD68735AB67}"/>
    <cellStyle name="20% - Accent3 2 2 2 7" xfId="4523" xr:uid="{00000000-0005-0000-0000-000057010000}"/>
    <cellStyle name="20% - Accent3 2 2 2 7 2" xfId="22253" xr:uid="{B4F0F2E5-4D94-4F5E-9A5A-5F88AE58DDCF}"/>
    <cellStyle name="20% - Accent3 2 2 2 7 3" xfId="12973" xr:uid="{64D9A7F5-C218-48E1-BB4E-08DE54D19098}"/>
    <cellStyle name="20% - Accent3 2 2 2 8" xfId="18036" xr:uid="{466275EB-7B08-47A2-B762-4AF611153248}"/>
    <cellStyle name="20% - Accent3 2 2 2 9" xfId="17203" xr:uid="{C92D3129-203C-420B-9715-FC0FCA6B18FD}"/>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24811" xr:uid="{8F4EBADE-6BF8-440A-ABC4-375CE81A2EE2}"/>
    <cellStyle name="20% - Accent3 2 2 3 2 2 3" xfId="15531" xr:uid="{003694C1-2929-4C0D-8A8C-0B3EAC3D6A3B}"/>
    <cellStyle name="20% - Accent3 2 2 3 2 3" xfId="20594" xr:uid="{3FB7066F-5315-4ED6-8AAF-9433C773A062}"/>
    <cellStyle name="20% - Accent3 2 2 3 2 4" xfId="11313" xr:uid="{94514A0C-2054-42B5-9BD6-7F7406A3D29F}"/>
    <cellStyle name="20% - Accent3 2 2 3 3" xfId="4936" xr:uid="{00000000-0005-0000-0000-00005B010000}"/>
    <cellStyle name="20% - Accent3 2 2 3 3 2" xfId="22666" xr:uid="{D80756EB-8667-423C-858C-ED909F0CDC7A}"/>
    <cellStyle name="20% - Accent3 2 2 3 3 3" xfId="13386" xr:uid="{15B20B58-7FDB-434A-BB12-39DBE58CE313}"/>
    <cellStyle name="20% - Accent3 2 2 3 4" xfId="18449" xr:uid="{72FB9335-A615-4003-BEE2-B93556403CFB}"/>
    <cellStyle name="20% - Accent3 2 2 3 5" xfId="17619" xr:uid="{CD15C893-E01E-48B9-8646-8A3F721E046E}"/>
    <cellStyle name="20% - Accent3 2 2 3 6" xfId="9168" xr:uid="{0A677DAE-A5D8-4088-9F57-5BCED24F13E8}"/>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25224" xr:uid="{6DDC49E5-B26E-4D87-A827-6285C59411F2}"/>
    <cellStyle name="20% - Accent3 2 2 4 2 2 3" xfId="15944" xr:uid="{348E5D20-BC9A-440F-9C6A-7F2EE5C37C70}"/>
    <cellStyle name="20% - Accent3 2 2 4 2 3" xfId="21007" xr:uid="{745B9B0B-2B78-48FA-B5C4-BD302697DA41}"/>
    <cellStyle name="20% - Accent3 2 2 4 2 4" xfId="11726" xr:uid="{8DB7FD43-1186-46A2-97FD-86C85EA8CE84}"/>
    <cellStyle name="20% - Accent3 2 2 4 3" xfId="5349" xr:uid="{00000000-0005-0000-0000-00005F010000}"/>
    <cellStyle name="20% - Accent3 2 2 4 3 2" xfId="23079" xr:uid="{D1A1FB71-1567-4057-9119-A5119BA2B1E6}"/>
    <cellStyle name="20% - Accent3 2 2 4 3 3" xfId="13799" xr:uid="{3C49D448-B2A1-4893-86ED-A0F850E016D6}"/>
    <cellStyle name="20% - Accent3 2 2 4 4" xfId="18862" xr:uid="{CA23A6E3-6FCD-4CAB-B764-67FA479A6900}"/>
    <cellStyle name="20% - Accent3 2 2 4 5" xfId="9581" xr:uid="{282CDBC1-C7B7-4115-9CDA-A34AF8B28429}"/>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25637" xr:uid="{CD0BC980-48FA-441C-8A06-5F33CF01C612}"/>
    <cellStyle name="20% - Accent3 2 2 5 2 2 3" xfId="16357" xr:uid="{24734C3F-9F3D-47A4-BC17-1402B4BFEFAD}"/>
    <cellStyle name="20% - Accent3 2 2 5 2 3" xfId="21420" xr:uid="{0341F95D-F319-4A6E-98C3-0A8AA4DF0D51}"/>
    <cellStyle name="20% - Accent3 2 2 5 2 4" xfId="12139" xr:uid="{1C4C3DB9-18F1-46E5-B8F4-F55077E0685C}"/>
    <cellStyle name="20% - Accent3 2 2 5 3" xfId="5762" xr:uid="{00000000-0005-0000-0000-000063010000}"/>
    <cellStyle name="20% - Accent3 2 2 5 3 2" xfId="23492" xr:uid="{1BD396E8-2003-43AD-99C8-397816BDE350}"/>
    <cellStyle name="20% - Accent3 2 2 5 3 3" xfId="14212" xr:uid="{FA31C13A-7E03-46AD-BA39-9B53F53648D2}"/>
    <cellStyle name="20% - Accent3 2 2 5 4" xfId="19275" xr:uid="{83ADC5CF-B0A8-4BCA-8958-228DDC14B988}"/>
    <cellStyle name="20% - Accent3 2 2 5 5" xfId="9994" xr:uid="{344280F6-8A9F-497E-BA5B-82EE7E24FECE}"/>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26050" xr:uid="{65ABE4CE-96A0-42D4-8C78-8B11000B3970}"/>
    <cellStyle name="20% - Accent3 2 2 6 2 2 3" xfId="16770" xr:uid="{2DBB46DD-C7D0-4716-A3B2-25C5D7CE2DD8}"/>
    <cellStyle name="20% - Accent3 2 2 6 2 3" xfId="21833" xr:uid="{769D7F07-9294-4403-988C-27751D37E47A}"/>
    <cellStyle name="20% - Accent3 2 2 6 2 4" xfId="12552" xr:uid="{AEF8D194-945E-4FE6-8D38-B77A8002C7A5}"/>
    <cellStyle name="20% - Accent3 2 2 6 3" xfId="6175" xr:uid="{00000000-0005-0000-0000-000067010000}"/>
    <cellStyle name="20% - Accent3 2 2 6 3 2" xfId="23905" xr:uid="{A6A471B3-B610-4008-847E-EEF7D2F24A11}"/>
    <cellStyle name="20% - Accent3 2 2 6 3 3" xfId="14625" xr:uid="{4C02133E-62B5-4217-AAA2-AB58D19753F9}"/>
    <cellStyle name="20% - Accent3 2 2 6 4" xfId="19688" xr:uid="{BDD0F9E9-5912-4A87-B1C2-EC18671390C4}"/>
    <cellStyle name="20% - Accent3 2 2 6 5" xfId="10407" xr:uid="{44B57EE5-90B0-4A2B-B3EA-4CBA4D02A340}"/>
    <cellStyle name="20% - Accent3 2 2 7" xfId="2282" xr:uid="{00000000-0005-0000-0000-000068010000}"/>
    <cellStyle name="20% - Accent3 2 2 7 2" xfId="6588" xr:uid="{00000000-0005-0000-0000-000069010000}"/>
    <cellStyle name="20% - Accent3 2 2 7 2 2" xfId="24318" xr:uid="{817BA6A0-8330-4496-B99A-CE540BD4D35F}"/>
    <cellStyle name="20% - Accent3 2 2 7 2 3" xfId="15038" xr:uid="{167C27A0-2C08-4E7D-B760-A234034ED5D1}"/>
    <cellStyle name="20% - Accent3 2 2 7 3" xfId="20101" xr:uid="{8D0530FA-C725-4272-88F9-20FF98029B5D}"/>
    <cellStyle name="20% - Accent3 2 2 7 4" xfId="10820" xr:uid="{99B53627-744C-49C8-8226-57D496E02D5B}"/>
    <cellStyle name="20% - Accent3 2 2 8" xfId="4522" xr:uid="{00000000-0005-0000-0000-00006A010000}"/>
    <cellStyle name="20% - Accent3 2 2 8 2" xfId="22252" xr:uid="{536F2BA4-DDEA-4A83-A4EA-5069B152C66F}"/>
    <cellStyle name="20% - Accent3 2 2 8 3" xfId="12972" xr:uid="{0E74319A-871E-4AC6-9057-283B39DB8B64}"/>
    <cellStyle name="20% - Accent3 2 2 9" xfId="18035" xr:uid="{A6F217A2-A8FC-4625-842A-DE8ABE664B55}"/>
    <cellStyle name="20% - Accent3 2 3" xfId="21" xr:uid="{00000000-0005-0000-0000-00006B010000}"/>
    <cellStyle name="20% - Accent3 2 3 10" xfId="8756" xr:uid="{8C6F73F5-7034-41E9-AB58-D4C243E7F197}"/>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24813" xr:uid="{CF9D2048-0E2A-435B-8A9E-65161FE545D8}"/>
    <cellStyle name="20% - Accent3 2 3 2 2 2 3" xfId="15533" xr:uid="{762DE4FD-0462-4338-B4C6-304A1812CDAB}"/>
    <cellStyle name="20% - Accent3 2 3 2 2 3" xfId="20596" xr:uid="{04B9E330-FCD3-4BF0-AB38-58E71B71860C}"/>
    <cellStyle name="20% - Accent3 2 3 2 2 4" xfId="11315" xr:uid="{814AB03C-6EDF-4030-B1AD-105C91C1AE4A}"/>
    <cellStyle name="20% - Accent3 2 3 2 3" xfId="4938" xr:uid="{00000000-0005-0000-0000-00006F010000}"/>
    <cellStyle name="20% - Accent3 2 3 2 3 2" xfId="22668" xr:uid="{8B9F0381-074F-455B-BDD1-071282F3A8C8}"/>
    <cellStyle name="20% - Accent3 2 3 2 3 3" xfId="13388" xr:uid="{DCEBBA50-6122-4F43-B898-D8A138A44A4F}"/>
    <cellStyle name="20% - Accent3 2 3 2 4" xfId="18451" xr:uid="{388AE2E4-8A2D-431F-88D5-15B3F85CB577}"/>
    <cellStyle name="20% - Accent3 2 3 2 5" xfId="17621" xr:uid="{85D2550B-8AE2-4D57-B225-8810EAE41CF1}"/>
    <cellStyle name="20% - Accent3 2 3 2 6" xfId="9170" xr:uid="{64B612ED-7A19-4EDA-9FD6-10F5F0E5BFCE}"/>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25226" xr:uid="{9FE927C0-4059-47D0-8EEA-64BA356FA08D}"/>
    <cellStyle name="20% - Accent3 2 3 3 2 2 3" xfId="15946" xr:uid="{C7E460A1-2736-4E11-AF5A-4AAD8F612A5E}"/>
    <cellStyle name="20% - Accent3 2 3 3 2 3" xfId="21009" xr:uid="{02020A82-A7AD-4E86-8DCD-0F60D1233CBA}"/>
    <cellStyle name="20% - Accent3 2 3 3 2 4" xfId="11728" xr:uid="{285C1A87-D4CC-49F5-9E29-8936E6E14B14}"/>
    <cellStyle name="20% - Accent3 2 3 3 3" xfId="5351" xr:uid="{00000000-0005-0000-0000-000073010000}"/>
    <cellStyle name="20% - Accent3 2 3 3 3 2" xfId="23081" xr:uid="{0BB279CC-7977-4616-B2F0-44490145742E}"/>
    <cellStyle name="20% - Accent3 2 3 3 3 3" xfId="13801" xr:uid="{5A0BE6DB-8197-4A84-AA51-C049D5C364FA}"/>
    <cellStyle name="20% - Accent3 2 3 3 4" xfId="18864" xr:uid="{18B4B460-9480-477B-85DE-D45E7E9FBEA0}"/>
    <cellStyle name="20% - Accent3 2 3 3 5" xfId="9583" xr:uid="{E8C52976-F531-4AEA-AE74-588396A4B10B}"/>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25639" xr:uid="{74A3A778-9284-4651-893C-4BF2AE9A19B3}"/>
    <cellStyle name="20% - Accent3 2 3 4 2 2 3" xfId="16359" xr:uid="{B00A9625-F213-498F-9246-3409C4EB5563}"/>
    <cellStyle name="20% - Accent3 2 3 4 2 3" xfId="21422" xr:uid="{AD1B3EE8-A4E7-476A-9C09-04A8A6006A31}"/>
    <cellStyle name="20% - Accent3 2 3 4 2 4" xfId="12141" xr:uid="{217B8BAD-2235-47D2-AFC2-D65E726CBAFC}"/>
    <cellStyle name="20% - Accent3 2 3 4 3" xfId="5764" xr:uid="{00000000-0005-0000-0000-000077010000}"/>
    <cellStyle name="20% - Accent3 2 3 4 3 2" xfId="23494" xr:uid="{3D5C6E0E-E949-4D6C-8E50-4DEC7B987901}"/>
    <cellStyle name="20% - Accent3 2 3 4 3 3" xfId="14214" xr:uid="{42699F11-A3BE-407E-A388-2D6F742550EB}"/>
    <cellStyle name="20% - Accent3 2 3 4 4" xfId="19277" xr:uid="{ED10D61F-5866-41FB-B12D-6227D43C7868}"/>
    <cellStyle name="20% - Accent3 2 3 4 5" xfId="9996" xr:uid="{9AECDF74-45AD-4B64-A736-4B1A8C120E41}"/>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26052" xr:uid="{250EB489-4917-4334-8B09-644ED114A6DB}"/>
    <cellStyle name="20% - Accent3 2 3 5 2 2 3" xfId="16772" xr:uid="{B23F27BC-B6D3-44F7-A6E1-C07DB27A110B}"/>
    <cellStyle name="20% - Accent3 2 3 5 2 3" xfId="21835" xr:uid="{05C26540-FEC2-437B-B920-87B22F900708}"/>
    <cellStyle name="20% - Accent3 2 3 5 2 4" xfId="12554" xr:uid="{80D5F831-E6AC-4771-B3CE-9147F4775A8C}"/>
    <cellStyle name="20% - Accent3 2 3 5 3" xfId="6177" xr:uid="{00000000-0005-0000-0000-00007B010000}"/>
    <cellStyle name="20% - Accent3 2 3 5 3 2" xfId="23907" xr:uid="{4131CF58-16B0-425B-AFAE-8D5066800E83}"/>
    <cellStyle name="20% - Accent3 2 3 5 3 3" xfId="14627" xr:uid="{13C7E63A-242E-4DDE-9C11-873E0FB7C929}"/>
    <cellStyle name="20% - Accent3 2 3 5 4" xfId="19690" xr:uid="{935F4297-AE2F-4998-A3BA-1D2300F53540}"/>
    <cellStyle name="20% - Accent3 2 3 5 5" xfId="10409" xr:uid="{6B4E2BFB-D621-48E2-A1A6-103C793D37A5}"/>
    <cellStyle name="20% - Accent3 2 3 6" xfId="2284" xr:uid="{00000000-0005-0000-0000-00007C010000}"/>
    <cellStyle name="20% - Accent3 2 3 6 2" xfId="6590" xr:uid="{00000000-0005-0000-0000-00007D010000}"/>
    <cellStyle name="20% - Accent3 2 3 6 2 2" xfId="24320" xr:uid="{169C03A6-8A57-40BA-86CC-00FADC0D8CFF}"/>
    <cellStyle name="20% - Accent3 2 3 6 2 3" xfId="15040" xr:uid="{4F2DBC94-F3C0-4B31-A58A-009C4E711CFA}"/>
    <cellStyle name="20% - Accent3 2 3 6 3" xfId="20103" xr:uid="{4FC6EA22-A172-481A-9DFE-2A4A4983E451}"/>
    <cellStyle name="20% - Accent3 2 3 6 4" xfId="10822" xr:uid="{7EC1BAC5-3E0B-452F-851A-2B7ADFA4455D}"/>
    <cellStyle name="20% - Accent3 2 3 7" xfId="4524" xr:uid="{00000000-0005-0000-0000-00007E010000}"/>
    <cellStyle name="20% - Accent3 2 3 7 2" xfId="22254" xr:uid="{EE10D6A3-391A-479D-A510-6D1DD475DBD4}"/>
    <cellStyle name="20% - Accent3 2 3 7 3" xfId="12974" xr:uid="{23767514-08B2-4E90-93E8-18861968116A}"/>
    <cellStyle name="20% - Accent3 2 3 8" xfId="18037" xr:uid="{3A85B19D-8025-4D45-A096-52924F4C9A49}"/>
    <cellStyle name="20% - Accent3 2 3 9" xfId="17204" xr:uid="{8F866F7C-1A01-4A3C-ABC0-D671FDEAF288}"/>
    <cellStyle name="20% - Accent3 2 4" xfId="587" xr:uid="{00000000-0005-0000-0000-00007F010000}"/>
    <cellStyle name="20% - Accent3 2 4 2" xfId="2858" xr:uid="{00000000-0005-0000-0000-000080010000}"/>
    <cellStyle name="20% - Accent3 2 4 2 2" xfId="7080" xr:uid="{00000000-0005-0000-0000-000081010000}"/>
    <cellStyle name="20% - Accent3 2 4 2 2 2" xfId="24810" xr:uid="{81FA700C-D6EF-432C-9791-2266CF9DCED2}"/>
    <cellStyle name="20% - Accent3 2 4 2 2 3" xfId="15530" xr:uid="{D1453474-600A-4AA1-9CEC-F7EC8AAB6170}"/>
    <cellStyle name="20% - Accent3 2 4 2 3" xfId="20593" xr:uid="{5CA23BC6-460C-447E-A748-A865427A2591}"/>
    <cellStyle name="20% - Accent3 2 4 2 4" xfId="11312" xr:uid="{1491CD4C-E99D-480D-9E3F-55B6D6754B65}"/>
    <cellStyle name="20% - Accent3 2 4 3" xfId="4935" xr:uid="{00000000-0005-0000-0000-000082010000}"/>
    <cellStyle name="20% - Accent3 2 4 3 2" xfId="22665" xr:uid="{05FF5A78-FC9A-4F6A-891A-E5A910FEEC40}"/>
    <cellStyle name="20% - Accent3 2 4 3 3" xfId="13385" xr:uid="{8FE49101-F3DF-4210-92FD-613793BD2370}"/>
    <cellStyle name="20% - Accent3 2 4 4" xfId="18448" xr:uid="{DE13FF8E-326C-48A5-8AC7-9DF370F03871}"/>
    <cellStyle name="20% - Accent3 2 4 5" xfId="17618" xr:uid="{AF4BDBD0-EAFC-4CF1-8EA8-EAA05299B2EF}"/>
    <cellStyle name="20% - Accent3 2 4 6" xfId="9167" xr:uid="{48F76D17-1240-4CA5-8862-E1F23CF74746}"/>
    <cellStyle name="20% - Accent3 2 5" xfId="1040" xr:uid="{00000000-0005-0000-0000-000083010000}"/>
    <cellStyle name="20% - Accent3 2 5 2" xfId="3271" xr:uid="{00000000-0005-0000-0000-000084010000}"/>
    <cellStyle name="20% - Accent3 2 5 2 2" xfId="7493" xr:uid="{00000000-0005-0000-0000-000085010000}"/>
    <cellStyle name="20% - Accent3 2 5 2 2 2" xfId="25223" xr:uid="{51A9D2B4-D77C-447D-82C4-3A513443FCE7}"/>
    <cellStyle name="20% - Accent3 2 5 2 2 3" xfId="15943" xr:uid="{658BE1A6-ADCD-4ECD-8274-C1C0BC83D29B}"/>
    <cellStyle name="20% - Accent3 2 5 2 3" xfId="21006" xr:uid="{8B857C15-8FB3-4229-8C01-111D066C94D0}"/>
    <cellStyle name="20% - Accent3 2 5 2 4" xfId="11725" xr:uid="{495A46F4-A477-48C3-AD1D-065DD9606FB1}"/>
    <cellStyle name="20% - Accent3 2 5 3" xfId="5348" xr:uid="{00000000-0005-0000-0000-000086010000}"/>
    <cellStyle name="20% - Accent3 2 5 3 2" xfId="23078" xr:uid="{9230445B-4B4E-40F8-9B8B-1A9BA45652C1}"/>
    <cellStyle name="20% - Accent3 2 5 3 3" xfId="13798" xr:uid="{478F0CA4-3BF5-491C-A136-BB92355660EC}"/>
    <cellStyle name="20% - Accent3 2 5 4" xfId="18861" xr:uid="{0530369A-741C-4D36-9C35-E2315F82C0E1}"/>
    <cellStyle name="20% - Accent3 2 5 5" xfId="9580" xr:uid="{297EA464-BBC9-4912-89E3-247B8B8185A1}"/>
    <cellStyle name="20% - Accent3 2 6" xfId="1454" xr:uid="{00000000-0005-0000-0000-000087010000}"/>
    <cellStyle name="20% - Accent3 2 6 2" xfId="3684" xr:uid="{00000000-0005-0000-0000-000088010000}"/>
    <cellStyle name="20% - Accent3 2 6 2 2" xfId="7906" xr:uid="{00000000-0005-0000-0000-000089010000}"/>
    <cellStyle name="20% - Accent3 2 6 2 2 2" xfId="25636" xr:uid="{841C50A6-E6E9-4D9F-8E60-C11D5AEF11C8}"/>
    <cellStyle name="20% - Accent3 2 6 2 2 3" xfId="16356" xr:uid="{186D36DB-0FE1-4931-8312-C864CCD59B4F}"/>
    <cellStyle name="20% - Accent3 2 6 2 3" xfId="21419" xr:uid="{EDEEE2D0-E0C4-4DF2-80D5-2C8CDBE6367A}"/>
    <cellStyle name="20% - Accent3 2 6 2 4" xfId="12138" xr:uid="{8630B13D-600D-4786-BE53-906EDE80A665}"/>
    <cellStyle name="20% - Accent3 2 6 3" xfId="5761" xr:uid="{00000000-0005-0000-0000-00008A010000}"/>
    <cellStyle name="20% - Accent3 2 6 3 2" xfId="23491" xr:uid="{8E9A3D5B-2CDA-4F24-8AEB-49DB464E11C2}"/>
    <cellStyle name="20% - Accent3 2 6 3 3" xfId="14211" xr:uid="{16710150-DD81-4EDA-8185-8C8F5E32C1B2}"/>
    <cellStyle name="20% - Accent3 2 6 4" xfId="19274" xr:uid="{6CFBA2DD-DAF0-42F8-93AA-5B412435C93E}"/>
    <cellStyle name="20% - Accent3 2 6 5" xfId="9993" xr:uid="{F9219C16-2D4B-46C5-B21D-664A615B9FA6}"/>
    <cellStyle name="20% - Accent3 2 7" xfId="1868" xr:uid="{00000000-0005-0000-0000-00008B010000}"/>
    <cellStyle name="20% - Accent3 2 7 2" xfId="4097" xr:uid="{00000000-0005-0000-0000-00008C010000}"/>
    <cellStyle name="20% - Accent3 2 7 2 2" xfId="8319" xr:uid="{00000000-0005-0000-0000-00008D010000}"/>
    <cellStyle name="20% - Accent3 2 7 2 2 2" xfId="26049" xr:uid="{C16136A0-603A-474D-99D8-59B8D22ECF38}"/>
    <cellStyle name="20% - Accent3 2 7 2 2 3" xfId="16769" xr:uid="{979DFC5A-63A8-4D0F-AB9C-1A98996E7C4C}"/>
    <cellStyle name="20% - Accent3 2 7 2 3" xfId="21832" xr:uid="{2AE3143F-A9E4-46A9-82C0-B10F58B3EB39}"/>
    <cellStyle name="20% - Accent3 2 7 2 4" xfId="12551" xr:uid="{8B82AA57-274C-4A32-B615-8FEAD02FA2DE}"/>
    <cellStyle name="20% - Accent3 2 7 3" xfId="6174" xr:uid="{00000000-0005-0000-0000-00008E010000}"/>
    <cellStyle name="20% - Accent3 2 7 3 2" xfId="23904" xr:uid="{8DDC098E-5933-4AF4-96AB-F9EF1B8DE2D6}"/>
    <cellStyle name="20% - Accent3 2 7 3 3" xfId="14624" xr:uid="{9ED80CFB-4EDF-4A54-8BAC-BDF0B1C4CDCE}"/>
    <cellStyle name="20% - Accent3 2 7 4" xfId="19687" xr:uid="{A5980703-51EF-49A3-A31F-2544A445269D}"/>
    <cellStyle name="20% - Accent3 2 7 5" xfId="10406" xr:uid="{D995211D-5A4C-49E0-B7F3-1B5F4F6B60B0}"/>
    <cellStyle name="20% - Accent3 2 8" xfId="2281" xr:uid="{00000000-0005-0000-0000-00008F010000}"/>
    <cellStyle name="20% - Accent3 2 8 2" xfId="6587" xr:uid="{00000000-0005-0000-0000-000090010000}"/>
    <cellStyle name="20% - Accent3 2 8 2 2" xfId="24317" xr:uid="{640A3078-2A2C-4CCE-B0B0-F627BC449A72}"/>
    <cellStyle name="20% - Accent3 2 8 2 3" xfId="15037" xr:uid="{BA4E1AEB-56DC-4820-82A1-C5E438D0A96A}"/>
    <cellStyle name="20% - Accent3 2 8 3" xfId="20100" xr:uid="{033C0648-CFE1-4113-AB21-AA48EDBCFC6C}"/>
    <cellStyle name="20% - Accent3 2 8 4" xfId="10819" xr:uid="{C3E2243A-5807-4E5F-B776-87858A998F00}"/>
    <cellStyle name="20% - Accent3 2 9" xfId="4521" xr:uid="{00000000-0005-0000-0000-000091010000}"/>
    <cellStyle name="20% - Accent3 2 9 2" xfId="22251" xr:uid="{6DB942DF-940A-48CA-9410-C649F529EEB8}"/>
    <cellStyle name="20% - Accent3 2 9 3" xfId="12971" xr:uid="{C3ED1A49-78AE-47D6-8EFB-AD7DB062953E}"/>
    <cellStyle name="20% - Accent3 3" xfId="22" xr:uid="{00000000-0005-0000-0000-000092010000}"/>
    <cellStyle name="20% - Accent3 3 10" xfId="17205" xr:uid="{66C407C2-49AB-4E15-A888-48A50E32B569}"/>
    <cellStyle name="20% - Accent3 3 11" xfId="8757" xr:uid="{B4688754-438A-4CCF-8AD9-F3B739DF1553}"/>
    <cellStyle name="20% - Accent3 3 2" xfId="23" xr:uid="{00000000-0005-0000-0000-000093010000}"/>
    <cellStyle name="20% - Accent3 3 2 10" xfId="8758" xr:uid="{ED76732F-64F1-4242-A1BD-453B460E98F3}"/>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24815" xr:uid="{E3D2177B-626C-4F55-B183-B34A6816447E}"/>
    <cellStyle name="20% - Accent3 3 2 2 2 2 3" xfId="15535" xr:uid="{2A0CB620-DA15-4B57-8BF2-7BB9280396C6}"/>
    <cellStyle name="20% - Accent3 3 2 2 2 3" xfId="20598" xr:uid="{D0717B1A-80AA-4EAE-A521-F96F3F212A3C}"/>
    <cellStyle name="20% - Accent3 3 2 2 2 4" xfId="11317" xr:uid="{A2EA9D1F-017A-43C9-90FA-7252C5E69A83}"/>
    <cellStyle name="20% - Accent3 3 2 2 3" xfId="4940" xr:uid="{00000000-0005-0000-0000-000097010000}"/>
    <cellStyle name="20% - Accent3 3 2 2 3 2" xfId="22670" xr:uid="{2BAE6B0B-4FAE-487E-82CC-3AF7FD5AD0D3}"/>
    <cellStyle name="20% - Accent3 3 2 2 3 3" xfId="13390" xr:uid="{4EEF2AAA-2A4E-4D10-8483-BA88F4D2E8D4}"/>
    <cellStyle name="20% - Accent3 3 2 2 4" xfId="18453" xr:uid="{B0BBB37E-179D-4784-A097-9C62467B02DD}"/>
    <cellStyle name="20% - Accent3 3 2 2 5" xfId="17623" xr:uid="{C06E5302-8CE1-4FC2-9858-A9DDEF6A1D4B}"/>
    <cellStyle name="20% - Accent3 3 2 2 6" xfId="9172" xr:uid="{5B3169C9-1B75-4E02-9512-982E50152F0D}"/>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25228" xr:uid="{0EFC608F-495D-4076-A07B-ADAFF35AA1B0}"/>
    <cellStyle name="20% - Accent3 3 2 3 2 2 3" xfId="15948" xr:uid="{71B6ACD9-C515-43CE-B8A0-2122D26908C2}"/>
    <cellStyle name="20% - Accent3 3 2 3 2 3" xfId="21011" xr:uid="{5082B144-CD20-4569-B573-3912491BE6F8}"/>
    <cellStyle name="20% - Accent3 3 2 3 2 4" xfId="11730" xr:uid="{794B4314-F82D-4C33-862C-B07E2D761C7F}"/>
    <cellStyle name="20% - Accent3 3 2 3 3" xfId="5353" xr:uid="{00000000-0005-0000-0000-00009B010000}"/>
    <cellStyle name="20% - Accent3 3 2 3 3 2" xfId="23083" xr:uid="{602FE87F-BBA7-4798-BF78-6370A4E2D488}"/>
    <cellStyle name="20% - Accent3 3 2 3 3 3" xfId="13803" xr:uid="{1913FE05-953D-4921-9765-778351811F15}"/>
    <cellStyle name="20% - Accent3 3 2 3 4" xfId="18866" xr:uid="{7C14842B-FC9E-438E-91A2-A580CD258722}"/>
    <cellStyle name="20% - Accent3 3 2 3 5" xfId="9585" xr:uid="{9A59790D-20FC-409F-AD2C-9BC476D60A77}"/>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25641" xr:uid="{3B9E4B52-1618-49C5-88F6-604C918EFC96}"/>
    <cellStyle name="20% - Accent3 3 2 4 2 2 3" xfId="16361" xr:uid="{4A67C72D-D895-4380-819F-F72356658876}"/>
    <cellStyle name="20% - Accent3 3 2 4 2 3" xfId="21424" xr:uid="{75A7B074-3A67-427F-A2B0-72D47E031F28}"/>
    <cellStyle name="20% - Accent3 3 2 4 2 4" xfId="12143" xr:uid="{E15FAA7D-575D-43A4-9FBC-61CE647CF449}"/>
    <cellStyle name="20% - Accent3 3 2 4 3" xfId="5766" xr:uid="{00000000-0005-0000-0000-00009F010000}"/>
    <cellStyle name="20% - Accent3 3 2 4 3 2" xfId="23496" xr:uid="{461B89B9-6F1D-46B6-ABB7-C69512424D47}"/>
    <cellStyle name="20% - Accent3 3 2 4 3 3" xfId="14216" xr:uid="{8279B882-6DFE-4E77-BF63-265A69B8D85B}"/>
    <cellStyle name="20% - Accent3 3 2 4 4" xfId="19279" xr:uid="{B5C66DCF-79A7-4F5B-95ED-DDF95EC4470F}"/>
    <cellStyle name="20% - Accent3 3 2 4 5" xfId="9998" xr:uid="{BAE3950F-B7A4-41B2-9A59-C1DD07A2F999}"/>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26054" xr:uid="{1449A9BC-AD95-4BA7-B784-90DC1D60983F}"/>
    <cellStyle name="20% - Accent3 3 2 5 2 2 3" xfId="16774" xr:uid="{5E6E8404-7B79-4375-AA86-15FAA0582C46}"/>
    <cellStyle name="20% - Accent3 3 2 5 2 3" xfId="21837" xr:uid="{D11F9240-4547-4FF8-BC43-CA9FC23B77B6}"/>
    <cellStyle name="20% - Accent3 3 2 5 2 4" xfId="12556" xr:uid="{B2A29C40-1C35-4A7A-BCE0-2BAD1F04EE7D}"/>
    <cellStyle name="20% - Accent3 3 2 5 3" xfId="6179" xr:uid="{00000000-0005-0000-0000-0000A3010000}"/>
    <cellStyle name="20% - Accent3 3 2 5 3 2" xfId="23909" xr:uid="{1EFAB2DC-152B-4A98-8124-7AF60694C997}"/>
    <cellStyle name="20% - Accent3 3 2 5 3 3" xfId="14629" xr:uid="{65941448-28BC-4F3F-A651-3EB314804AE7}"/>
    <cellStyle name="20% - Accent3 3 2 5 4" xfId="19692" xr:uid="{AAFD5483-1816-42B3-98D7-FB54EC29ECEB}"/>
    <cellStyle name="20% - Accent3 3 2 5 5" xfId="10411" xr:uid="{43408D79-190F-4AB0-84EA-4B9449FC5171}"/>
    <cellStyle name="20% - Accent3 3 2 6" xfId="2286" xr:uid="{00000000-0005-0000-0000-0000A4010000}"/>
    <cellStyle name="20% - Accent3 3 2 6 2" xfId="6592" xr:uid="{00000000-0005-0000-0000-0000A5010000}"/>
    <cellStyle name="20% - Accent3 3 2 6 2 2" xfId="24322" xr:uid="{69DCF0A4-B554-41FB-99E4-407D99F696D1}"/>
    <cellStyle name="20% - Accent3 3 2 6 2 3" xfId="15042" xr:uid="{AF7D4BB5-5E86-4503-861C-076436E96E3D}"/>
    <cellStyle name="20% - Accent3 3 2 6 3" xfId="20105" xr:uid="{22C40C11-F64F-49FE-9904-4375B71531A9}"/>
    <cellStyle name="20% - Accent3 3 2 6 4" xfId="10824" xr:uid="{71342B81-E600-44F4-B933-8672755BD3B6}"/>
    <cellStyle name="20% - Accent3 3 2 7" xfId="4526" xr:uid="{00000000-0005-0000-0000-0000A6010000}"/>
    <cellStyle name="20% - Accent3 3 2 7 2" xfId="22256" xr:uid="{5D56A7D3-9CFA-4F61-A471-79254929EC69}"/>
    <cellStyle name="20% - Accent3 3 2 7 3" xfId="12976" xr:uid="{4EFF5AE9-C668-4FF5-87E8-561A41F30F4C}"/>
    <cellStyle name="20% - Accent3 3 2 8" xfId="18039" xr:uid="{33BA103A-D889-4E64-AE1B-62C612364184}"/>
    <cellStyle name="20% - Accent3 3 2 9" xfId="17206" xr:uid="{77AB9E71-69FC-4AC4-9917-9E0556C78106}"/>
    <cellStyle name="20% - Accent3 3 3" xfId="591" xr:uid="{00000000-0005-0000-0000-0000A7010000}"/>
    <cellStyle name="20% - Accent3 3 3 2" xfId="2862" xr:uid="{00000000-0005-0000-0000-0000A8010000}"/>
    <cellStyle name="20% - Accent3 3 3 2 2" xfId="7084" xr:uid="{00000000-0005-0000-0000-0000A9010000}"/>
    <cellStyle name="20% - Accent3 3 3 2 2 2" xfId="24814" xr:uid="{335D0B1C-73F3-4C26-AE64-3B9533DB3149}"/>
    <cellStyle name="20% - Accent3 3 3 2 2 3" xfId="15534" xr:uid="{8B8FAB9D-302C-43D1-BC5D-836F0EB57E8F}"/>
    <cellStyle name="20% - Accent3 3 3 2 3" xfId="20597" xr:uid="{66A358B2-EA1E-4C5D-B885-A5D49AC89B60}"/>
    <cellStyle name="20% - Accent3 3 3 2 4" xfId="11316" xr:uid="{D8C38275-CCA0-486E-A608-04A2B6B2567D}"/>
    <cellStyle name="20% - Accent3 3 3 3" xfId="4939" xr:uid="{00000000-0005-0000-0000-0000AA010000}"/>
    <cellStyle name="20% - Accent3 3 3 3 2" xfId="22669" xr:uid="{6286FA6E-7DB8-433E-A93D-1556FF6A5066}"/>
    <cellStyle name="20% - Accent3 3 3 3 3" xfId="13389" xr:uid="{8AD725E0-1E43-49B0-937C-B834FFC23D1C}"/>
    <cellStyle name="20% - Accent3 3 3 4" xfId="18452" xr:uid="{9BA3BE39-FBE1-4841-98BE-19F5030B2C9D}"/>
    <cellStyle name="20% - Accent3 3 3 5" xfId="17622" xr:uid="{3E106314-C6D3-4380-9155-DD8028A26C2F}"/>
    <cellStyle name="20% - Accent3 3 3 6" xfId="9171" xr:uid="{B1CF440A-512A-46A0-83BF-5286C09A8257}"/>
    <cellStyle name="20% - Accent3 3 4" xfId="1044" xr:uid="{00000000-0005-0000-0000-0000AB010000}"/>
    <cellStyle name="20% - Accent3 3 4 2" xfId="3275" xr:uid="{00000000-0005-0000-0000-0000AC010000}"/>
    <cellStyle name="20% - Accent3 3 4 2 2" xfId="7497" xr:uid="{00000000-0005-0000-0000-0000AD010000}"/>
    <cellStyle name="20% - Accent3 3 4 2 2 2" xfId="25227" xr:uid="{639DC157-4EE5-40BE-83F8-6CBE80219BC7}"/>
    <cellStyle name="20% - Accent3 3 4 2 2 3" xfId="15947" xr:uid="{ACDC06FE-201F-470C-9839-207F5A36B4D6}"/>
    <cellStyle name="20% - Accent3 3 4 2 3" xfId="21010" xr:uid="{1F910D4D-FF9B-4672-AD42-8FD692D27286}"/>
    <cellStyle name="20% - Accent3 3 4 2 4" xfId="11729" xr:uid="{148A9618-E4B8-47BF-9CD3-5181B80D3AD6}"/>
    <cellStyle name="20% - Accent3 3 4 3" xfId="5352" xr:uid="{00000000-0005-0000-0000-0000AE010000}"/>
    <cellStyle name="20% - Accent3 3 4 3 2" xfId="23082" xr:uid="{7B0AE1BD-7F3E-4E26-AEE8-0FAE0BD0ACF6}"/>
    <cellStyle name="20% - Accent3 3 4 3 3" xfId="13802" xr:uid="{1DE2DA7C-6CB9-4E21-993C-E7E81FDD97F1}"/>
    <cellStyle name="20% - Accent3 3 4 4" xfId="18865" xr:uid="{8C5A28AF-0651-4B74-914D-5E1D18079536}"/>
    <cellStyle name="20% - Accent3 3 4 5" xfId="9584" xr:uid="{44DE6DFF-529D-4977-A448-1F201DE08574}"/>
    <cellStyle name="20% - Accent3 3 5" xfId="1458" xr:uid="{00000000-0005-0000-0000-0000AF010000}"/>
    <cellStyle name="20% - Accent3 3 5 2" xfId="3688" xr:uid="{00000000-0005-0000-0000-0000B0010000}"/>
    <cellStyle name="20% - Accent3 3 5 2 2" xfId="7910" xr:uid="{00000000-0005-0000-0000-0000B1010000}"/>
    <cellStyle name="20% - Accent3 3 5 2 2 2" xfId="25640" xr:uid="{22630617-1CAC-4B03-AA2E-F74996959C96}"/>
    <cellStyle name="20% - Accent3 3 5 2 2 3" xfId="16360" xr:uid="{BA022B4E-5159-4975-A463-63AEE1D956F6}"/>
    <cellStyle name="20% - Accent3 3 5 2 3" xfId="21423" xr:uid="{9CBC9A92-6A86-406F-9D52-9DB5C08D3913}"/>
    <cellStyle name="20% - Accent3 3 5 2 4" xfId="12142" xr:uid="{D5BC92D9-A596-490F-9875-882F1CEB5888}"/>
    <cellStyle name="20% - Accent3 3 5 3" xfId="5765" xr:uid="{00000000-0005-0000-0000-0000B2010000}"/>
    <cellStyle name="20% - Accent3 3 5 3 2" xfId="23495" xr:uid="{35848B60-D79C-4925-AA99-BA7B37A635B7}"/>
    <cellStyle name="20% - Accent3 3 5 3 3" xfId="14215" xr:uid="{AF94B11E-FC9D-48CF-86B3-21E75369BC80}"/>
    <cellStyle name="20% - Accent3 3 5 4" xfId="19278" xr:uid="{469AE6C1-DAE8-43D8-9DA2-494D9486EC67}"/>
    <cellStyle name="20% - Accent3 3 5 5" xfId="9997" xr:uid="{C04ECE03-34A4-4D17-86FF-60E78C4F5887}"/>
    <cellStyle name="20% - Accent3 3 6" xfId="1872" xr:uid="{00000000-0005-0000-0000-0000B3010000}"/>
    <cellStyle name="20% - Accent3 3 6 2" xfId="4101" xr:uid="{00000000-0005-0000-0000-0000B4010000}"/>
    <cellStyle name="20% - Accent3 3 6 2 2" xfId="8323" xr:uid="{00000000-0005-0000-0000-0000B5010000}"/>
    <cellStyle name="20% - Accent3 3 6 2 2 2" xfId="26053" xr:uid="{C6751BDD-FD03-4C65-AC60-416A73B95F52}"/>
    <cellStyle name="20% - Accent3 3 6 2 2 3" xfId="16773" xr:uid="{D8FCFC3F-B5C2-4894-A932-4DEB512CB5D0}"/>
    <cellStyle name="20% - Accent3 3 6 2 3" xfId="21836" xr:uid="{8C117D2E-A13C-4923-AFB3-6C3DD53B1A60}"/>
    <cellStyle name="20% - Accent3 3 6 2 4" xfId="12555" xr:uid="{E9E71767-85FF-4E2E-AD15-83D6BC6F57C4}"/>
    <cellStyle name="20% - Accent3 3 6 3" xfId="6178" xr:uid="{00000000-0005-0000-0000-0000B6010000}"/>
    <cellStyle name="20% - Accent3 3 6 3 2" xfId="23908" xr:uid="{B63D06BE-2012-435B-9D05-8DFA4F87EA80}"/>
    <cellStyle name="20% - Accent3 3 6 3 3" xfId="14628" xr:uid="{C8F513AF-0CE1-4C85-9C3D-E43D00EC3DBC}"/>
    <cellStyle name="20% - Accent3 3 6 4" xfId="19691" xr:uid="{752A8126-93CE-4D42-A7DF-4219FD7E8F26}"/>
    <cellStyle name="20% - Accent3 3 6 5" xfId="10410" xr:uid="{EE6FACC9-E03C-43CF-835B-790D1F9D5335}"/>
    <cellStyle name="20% - Accent3 3 7" xfId="2285" xr:uid="{00000000-0005-0000-0000-0000B7010000}"/>
    <cellStyle name="20% - Accent3 3 7 2" xfId="6591" xr:uid="{00000000-0005-0000-0000-0000B8010000}"/>
    <cellStyle name="20% - Accent3 3 7 2 2" xfId="24321" xr:uid="{0934FDDC-E4A1-4530-82A8-42A89AA47311}"/>
    <cellStyle name="20% - Accent3 3 7 2 3" xfId="15041" xr:uid="{7F3FCD20-669C-42B3-B9FA-D7143E1B8DD7}"/>
    <cellStyle name="20% - Accent3 3 7 3" xfId="20104" xr:uid="{1C7F1EEA-50B4-4D3A-A598-C9D6DAE19F72}"/>
    <cellStyle name="20% - Accent3 3 7 4" xfId="10823" xr:uid="{53F7967A-7697-4A1D-92B2-1720D5B49792}"/>
    <cellStyle name="20% - Accent3 3 8" xfId="4525" xr:uid="{00000000-0005-0000-0000-0000B9010000}"/>
    <cellStyle name="20% - Accent3 3 8 2" xfId="22255" xr:uid="{E9442FF0-D3CA-48D6-AC20-54C7E4359CDA}"/>
    <cellStyle name="20% - Accent3 3 8 3" xfId="12975" xr:uid="{F577E7AA-221D-4B7C-9B27-216D0898F8EE}"/>
    <cellStyle name="20% - Accent3 3 9" xfId="18038" xr:uid="{8D188034-DFE9-49F2-A7A2-08F5CE442BEA}"/>
    <cellStyle name="20% - Accent3 4" xfId="24" xr:uid="{00000000-0005-0000-0000-0000BA010000}"/>
    <cellStyle name="20% - Accent3 4 10" xfId="8759" xr:uid="{7DCB2E5E-DC55-4E92-9BD6-92C45BC0D87C}"/>
    <cellStyle name="20% - Accent3 4 2" xfId="593" xr:uid="{00000000-0005-0000-0000-0000BB010000}"/>
    <cellStyle name="20% - Accent3 4 2 2" xfId="2864" xr:uid="{00000000-0005-0000-0000-0000BC010000}"/>
    <cellStyle name="20% - Accent3 4 2 2 2" xfId="7086" xr:uid="{00000000-0005-0000-0000-0000BD010000}"/>
    <cellStyle name="20% - Accent3 4 2 2 2 2" xfId="24816" xr:uid="{26A80028-9E44-42AF-979C-8AB2E579A711}"/>
    <cellStyle name="20% - Accent3 4 2 2 2 3" xfId="15536" xr:uid="{558303AC-CA51-47D4-8ACD-D153CFCD91BE}"/>
    <cellStyle name="20% - Accent3 4 2 2 3" xfId="20599" xr:uid="{30E61BFF-946B-45FF-9FAD-847C9B44CD47}"/>
    <cellStyle name="20% - Accent3 4 2 2 4" xfId="11318" xr:uid="{FC7BDFC2-B813-4850-8CE9-10D6F6BC0B81}"/>
    <cellStyle name="20% - Accent3 4 2 3" xfId="4941" xr:uid="{00000000-0005-0000-0000-0000BE010000}"/>
    <cellStyle name="20% - Accent3 4 2 3 2" xfId="22671" xr:uid="{F94D9583-D4CD-4072-B39B-D21EE1E700CE}"/>
    <cellStyle name="20% - Accent3 4 2 3 3" xfId="13391" xr:uid="{10867F2A-90A4-41DF-9946-EBBE39A8BF76}"/>
    <cellStyle name="20% - Accent3 4 2 4" xfId="18454" xr:uid="{4094F66C-5217-42D3-9928-C68F583DC8AC}"/>
    <cellStyle name="20% - Accent3 4 2 5" xfId="17624" xr:uid="{899C4324-C8A3-41A6-AC3F-6C914E0C0F58}"/>
    <cellStyle name="20% - Accent3 4 2 6" xfId="9173" xr:uid="{873312EF-5012-46AF-8E58-0AFEDA235C18}"/>
    <cellStyle name="20% - Accent3 4 3" xfId="1046" xr:uid="{00000000-0005-0000-0000-0000BF010000}"/>
    <cellStyle name="20% - Accent3 4 3 2" xfId="3277" xr:uid="{00000000-0005-0000-0000-0000C0010000}"/>
    <cellStyle name="20% - Accent3 4 3 2 2" xfId="7499" xr:uid="{00000000-0005-0000-0000-0000C1010000}"/>
    <cellStyle name="20% - Accent3 4 3 2 2 2" xfId="25229" xr:uid="{F8054B06-F15C-4091-B55C-48AB614D73AA}"/>
    <cellStyle name="20% - Accent3 4 3 2 2 3" xfId="15949" xr:uid="{63D2D77D-8B5C-4824-B980-240E1DC9ED44}"/>
    <cellStyle name="20% - Accent3 4 3 2 3" xfId="21012" xr:uid="{6DF9745D-C744-4861-8903-C617E7768491}"/>
    <cellStyle name="20% - Accent3 4 3 2 4" xfId="11731" xr:uid="{AD46A0C2-B34C-4DE7-9AC9-BFEB269DFA72}"/>
    <cellStyle name="20% - Accent3 4 3 3" xfId="5354" xr:uid="{00000000-0005-0000-0000-0000C2010000}"/>
    <cellStyle name="20% - Accent3 4 3 3 2" xfId="23084" xr:uid="{FF39FAC0-01EB-4E38-B663-E508BCD6A470}"/>
    <cellStyle name="20% - Accent3 4 3 3 3" xfId="13804" xr:uid="{A3D76C46-27C6-458A-9CE9-88E1B8173DBE}"/>
    <cellStyle name="20% - Accent3 4 3 4" xfId="18867" xr:uid="{9D26C0DE-F071-495E-91D3-96FEBE267CB7}"/>
    <cellStyle name="20% - Accent3 4 3 5" xfId="9586" xr:uid="{43565D45-C23B-4961-9969-A8FC1E6B627D}"/>
    <cellStyle name="20% - Accent3 4 4" xfId="1460" xr:uid="{00000000-0005-0000-0000-0000C3010000}"/>
    <cellStyle name="20% - Accent3 4 4 2" xfId="3690" xr:uid="{00000000-0005-0000-0000-0000C4010000}"/>
    <cellStyle name="20% - Accent3 4 4 2 2" xfId="7912" xr:uid="{00000000-0005-0000-0000-0000C5010000}"/>
    <cellStyle name="20% - Accent3 4 4 2 2 2" xfId="25642" xr:uid="{28335EDC-A966-4E42-85D3-336436C20569}"/>
    <cellStyle name="20% - Accent3 4 4 2 2 3" xfId="16362" xr:uid="{A5F8EF04-E022-41A4-A74C-7E430181F41B}"/>
    <cellStyle name="20% - Accent3 4 4 2 3" xfId="21425" xr:uid="{B40D567E-D09F-4EB7-A4A4-E1AE8F9D5ECD}"/>
    <cellStyle name="20% - Accent3 4 4 2 4" xfId="12144" xr:uid="{980E9517-339C-495D-93B1-D2EF83A85ADA}"/>
    <cellStyle name="20% - Accent3 4 4 3" xfId="5767" xr:uid="{00000000-0005-0000-0000-0000C6010000}"/>
    <cellStyle name="20% - Accent3 4 4 3 2" xfId="23497" xr:uid="{7464BE78-94E4-410E-8B9A-C7DD20047B59}"/>
    <cellStyle name="20% - Accent3 4 4 3 3" xfId="14217" xr:uid="{B659D39C-156D-4626-B3C9-22D8F798EC58}"/>
    <cellStyle name="20% - Accent3 4 4 4" xfId="19280" xr:uid="{F106BA6F-1FB0-40BC-B6A7-A3259AA6DAC2}"/>
    <cellStyle name="20% - Accent3 4 4 5" xfId="9999" xr:uid="{6DCE4488-53F5-42AD-B110-FE66890FA0AA}"/>
    <cellStyle name="20% - Accent3 4 5" xfId="1874" xr:uid="{00000000-0005-0000-0000-0000C7010000}"/>
    <cellStyle name="20% - Accent3 4 5 2" xfId="4103" xr:uid="{00000000-0005-0000-0000-0000C8010000}"/>
    <cellStyle name="20% - Accent3 4 5 2 2" xfId="8325" xr:uid="{00000000-0005-0000-0000-0000C9010000}"/>
    <cellStyle name="20% - Accent3 4 5 2 2 2" xfId="26055" xr:uid="{4EDC3BD1-CC9F-453B-82F1-591A0DEEC672}"/>
    <cellStyle name="20% - Accent3 4 5 2 2 3" xfId="16775" xr:uid="{2E88F224-D7E0-4AFC-BB93-466D01928162}"/>
    <cellStyle name="20% - Accent3 4 5 2 3" xfId="21838" xr:uid="{63CB5207-9A0D-468C-B1DE-B9BE1C246151}"/>
    <cellStyle name="20% - Accent3 4 5 2 4" xfId="12557" xr:uid="{EE930BF7-09A7-4741-86EA-B6BEDA41B51C}"/>
    <cellStyle name="20% - Accent3 4 5 3" xfId="6180" xr:uid="{00000000-0005-0000-0000-0000CA010000}"/>
    <cellStyle name="20% - Accent3 4 5 3 2" xfId="23910" xr:uid="{3B2FEDD2-1F2C-46E3-8E0B-B400293D6C8E}"/>
    <cellStyle name="20% - Accent3 4 5 3 3" xfId="14630" xr:uid="{3C3E9768-4D22-4B8D-9CEC-734C9DDDAF7B}"/>
    <cellStyle name="20% - Accent3 4 5 4" xfId="19693" xr:uid="{CF1B60F1-F634-4389-A55F-819D6EF54268}"/>
    <cellStyle name="20% - Accent3 4 5 5" xfId="10412" xr:uid="{CD59EC93-3505-4598-B013-EF34544022B7}"/>
    <cellStyle name="20% - Accent3 4 6" xfId="2287" xr:uid="{00000000-0005-0000-0000-0000CB010000}"/>
    <cellStyle name="20% - Accent3 4 6 2" xfId="6593" xr:uid="{00000000-0005-0000-0000-0000CC010000}"/>
    <cellStyle name="20% - Accent3 4 6 2 2" xfId="24323" xr:uid="{935F70A1-8C2E-4F36-A807-A22AF10B0E1F}"/>
    <cellStyle name="20% - Accent3 4 6 2 3" xfId="15043" xr:uid="{D2FF09CE-5C68-45E8-9870-1B7E7D0B136E}"/>
    <cellStyle name="20% - Accent3 4 6 3" xfId="20106" xr:uid="{7F2D12C9-E069-43AF-89B2-0260CB3A26E2}"/>
    <cellStyle name="20% - Accent3 4 6 4" xfId="10825" xr:uid="{A9002D4C-3B73-42B8-83D1-3E67BB773AD3}"/>
    <cellStyle name="20% - Accent3 4 7" xfId="4527" xr:uid="{00000000-0005-0000-0000-0000CD010000}"/>
    <cellStyle name="20% - Accent3 4 7 2" xfId="22257" xr:uid="{6A224A29-390B-4273-9168-C97BA8DCDF24}"/>
    <cellStyle name="20% - Accent3 4 7 3" xfId="12977" xr:uid="{8C18FB02-DB6F-4334-A829-F0E63F96BB06}"/>
    <cellStyle name="20% - Accent3 4 8" xfId="18040" xr:uid="{F6ABE893-7D8F-47BD-97F9-6D7F313F1E8D}"/>
    <cellStyle name="20% - Accent3 4 9" xfId="17207" xr:uid="{5176C2F7-ECFD-4A68-BFF0-A556D6CE60D0}"/>
    <cellStyle name="20% - Accent3 5" xfId="586" xr:uid="{00000000-0005-0000-0000-0000CE010000}"/>
    <cellStyle name="20% - Accent3 5 2" xfId="2857" xr:uid="{00000000-0005-0000-0000-0000CF010000}"/>
    <cellStyle name="20% - Accent3 5 2 2" xfId="7079" xr:uid="{00000000-0005-0000-0000-0000D0010000}"/>
    <cellStyle name="20% - Accent3 5 2 2 2" xfId="24809" xr:uid="{02D6E8CE-0C1A-4160-8ED4-BD65A2E7F0C3}"/>
    <cellStyle name="20% - Accent3 5 2 2 3" xfId="15529" xr:uid="{06CF86B5-CDC4-426E-A52A-1D28E0C43CA2}"/>
    <cellStyle name="20% - Accent3 5 2 3" xfId="20592" xr:uid="{B5015647-9936-4D24-AFE8-3B95540EB0A1}"/>
    <cellStyle name="20% - Accent3 5 2 4" xfId="11311" xr:uid="{13AF0891-31C1-4F32-AC39-4D131AEAB736}"/>
    <cellStyle name="20% - Accent3 5 3" xfId="4934" xr:uid="{00000000-0005-0000-0000-0000D1010000}"/>
    <cellStyle name="20% - Accent3 5 3 2" xfId="22664" xr:uid="{17B32BEA-ED7F-45D6-B14A-E9AA46406D06}"/>
    <cellStyle name="20% - Accent3 5 3 3" xfId="13384" xr:uid="{3F8BE66F-ECD3-45BD-8436-EB4B52FBC22D}"/>
    <cellStyle name="20% - Accent3 5 4" xfId="18447" xr:uid="{FE733E8F-4A0A-4582-8053-D5FFEBD4369B}"/>
    <cellStyle name="20% - Accent3 5 5" xfId="17617" xr:uid="{78E97947-7449-4E22-BD45-3E766A8CAE73}"/>
    <cellStyle name="20% - Accent3 5 6" xfId="9166" xr:uid="{C93F249F-0172-489C-9E65-A72015C8EF66}"/>
    <cellStyle name="20% - Accent3 6" xfId="1039" xr:uid="{00000000-0005-0000-0000-0000D2010000}"/>
    <cellStyle name="20% - Accent3 6 2" xfId="3270" xr:uid="{00000000-0005-0000-0000-0000D3010000}"/>
    <cellStyle name="20% - Accent3 6 2 2" xfId="7492" xr:uid="{00000000-0005-0000-0000-0000D4010000}"/>
    <cellStyle name="20% - Accent3 6 2 2 2" xfId="25222" xr:uid="{09F0828B-BB5B-4045-B982-2D39F79486DC}"/>
    <cellStyle name="20% - Accent3 6 2 2 3" xfId="15942" xr:uid="{FB20E35D-C955-4879-9B12-85C3B22003F6}"/>
    <cellStyle name="20% - Accent3 6 2 3" xfId="21005" xr:uid="{4B6E5DDB-79C0-4DDF-8AE4-0DAF5516DCF5}"/>
    <cellStyle name="20% - Accent3 6 2 4" xfId="11724" xr:uid="{A8A3B9B9-E910-4228-ADC2-25F517FF7996}"/>
    <cellStyle name="20% - Accent3 6 3" xfId="5347" xr:uid="{00000000-0005-0000-0000-0000D5010000}"/>
    <cellStyle name="20% - Accent3 6 3 2" xfId="23077" xr:uid="{8106B43A-51A5-444A-B3BD-840C4267C70D}"/>
    <cellStyle name="20% - Accent3 6 3 3" xfId="13797" xr:uid="{5041A240-58DA-4252-AA6D-9B90BBB51339}"/>
    <cellStyle name="20% - Accent3 6 4" xfId="18860" xr:uid="{B54D8415-C92B-4C32-9B2A-E66BE501B07C}"/>
    <cellStyle name="20% - Accent3 6 5" xfId="9579" xr:uid="{F2244256-9E92-4479-B43A-2A92DC855CB5}"/>
    <cellStyle name="20% - Accent3 7" xfId="1453" xr:uid="{00000000-0005-0000-0000-0000D6010000}"/>
    <cellStyle name="20% - Accent3 7 2" xfId="3683" xr:uid="{00000000-0005-0000-0000-0000D7010000}"/>
    <cellStyle name="20% - Accent3 7 2 2" xfId="7905" xr:uid="{00000000-0005-0000-0000-0000D8010000}"/>
    <cellStyle name="20% - Accent3 7 2 2 2" xfId="25635" xr:uid="{526CC074-15F0-4AF5-AEAA-60FBB81E42B8}"/>
    <cellStyle name="20% - Accent3 7 2 2 3" xfId="16355" xr:uid="{EDD98B80-B2E2-45FC-9215-8AA123F9479C}"/>
    <cellStyle name="20% - Accent3 7 2 3" xfId="21418" xr:uid="{84B80336-C208-4468-99DE-04A04C90DBCA}"/>
    <cellStyle name="20% - Accent3 7 2 4" xfId="12137" xr:uid="{E0D89477-1108-4241-A9E2-0975F3C367DC}"/>
    <cellStyle name="20% - Accent3 7 3" xfId="5760" xr:uid="{00000000-0005-0000-0000-0000D9010000}"/>
    <cellStyle name="20% - Accent3 7 3 2" xfId="23490" xr:uid="{7F80A84E-AA4E-4B3D-A0E1-5FC0F48D8A7D}"/>
    <cellStyle name="20% - Accent3 7 3 3" xfId="14210" xr:uid="{996ED65E-26A2-41A2-8E6C-3BF9E1725210}"/>
    <cellStyle name="20% - Accent3 7 4" xfId="19273" xr:uid="{AC65C6A7-072D-465B-A704-D5BB24188786}"/>
    <cellStyle name="20% - Accent3 7 5" xfId="9992" xr:uid="{DCAD0144-CE22-499D-893E-DDFA8F288A67}"/>
    <cellStyle name="20% - Accent3 8" xfId="1867" xr:uid="{00000000-0005-0000-0000-0000DA010000}"/>
    <cellStyle name="20% - Accent3 8 2" xfId="4096" xr:uid="{00000000-0005-0000-0000-0000DB010000}"/>
    <cellStyle name="20% - Accent3 8 2 2" xfId="8318" xr:uid="{00000000-0005-0000-0000-0000DC010000}"/>
    <cellStyle name="20% - Accent3 8 2 2 2" xfId="26048" xr:uid="{252F3823-1CC5-4EB4-9EBF-897148066B6D}"/>
    <cellStyle name="20% - Accent3 8 2 2 3" xfId="16768" xr:uid="{227ACCB0-CE0E-49F2-BA5C-B928D5CD64F8}"/>
    <cellStyle name="20% - Accent3 8 2 3" xfId="21831" xr:uid="{B2299217-271E-40B7-84CE-81208DB8929E}"/>
    <cellStyle name="20% - Accent3 8 2 4" xfId="12550" xr:uid="{5031385B-AEFA-49C3-AB1E-80015103F0C9}"/>
    <cellStyle name="20% - Accent3 8 3" xfId="6173" xr:uid="{00000000-0005-0000-0000-0000DD010000}"/>
    <cellStyle name="20% - Accent3 8 3 2" xfId="23903" xr:uid="{B43FAC9E-2033-4992-9AF6-4A12052041F7}"/>
    <cellStyle name="20% - Accent3 8 3 3" xfId="14623" xr:uid="{6BED0123-9F1D-44EE-B67E-EE4568D703B3}"/>
    <cellStyle name="20% - Accent3 8 4" xfId="19686" xr:uid="{C1D4CEB7-657E-4EBC-8B3D-33C6321F47B4}"/>
    <cellStyle name="20% - Accent3 8 5" xfId="10405" xr:uid="{CE40F79D-60F9-40CD-BB88-A35EED63081B}"/>
    <cellStyle name="20% - Accent3 9" xfId="2280" xr:uid="{00000000-0005-0000-0000-0000DE010000}"/>
    <cellStyle name="20% - Accent3 9 2" xfId="6586" xr:uid="{00000000-0005-0000-0000-0000DF010000}"/>
    <cellStyle name="20% - Accent3 9 2 2" xfId="24316" xr:uid="{68C967AA-2EDB-4A6E-961F-2E5C2461E039}"/>
    <cellStyle name="20% - Accent3 9 2 3" xfId="15036" xr:uid="{E5DD99C8-6C24-4562-B0D0-41AA9989EA10}"/>
    <cellStyle name="20% - Accent3 9 3" xfId="20099" xr:uid="{61C7A291-0FCD-44EC-A99C-DF1B1CEA7447}"/>
    <cellStyle name="20% - Accent3 9 4" xfId="10818" xr:uid="{2E187878-6A1D-43CB-A0D9-0E83F2490029}"/>
    <cellStyle name="20% - Accent4" xfId="25" builtinId="42" customBuiltin="1"/>
    <cellStyle name="20% - Accent4 10" xfId="4528" xr:uid="{00000000-0005-0000-0000-0000E1010000}"/>
    <cellStyle name="20% - Accent4 10 2" xfId="22258" xr:uid="{4CF708EF-2019-495A-BF52-F730D691798E}"/>
    <cellStyle name="20% - Accent4 10 3" xfId="12978" xr:uid="{F5955D54-8C7E-45CC-BD0C-7B19FC90C278}"/>
    <cellStyle name="20% - Accent4 11" xfId="18041" xr:uid="{34B4A833-ABD1-4ADB-B354-20B3E434D494}"/>
    <cellStyle name="20% - Accent4 12" xfId="17208" xr:uid="{64D1BB0A-7945-457D-99FB-8E68FDB49996}"/>
    <cellStyle name="20% - Accent4 13" xfId="8760" xr:uid="{E1047544-3218-4E73-B130-B97BA5FC15A1}"/>
    <cellStyle name="20% - Accent4 2" xfId="26" xr:uid="{00000000-0005-0000-0000-0000E2010000}"/>
    <cellStyle name="20% - Accent4 2 10" xfId="18042" xr:uid="{D36F4817-F635-4ACC-A9FD-DE36FF59B415}"/>
    <cellStyle name="20% - Accent4 2 11" xfId="17209" xr:uid="{32676E19-42AF-4EDE-AD7D-6E5B31E666CA}"/>
    <cellStyle name="20% - Accent4 2 12" xfId="8761" xr:uid="{F4725D5C-A8F0-4DD6-9AC3-C282B7AEA177}"/>
    <cellStyle name="20% - Accent4 2 2" xfId="27" xr:uid="{00000000-0005-0000-0000-0000E3010000}"/>
    <cellStyle name="20% - Accent4 2 2 10" xfId="17210" xr:uid="{D5080BC3-A585-4FFE-B877-FB44FE673102}"/>
    <cellStyle name="20% - Accent4 2 2 11" xfId="8762" xr:uid="{312609FC-03A0-4ADB-9838-B4BF5E4F36DD}"/>
    <cellStyle name="20% - Accent4 2 2 2" xfId="28" xr:uid="{00000000-0005-0000-0000-0000E4010000}"/>
    <cellStyle name="20% - Accent4 2 2 2 10" xfId="8763" xr:uid="{F8BF2524-90F9-4B09-94A3-79C92D21635A}"/>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24820" xr:uid="{BABD821F-7B95-4E89-A84C-BE6FD2778538}"/>
    <cellStyle name="20% - Accent4 2 2 2 2 2 2 3" xfId="15540" xr:uid="{E5A71C16-FC77-45B0-A409-B041812BE26E}"/>
    <cellStyle name="20% - Accent4 2 2 2 2 2 3" xfId="20603" xr:uid="{BEB93FA3-7AEA-48A5-9659-97A9BAD75EA4}"/>
    <cellStyle name="20% - Accent4 2 2 2 2 2 4" xfId="11322" xr:uid="{4B29BAE5-EFCF-4956-B53D-41F75728C8C9}"/>
    <cellStyle name="20% - Accent4 2 2 2 2 3" xfId="4945" xr:uid="{00000000-0005-0000-0000-0000E8010000}"/>
    <cellStyle name="20% - Accent4 2 2 2 2 3 2" xfId="22675" xr:uid="{991015FD-3F81-4F39-BB06-AED90767582F}"/>
    <cellStyle name="20% - Accent4 2 2 2 2 3 3" xfId="13395" xr:uid="{683280FE-A32E-4344-B593-8887F589475C}"/>
    <cellStyle name="20% - Accent4 2 2 2 2 4" xfId="18458" xr:uid="{11189DE7-166F-43CC-93EF-36BE426EA16F}"/>
    <cellStyle name="20% - Accent4 2 2 2 2 5" xfId="17628" xr:uid="{01553B88-225B-42FD-86FF-9E10F11B2DF2}"/>
    <cellStyle name="20% - Accent4 2 2 2 2 6" xfId="9177" xr:uid="{223B5732-F685-473B-8D16-9B5F69E0A16F}"/>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25233" xr:uid="{C482171A-2FC1-44E7-944E-569084F2303B}"/>
    <cellStyle name="20% - Accent4 2 2 2 3 2 2 3" xfId="15953" xr:uid="{486D0F4D-B236-4035-90A9-9394D84110C3}"/>
    <cellStyle name="20% - Accent4 2 2 2 3 2 3" xfId="21016" xr:uid="{BC423579-CCE1-42F5-85B4-C153DEEF6308}"/>
    <cellStyle name="20% - Accent4 2 2 2 3 2 4" xfId="11735" xr:uid="{6EE6DE3C-0E4A-45F4-BBFE-BD2AAC8D7E8B}"/>
    <cellStyle name="20% - Accent4 2 2 2 3 3" xfId="5358" xr:uid="{00000000-0005-0000-0000-0000EC010000}"/>
    <cellStyle name="20% - Accent4 2 2 2 3 3 2" xfId="23088" xr:uid="{312F8EA3-ECF2-4771-B9A5-43358A97236D}"/>
    <cellStyle name="20% - Accent4 2 2 2 3 3 3" xfId="13808" xr:uid="{913DC262-03AF-402D-846B-5196FB6CEE43}"/>
    <cellStyle name="20% - Accent4 2 2 2 3 4" xfId="18871" xr:uid="{61FA5D3D-1EAA-486B-A8FB-D28ACCF08B0D}"/>
    <cellStyle name="20% - Accent4 2 2 2 3 5" xfId="9590" xr:uid="{3BCDA299-063A-49C7-8217-7F9C61695755}"/>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25646" xr:uid="{4027A509-6222-46A6-887F-8B1E1FF46B63}"/>
    <cellStyle name="20% - Accent4 2 2 2 4 2 2 3" xfId="16366" xr:uid="{2E70E282-1F89-4C5C-BD9C-D9ACC045C4C8}"/>
    <cellStyle name="20% - Accent4 2 2 2 4 2 3" xfId="21429" xr:uid="{0F7412F2-7D9A-4008-8265-639B2748C745}"/>
    <cellStyle name="20% - Accent4 2 2 2 4 2 4" xfId="12148" xr:uid="{92AEB5B5-6770-4A0F-B5CC-638A27043470}"/>
    <cellStyle name="20% - Accent4 2 2 2 4 3" xfId="5771" xr:uid="{00000000-0005-0000-0000-0000F0010000}"/>
    <cellStyle name="20% - Accent4 2 2 2 4 3 2" xfId="23501" xr:uid="{2F715719-FB85-4075-A8A6-D9DE653794DC}"/>
    <cellStyle name="20% - Accent4 2 2 2 4 3 3" xfId="14221" xr:uid="{416626A0-4A07-464C-85E3-2D40831A460D}"/>
    <cellStyle name="20% - Accent4 2 2 2 4 4" xfId="19284" xr:uid="{E85DD684-6223-4BB0-B10E-917BA43D0368}"/>
    <cellStyle name="20% - Accent4 2 2 2 4 5" xfId="10003" xr:uid="{463AD8E1-D930-47D7-AECC-E19FBE69678D}"/>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26059" xr:uid="{006780F9-7970-4E88-A313-B4DA17F8F5FE}"/>
    <cellStyle name="20% - Accent4 2 2 2 5 2 2 3" xfId="16779" xr:uid="{9102BCF1-607D-45EC-93E4-84ABA4E7359D}"/>
    <cellStyle name="20% - Accent4 2 2 2 5 2 3" xfId="21842" xr:uid="{0DD82C21-CE01-4A0A-9DD7-15C8C09FA9B7}"/>
    <cellStyle name="20% - Accent4 2 2 2 5 2 4" xfId="12561" xr:uid="{20B37B8D-ECC2-4D9A-A262-C9348E68C932}"/>
    <cellStyle name="20% - Accent4 2 2 2 5 3" xfId="6184" xr:uid="{00000000-0005-0000-0000-0000F4010000}"/>
    <cellStyle name="20% - Accent4 2 2 2 5 3 2" xfId="23914" xr:uid="{2DB86B1D-CBF8-47A8-BDCC-A85069E9879A}"/>
    <cellStyle name="20% - Accent4 2 2 2 5 3 3" xfId="14634" xr:uid="{F234B540-99AE-4440-A90A-F1C15983859C}"/>
    <cellStyle name="20% - Accent4 2 2 2 5 4" xfId="19697" xr:uid="{1E3D419D-1C63-43B1-A9BF-95C2FCB9BECF}"/>
    <cellStyle name="20% - Accent4 2 2 2 5 5" xfId="10416" xr:uid="{3A7D51A9-7283-4BC4-B629-0ED04AE8C718}"/>
    <cellStyle name="20% - Accent4 2 2 2 6" xfId="2291" xr:uid="{00000000-0005-0000-0000-0000F5010000}"/>
    <cellStyle name="20% - Accent4 2 2 2 6 2" xfId="6597" xr:uid="{00000000-0005-0000-0000-0000F6010000}"/>
    <cellStyle name="20% - Accent4 2 2 2 6 2 2" xfId="24327" xr:uid="{FD5C5770-0096-4700-BE54-452DB028D129}"/>
    <cellStyle name="20% - Accent4 2 2 2 6 2 3" xfId="15047" xr:uid="{93462989-797F-43DE-A97A-BE092D19BC94}"/>
    <cellStyle name="20% - Accent4 2 2 2 6 3" xfId="20110" xr:uid="{B8CDA8D9-6917-4D85-9B21-D47219E8B8C8}"/>
    <cellStyle name="20% - Accent4 2 2 2 6 4" xfId="10829" xr:uid="{2DA3B2C0-5CC0-4BB6-9A77-A750F3A75398}"/>
    <cellStyle name="20% - Accent4 2 2 2 7" xfId="4531" xr:uid="{00000000-0005-0000-0000-0000F7010000}"/>
    <cellStyle name="20% - Accent4 2 2 2 7 2" xfId="22261" xr:uid="{9DD21339-C8DB-4891-8D9F-826E557F924B}"/>
    <cellStyle name="20% - Accent4 2 2 2 7 3" xfId="12981" xr:uid="{0574ECFF-39C2-4957-AD4C-8B626E0421C6}"/>
    <cellStyle name="20% - Accent4 2 2 2 8" xfId="18044" xr:uid="{06C10F64-20F6-4D88-BE0A-1B2D85B39CBE}"/>
    <cellStyle name="20% - Accent4 2 2 2 9" xfId="17211" xr:uid="{2D66757A-68C5-43C9-823E-2D1BA8CBA984}"/>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24819" xr:uid="{25900B5C-2D3E-4972-BA7A-F398E53CF51F}"/>
    <cellStyle name="20% - Accent4 2 2 3 2 2 3" xfId="15539" xr:uid="{2E779D70-F2BA-44BD-AEF5-F30D817DC62F}"/>
    <cellStyle name="20% - Accent4 2 2 3 2 3" xfId="20602" xr:uid="{10710FAD-D9BE-4A20-A353-89B9BBD7EBE0}"/>
    <cellStyle name="20% - Accent4 2 2 3 2 4" xfId="11321" xr:uid="{52A9C1BB-E644-483B-BDE5-867D94737616}"/>
    <cellStyle name="20% - Accent4 2 2 3 3" xfId="4944" xr:uid="{00000000-0005-0000-0000-0000FB010000}"/>
    <cellStyle name="20% - Accent4 2 2 3 3 2" xfId="22674" xr:uid="{E3D96643-7870-470F-84C0-169365388078}"/>
    <cellStyle name="20% - Accent4 2 2 3 3 3" xfId="13394" xr:uid="{A1DB1D01-487E-47B6-A048-0F856E3C2F5B}"/>
    <cellStyle name="20% - Accent4 2 2 3 4" xfId="18457" xr:uid="{823048CD-23B9-49DD-9545-0C56161747AD}"/>
    <cellStyle name="20% - Accent4 2 2 3 5" xfId="17627" xr:uid="{B03509CA-0A4E-4866-B5C2-8CB9B9F50A9C}"/>
    <cellStyle name="20% - Accent4 2 2 3 6" xfId="9176" xr:uid="{CA1CAC35-E5F8-4871-8F66-09A1B193F9ED}"/>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25232" xr:uid="{0E9177CD-7104-49E1-909C-513D1335E232}"/>
    <cellStyle name="20% - Accent4 2 2 4 2 2 3" xfId="15952" xr:uid="{9F9D79CF-B57A-4ECF-8C13-8C2B29973114}"/>
    <cellStyle name="20% - Accent4 2 2 4 2 3" xfId="21015" xr:uid="{15143679-1E6E-485B-BBE6-32FE80DA98AA}"/>
    <cellStyle name="20% - Accent4 2 2 4 2 4" xfId="11734" xr:uid="{EFF4095C-5851-4171-B298-EE7B5384ACF4}"/>
    <cellStyle name="20% - Accent4 2 2 4 3" xfId="5357" xr:uid="{00000000-0005-0000-0000-0000FF010000}"/>
    <cellStyle name="20% - Accent4 2 2 4 3 2" xfId="23087" xr:uid="{C574C698-F357-4470-A08E-4B4BA57332D2}"/>
    <cellStyle name="20% - Accent4 2 2 4 3 3" xfId="13807" xr:uid="{29B9CB56-555F-4EAC-9032-0EA37F69543D}"/>
    <cellStyle name="20% - Accent4 2 2 4 4" xfId="18870" xr:uid="{18542358-D461-42D2-96B5-9AD3461F5CB4}"/>
    <cellStyle name="20% - Accent4 2 2 4 5" xfId="9589" xr:uid="{738D02EB-818B-4F6A-80D5-95D6AEB383A0}"/>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25645" xr:uid="{2214C6CA-F118-4340-A2EF-FD3FB5F0CB14}"/>
    <cellStyle name="20% - Accent4 2 2 5 2 2 3" xfId="16365" xr:uid="{038AE8D2-0535-48B8-BACC-D8568263EA74}"/>
    <cellStyle name="20% - Accent4 2 2 5 2 3" xfId="21428" xr:uid="{69CA94C6-0855-4E8A-A800-372894005C60}"/>
    <cellStyle name="20% - Accent4 2 2 5 2 4" xfId="12147" xr:uid="{7C6A2062-0F16-430B-A1D4-348C49711DD4}"/>
    <cellStyle name="20% - Accent4 2 2 5 3" xfId="5770" xr:uid="{00000000-0005-0000-0000-000003020000}"/>
    <cellStyle name="20% - Accent4 2 2 5 3 2" xfId="23500" xr:uid="{4D724434-B3F0-4F8E-A020-3F5D4F071F71}"/>
    <cellStyle name="20% - Accent4 2 2 5 3 3" xfId="14220" xr:uid="{1357EC91-B55F-48B9-BB21-70296380CE64}"/>
    <cellStyle name="20% - Accent4 2 2 5 4" xfId="19283" xr:uid="{2E179332-EE98-45DE-A6EB-F5F7EA36B7A8}"/>
    <cellStyle name="20% - Accent4 2 2 5 5" xfId="10002" xr:uid="{AD618623-96AD-46D9-A20A-0FB78F7D356C}"/>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26058" xr:uid="{80A646C4-E808-45FA-997F-0602A829946D}"/>
    <cellStyle name="20% - Accent4 2 2 6 2 2 3" xfId="16778" xr:uid="{7C3619FE-5551-44FD-80C6-2217004ADF95}"/>
    <cellStyle name="20% - Accent4 2 2 6 2 3" xfId="21841" xr:uid="{34EDD1C5-389C-44D1-B1EF-460501754F3E}"/>
    <cellStyle name="20% - Accent4 2 2 6 2 4" xfId="12560" xr:uid="{1B63D60E-C3A6-4C5F-8533-168E1BD94F5A}"/>
    <cellStyle name="20% - Accent4 2 2 6 3" xfId="6183" xr:uid="{00000000-0005-0000-0000-000007020000}"/>
    <cellStyle name="20% - Accent4 2 2 6 3 2" xfId="23913" xr:uid="{CFE57EFD-CF89-4626-8412-DE63CFC9259E}"/>
    <cellStyle name="20% - Accent4 2 2 6 3 3" xfId="14633" xr:uid="{D1AAB62D-A755-4917-9E7C-E698037679A6}"/>
    <cellStyle name="20% - Accent4 2 2 6 4" xfId="19696" xr:uid="{A7C7C71D-8EC5-45A7-8628-A0782FA80461}"/>
    <cellStyle name="20% - Accent4 2 2 6 5" xfId="10415" xr:uid="{F385EE6D-37D6-4596-BAF0-96DD14D17AEE}"/>
    <cellStyle name="20% - Accent4 2 2 7" xfId="2290" xr:uid="{00000000-0005-0000-0000-000008020000}"/>
    <cellStyle name="20% - Accent4 2 2 7 2" xfId="6596" xr:uid="{00000000-0005-0000-0000-000009020000}"/>
    <cellStyle name="20% - Accent4 2 2 7 2 2" xfId="24326" xr:uid="{0BE7F1A8-40EC-48B3-8663-AE364974584B}"/>
    <cellStyle name="20% - Accent4 2 2 7 2 3" xfId="15046" xr:uid="{827BF19E-9DFC-45BA-863A-E1A0DCBD16B5}"/>
    <cellStyle name="20% - Accent4 2 2 7 3" xfId="20109" xr:uid="{27FA3B39-F802-4948-AF7A-099971660C65}"/>
    <cellStyle name="20% - Accent4 2 2 7 4" xfId="10828" xr:uid="{9215B029-A70E-4A1A-943D-E7A15C4CC0AD}"/>
    <cellStyle name="20% - Accent4 2 2 8" xfId="4530" xr:uid="{00000000-0005-0000-0000-00000A020000}"/>
    <cellStyle name="20% - Accent4 2 2 8 2" xfId="22260" xr:uid="{F0E2F1AD-F8EE-4287-92FF-75F14062C8B9}"/>
    <cellStyle name="20% - Accent4 2 2 8 3" xfId="12980" xr:uid="{5981C112-1F26-499D-A83A-5238CC4A26DF}"/>
    <cellStyle name="20% - Accent4 2 2 9" xfId="18043" xr:uid="{107A2266-0235-4105-A999-D95C7158BF52}"/>
    <cellStyle name="20% - Accent4 2 3" xfId="29" xr:uid="{00000000-0005-0000-0000-00000B020000}"/>
    <cellStyle name="20% - Accent4 2 3 10" xfId="8764" xr:uid="{3D7C9946-DFF2-483E-B850-3FC6D739B783}"/>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24821" xr:uid="{7717BBC0-22C3-4E9C-824F-6CEE427EC685}"/>
    <cellStyle name="20% - Accent4 2 3 2 2 2 3" xfId="15541" xr:uid="{FEF487E4-9057-45DD-AFF7-AA6301371C1C}"/>
    <cellStyle name="20% - Accent4 2 3 2 2 3" xfId="20604" xr:uid="{DD952221-75A3-4F1B-BFE1-01A1635DB43F}"/>
    <cellStyle name="20% - Accent4 2 3 2 2 4" xfId="11323" xr:uid="{B1A9FDE1-4330-4E3A-85C4-C77FE558AC82}"/>
    <cellStyle name="20% - Accent4 2 3 2 3" xfId="4946" xr:uid="{00000000-0005-0000-0000-00000F020000}"/>
    <cellStyle name="20% - Accent4 2 3 2 3 2" xfId="22676" xr:uid="{0BA6F4D4-8FB8-4F7E-9449-5B69B65F4DC5}"/>
    <cellStyle name="20% - Accent4 2 3 2 3 3" xfId="13396" xr:uid="{06A2434D-15C8-467C-923C-B6CB06602F80}"/>
    <cellStyle name="20% - Accent4 2 3 2 4" xfId="18459" xr:uid="{66C52FCD-2BBF-474D-A0C5-7D0CEE98C415}"/>
    <cellStyle name="20% - Accent4 2 3 2 5" xfId="17629" xr:uid="{9D0E3F50-0747-4561-8B6B-3C1884D1C228}"/>
    <cellStyle name="20% - Accent4 2 3 2 6" xfId="9178" xr:uid="{442EFBCD-8D46-442A-96DA-AA869997008A}"/>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25234" xr:uid="{664518BF-9A49-4062-AFA9-425534BD6D5A}"/>
    <cellStyle name="20% - Accent4 2 3 3 2 2 3" xfId="15954" xr:uid="{8DEAFB91-B397-4144-A7B7-1DC625AF2C16}"/>
    <cellStyle name="20% - Accent4 2 3 3 2 3" xfId="21017" xr:uid="{C341DC8A-5AE3-44C6-A7EB-846204AB9F1D}"/>
    <cellStyle name="20% - Accent4 2 3 3 2 4" xfId="11736" xr:uid="{671EA2FC-DEAC-4959-9926-23D8EBBDFC52}"/>
    <cellStyle name="20% - Accent4 2 3 3 3" xfId="5359" xr:uid="{00000000-0005-0000-0000-000013020000}"/>
    <cellStyle name="20% - Accent4 2 3 3 3 2" xfId="23089" xr:uid="{A329C230-329D-43A4-8009-B1B2047C9A90}"/>
    <cellStyle name="20% - Accent4 2 3 3 3 3" xfId="13809" xr:uid="{B6845180-5814-4A1C-9086-A1F59766DB13}"/>
    <cellStyle name="20% - Accent4 2 3 3 4" xfId="18872" xr:uid="{79774B45-CD81-4BEC-9A74-A4786BD7322C}"/>
    <cellStyle name="20% - Accent4 2 3 3 5" xfId="9591" xr:uid="{D353474E-6A1E-4F15-8B24-77FADA295072}"/>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25647" xr:uid="{8313C5AE-0A5F-47A0-8BAF-8FA03E9B3A6C}"/>
    <cellStyle name="20% - Accent4 2 3 4 2 2 3" xfId="16367" xr:uid="{346B72B7-97FD-47BE-98D1-211A09D131CB}"/>
    <cellStyle name="20% - Accent4 2 3 4 2 3" xfId="21430" xr:uid="{680FAC5D-6566-4958-B4EC-61BC2A6F482D}"/>
    <cellStyle name="20% - Accent4 2 3 4 2 4" xfId="12149" xr:uid="{76BF9D20-0830-4376-8F32-2873A75B451A}"/>
    <cellStyle name="20% - Accent4 2 3 4 3" xfId="5772" xr:uid="{00000000-0005-0000-0000-000017020000}"/>
    <cellStyle name="20% - Accent4 2 3 4 3 2" xfId="23502" xr:uid="{978A0CA8-39F6-4120-82CB-F5881D001F4D}"/>
    <cellStyle name="20% - Accent4 2 3 4 3 3" xfId="14222" xr:uid="{0EBD7552-A9A5-45A8-B1FE-04DC8B680074}"/>
    <cellStyle name="20% - Accent4 2 3 4 4" xfId="19285" xr:uid="{6E5EE402-9438-48C2-8ED9-49B6CDEF419C}"/>
    <cellStyle name="20% - Accent4 2 3 4 5" xfId="10004" xr:uid="{2324D736-F30D-4327-BF1D-B057250F0AB7}"/>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26060" xr:uid="{29B4A9D5-0EDA-4926-9933-EE4DFFEAE035}"/>
    <cellStyle name="20% - Accent4 2 3 5 2 2 3" xfId="16780" xr:uid="{95B6394C-5CA6-412E-A5C4-46BFA82774A7}"/>
    <cellStyle name="20% - Accent4 2 3 5 2 3" xfId="21843" xr:uid="{1C34667C-041F-48BC-9313-19F3ABBE7478}"/>
    <cellStyle name="20% - Accent4 2 3 5 2 4" xfId="12562" xr:uid="{55A62F44-EE30-4C81-ABCF-D3BA12FB5540}"/>
    <cellStyle name="20% - Accent4 2 3 5 3" xfId="6185" xr:uid="{00000000-0005-0000-0000-00001B020000}"/>
    <cellStyle name="20% - Accent4 2 3 5 3 2" xfId="23915" xr:uid="{9763CBC3-0924-4BFE-B111-712FBEA3D94A}"/>
    <cellStyle name="20% - Accent4 2 3 5 3 3" xfId="14635" xr:uid="{76A38BCC-87B7-4008-8264-64D7C81E537A}"/>
    <cellStyle name="20% - Accent4 2 3 5 4" xfId="19698" xr:uid="{410D362B-BAB4-4A89-B6A6-34331EC90E9B}"/>
    <cellStyle name="20% - Accent4 2 3 5 5" xfId="10417" xr:uid="{F1D58238-EBB1-4ACD-A262-07C27D10ADB9}"/>
    <cellStyle name="20% - Accent4 2 3 6" xfId="2292" xr:uid="{00000000-0005-0000-0000-00001C020000}"/>
    <cellStyle name="20% - Accent4 2 3 6 2" xfId="6598" xr:uid="{00000000-0005-0000-0000-00001D020000}"/>
    <cellStyle name="20% - Accent4 2 3 6 2 2" xfId="24328" xr:uid="{4FE85184-6B98-4EA8-99E1-0EDE6E90862A}"/>
    <cellStyle name="20% - Accent4 2 3 6 2 3" xfId="15048" xr:uid="{C5F37E86-F990-411E-BF96-205FF02811BF}"/>
    <cellStyle name="20% - Accent4 2 3 6 3" xfId="20111" xr:uid="{B7BA85D6-64CE-4CA5-B305-6CCCA5530447}"/>
    <cellStyle name="20% - Accent4 2 3 6 4" xfId="10830" xr:uid="{4E865F22-6D57-4E07-9B81-A3B4B045275B}"/>
    <cellStyle name="20% - Accent4 2 3 7" xfId="4532" xr:uid="{00000000-0005-0000-0000-00001E020000}"/>
    <cellStyle name="20% - Accent4 2 3 7 2" xfId="22262" xr:uid="{01900578-6F06-45FF-875A-55093950C1B5}"/>
    <cellStyle name="20% - Accent4 2 3 7 3" xfId="12982" xr:uid="{F003D076-5634-435A-9251-81159425DDF4}"/>
    <cellStyle name="20% - Accent4 2 3 8" xfId="18045" xr:uid="{29D11252-895A-4173-81CA-B0A8898162C8}"/>
    <cellStyle name="20% - Accent4 2 3 9" xfId="17212" xr:uid="{A0B3A147-D708-4FFB-BF8D-07E317F4C67F}"/>
    <cellStyle name="20% - Accent4 2 4" xfId="595" xr:uid="{00000000-0005-0000-0000-00001F020000}"/>
    <cellStyle name="20% - Accent4 2 4 2" xfId="2866" xr:uid="{00000000-0005-0000-0000-000020020000}"/>
    <cellStyle name="20% - Accent4 2 4 2 2" xfId="7088" xr:uid="{00000000-0005-0000-0000-000021020000}"/>
    <cellStyle name="20% - Accent4 2 4 2 2 2" xfId="24818" xr:uid="{8846CB0B-7A3D-45E8-9774-ACFB9121C629}"/>
    <cellStyle name="20% - Accent4 2 4 2 2 3" xfId="15538" xr:uid="{0D428398-953D-4C7B-9A41-8D7E62A7CE52}"/>
    <cellStyle name="20% - Accent4 2 4 2 3" xfId="20601" xr:uid="{9AC17764-E517-428A-AEF1-BD950833F8FF}"/>
    <cellStyle name="20% - Accent4 2 4 2 4" xfId="11320" xr:uid="{3FE8577E-4BD7-4BE0-A3AD-73336CE5899D}"/>
    <cellStyle name="20% - Accent4 2 4 3" xfId="4943" xr:uid="{00000000-0005-0000-0000-000022020000}"/>
    <cellStyle name="20% - Accent4 2 4 3 2" xfId="22673" xr:uid="{552CA958-9C11-46B5-9C96-098C1A039047}"/>
    <cellStyle name="20% - Accent4 2 4 3 3" xfId="13393" xr:uid="{538D6C9C-422E-43C9-9F45-C16710AAF0B4}"/>
    <cellStyle name="20% - Accent4 2 4 4" xfId="18456" xr:uid="{64931FAB-F653-4631-A083-2FD75D7D6C0D}"/>
    <cellStyle name="20% - Accent4 2 4 5" xfId="17626" xr:uid="{50B78254-81BC-47CF-B870-B58B96305332}"/>
    <cellStyle name="20% - Accent4 2 4 6" xfId="9175" xr:uid="{2B7656A5-293D-430A-BE4D-C411D1F1C897}"/>
    <cellStyle name="20% - Accent4 2 5" xfId="1048" xr:uid="{00000000-0005-0000-0000-000023020000}"/>
    <cellStyle name="20% - Accent4 2 5 2" xfId="3279" xr:uid="{00000000-0005-0000-0000-000024020000}"/>
    <cellStyle name="20% - Accent4 2 5 2 2" xfId="7501" xr:uid="{00000000-0005-0000-0000-000025020000}"/>
    <cellStyle name="20% - Accent4 2 5 2 2 2" xfId="25231" xr:uid="{92FD6E69-40D8-4138-92F2-B14DD4A77E10}"/>
    <cellStyle name="20% - Accent4 2 5 2 2 3" xfId="15951" xr:uid="{0B18CCFC-B20A-4619-9F83-FE868B216B6F}"/>
    <cellStyle name="20% - Accent4 2 5 2 3" xfId="21014" xr:uid="{C7E8E69C-8A56-4EDF-A86B-088E0F48D6CF}"/>
    <cellStyle name="20% - Accent4 2 5 2 4" xfId="11733" xr:uid="{806891AE-3A14-4A82-81D8-4A4EE1204F8D}"/>
    <cellStyle name="20% - Accent4 2 5 3" xfId="5356" xr:uid="{00000000-0005-0000-0000-000026020000}"/>
    <cellStyle name="20% - Accent4 2 5 3 2" xfId="23086" xr:uid="{3420E485-14EA-46AE-A2DB-FFF99709F81B}"/>
    <cellStyle name="20% - Accent4 2 5 3 3" xfId="13806" xr:uid="{610DD141-30F9-4B83-BDE6-D12E1698999F}"/>
    <cellStyle name="20% - Accent4 2 5 4" xfId="18869" xr:uid="{0254A2CC-B0B9-467E-9504-4B9F2954D857}"/>
    <cellStyle name="20% - Accent4 2 5 5" xfId="9588" xr:uid="{07EE2F34-8D97-4F49-A8CE-F9B2F45249E9}"/>
    <cellStyle name="20% - Accent4 2 6" xfId="1462" xr:uid="{00000000-0005-0000-0000-000027020000}"/>
    <cellStyle name="20% - Accent4 2 6 2" xfId="3692" xr:uid="{00000000-0005-0000-0000-000028020000}"/>
    <cellStyle name="20% - Accent4 2 6 2 2" xfId="7914" xr:uid="{00000000-0005-0000-0000-000029020000}"/>
    <cellStyle name="20% - Accent4 2 6 2 2 2" xfId="25644" xr:uid="{38EFFB14-5F89-4D4E-BBE0-E1D0367AA8F4}"/>
    <cellStyle name="20% - Accent4 2 6 2 2 3" xfId="16364" xr:uid="{569CAE09-ABCF-4666-A833-BC3D40F6D80C}"/>
    <cellStyle name="20% - Accent4 2 6 2 3" xfId="21427" xr:uid="{0CFBDD44-5D7B-4F7B-800E-0849DC52B067}"/>
    <cellStyle name="20% - Accent4 2 6 2 4" xfId="12146" xr:uid="{3826206B-1467-4505-A935-C5BC2A340E21}"/>
    <cellStyle name="20% - Accent4 2 6 3" xfId="5769" xr:uid="{00000000-0005-0000-0000-00002A020000}"/>
    <cellStyle name="20% - Accent4 2 6 3 2" xfId="23499" xr:uid="{C165CFC6-5AF1-4EBA-AD04-22A5B36AB010}"/>
    <cellStyle name="20% - Accent4 2 6 3 3" xfId="14219" xr:uid="{FC52463A-ECAE-427D-BE9A-EA1C41B6BF00}"/>
    <cellStyle name="20% - Accent4 2 6 4" xfId="19282" xr:uid="{3091E9E0-D730-49C0-937C-BABABF6AE127}"/>
    <cellStyle name="20% - Accent4 2 6 5" xfId="10001" xr:uid="{27AAE812-9D89-49DE-8589-A1391103B2A5}"/>
    <cellStyle name="20% - Accent4 2 7" xfId="1876" xr:uid="{00000000-0005-0000-0000-00002B020000}"/>
    <cellStyle name="20% - Accent4 2 7 2" xfId="4105" xr:uid="{00000000-0005-0000-0000-00002C020000}"/>
    <cellStyle name="20% - Accent4 2 7 2 2" xfId="8327" xr:uid="{00000000-0005-0000-0000-00002D020000}"/>
    <cellStyle name="20% - Accent4 2 7 2 2 2" xfId="26057" xr:uid="{D02E9E4C-1DEE-4E12-9B3E-4C5CA1F76748}"/>
    <cellStyle name="20% - Accent4 2 7 2 2 3" xfId="16777" xr:uid="{EC536AE6-AB0A-4506-AB40-37BCF899FF5B}"/>
    <cellStyle name="20% - Accent4 2 7 2 3" xfId="21840" xr:uid="{8EA08296-4333-41DE-8D58-D3F67B0703C9}"/>
    <cellStyle name="20% - Accent4 2 7 2 4" xfId="12559" xr:uid="{70165527-3A77-4F9A-A40B-A44DD8A7F859}"/>
    <cellStyle name="20% - Accent4 2 7 3" xfId="6182" xr:uid="{00000000-0005-0000-0000-00002E020000}"/>
    <cellStyle name="20% - Accent4 2 7 3 2" xfId="23912" xr:uid="{B22EF247-ECDE-42DB-B517-C11503E83311}"/>
    <cellStyle name="20% - Accent4 2 7 3 3" xfId="14632" xr:uid="{BDA23F17-5D17-4642-8E8C-98E4E0528F3B}"/>
    <cellStyle name="20% - Accent4 2 7 4" xfId="19695" xr:uid="{60A154EC-21BA-44F7-9E84-06489B772CE0}"/>
    <cellStyle name="20% - Accent4 2 7 5" xfId="10414" xr:uid="{0F841B4F-069D-4A9A-ADBA-1BAED6F60D1C}"/>
    <cellStyle name="20% - Accent4 2 8" xfId="2289" xr:uid="{00000000-0005-0000-0000-00002F020000}"/>
    <cellStyle name="20% - Accent4 2 8 2" xfId="6595" xr:uid="{00000000-0005-0000-0000-000030020000}"/>
    <cellStyle name="20% - Accent4 2 8 2 2" xfId="24325" xr:uid="{7F20C672-80EC-48C1-AC77-509DFEC41264}"/>
    <cellStyle name="20% - Accent4 2 8 2 3" xfId="15045" xr:uid="{DB9E280A-48BA-4C2B-9063-9B8AEA281B64}"/>
    <cellStyle name="20% - Accent4 2 8 3" xfId="20108" xr:uid="{D976B179-93E2-4DB8-9F5A-7F94BF6D93B1}"/>
    <cellStyle name="20% - Accent4 2 8 4" xfId="10827" xr:uid="{662217D8-D73B-447B-92DD-6A793DD2F42C}"/>
    <cellStyle name="20% - Accent4 2 9" xfId="4529" xr:uid="{00000000-0005-0000-0000-000031020000}"/>
    <cellStyle name="20% - Accent4 2 9 2" xfId="22259" xr:uid="{10C34ABE-4BA1-4116-8235-DA85C95ABF6B}"/>
    <cellStyle name="20% - Accent4 2 9 3" xfId="12979" xr:uid="{CDE310A7-615D-4DC1-A5B9-FE1964A55458}"/>
    <cellStyle name="20% - Accent4 3" xfId="30" xr:uid="{00000000-0005-0000-0000-000032020000}"/>
    <cellStyle name="20% - Accent4 3 10" xfId="17213" xr:uid="{E27C7B4B-EBA1-4131-8AD6-8EF564A6B68F}"/>
    <cellStyle name="20% - Accent4 3 11" xfId="8765" xr:uid="{F44B6203-BCC2-4CF8-B15B-438849AC0072}"/>
    <cellStyle name="20% - Accent4 3 2" xfId="31" xr:uid="{00000000-0005-0000-0000-000033020000}"/>
    <cellStyle name="20% - Accent4 3 2 10" xfId="8766" xr:uid="{D8660D1F-3560-47B3-9EC6-C136394ECDBA}"/>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24823" xr:uid="{AB8D4B4C-2651-40ED-B9AB-C7BB5B1EB7D2}"/>
    <cellStyle name="20% - Accent4 3 2 2 2 2 3" xfId="15543" xr:uid="{7CA671DA-A683-4D08-957F-8E2326421B5D}"/>
    <cellStyle name="20% - Accent4 3 2 2 2 3" xfId="20606" xr:uid="{91D14FE3-B9C9-45CC-B92F-85B525EDF117}"/>
    <cellStyle name="20% - Accent4 3 2 2 2 4" xfId="11325" xr:uid="{BBA45FE9-E955-4519-A763-C3160490193F}"/>
    <cellStyle name="20% - Accent4 3 2 2 3" xfId="4948" xr:uid="{00000000-0005-0000-0000-000037020000}"/>
    <cellStyle name="20% - Accent4 3 2 2 3 2" xfId="22678" xr:uid="{696A2A1E-C42A-4675-995F-EBCC87069E92}"/>
    <cellStyle name="20% - Accent4 3 2 2 3 3" xfId="13398" xr:uid="{0C54CC4C-5D33-4AFE-842B-6244EDC7780C}"/>
    <cellStyle name="20% - Accent4 3 2 2 4" xfId="18461" xr:uid="{1449A642-7F00-4AE9-805C-E4CDCDF451EC}"/>
    <cellStyle name="20% - Accent4 3 2 2 5" xfId="17631" xr:uid="{F3AB5C08-F0F8-414A-860D-E59F08B30F12}"/>
    <cellStyle name="20% - Accent4 3 2 2 6" xfId="9180" xr:uid="{ED95C817-2EA9-4511-A161-B4F60EA2C5FD}"/>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25236" xr:uid="{C04CAC58-3D93-405F-B899-4BC5E4CE8CC7}"/>
    <cellStyle name="20% - Accent4 3 2 3 2 2 3" xfId="15956" xr:uid="{CB7C7AEB-C9FA-4660-8BE6-4E8951F27CC4}"/>
    <cellStyle name="20% - Accent4 3 2 3 2 3" xfId="21019" xr:uid="{06A31339-DEFF-436E-90B0-2EEEDE2982A1}"/>
    <cellStyle name="20% - Accent4 3 2 3 2 4" xfId="11738" xr:uid="{E7DE79F0-FCD1-4E25-B233-93D36DAC9F88}"/>
    <cellStyle name="20% - Accent4 3 2 3 3" xfId="5361" xr:uid="{00000000-0005-0000-0000-00003B020000}"/>
    <cellStyle name="20% - Accent4 3 2 3 3 2" xfId="23091" xr:uid="{659E9D3E-1F55-457A-A07F-8CCFD0564FAC}"/>
    <cellStyle name="20% - Accent4 3 2 3 3 3" xfId="13811" xr:uid="{3264ADA6-56D1-44A6-99E2-60909DA008B1}"/>
    <cellStyle name="20% - Accent4 3 2 3 4" xfId="18874" xr:uid="{85DBA1ED-8ABE-43D1-ABB9-8AC859135D94}"/>
    <cellStyle name="20% - Accent4 3 2 3 5" xfId="9593" xr:uid="{8593DA96-471D-42E6-BCCF-E992D8C0C989}"/>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25649" xr:uid="{FEFBE4FF-BB9B-4E5D-BCF0-9C70208B07B7}"/>
    <cellStyle name="20% - Accent4 3 2 4 2 2 3" xfId="16369" xr:uid="{10639C9A-F32B-42D4-B3F0-39D771660C56}"/>
    <cellStyle name="20% - Accent4 3 2 4 2 3" xfId="21432" xr:uid="{DAA2D97A-65A1-4A4B-A306-3A093831C31F}"/>
    <cellStyle name="20% - Accent4 3 2 4 2 4" xfId="12151" xr:uid="{4531F185-DD31-4A01-8B3C-9F30BD27ECED}"/>
    <cellStyle name="20% - Accent4 3 2 4 3" xfId="5774" xr:uid="{00000000-0005-0000-0000-00003F020000}"/>
    <cellStyle name="20% - Accent4 3 2 4 3 2" xfId="23504" xr:uid="{7B27F174-4ECD-4D15-BF8F-7A58E51F3FB9}"/>
    <cellStyle name="20% - Accent4 3 2 4 3 3" xfId="14224" xr:uid="{8097C437-1509-4731-B883-6858E40709D6}"/>
    <cellStyle name="20% - Accent4 3 2 4 4" xfId="19287" xr:uid="{B7EBC6B8-1A46-4C9C-B82A-662E8DFA6321}"/>
    <cellStyle name="20% - Accent4 3 2 4 5" xfId="10006" xr:uid="{4BF628EC-D4F9-447E-A3EA-8F6703D19359}"/>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26062" xr:uid="{3E1205D9-F405-4E3A-B626-8A9ADCA39EA2}"/>
    <cellStyle name="20% - Accent4 3 2 5 2 2 3" xfId="16782" xr:uid="{C3ACE79D-43FC-40C5-9796-1137F05ED41E}"/>
    <cellStyle name="20% - Accent4 3 2 5 2 3" xfId="21845" xr:uid="{3F8E246A-09AB-45D3-9F6F-240D1597F293}"/>
    <cellStyle name="20% - Accent4 3 2 5 2 4" xfId="12564" xr:uid="{02F60307-0B78-4596-8CAA-3FB45977E9F4}"/>
    <cellStyle name="20% - Accent4 3 2 5 3" xfId="6187" xr:uid="{00000000-0005-0000-0000-000043020000}"/>
    <cellStyle name="20% - Accent4 3 2 5 3 2" xfId="23917" xr:uid="{5ED6880D-70C8-4B7C-8102-6F78E155935A}"/>
    <cellStyle name="20% - Accent4 3 2 5 3 3" xfId="14637" xr:uid="{C89B70B0-80D1-4564-BD67-F8DA040E376F}"/>
    <cellStyle name="20% - Accent4 3 2 5 4" xfId="19700" xr:uid="{0CBE617E-B15E-49C4-AA8C-B09C347C97A2}"/>
    <cellStyle name="20% - Accent4 3 2 5 5" xfId="10419" xr:uid="{36395882-D4E7-467D-B296-92D3EDD57373}"/>
    <cellStyle name="20% - Accent4 3 2 6" xfId="2294" xr:uid="{00000000-0005-0000-0000-000044020000}"/>
    <cellStyle name="20% - Accent4 3 2 6 2" xfId="6600" xr:uid="{00000000-0005-0000-0000-000045020000}"/>
    <cellStyle name="20% - Accent4 3 2 6 2 2" xfId="24330" xr:uid="{735B2AA3-CCE5-4C2F-85F8-D2AD7631BF64}"/>
    <cellStyle name="20% - Accent4 3 2 6 2 3" xfId="15050" xr:uid="{1BB1C2DA-9F75-4448-BA33-EA4F5E5D0BD3}"/>
    <cellStyle name="20% - Accent4 3 2 6 3" xfId="20113" xr:uid="{7CFDDFDC-6C95-46B8-B565-ADA4A1D9756D}"/>
    <cellStyle name="20% - Accent4 3 2 6 4" xfId="10832" xr:uid="{C4668A32-71FA-4411-9B1F-E5633C408944}"/>
    <cellStyle name="20% - Accent4 3 2 7" xfId="4534" xr:uid="{00000000-0005-0000-0000-000046020000}"/>
    <cellStyle name="20% - Accent4 3 2 7 2" xfId="22264" xr:uid="{7B8D7AD1-44D0-46C6-AA7F-3467D9D26480}"/>
    <cellStyle name="20% - Accent4 3 2 7 3" xfId="12984" xr:uid="{45948F16-E9E0-4240-8003-FF04AD533679}"/>
    <cellStyle name="20% - Accent4 3 2 8" xfId="18047" xr:uid="{586A44AB-3B0A-4F3B-8EA2-B48D2538CE9C}"/>
    <cellStyle name="20% - Accent4 3 2 9" xfId="17214" xr:uid="{F1F47331-F439-4BFE-BD2A-53483F05C0A2}"/>
    <cellStyle name="20% - Accent4 3 3" xfId="599" xr:uid="{00000000-0005-0000-0000-000047020000}"/>
    <cellStyle name="20% - Accent4 3 3 2" xfId="2870" xr:uid="{00000000-0005-0000-0000-000048020000}"/>
    <cellStyle name="20% - Accent4 3 3 2 2" xfId="7092" xr:uid="{00000000-0005-0000-0000-000049020000}"/>
    <cellStyle name="20% - Accent4 3 3 2 2 2" xfId="24822" xr:uid="{9E7FD439-D512-47C5-97A9-BB159E74EEB2}"/>
    <cellStyle name="20% - Accent4 3 3 2 2 3" xfId="15542" xr:uid="{AFF7174A-442A-4707-B0DC-1E6E44699903}"/>
    <cellStyle name="20% - Accent4 3 3 2 3" xfId="20605" xr:uid="{3EEF9D69-A71C-460C-94E6-74A9984FFAC0}"/>
    <cellStyle name="20% - Accent4 3 3 2 4" xfId="11324" xr:uid="{1993060F-AD93-4649-8611-901BD1D9278A}"/>
    <cellStyle name="20% - Accent4 3 3 3" xfId="4947" xr:uid="{00000000-0005-0000-0000-00004A020000}"/>
    <cellStyle name="20% - Accent4 3 3 3 2" xfId="22677" xr:uid="{4EA02EC3-B910-409B-841B-3AC3EA9CC919}"/>
    <cellStyle name="20% - Accent4 3 3 3 3" xfId="13397" xr:uid="{F3B2C1C6-1C16-4D3C-B3E2-4B9C2334BC16}"/>
    <cellStyle name="20% - Accent4 3 3 4" xfId="18460" xr:uid="{67DDBC7F-ADD2-43CE-A5D7-CB03713B4E03}"/>
    <cellStyle name="20% - Accent4 3 3 5" xfId="17630" xr:uid="{FFF784F7-4C75-4800-9BB0-104B24A5B743}"/>
    <cellStyle name="20% - Accent4 3 3 6" xfId="9179" xr:uid="{622E8D2E-2F47-4347-B6A5-05AE26728E8E}"/>
    <cellStyle name="20% - Accent4 3 4" xfId="1052" xr:uid="{00000000-0005-0000-0000-00004B020000}"/>
    <cellStyle name="20% - Accent4 3 4 2" xfId="3283" xr:uid="{00000000-0005-0000-0000-00004C020000}"/>
    <cellStyle name="20% - Accent4 3 4 2 2" xfId="7505" xr:uid="{00000000-0005-0000-0000-00004D020000}"/>
    <cellStyle name="20% - Accent4 3 4 2 2 2" xfId="25235" xr:uid="{98585E3D-AD02-4364-9101-F1AC93D7B4B7}"/>
    <cellStyle name="20% - Accent4 3 4 2 2 3" xfId="15955" xr:uid="{4CE5370A-49BC-439C-9440-843AB9E725FC}"/>
    <cellStyle name="20% - Accent4 3 4 2 3" xfId="21018" xr:uid="{1BC3477F-47B7-4A39-925B-ADBDA50F40E0}"/>
    <cellStyle name="20% - Accent4 3 4 2 4" xfId="11737" xr:uid="{994C02F5-2847-4EFC-A1D2-38CE832B180E}"/>
    <cellStyle name="20% - Accent4 3 4 3" xfId="5360" xr:uid="{00000000-0005-0000-0000-00004E020000}"/>
    <cellStyle name="20% - Accent4 3 4 3 2" xfId="23090" xr:uid="{63FA9E85-4392-41E0-BAF4-E3B4A28D5315}"/>
    <cellStyle name="20% - Accent4 3 4 3 3" xfId="13810" xr:uid="{C457141C-D548-422A-983A-4C312DBE03CC}"/>
    <cellStyle name="20% - Accent4 3 4 4" xfId="18873" xr:uid="{7E49F6D3-706E-41B8-B26C-C85D11F7DF6A}"/>
    <cellStyle name="20% - Accent4 3 4 5" xfId="9592" xr:uid="{12E91440-3D1D-46AF-A27A-7A9B01DB7DD7}"/>
    <cellStyle name="20% - Accent4 3 5" xfId="1466" xr:uid="{00000000-0005-0000-0000-00004F020000}"/>
    <cellStyle name="20% - Accent4 3 5 2" xfId="3696" xr:uid="{00000000-0005-0000-0000-000050020000}"/>
    <cellStyle name="20% - Accent4 3 5 2 2" xfId="7918" xr:uid="{00000000-0005-0000-0000-000051020000}"/>
    <cellStyle name="20% - Accent4 3 5 2 2 2" xfId="25648" xr:uid="{20618747-74FD-4B43-AB52-620534A3BDF8}"/>
    <cellStyle name="20% - Accent4 3 5 2 2 3" xfId="16368" xr:uid="{8D2091E1-CEFC-419E-BFC2-A1C8162C442C}"/>
    <cellStyle name="20% - Accent4 3 5 2 3" xfId="21431" xr:uid="{1AFB7403-0E12-48AF-828A-06FB93D0D9BF}"/>
    <cellStyle name="20% - Accent4 3 5 2 4" xfId="12150" xr:uid="{31A6F2B7-9466-4C26-958E-522E2C77011D}"/>
    <cellStyle name="20% - Accent4 3 5 3" xfId="5773" xr:uid="{00000000-0005-0000-0000-000052020000}"/>
    <cellStyle name="20% - Accent4 3 5 3 2" xfId="23503" xr:uid="{3B3A5847-AF7E-4BCA-A698-6FB7C4084739}"/>
    <cellStyle name="20% - Accent4 3 5 3 3" xfId="14223" xr:uid="{191E082A-61C0-43CB-8126-369F7D9E346F}"/>
    <cellStyle name="20% - Accent4 3 5 4" xfId="19286" xr:uid="{F893FC5E-3BBB-4799-95B0-2B5B61B187C5}"/>
    <cellStyle name="20% - Accent4 3 5 5" xfId="10005" xr:uid="{AD821B67-8159-4D13-A926-A46A07CB78D6}"/>
    <cellStyle name="20% - Accent4 3 6" xfId="1880" xr:uid="{00000000-0005-0000-0000-000053020000}"/>
    <cellStyle name="20% - Accent4 3 6 2" xfId="4109" xr:uid="{00000000-0005-0000-0000-000054020000}"/>
    <cellStyle name="20% - Accent4 3 6 2 2" xfId="8331" xr:uid="{00000000-0005-0000-0000-000055020000}"/>
    <cellStyle name="20% - Accent4 3 6 2 2 2" xfId="26061" xr:uid="{7560B1D5-0F72-43CC-B858-94015BBC1714}"/>
    <cellStyle name="20% - Accent4 3 6 2 2 3" xfId="16781" xr:uid="{8EB80D99-3237-47A6-9D45-DE5A15A80412}"/>
    <cellStyle name="20% - Accent4 3 6 2 3" xfId="21844" xr:uid="{1B9886BE-8FD6-4261-AD42-1C1E913947DE}"/>
    <cellStyle name="20% - Accent4 3 6 2 4" xfId="12563" xr:uid="{FC4B4F61-1082-454D-85F3-D302F07EB225}"/>
    <cellStyle name="20% - Accent4 3 6 3" xfId="6186" xr:uid="{00000000-0005-0000-0000-000056020000}"/>
    <cellStyle name="20% - Accent4 3 6 3 2" xfId="23916" xr:uid="{4F4C78D5-2ADF-4B0B-9F6F-6C4F023026AB}"/>
    <cellStyle name="20% - Accent4 3 6 3 3" xfId="14636" xr:uid="{D764121D-3B1D-4A35-BD85-EE29F4314830}"/>
    <cellStyle name="20% - Accent4 3 6 4" xfId="19699" xr:uid="{156015F8-7A9E-47AB-8427-C16C513386CF}"/>
    <cellStyle name="20% - Accent4 3 6 5" xfId="10418" xr:uid="{B96968BA-7951-4E51-9F45-267080532C1D}"/>
    <cellStyle name="20% - Accent4 3 7" xfId="2293" xr:uid="{00000000-0005-0000-0000-000057020000}"/>
    <cellStyle name="20% - Accent4 3 7 2" xfId="6599" xr:uid="{00000000-0005-0000-0000-000058020000}"/>
    <cellStyle name="20% - Accent4 3 7 2 2" xfId="24329" xr:uid="{82EE57BE-642B-44B7-8F19-8A9ACC293CAE}"/>
    <cellStyle name="20% - Accent4 3 7 2 3" xfId="15049" xr:uid="{1FB22E83-BF52-4371-90D0-190B2AA9F317}"/>
    <cellStyle name="20% - Accent4 3 7 3" xfId="20112" xr:uid="{E50BF200-A631-46DE-B9A5-B95AF4A5F169}"/>
    <cellStyle name="20% - Accent4 3 7 4" xfId="10831" xr:uid="{90F74043-ED10-4C5A-8DEA-5E3F26D6CDC5}"/>
    <cellStyle name="20% - Accent4 3 8" xfId="4533" xr:uid="{00000000-0005-0000-0000-000059020000}"/>
    <cellStyle name="20% - Accent4 3 8 2" xfId="22263" xr:uid="{CA5E3EB0-AFCE-4436-BAF8-F3462701E855}"/>
    <cellStyle name="20% - Accent4 3 8 3" xfId="12983" xr:uid="{06FD7980-8E42-4090-A8B1-46B3E4D0EF43}"/>
    <cellStyle name="20% - Accent4 3 9" xfId="18046" xr:uid="{521C422F-4DE5-4AD2-BF93-739FFF40C5D6}"/>
    <cellStyle name="20% - Accent4 4" xfId="32" xr:uid="{00000000-0005-0000-0000-00005A020000}"/>
    <cellStyle name="20% - Accent4 4 10" xfId="8767" xr:uid="{495F009D-9A49-49EE-BF45-6B4CD6DE027A}"/>
    <cellStyle name="20% - Accent4 4 2" xfId="601" xr:uid="{00000000-0005-0000-0000-00005B020000}"/>
    <cellStyle name="20% - Accent4 4 2 2" xfId="2872" xr:uid="{00000000-0005-0000-0000-00005C020000}"/>
    <cellStyle name="20% - Accent4 4 2 2 2" xfId="7094" xr:uid="{00000000-0005-0000-0000-00005D020000}"/>
    <cellStyle name="20% - Accent4 4 2 2 2 2" xfId="24824" xr:uid="{AFC3A72C-C71F-4E94-8A88-3F7A1D5344E2}"/>
    <cellStyle name="20% - Accent4 4 2 2 2 3" xfId="15544" xr:uid="{DCB76829-A95D-4339-847A-8DF851699237}"/>
    <cellStyle name="20% - Accent4 4 2 2 3" xfId="20607" xr:uid="{F228008F-C50E-401A-8C9F-4EC74AEDF1D2}"/>
    <cellStyle name="20% - Accent4 4 2 2 4" xfId="11326" xr:uid="{2D664CF5-BE50-4841-BEA0-D1FC1DB960E3}"/>
    <cellStyle name="20% - Accent4 4 2 3" xfId="4949" xr:uid="{00000000-0005-0000-0000-00005E020000}"/>
    <cellStyle name="20% - Accent4 4 2 3 2" xfId="22679" xr:uid="{9965A73A-6F93-43D0-BE28-BBB2AA71F6E1}"/>
    <cellStyle name="20% - Accent4 4 2 3 3" xfId="13399" xr:uid="{4A119D8F-B0B0-466E-A5DC-FD586C856B9A}"/>
    <cellStyle name="20% - Accent4 4 2 4" xfId="18462" xr:uid="{0A22875D-8F4B-4336-8EB3-BC2F62769750}"/>
    <cellStyle name="20% - Accent4 4 2 5" xfId="17632" xr:uid="{528EE2B0-472F-45F6-B668-997C5863E03B}"/>
    <cellStyle name="20% - Accent4 4 2 6" xfId="9181" xr:uid="{2FB85CF1-DB0A-4F8F-8720-39A05441EAB0}"/>
    <cellStyle name="20% - Accent4 4 3" xfId="1054" xr:uid="{00000000-0005-0000-0000-00005F020000}"/>
    <cellStyle name="20% - Accent4 4 3 2" xfId="3285" xr:uid="{00000000-0005-0000-0000-000060020000}"/>
    <cellStyle name="20% - Accent4 4 3 2 2" xfId="7507" xr:uid="{00000000-0005-0000-0000-000061020000}"/>
    <cellStyle name="20% - Accent4 4 3 2 2 2" xfId="25237" xr:uid="{D6CCABC6-0FB5-4E7D-BBB4-97ECF82A090F}"/>
    <cellStyle name="20% - Accent4 4 3 2 2 3" xfId="15957" xr:uid="{C4B48113-C7C2-4FC0-81A5-D06C73B3A240}"/>
    <cellStyle name="20% - Accent4 4 3 2 3" xfId="21020" xr:uid="{606BBC3A-9764-40BC-8D15-8ACDC5C12F3D}"/>
    <cellStyle name="20% - Accent4 4 3 2 4" xfId="11739" xr:uid="{D30F1D74-FD33-45EE-AD44-7F90D65B78A6}"/>
    <cellStyle name="20% - Accent4 4 3 3" xfId="5362" xr:uid="{00000000-0005-0000-0000-000062020000}"/>
    <cellStyle name="20% - Accent4 4 3 3 2" xfId="23092" xr:uid="{24A35E86-AD18-4C25-8BDB-D533C913BD8C}"/>
    <cellStyle name="20% - Accent4 4 3 3 3" xfId="13812" xr:uid="{CA3C88D1-4E0C-40FB-BA8D-3ED465083574}"/>
    <cellStyle name="20% - Accent4 4 3 4" xfId="18875" xr:uid="{5C9AACBF-3326-4F40-91FE-5B3151F5EADA}"/>
    <cellStyle name="20% - Accent4 4 3 5" xfId="9594" xr:uid="{3107A0B0-0D15-45CF-89C4-2EA92ABCC718}"/>
    <cellStyle name="20% - Accent4 4 4" xfId="1468" xr:uid="{00000000-0005-0000-0000-000063020000}"/>
    <cellStyle name="20% - Accent4 4 4 2" xfId="3698" xr:uid="{00000000-0005-0000-0000-000064020000}"/>
    <cellStyle name="20% - Accent4 4 4 2 2" xfId="7920" xr:uid="{00000000-0005-0000-0000-000065020000}"/>
    <cellStyle name="20% - Accent4 4 4 2 2 2" xfId="25650" xr:uid="{FC4D4777-7BB6-4C02-86F9-C261A5B99F0B}"/>
    <cellStyle name="20% - Accent4 4 4 2 2 3" xfId="16370" xr:uid="{8AD31111-2745-42A1-A6BC-AAC36ED69CE3}"/>
    <cellStyle name="20% - Accent4 4 4 2 3" xfId="21433" xr:uid="{1A6EDEED-58A4-46A4-875D-B1EBDC18B40F}"/>
    <cellStyle name="20% - Accent4 4 4 2 4" xfId="12152" xr:uid="{FBB75004-4A24-4E00-BD25-B74534301C05}"/>
    <cellStyle name="20% - Accent4 4 4 3" xfId="5775" xr:uid="{00000000-0005-0000-0000-000066020000}"/>
    <cellStyle name="20% - Accent4 4 4 3 2" xfId="23505" xr:uid="{35C9B219-4EA3-439B-8E1E-E2370F778916}"/>
    <cellStyle name="20% - Accent4 4 4 3 3" xfId="14225" xr:uid="{2CC554EB-2BC2-4152-95A5-DB5496D8311F}"/>
    <cellStyle name="20% - Accent4 4 4 4" xfId="19288" xr:uid="{ACA8ED7C-6257-4D2E-B881-DCE08703CEF6}"/>
    <cellStyle name="20% - Accent4 4 4 5" xfId="10007" xr:uid="{B2AC1424-CFD7-4138-BDDA-077DDB3BA2FF}"/>
    <cellStyle name="20% - Accent4 4 5" xfId="1882" xr:uid="{00000000-0005-0000-0000-000067020000}"/>
    <cellStyle name="20% - Accent4 4 5 2" xfId="4111" xr:uid="{00000000-0005-0000-0000-000068020000}"/>
    <cellStyle name="20% - Accent4 4 5 2 2" xfId="8333" xr:uid="{00000000-0005-0000-0000-000069020000}"/>
    <cellStyle name="20% - Accent4 4 5 2 2 2" xfId="26063" xr:uid="{0819A1BE-6442-4C0F-B865-FF226616AEAC}"/>
    <cellStyle name="20% - Accent4 4 5 2 2 3" xfId="16783" xr:uid="{4ED43B1A-A69D-4EF9-9EA8-EACEFE997D80}"/>
    <cellStyle name="20% - Accent4 4 5 2 3" xfId="21846" xr:uid="{EB0D3983-6FEC-4688-B943-AF01B3503DB1}"/>
    <cellStyle name="20% - Accent4 4 5 2 4" xfId="12565" xr:uid="{9AA23B95-0F5E-4E73-B931-6EE3486D81E9}"/>
    <cellStyle name="20% - Accent4 4 5 3" xfId="6188" xr:uid="{00000000-0005-0000-0000-00006A020000}"/>
    <cellStyle name="20% - Accent4 4 5 3 2" xfId="23918" xr:uid="{E6AA4995-D311-4E52-B7E3-4DF293E28B16}"/>
    <cellStyle name="20% - Accent4 4 5 3 3" xfId="14638" xr:uid="{67264422-307C-4475-8365-B25617813040}"/>
    <cellStyle name="20% - Accent4 4 5 4" xfId="19701" xr:uid="{A0CDAEA7-DB61-40EA-99B7-EC436B58CC65}"/>
    <cellStyle name="20% - Accent4 4 5 5" xfId="10420" xr:uid="{C44981BA-F8DB-4191-92A7-E3DD7AE2E4AC}"/>
    <cellStyle name="20% - Accent4 4 6" xfId="2295" xr:uid="{00000000-0005-0000-0000-00006B020000}"/>
    <cellStyle name="20% - Accent4 4 6 2" xfId="6601" xr:uid="{00000000-0005-0000-0000-00006C020000}"/>
    <cellStyle name="20% - Accent4 4 6 2 2" xfId="24331" xr:uid="{572D46C9-126C-4BBB-80A2-99E7BFD92D24}"/>
    <cellStyle name="20% - Accent4 4 6 2 3" xfId="15051" xr:uid="{FA69C66E-E37C-4B48-AAEB-BCA5544D473B}"/>
    <cellStyle name="20% - Accent4 4 6 3" xfId="20114" xr:uid="{98D14DF8-3616-4BCB-955F-E2914D70E0EC}"/>
    <cellStyle name="20% - Accent4 4 6 4" xfId="10833" xr:uid="{5582A747-68C3-4BA0-8A65-084D6E37BC67}"/>
    <cellStyle name="20% - Accent4 4 7" xfId="4535" xr:uid="{00000000-0005-0000-0000-00006D020000}"/>
    <cellStyle name="20% - Accent4 4 7 2" xfId="22265" xr:uid="{BC06D98E-3CBF-46FF-8E3C-382FF98CD0FE}"/>
    <cellStyle name="20% - Accent4 4 7 3" xfId="12985" xr:uid="{E62A0BA4-539D-4F77-8069-C3F8E0A7F886}"/>
    <cellStyle name="20% - Accent4 4 8" xfId="18048" xr:uid="{56E49D36-E824-4475-8526-B4A0B0CBF3ED}"/>
    <cellStyle name="20% - Accent4 4 9" xfId="17215" xr:uid="{1CAB4EE8-26D2-4443-AE56-078CF1C2A9C8}"/>
    <cellStyle name="20% - Accent4 5" xfId="594" xr:uid="{00000000-0005-0000-0000-00006E020000}"/>
    <cellStyle name="20% - Accent4 5 2" xfId="2865" xr:uid="{00000000-0005-0000-0000-00006F020000}"/>
    <cellStyle name="20% - Accent4 5 2 2" xfId="7087" xr:uid="{00000000-0005-0000-0000-000070020000}"/>
    <cellStyle name="20% - Accent4 5 2 2 2" xfId="24817" xr:uid="{B6C6E2EC-338A-419F-9142-E9ECC964808A}"/>
    <cellStyle name="20% - Accent4 5 2 2 3" xfId="15537" xr:uid="{53D5A520-F035-4C9F-95EA-19646A33672F}"/>
    <cellStyle name="20% - Accent4 5 2 3" xfId="20600" xr:uid="{7FCDFB89-C14C-468C-951D-988584C69270}"/>
    <cellStyle name="20% - Accent4 5 2 4" xfId="11319" xr:uid="{711508A9-F4D9-4E63-88B9-EA62ABE95EF4}"/>
    <cellStyle name="20% - Accent4 5 3" xfId="4942" xr:uid="{00000000-0005-0000-0000-000071020000}"/>
    <cellStyle name="20% - Accent4 5 3 2" xfId="22672" xr:uid="{4BB90E39-3E6D-4350-9B0F-3CAAFB8D3486}"/>
    <cellStyle name="20% - Accent4 5 3 3" xfId="13392" xr:uid="{05671D97-2245-41B7-9B13-EA92AC7F154D}"/>
    <cellStyle name="20% - Accent4 5 4" xfId="18455" xr:uid="{4CC82EBA-1CAD-4963-BDFE-F181893FA8D7}"/>
    <cellStyle name="20% - Accent4 5 5" xfId="17625" xr:uid="{FE353C26-329A-4755-B10B-2DF9838D3944}"/>
    <cellStyle name="20% - Accent4 5 6" xfId="9174" xr:uid="{7C650DBC-9EB1-4CF7-916F-2CC9EAA9CC4F}"/>
    <cellStyle name="20% - Accent4 6" xfId="1047" xr:uid="{00000000-0005-0000-0000-000072020000}"/>
    <cellStyle name="20% - Accent4 6 2" xfId="3278" xr:uid="{00000000-0005-0000-0000-000073020000}"/>
    <cellStyle name="20% - Accent4 6 2 2" xfId="7500" xr:uid="{00000000-0005-0000-0000-000074020000}"/>
    <cellStyle name="20% - Accent4 6 2 2 2" xfId="25230" xr:uid="{88364894-5B96-493D-97F3-7C154ECDA814}"/>
    <cellStyle name="20% - Accent4 6 2 2 3" xfId="15950" xr:uid="{44C87484-1FF8-44E8-BA77-89A6384BD9BE}"/>
    <cellStyle name="20% - Accent4 6 2 3" xfId="21013" xr:uid="{16ED8011-BF30-480B-88EB-171EC996E779}"/>
    <cellStyle name="20% - Accent4 6 2 4" xfId="11732" xr:uid="{CEA35D0C-E148-4D51-BC94-F4CC7C965694}"/>
    <cellStyle name="20% - Accent4 6 3" xfId="5355" xr:uid="{00000000-0005-0000-0000-000075020000}"/>
    <cellStyle name="20% - Accent4 6 3 2" xfId="23085" xr:uid="{F7814669-FEEF-4382-B02B-03FF2FCF2127}"/>
    <cellStyle name="20% - Accent4 6 3 3" xfId="13805" xr:uid="{8C8B19FE-DF66-4822-B4D6-17B28CE8CD4B}"/>
    <cellStyle name="20% - Accent4 6 4" xfId="18868" xr:uid="{CD72B49F-69AB-4EFE-8B8D-C18CA9362DEB}"/>
    <cellStyle name="20% - Accent4 6 5" xfId="9587" xr:uid="{F30C5BE8-747E-4339-B92E-5721CF9089A0}"/>
    <cellStyle name="20% - Accent4 7" xfId="1461" xr:uid="{00000000-0005-0000-0000-000076020000}"/>
    <cellStyle name="20% - Accent4 7 2" xfId="3691" xr:uid="{00000000-0005-0000-0000-000077020000}"/>
    <cellStyle name="20% - Accent4 7 2 2" xfId="7913" xr:uid="{00000000-0005-0000-0000-000078020000}"/>
    <cellStyle name="20% - Accent4 7 2 2 2" xfId="25643" xr:uid="{6D687763-EBAA-415A-954A-7F785740D3CB}"/>
    <cellStyle name="20% - Accent4 7 2 2 3" xfId="16363" xr:uid="{16AC4A23-7A67-4CBD-B66E-481DE89CC1BE}"/>
    <cellStyle name="20% - Accent4 7 2 3" xfId="21426" xr:uid="{CF27ABC5-872E-4422-8300-6BBC7300C924}"/>
    <cellStyle name="20% - Accent4 7 2 4" xfId="12145" xr:uid="{8671735E-0F8F-439F-9BE3-1EAF386A94C7}"/>
    <cellStyle name="20% - Accent4 7 3" xfId="5768" xr:uid="{00000000-0005-0000-0000-000079020000}"/>
    <cellStyle name="20% - Accent4 7 3 2" xfId="23498" xr:uid="{C68071EF-E5D2-4C64-9F0A-BAC20640E222}"/>
    <cellStyle name="20% - Accent4 7 3 3" xfId="14218" xr:uid="{522F78DA-F3E6-48EE-A495-4BC69D65392E}"/>
    <cellStyle name="20% - Accent4 7 4" xfId="19281" xr:uid="{DC10A9B9-FD0E-4767-8FED-B41E09A261DF}"/>
    <cellStyle name="20% - Accent4 7 5" xfId="10000" xr:uid="{CE261E1E-93EA-400D-9855-068D253F79B4}"/>
    <cellStyle name="20% - Accent4 8" xfId="1875" xr:uid="{00000000-0005-0000-0000-00007A020000}"/>
    <cellStyle name="20% - Accent4 8 2" xfId="4104" xr:uid="{00000000-0005-0000-0000-00007B020000}"/>
    <cellStyle name="20% - Accent4 8 2 2" xfId="8326" xr:uid="{00000000-0005-0000-0000-00007C020000}"/>
    <cellStyle name="20% - Accent4 8 2 2 2" xfId="26056" xr:uid="{ECB9151C-FD6F-43BC-A767-1C1F71EB1058}"/>
    <cellStyle name="20% - Accent4 8 2 2 3" xfId="16776" xr:uid="{F8AAAA46-02E4-4A5D-B402-37A8541CE023}"/>
    <cellStyle name="20% - Accent4 8 2 3" xfId="21839" xr:uid="{AF64748C-C9F4-4B83-9A4D-5C6DB34E4CF5}"/>
    <cellStyle name="20% - Accent4 8 2 4" xfId="12558" xr:uid="{8E0549FF-E4FC-4728-803E-0BCF39021419}"/>
    <cellStyle name="20% - Accent4 8 3" xfId="6181" xr:uid="{00000000-0005-0000-0000-00007D020000}"/>
    <cellStyle name="20% - Accent4 8 3 2" xfId="23911" xr:uid="{65B14407-63A6-4F64-97BC-8A3BFFE957E9}"/>
    <cellStyle name="20% - Accent4 8 3 3" xfId="14631" xr:uid="{246BE4DD-0994-4BFF-B8C5-47F80E660288}"/>
    <cellStyle name="20% - Accent4 8 4" xfId="19694" xr:uid="{6FFF41E6-EFA1-4604-81A1-4027CDEC1010}"/>
    <cellStyle name="20% - Accent4 8 5" xfId="10413" xr:uid="{119A5486-8356-40E9-BB09-902727B0B222}"/>
    <cellStyle name="20% - Accent4 9" xfId="2288" xr:uid="{00000000-0005-0000-0000-00007E020000}"/>
    <cellStyle name="20% - Accent4 9 2" xfId="6594" xr:uid="{00000000-0005-0000-0000-00007F020000}"/>
    <cellStyle name="20% - Accent4 9 2 2" xfId="24324" xr:uid="{DACE1B1D-F383-4615-9727-224CA571EFE7}"/>
    <cellStyle name="20% - Accent4 9 2 3" xfId="15044" xr:uid="{48F9F14A-2939-49A1-B1E0-4626F2EBF5FD}"/>
    <cellStyle name="20% - Accent4 9 3" xfId="20107" xr:uid="{2E13BD1F-654C-4F61-B747-7F12A4E0D288}"/>
    <cellStyle name="20% - Accent4 9 4" xfId="10826" xr:uid="{E87DA9C0-58D0-4E07-BE7B-12A33343641E}"/>
    <cellStyle name="20% - Accent5" xfId="33" builtinId="46" customBuiltin="1"/>
    <cellStyle name="20% - Accent5 10" xfId="4536" xr:uid="{00000000-0005-0000-0000-000081020000}"/>
    <cellStyle name="20% - Accent5 10 2" xfId="22266" xr:uid="{B3E231DB-4915-476E-A665-CF762BE7F7D7}"/>
    <cellStyle name="20% - Accent5 10 3" xfId="12986" xr:uid="{56AAD173-3E8A-43A0-B5EA-E28989C848C6}"/>
    <cellStyle name="20% - Accent5 11" xfId="18049" xr:uid="{76D758E9-95B8-4BC7-AD03-2B6A9637584D}"/>
    <cellStyle name="20% - Accent5 12" xfId="17216" xr:uid="{C63A683E-8C98-479C-911D-F02FABB08D9A}"/>
    <cellStyle name="20% - Accent5 13" xfId="8768" xr:uid="{656B9C86-66D4-4572-9790-024EB70D0242}"/>
    <cellStyle name="20% - Accent5 2" xfId="34" xr:uid="{00000000-0005-0000-0000-000082020000}"/>
    <cellStyle name="20% - Accent5 2 10" xfId="18050" xr:uid="{DAB14EC9-5143-41B8-9F29-4AA21EFE9C16}"/>
    <cellStyle name="20% - Accent5 2 11" xfId="17217" xr:uid="{E92B21EF-5C67-4A4B-B1FC-8D077A039CF7}"/>
    <cellStyle name="20% - Accent5 2 12" xfId="8769" xr:uid="{34156DC2-C5A7-4693-8208-FE26BA9FAB58}"/>
    <cellStyle name="20% - Accent5 2 2" xfId="35" xr:uid="{00000000-0005-0000-0000-000083020000}"/>
    <cellStyle name="20% - Accent5 2 2 10" xfId="17218" xr:uid="{8103DB68-3181-45F9-BE4B-8C8F4F19C0EB}"/>
    <cellStyle name="20% - Accent5 2 2 11" xfId="8770" xr:uid="{2347DA87-C465-46C7-AF1A-FC761014D347}"/>
    <cellStyle name="20% - Accent5 2 2 2" xfId="36" xr:uid="{00000000-0005-0000-0000-000084020000}"/>
    <cellStyle name="20% - Accent5 2 2 2 10" xfId="8771" xr:uid="{1119BAD3-4B37-4B37-82C7-F49D9D8275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24828" xr:uid="{9F1DAC13-E1FC-4B2A-8C17-5FC80D5B86FD}"/>
    <cellStyle name="20% - Accent5 2 2 2 2 2 2 3" xfId="15548" xr:uid="{C58883BD-3F89-43DF-B366-E853259D6EDD}"/>
    <cellStyle name="20% - Accent5 2 2 2 2 2 3" xfId="20611" xr:uid="{55985F4C-FA34-4550-B99D-963466BAFF52}"/>
    <cellStyle name="20% - Accent5 2 2 2 2 2 4" xfId="11330" xr:uid="{A1E6C9B0-5645-4D0B-BCC9-F75C163EF725}"/>
    <cellStyle name="20% - Accent5 2 2 2 2 3" xfId="4953" xr:uid="{00000000-0005-0000-0000-000088020000}"/>
    <cellStyle name="20% - Accent5 2 2 2 2 3 2" xfId="22683" xr:uid="{1DB45F37-C6C5-4927-9358-8A3338530A93}"/>
    <cellStyle name="20% - Accent5 2 2 2 2 3 3" xfId="13403" xr:uid="{976C924B-105D-4634-BAEA-DD7D9B59A141}"/>
    <cellStyle name="20% - Accent5 2 2 2 2 4" xfId="18466" xr:uid="{60BC8B10-DE16-4733-A585-F225824FACF6}"/>
    <cellStyle name="20% - Accent5 2 2 2 2 5" xfId="17636" xr:uid="{A81D6E62-3055-4439-A927-14B4D8A3AF30}"/>
    <cellStyle name="20% - Accent5 2 2 2 2 6" xfId="9185" xr:uid="{1C8656B9-CE6C-4EC6-9FA9-9B8E13A6827D}"/>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25241" xr:uid="{260F873E-4AB4-46C4-947A-31173EBAE0ED}"/>
    <cellStyle name="20% - Accent5 2 2 2 3 2 2 3" xfId="15961" xr:uid="{0D5B9D23-5F0F-447E-85E5-DD83ACF1D34A}"/>
    <cellStyle name="20% - Accent5 2 2 2 3 2 3" xfId="21024" xr:uid="{382012FA-28C8-40C9-A35A-13A38E5A7531}"/>
    <cellStyle name="20% - Accent5 2 2 2 3 2 4" xfId="11743" xr:uid="{E3D7FA22-1B28-43FF-8EE1-0413A5D2793B}"/>
    <cellStyle name="20% - Accent5 2 2 2 3 3" xfId="5366" xr:uid="{00000000-0005-0000-0000-00008C020000}"/>
    <cellStyle name="20% - Accent5 2 2 2 3 3 2" xfId="23096" xr:uid="{58467CF1-1CDC-48B3-86C9-62C1C163298D}"/>
    <cellStyle name="20% - Accent5 2 2 2 3 3 3" xfId="13816" xr:uid="{754D58FE-2473-45AE-8E02-66E771468BF7}"/>
    <cellStyle name="20% - Accent5 2 2 2 3 4" xfId="18879" xr:uid="{45E94A81-19FE-4EEC-95FA-30E22CF14959}"/>
    <cellStyle name="20% - Accent5 2 2 2 3 5" xfId="9598" xr:uid="{9BC3D373-7155-4C99-ADAE-4DB44719D7FC}"/>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25654" xr:uid="{48018BC4-AEB5-422C-A89A-526B57ECD23B}"/>
    <cellStyle name="20% - Accent5 2 2 2 4 2 2 3" xfId="16374" xr:uid="{E134FE6D-FB2D-4B85-AEFC-18F120F05E27}"/>
    <cellStyle name="20% - Accent5 2 2 2 4 2 3" xfId="21437" xr:uid="{1C720D20-032B-4BCB-9CCA-0C4FAC870F12}"/>
    <cellStyle name="20% - Accent5 2 2 2 4 2 4" xfId="12156" xr:uid="{46A4BBA3-D757-48B4-B3B1-F3591F2DD92A}"/>
    <cellStyle name="20% - Accent5 2 2 2 4 3" xfId="5779" xr:uid="{00000000-0005-0000-0000-000090020000}"/>
    <cellStyle name="20% - Accent5 2 2 2 4 3 2" xfId="23509" xr:uid="{208ED1F4-2FB7-41EE-AEFB-A5B94F88C17F}"/>
    <cellStyle name="20% - Accent5 2 2 2 4 3 3" xfId="14229" xr:uid="{E5E576A8-F13D-42E0-ABAE-A8296A3A9142}"/>
    <cellStyle name="20% - Accent5 2 2 2 4 4" xfId="19292" xr:uid="{1254A83C-CF52-44FB-B60B-84B9950CDF96}"/>
    <cellStyle name="20% - Accent5 2 2 2 4 5" xfId="10011" xr:uid="{71911084-576B-42ED-AFB7-DB3586432B75}"/>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26067" xr:uid="{F5A23972-A3AE-4374-A69E-195873D4BEA9}"/>
    <cellStyle name="20% - Accent5 2 2 2 5 2 2 3" xfId="16787" xr:uid="{BECB8907-A02D-45C0-B87C-60ECEF1B1DE6}"/>
    <cellStyle name="20% - Accent5 2 2 2 5 2 3" xfId="21850" xr:uid="{5F8918EE-73B1-45A3-BF53-675B22E3609A}"/>
    <cellStyle name="20% - Accent5 2 2 2 5 2 4" xfId="12569" xr:uid="{8561B77B-F745-4D8D-A21C-0E0CD2D3A82A}"/>
    <cellStyle name="20% - Accent5 2 2 2 5 3" xfId="6192" xr:uid="{00000000-0005-0000-0000-000094020000}"/>
    <cellStyle name="20% - Accent5 2 2 2 5 3 2" xfId="23922" xr:uid="{739EF92B-8116-4815-947F-82987ADD136C}"/>
    <cellStyle name="20% - Accent5 2 2 2 5 3 3" xfId="14642" xr:uid="{4DD993E0-5FF2-452D-ADDD-421D6ED774B4}"/>
    <cellStyle name="20% - Accent5 2 2 2 5 4" xfId="19705" xr:uid="{227BA971-77AE-48F2-A042-605BE7E8E93A}"/>
    <cellStyle name="20% - Accent5 2 2 2 5 5" xfId="10424" xr:uid="{BF2C8689-BA82-4A12-B22C-EFA1165242B3}"/>
    <cellStyle name="20% - Accent5 2 2 2 6" xfId="2299" xr:uid="{00000000-0005-0000-0000-000095020000}"/>
    <cellStyle name="20% - Accent5 2 2 2 6 2" xfId="6605" xr:uid="{00000000-0005-0000-0000-000096020000}"/>
    <cellStyle name="20% - Accent5 2 2 2 6 2 2" xfId="24335" xr:uid="{92AF1C94-AE5A-4810-913F-825118359A14}"/>
    <cellStyle name="20% - Accent5 2 2 2 6 2 3" xfId="15055" xr:uid="{7239DAA3-8774-4296-A2E0-B6FA1FCBAAF9}"/>
    <cellStyle name="20% - Accent5 2 2 2 6 3" xfId="20118" xr:uid="{A22B5B16-2654-4DDA-BB71-22D1E8036F71}"/>
    <cellStyle name="20% - Accent5 2 2 2 6 4" xfId="10837" xr:uid="{E317EDFD-EC82-4AF8-ACA9-53D2855DF0E7}"/>
    <cellStyle name="20% - Accent5 2 2 2 7" xfId="4539" xr:uid="{00000000-0005-0000-0000-000097020000}"/>
    <cellStyle name="20% - Accent5 2 2 2 7 2" xfId="22269" xr:uid="{8C498738-CD8E-4985-9220-D4D354F5EBB7}"/>
    <cellStyle name="20% - Accent5 2 2 2 7 3" xfId="12989" xr:uid="{7D815004-E4DD-4B2A-9EDA-FE71EC10AAA5}"/>
    <cellStyle name="20% - Accent5 2 2 2 8" xfId="18052" xr:uid="{E18DB0A5-C1DF-40E0-BCAC-427CD04E5CBE}"/>
    <cellStyle name="20% - Accent5 2 2 2 9" xfId="17219" xr:uid="{8A250C51-3AA4-46A0-9BB7-EA8C37B73FE1}"/>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24827" xr:uid="{C09B5609-D0F9-41D1-BC1B-1164911975DE}"/>
    <cellStyle name="20% - Accent5 2 2 3 2 2 3" xfId="15547" xr:uid="{F1B27BA9-083B-45D5-BCD9-15CA3C62D504}"/>
    <cellStyle name="20% - Accent5 2 2 3 2 3" xfId="20610" xr:uid="{B76CFD59-1F50-42A2-8E6E-B61E58B33BD8}"/>
    <cellStyle name="20% - Accent5 2 2 3 2 4" xfId="11329" xr:uid="{1838A06C-D032-4743-BAA6-A35ACCDB2DC7}"/>
    <cellStyle name="20% - Accent5 2 2 3 3" xfId="4952" xr:uid="{00000000-0005-0000-0000-00009B020000}"/>
    <cellStyle name="20% - Accent5 2 2 3 3 2" xfId="22682" xr:uid="{BA62411C-2115-47C7-AE0E-527AF44100BC}"/>
    <cellStyle name="20% - Accent5 2 2 3 3 3" xfId="13402" xr:uid="{0B5DD421-F111-4645-9370-E4097B8DF5AF}"/>
    <cellStyle name="20% - Accent5 2 2 3 4" xfId="18465" xr:uid="{B154F2DF-C497-4CB5-9A67-254F9EF69BA4}"/>
    <cellStyle name="20% - Accent5 2 2 3 5" xfId="17635" xr:uid="{1231A46A-4102-4FD4-A3D5-B27866B58054}"/>
    <cellStyle name="20% - Accent5 2 2 3 6" xfId="9184" xr:uid="{F41EB81F-CCB3-47AD-8327-CA4BABF61794}"/>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25240" xr:uid="{FA124C80-5991-4320-B124-E1EEBC10AA41}"/>
    <cellStyle name="20% - Accent5 2 2 4 2 2 3" xfId="15960" xr:uid="{B8251643-D341-4394-9D78-C799234FADED}"/>
    <cellStyle name="20% - Accent5 2 2 4 2 3" xfId="21023" xr:uid="{033AC692-6B27-40BC-AF9B-95035B996FA0}"/>
    <cellStyle name="20% - Accent5 2 2 4 2 4" xfId="11742" xr:uid="{A20A1DC3-61CA-4867-A8E7-4BFD5219940B}"/>
    <cellStyle name="20% - Accent5 2 2 4 3" xfId="5365" xr:uid="{00000000-0005-0000-0000-00009F020000}"/>
    <cellStyle name="20% - Accent5 2 2 4 3 2" xfId="23095" xr:uid="{49CABBB8-DC1A-4851-91C8-52978694231A}"/>
    <cellStyle name="20% - Accent5 2 2 4 3 3" xfId="13815" xr:uid="{1FDFF52E-6CD9-4988-B048-847D9D937451}"/>
    <cellStyle name="20% - Accent5 2 2 4 4" xfId="18878" xr:uid="{04BDB8DD-0601-4B00-84D6-E32149FE42F2}"/>
    <cellStyle name="20% - Accent5 2 2 4 5" xfId="9597" xr:uid="{595B0B35-389C-4E6A-8E7E-01DD9A2CE3C7}"/>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25653" xr:uid="{A718C2B9-99B9-4D29-A496-215644BCCE58}"/>
    <cellStyle name="20% - Accent5 2 2 5 2 2 3" xfId="16373" xr:uid="{146ADBB8-C9CF-494F-883F-CE1337CE5F58}"/>
    <cellStyle name="20% - Accent5 2 2 5 2 3" xfId="21436" xr:uid="{9E051FAE-FE5B-4D1D-8080-929DF705F8C2}"/>
    <cellStyle name="20% - Accent5 2 2 5 2 4" xfId="12155" xr:uid="{6AA75115-6F1A-4ECA-A102-949B6D0CA7B5}"/>
    <cellStyle name="20% - Accent5 2 2 5 3" xfId="5778" xr:uid="{00000000-0005-0000-0000-0000A3020000}"/>
    <cellStyle name="20% - Accent5 2 2 5 3 2" xfId="23508" xr:uid="{989089F7-B463-4A12-9658-CBCA901F3AB4}"/>
    <cellStyle name="20% - Accent5 2 2 5 3 3" xfId="14228" xr:uid="{0F515D68-D559-400F-95B9-3A119E01D401}"/>
    <cellStyle name="20% - Accent5 2 2 5 4" xfId="19291" xr:uid="{358A4593-0111-4FF2-8C05-88C4345790B2}"/>
    <cellStyle name="20% - Accent5 2 2 5 5" xfId="10010" xr:uid="{0C79071D-7218-4BF3-A93A-3BAC6BA093F9}"/>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26066" xr:uid="{BF242AC3-AD51-4164-8EB8-C60074100D7E}"/>
    <cellStyle name="20% - Accent5 2 2 6 2 2 3" xfId="16786" xr:uid="{D88C667C-60F9-4B96-B03D-DB837841B749}"/>
    <cellStyle name="20% - Accent5 2 2 6 2 3" xfId="21849" xr:uid="{E0D80280-8CDC-4D17-9190-31108B6FB5BA}"/>
    <cellStyle name="20% - Accent5 2 2 6 2 4" xfId="12568" xr:uid="{E3C08370-A73D-4664-9EAE-001064D3AA2A}"/>
    <cellStyle name="20% - Accent5 2 2 6 3" xfId="6191" xr:uid="{00000000-0005-0000-0000-0000A7020000}"/>
    <cellStyle name="20% - Accent5 2 2 6 3 2" xfId="23921" xr:uid="{151360D5-A3E6-4A10-8B66-58E8273054EA}"/>
    <cellStyle name="20% - Accent5 2 2 6 3 3" xfId="14641" xr:uid="{A93A240E-1BE2-4558-9CE6-4153EC4D528D}"/>
    <cellStyle name="20% - Accent5 2 2 6 4" xfId="19704" xr:uid="{DE2DACFB-780B-4DD3-B996-A5BA99EE361E}"/>
    <cellStyle name="20% - Accent5 2 2 6 5" xfId="10423" xr:uid="{703552A0-E120-4EDD-87EC-9083F9C61EA9}"/>
    <cellStyle name="20% - Accent5 2 2 7" xfId="2298" xr:uid="{00000000-0005-0000-0000-0000A8020000}"/>
    <cellStyle name="20% - Accent5 2 2 7 2" xfId="6604" xr:uid="{00000000-0005-0000-0000-0000A9020000}"/>
    <cellStyle name="20% - Accent5 2 2 7 2 2" xfId="24334" xr:uid="{E6F71B70-6680-4F22-9C79-1EF86F9C2B28}"/>
    <cellStyle name="20% - Accent5 2 2 7 2 3" xfId="15054" xr:uid="{5A89F1C8-DCBB-4258-9F6A-667B40ED3F8A}"/>
    <cellStyle name="20% - Accent5 2 2 7 3" xfId="20117" xr:uid="{D2040ECE-E6AB-4845-A2FB-B1E32B87C1A1}"/>
    <cellStyle name="20% - Accent5 2 2 7 4" xfId="10836" xr:uid="{3068DF7E-7BE7-4AE6-A7E1-795005CD9498}"/>
    <cellStyle name="20% - Accent5 2 2 8" xfId="4538" xr:uid="{00000000-0005-0000-0000-0000AA020000}"/>
    <cellStyle name="20% - Accent5 2 2 8 2" xfId="22268" xr:uid="{35CF7D8D-348E-4D4D-99A1-10B2FA681185}"/>
    <cellStyle name="20% - Accent5 2 2 8 3" xfId="12988" xr:uid="{5ED152E9-D0B1-4669-9AD9-33A425F37076}"/>
    <cellStyle name="20% - Accent5 2 2 9" xfId="18051" xr:uid="{21A24879-8D04-46D5-9235-42384BE713C7}"/>
    <cellStyle name="20% - Accent5 2 3" xfId="37" xr:uid="{00000000-0005-0000-0000-0000AB020000}"/>
    <cellStyle name="20% - Accent5 2 3 10" xfId="8772" xr:uid="{418575D0-46EE-43F5-8747-25FFD181A03D}"/>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24829" xr:uid="{9492B14B-49D4-403D-AA39-123E0F3FC33F}"/>
    <cellStyle name="20% - Accent5 2 3 2 2 2 3" xfId="15549" xr:uid="{72962FAA-17CC-48D7-AF2D-7412FF2264BF}"/>
    <cellStyle name="20% - Accent5 2 3 2 2 3" xfId="20612" xr:uid="{41BD08EA-32D0-47CB-8F16-B7A61DDE8907}"/>
    <cellStyle name="20% - Accent5 2 3 2 2 4" xfId="11331" xr:uid="{CC0A375A-59A1-4033-A916-3F2FABAD0728}"/>
    <cellStyle name="20% - Accent5 2 3 2 3" xfId="4954" xr:uid="{00000000-0005-0000-0000-0000AF020000}"/>
    <cellStyle name="20% - Accent5 2 3 2 3 2" xfId="22684" xr:uid="{A2DDCB61-B1AA-47B0-B86B-D034D992DD21}"/>
    <cellStyle name="20% - Accent5 2 3 2 3 3" xfId="13404" xr:uid="{32A79590-495F-43DA-AB57-52AB2BD34956}"/>
    <cellStyle name="20% - Accent5 2 3 2 4" xfId="18467" xr:uid="{5464238A-3C6C-4FAA-9787-5164CB7D17A6}"/>
    <cellStyle name="20% - Accent5 2 3 2 5" xfId="17637" xr:uid="{8F6D4B0F-6969-4D71-8D91-2BC822088950}"/>
    <cellStyle name="20% - Accent5 2 3 2 6" xfId="9186" xr:uid="{1EE2ACE7-9F2C-491E-828B-8A190A9249DE}"/>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25242" xr:uid="{E1235EEA-DA92-431E-8074-57721B8DBF15}"/>
    <cellStyle name="20% - Accent5 2 3 3 2 2 3" xfId="15962" xr:uid="{B8E9E67D-DD43-4746-895A-ED9AB9448C77}"/>
    <cellStyle name="20% - Accent5 2 3 3 2 3" xfId="21025" xr:uid="{81A3BC48-5EE3-45F8-B6AE-4525F6D6A2D2}"/>
    <cellStyle name="20% - Accent5 2 3 3 2 4" xfId="11744" xr:uid="{B89AFDE9-97FD-468B-B32F-AC30E397B074}"/>
    <cellStyle name="20% - Accent5 2 3 3 3" xfId="5367" xr:uid="{00000000-0005-0000-0000-0000B3020000}"/>
    <cellStyle name="20% - Accent5 2 3 3 3 2" xfId="23097" xr:uid="{0ACE5DAB-B158-4C97-8CB5-2A9537BBCCF8}"/>
    <cellStyle name="20% - Accent5 2 3 3 3 3" xfId="13817" xr:uid="{E07F62EC-CA9C-4795-8337-27F9A1132AE0}"/>
    <cellStyle name="20% - Accent5 2 3 3 4" xfId="18880" xr:uid="{59AB9625-8D1B-433D-A204-0E477DAB6E2E}"/>
    <cellStyle name="20% - Accent5 2 3 3 5" xfId="9599" xr:uid="{5A126675-08F6-4811-900E-2A640701DD23}"/>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25655" xr:uid="{E10E0101-B638-4BE2-A628-B632521A6B39}"/>
    <cellStyle name="20% - Accent5 2 3 4 2 2 3" xfId="16375" xr:uid="{652229F1-FAA2-467F-BA15-F89EF7DC0960}"/>
    <cellStyle name="20% - Accent5 2 3 4 2 3" xfId="21438" xr:uid="{C40BA07E-8D1A-4FBB-8133-20A4DCCB5085}"/>
    <cellStyle name="20% - Accent5 2 3 4 2 4" xfId="12157" xr:uid="{323B30A4-F83B-4186-A142-A4B6C054CEE7}"/>
    <cellStyle name="20% - Accent5 2 3 4 3" xfId="5780" xr:uid="{00000000-0005-0000-0000-0000B7020000}"/>
    <cellStyle name="20% - Accent5 2 3 4 3 2" xfId="23510" xr:uid="{E08B30F8-CF6D-4013-93FF-730F18983C8A}"/>
    <cellStyle name="20% - Accent5 2 3 4 3 3" xfId="14230" xr:uid="{361B3346-BDE9-451F-8E5C-0D1B88C2DD47}"/>
    <cellStyle name="20% - Accent5 2 3 4 4" xfId="19293" xr:uid="{F8484E4F-8733-4605-81EC-33C26A5078E6}"/>
    <cellStyle name="20% - Accent5 2 3 4 5" xfId="10012" xr:uid="{3E9BFD80-F769-4F56-87D9-9E85428221BB}"/>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26068" xr:uid="{B183B2DC-4B98-49C5-829C-AA16C483EB10}"/>
    <cellStyle name="20% - Accent5 2 3 5 2 2 3" xfId="16788" xr:uid="{0E13188A-D321-4E20-A690-F76A945F3B0F}"/>
    <cellStyle name="20% - Accent5 2 3 5 2 3" xfId="21851" xr:uid="{37542350-26A5-4349-A342-BB9BC20DEFBE}"/>
    <cellStyle name="20% - Accent5 2 3 5 2 4" xfId="12570" xr:uid="{A66D1B56-FF3B-4F0D-8F28-3B24E2E9A770}"/>
    <cellStyle name="20% - Accent5 2 3 5 3" xfId="6193" xr:uid="{00000000-0005-0000-0000-0000BB020000}"/>
    <cellStyle name="20% - Accent5 2 3 5 3 2" xfId="23923" xr:uid="{17293A07-16DD-4420-9EF1-9497C9A4C8F6}"/>
    <cellStyle name="20% - Accent5 2 3 5 3 3" xfId="14643" xr:uid="{B423078F-B8DD-4568-A059-EAAD939B229C}"/>
    <cellStyle name="20% - Accent5 2 3 5 4" xfId="19706" xr:uid="{B76793AE-4377-4807-B3C4-EAAAE6E63AC7}"/>
    <cellStyle name="20% - Accent5 2 3 5 5" xfId="10425" xr:uid="{8AEEC9C0-F263-4A93-BCF1-B03DD782E0E8}"/>
    <cellStyle name="20% - Accent5 2 3 6" xfId="2300" xr:uid="{00000000-0005-0000-0000-0000BC020000}"/>
    <cellStyle name="20% - Accent5 2 3 6 2" xfId="6606" xr:uid="{00000000-0005-0000-0000-0000BD020000}"/>
    <cellStyle name="20% - Accent5 2 3 6 2 2" xfId="24336" xr:uid="{E2D802A2-161E-411F-82E7-9E71D3716295}"/>
    <cellStyle name="20% - Accent5 2 3 6 2 3" xfId="15056" xr:uid="{FD885E2B-D216-4ACF-9FC3-2EF13B4E291A}"/>
    <cellStyle name="20% - Accent5 2 3 6 3" xfId="20119" xr:uid="{A389F862-D031-40AC-B554-65826567374C}"/>
    <cellStyle name="20% - Accent5 2 3 6 4" xfId="10838" xr:uid="{759705DE-EFB0-42CF-9376-E6D2E23A4718}"/>
    <cellStyle name="20% - Accent5 2 3 7" xfId="4540" xr:uid="{00000000-0005-0000-0000-0000BE020000}"/>
    <cellStyle name="20% - Accent5 2 3 7 2" xfId="22270" xr:uid="{6A9B98D8-30D6-44AC-AE89-59E9D3E99E68}"/>
    <cellStyle name="20% - Accent5 2 3 7 3" xfId="12990" xr:uid="{28329EA7-96C1-4D47-862B-360FFCF33BCD}"/>
    <cellStyle name="20% - Accent5 2 3 8" xfId="18053" xr:uid="{A5220233-F53E-4D07-975C-BF04A0D2B5B2}"/>
    <cellStyle name="20% - Accent5 2 3 9" xfId="17220" xr:uid="{8CBD8676-671F-40E6-8C38-63CD59654B7A}"/>
    <cellStyle name="20% - Accent5 2 4" xfId="603" xr:uid="{00000000-0005-0000-0000-0000BF020000}"/>
    <cellStyle name="20% - Accent5 2 4 2" xfId="2874" xr:uid="{00000000-0005-0000-0000-0000C0020000}"/>
    <cellStyle name="20% - Accent5 2 4 2 2" xfId="7096" xr:uid="{00000000-0005-0000-0000-0000C1020000}"/>
    <cellStyle name="20% - Accent5 2 4 2 2 2" xfId="24826" xr:uid="{7B7D83EA-E2AF-4AAA-993A-46DC0FFCB443}"/>
    <cellStyle name="20% - Accent5 2 4 2 2 3" xfId="15546" xr:uid="{02AB9C77-A7ED-4509-880B-C1D958E4E55F}"/>
    <cellStyle name="20% - Accent5 2 4 2 3" xfId="20609" xr:uid="{267A648D-2453-4E04-A402-86EADAA85409}"/>
    <cellStyle name="20% - Accent5 2 4 2 4" xfId="11328" xr:uid="{660D6F6C-78A2-44B0-AF74-831E419A58DE}"/>
    <cellStyle name="20% - Accent5 2 4 3" xfId="4951" xr:uid="{00000000-0005-0000-0000-0000C2020000}"/>
    <cellStyle name="20% - Accent5 2 4 3 2" xfId="22681" xr:uid="{11EC778F-A482-4320-9CDE-1E2ADE48C21C}"/>
    <cellStyle name="20% - Accent5 2 4 3 3" xfId="13401" xr:uid="{0E753C9C-1C90-4F92-ACA0-7B5D24FD932F}"/>
    <cellStyle name="20% - Accent5 2 4 4" xfId="18464" xr:uid="{20BEBAD3-1F41-476B-9AA1-F91AEEED3B6B}"/>
    <cellStyle name="20% - Accent5 2 4 5" xfId="17634" xr:uid="{340B5B7A-0AAB-44BF-9B9A-745600BECB1D}"/>
    <cellStyle name="20% - Accent5 2 4 6" xfId="9183" xr:uid="{0D1AEA2B-1B41-46BB-A9BD-2E64C1D8B96C}"/>
    <cellStyle name="20% - Accent5 2 5" xfId="1056" xr:uid="{00000000-0005-0000-0000-0000C3020000}"/>
    <cellStyle name="20% - Accent5 2 5 2" xfId="3287" xr:uid="{00000000-0005-0000-0000-0000C4020000}"/>
    <cellStyle name="20% - Accent5 2 5 2 2" xfId="7509" xr:uid="{00000000-0005-0000-0000-0000C5020000}"/>
    <cellStyle name="20% - Accent5 2 5 2 2 2" xfId="25239" xr:uid="{873EE157-5D99-4E2B-BE44-7A16165911A0}"/>
    <cellStyle name="20% - Accent5 2 5 2 2 3" xfId="15959" xr:uid="{90436FFD-B0DC-4F58-9477-E7B98383BC17}"/>
    <cellStyle name="20% - Accent5 2 5 2 3" xfId="21022" xr:uid="{E866E01A-3698-4ED4-B415-CA051A4437BC}"/>
    <cellStyle name="20% - Accent5 2 5 2 4" xfId="11741" xr:uid="{11368785-39E5-4976-879D-0494E287B760}"/>
    <cellStyle name="20% - Accent5 2 5 3" xfId="5364" xr:uid="{00000000-0005-0000-0000-0000C6020000}"/>
    <cellStyle name="20% - Accent5 2 5 3 2" xfId="23094" xr:uid="{1473D3BD-D5AC-4BE5-B741-7FFFD105B829}"/>
    <cellStyle name="20% - Accent5 2 5 3 3" xfId="13814" xr:uid="{26656BFD-7E88-4DF0-A684-F5C38839EC9D}"/>
    <cellStyle name="20% - Accent5 2 5 4" xfId="18877" xr:uid="{14761D28-1BDA-406D-8D9C-720BAEC8A74E}"/>
    <cellStyle name="20% - Accent5 2 5 5" xfId="9596" xr:uid="{80466629-CAE1-465E-B034-20AACAF603A3}"/>
    <cellStyle name="20% - Accent5 2 6" xfId="1470" xr:uid="{00000000-0005-0000-0000-0000C7020000}"/>
    <cellStyle name="20% - Accent5 2 6 2" xfId="3700" xr:uid="{00000000-0005-0000-0000-0000C8020000}"/>
    <cellStyle name="20% - Accent5 2 6 2 2" xfId="7922" xr:uid="{00000000-0005-0000-0000-0000C9020000}"/>
    <cellStyle name="20% - Accent5 2 6 2 2 2" xfId="25652" xr:uid="{80C39934-BD40-414E-B3C6-21B88C4B6BDA}"/>
    <cellStyle name="20% - Accent5 2 6 2 2 3" xfId="16372" xr:uid="{14AB741C-41CD-444E-A210-68FA7A5311C7}"/>
    <cellStyle name="20% - Accent5 2 6 2 3" xfId="21435" xr:uid="{338C3F7F-FCC6-42D3-ACA0-EFA2CB541DC3}"/>
    <cellStyle name="20% - Accent5 2 6 2 4" xfId="12154" xr:uid="{F0DB060C-221E-4D74-B523-33D27B4BA64F}"/>
    <cellStyle name="20% - Accent5 2 6 3" xfId="5777" xr:uid="{00000000-0005-0000-0000-0000CA020000}"/>
    <cellStyle name="20% - Accent5 2 6 3 2" xfId="23507" xr:uid="{076495D6-91B8-4A78-8257-9D57699F6249}"/>
    <cellStyle name="20% - Accent5 2 6 3 3" xfId="14227" xr:uid="{417F5F3B-D753-42C4-B935-BDC688419ECA}"/>
    <cellStyle name="20% - Accent5 2 6 4" xfId="19290" xr:uid="{0E821319-E3B7-4C42-B9DF-716FA7697CDC}"/>
    <cellStyle name="20% - Accent5 2 6 5" xfId="10009" xr:uid="{9B19C728-E6AE-491C-B707-8CC2CDCCF41C}"/>
    <cellStyle name="20% - Accent5 2 7" xfId="1884" xr:uid="{00000000-0005-0000-0000-0000CB020000}"/>
    <cellStyle name="20% - Accent5 2 7 2" xfId="4113" xr:uid="{00000000-0005-0000-0000-0000CC020000}"/>
    <cellStyle name="20% - Accent5 2 7 2 2" xfId="8335" xr:uid="{00000000-0005-0000-0000-0000CD020000}"/>
    <cellStyle name="20% - Accent5 2 7 2 2 2" xfId="26065" xr:uid="{42E6C7E7-FB88-4033-951A-B3EF8E1F18F8}"/>
    <cellStyle name="20% - Accent5 2 7 2 2 3" xfId="16785" xr:uid="{72BA3A91-153E-4E12-9098-F40BEB80984D}"/>
    <cellStyle name="20% - Accent5 2 7 2 3" xfId="21848" xr:uid="{08BBABEB-5234-48EC-BECA-3610ADEDEA07}"/>
    <cellStyle name="20% - Accent5 2 7 2 4" xfId="12567" xr:uid="{C5BFA41F-1D47-4289-BBD7-9ADAE19069CF}"/>
    <cellStyle name="20% - Accent5 2 7 3" xfId="6190" xr:uid="{00000000-0005-0000-0000-0000CE020000}"/>
    <cellStyle name="20% - Accent5 2 7 3 2" xfId="23920" xr:uid="{54E0FC7A-A908-450F-A775-F5A0B378989B}"/>
    <cellStyle name="20% - Accent5 2 7 3 3" xfId="14640" xr:uid="{BDCF3480-E59A-4612-899F-AAB5E99C60AD}"/>
    <cellStyle name="20% - Accent5 2 7 4" xfId="19703" xr:uid="{CA356D1F-8B18-426F-AADC-C14E71E3E145}"/>
    <cellStyle name="20% - Accent5 2 7 5" xfId="10422" xr:uid="{8E60F440-8B79-46E4-848F-B405DF237B99}"/>
    <cellStyle name="20% - Accent5 2 8" xfId="2297" xr:uid="{00000000-0005-0000-0000-0000CF020000}"/>
    <cellStyle name="20% - Accent5 2 8 2" xfId="6603" xr:uid="{00000000-0005-0000-0000-0000D0020000}"/>
    <cellStyle name="20% - Accent5 2 8 2 2" xfId="24333" xr:uid="{96D68BF8-CEE7-4A72-925F-97F58111CE13}"/>
    <cellStyle name="20% - Accent5 2 8 2 3" xfId="15053" xr:uid="{92715451-EFC0-4DE8-9E53-A9DF58C0879D}"/>
    <cellStyle name="20% - Accent5 2 8 3" xfId="20116" xr:uid="{9D86A436-6125-497B-9404-37714F73E9D6}"/>
    <cellStyle name="20% - Accent5 2 8 4" xfId="10835" xr:uid="{66448601-E22C-4B00-9F51-D806FA4483F4}"/>
    <cellStyle name="20% - Accent5 2 9" xfId="4537" xr:uid="{00000000-0005-0000-0000-0000D1020000}"/>
    <cellStyle name="20% - Accent5 2 9 2" xfId="22267" xr:uid="{8526DD65-A1AD-42CE-87B6-6EC41C716D71}"/>
    <cellStyle name="20% - Accent5 2 9 3" xfId="12987" xr:uid="{9110F3AA-284C-41AA-98A3-6542C17C682A}"/>
    <cellStyle name="20% - Accent5 3" xfId="38" xr:uid="{00000000-0005-0000-0000-0000D2020000}"/>
    <cellStyle name="20% - Accent5 3 10" xfId="17221" xr:uid="{A2EB6644-A767-4591-BAEB-5C75E015F8E3}"/>
    <cellStyle name="20% - Accent5 3 11" xfId="8773" xr:uid="{A7F95A89-6EE1-4F25-AEB4-1B7FB46F814F}"/>
    <cellStyle name="20% - Accent5 3 2" xfId="39" xr:uid="{00000000-0005-0000-0000-0000D3020000}"/>
    <cellStyle name="20% - Accent5 3 2 10" xfId="8774" xr:uid="{4FC300D4-AA23-4AA9-BFEC-D4F7D3F8BA1C}"/>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24831" xr:uid="{EACB3583-6704-4619-881C-A8C53B94FCDD}"/>
    <cellStyle name="20% - Accent5 3 2 2 2 2 3" xfId="15551" xr:uid="{92AACE9F-6388-48CC-A03F-F755898BC973}"/>
    <cellStyle name="20% - Accent5 3 2 2 2 3" xfId="20614" xr:uid="{EFA96773-2164-44E9-83F1-172125D4EEE0}"/>
    <cellStyle name="20% - Accent5 3 2 2 2 4" xfId="11333" xr:uid="{E085E8AD-0596-4E6D-99AB-06E0ED3EB623}"/>
    <cellStyle name="20% - Accent5 3 2 2 3" xfId="4956" xr:uid="{00000000-0005-0000-0000-0000D7020000}"/>
    <cellStyle name="20% - Accent5 3 2 2 3 2" xfId="22686" xr:uid="{8C07A1C0-BFF6-4AC5-AFF6-216ACC89956D}"/>
    <cellStyle name="20% - Accent5 3 2 2 3 3" xfId="13406" xr:uid="{9A19446B-EDFB-4A98-A2DF-037165028F52}"/>
    <cellStyle name="20% - Accent5 3 2 2 4" xfId="18469" xr:uid="{4E389EE8-7BD5-4C5E-9425-EA4AF3124875}"/>
    <cellStyle name="20% - Accent5 3 2 2 5" xfId="17639" xr:uid="{E6D23389-5A07-461A-891E-0B855DAAE19D}"/>
    <cellStyle name="20% - Accent5 3 2 2 6" xfId="9188" xr:uid="{FE75A3F9-C77C-4137-BB79-C0341007EC27}"/>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25244" xr:uid="{F9A652B2-121F-41F9-8730-D8DCDE65194E}"/>
    <cellStyle name="20% - Accent5 3 2 3 2 2 3" xfId="15964" xr:uid="{052F0250-DCE3-49B6-81EB-DC599E433BE3}"/>
    <cellStyle name="20% - Accent5 3 2 3 2 3" xfId="21027" xr:uid="{7956C49E-0816-4E3D-968D-854188AE5BB2}"/>
    <cellStyle name="20% - Accent5 3 2 3 2 4" xfId="11746" xr:uid="{BF2C7258-6494-40D9-B5AF-1542F603F933}"/>
    <cellStyle name="20% - Accent5 3 2 3 3" xfId="5369" xr:uid="{00000000-0005-0000-0000-0000DB020000}"/>
    <cellStyle name="20% - Accent5 3 2 3 3 2" xfId="23099" xr:uid="{8DB95FE2-6BAF-4F1A-BA51-0B1A1BC2C906}"/>
    <cellStyle name="20% - Accent5 3 2 3 3 3" xfId="13819" xr:uid="{57196E4F-9BCD-422F-A9E0-27C0B7BCFE46}"/>
    <cellStyle name="20% - Accent5 3 2 3 4" xfId="18882" xr:uid="{BE1904F4-94C7-4A79-998C-E0E4BB636AB1}"/>
    <cellStyle name="20% - Accent5 3 2 3 5" xfId="9601" xr:uid="{058EADE4-5E73-40A8-A6CC-60D53396261E}"/>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25657" xr:uid="{CA561E1B-8A10-40FB-BA63-0F6BE4D07AE2}"/>
    <cellStyle name="20% - Accent5 3 2 4 2 2 3" xfId="16377" xr:uid="{18940D3F-87EA-47D9-BFDB-C4B466E12B5A}"/>
    <cellStyle name="20% - Accent5 3 2 4 2 3" xfId="21440" xr:uid="{99F6CB28-8687-416B-B10F-7A86A0960342}"/>
    <cellStyle name="20% - Accent5 3 2 4 2 4" xfId="12159" xr:uid="{2E74E699-D9A7-4E52-826E-4359402C3D58}"/>
    <cellStyle name="20% - Accent5 3 2 4 3" xfId="5782" xr:uid="{00000000-0005-0000-0000-0000DF020000}"/>
    <cellStyle name="20% - Accent5 3 2 4 3 2" xfId="23512" xr:uid="{1BE993B4-31AD-4AA2-AB1C-636BDA225DAF}"/>
    <cellStyle name="20% - Accent5 3 2 4 3 3" xfId="14232" xr:uid="{5D3FE4C2-1CF8-4E20-BFC1-D40A81E638F9}"/>
    <cellStyle name="20% - Accent5 3 2 4 4" xfId="19295" xr:uid="{11105093-2B3C-4B70-800D-CCD859FE623B}"/>
    <cellStyle name="20% - Accent5 3 2 4 5" xfId="10014" xr:uid="{956352CF-CD77-42CE-A8B6-4B1BD1118459}"/>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26070" xr:uid="{5BB9232C-C619-401C-942D-0B391D11133B}"/>
    <cellStyle name="20% - Accent5 3 2 5 2 2 3" xfId="16790" xr:uid="{B7EDC359-60A4-442D-9211-6FE6C9157C28}"/>
    <cellStyle name="20% - Accent5 3 2 5 2 3" xfId="21853" xr:uid="{71EF1549-6B38-4F4A-B48C-139E5C4DF743}"/>
    <cellStyle name="20% - Accent5 3 2 5 2 4" xfId="12572" xr:uid="{C6BDD194-5BE7-41B5-8C8F-D3FF41D354C0}"/>
    <cellStyle name="20% - Accent5 3 2 5 3" xfId="6195" xr:uid="{00000000-0005-0000-0000-0000E3020000}"/>
    <cellStyle name="20% - Accent5 3 2 5 3 2" xfId="23925" xr:uid="{6D938F13-781F-4554-B433-1F14207099A9}"/>
    <cellStyle name="20% - Accent5 3 2 5 3 3" xfId="14645" xr:uid="{614D311D-E264-460E-98DE-90398F0ACF0A}"/>
    <cellStyle name="20% - Accent5 3 2 5 4" xfId="19708" xr:uid="{C3DC2CF8-ABC3-450F-9D78-8AD1D9459BCB}"/>
    <cellStyle name="20% - Accent5 3 2 5 5" xfId="10427" xr:uid="{4F9F9823-31B3-4CD4-90B8-A32C609CF10C}"/>
    <cellStyle name="20% - Accent5 3 2 6" xfId="2302" xr:uid="{00000000-0005-0000-0000-0000E4020000}"/>
    <cellStyle name="20% - Accent5 3 2 6 2" xfId="6608" xr:uid="{00000000-0005-0000-0000-0000E5020000}"/>
    <cellStyle name="20% - Accent5 3 2 6 2 2" xfId="24338" xr:uid="{BBEE2849-E3C2-4A77-9730-7A972DB6925C}"/>
    <cellStyle name="20% - Accent5 3 2 6 2 3" xfId="15058" xr:uid="{54443210-9077-4340-9138-6EA87AA13A3C}"/>
    <cellStyle name="20% - Accent5 3 2 6 3" xfId="20121" xr:uid="{2D6C9DEE-0ADB-4D95-93B8-A032F455D569}"/>
    <cellStyle name="20% - Accent5 3 2 6 4" xfId="10840" xr:uid="{5B4A3166-821E-4CF6-B281-653365D63D86}"/>
    <cellStyle name="20% - Accent5 3 2 7" xfId="4542" xr:uid="{00000000-0005-0000-0000-0000E6020000}"/>
    <cellStyle name="20% - Accent5 3 2 7 2" xfId="22272" xr:uid="{AB77D3D6-1BE5-4E3E-8C44-4DDF49E25131}"/>
    <cellStyle name="20% - Accent5 3 2 7 3" xfId="12992" xr:uid="{33910BEC-2EB1-4E6D-86E8-13C1AE6CF2D8}"/>
    <cellStyle name="20% - Accent5 3 2 8" xfId="18055" xr:uid="{A8F8AB2E-4F7B-4BC4-8793-F97EEA8F3CD1}"/>
    <cellStyle name="20% - Accent5 3 2 9" xfId="17222" xr:uid="{DBC2EF35-4B78-4926-AC96-FD16F2524376}"/>
    <cellStyle name="20% - Accent5 3 3" xfId="607" xr:uid="{00000000-0005-0000-0000-0000E7020000}"/>
    <cellStyle name="20% - Accent5 3 3 2" xfId="2878" xr:uid="{00000000-0005-0000-0000-0000E8020000}"/>
    <cellStyle name="20% - Accent5 3 3 2 2" xfId="7100" xr:uid="{00000000-0005-0000-0000-0000E9020000}"/>
    <cellStyle name="20% - Accent5 3 3 2 2 2" xfId="24830" xr:uid="{AD3B0AE0-0BBE-4F0B-97AB-9C3156EE7B72}"/>
    <cellStyle name="20% - Accent5 3 3 2 2 3" xfId="15550" xr:uid="{1E5E5E1C-3D4F-40FE-983E-75A4C1A04B3E}"/>
    <cellStyle name="20% - Accent5 3 3 2 3" xfId="20613" xr:uid="{B6A1B430-6376-4768-A258-3FA47F59D543}"/>
    <cellStyle name="20% - Accent5 3 3 2 4" xfId="11332" xr:uid="{A02A390F-E0C7-493B-88AB-EEFC5A594489}"/>
    <cellStyle name="20% - Accent5 3 3 3" xfId="4955" xr:uid="{00000000-0005-0000-0000-0000EA020000}"/>
    <cellStyle name="20% - Accent5 3 3 3 2" xfId="22685" xr:uid="{B32A4408-6924-45FE-A764-FC9FFC9BF5B9}"/>
    <cellStyle name="20% - Accent5 3 3 3 3" xfId="13405" xr:uid="{146AC1F7-8F04-4A98-923C-FA66FBEF3F3C}"/>
    <cellStyle name="20% - Accent5 3 3 4" xfId="18468" xr:uid="{628B600D-308F-46F8-8FEF-C4C5EF9C53EC}"/>
    <cellStyle name="20% - Accent5 3 3 5" xfId="17638" xr:uid="{0C0B662E-09E3-457C-8F0E-200B2142FC6C}"/>
    <cellStyle name="20% - Accent5 3 3 6" xfId="9187" xr:uid="{7678F960-6133-48F9-8AC4-109ED4D6B6AF}"/>
    <cellStyle name="20% - Accent5 3 4" xfId="1060" xr:uid="{00000000-0005-0000-0000-0000EB020000}"/>
    <cellStyle name="20% - Accent5 3 4 2" xfId="3291" xr:uid="{00000000-0005-0000-0000-0000EC020000}"/>
    <cellStyle name="20% - Accent5 3 4 2 2" xfId="7513" xr:uid="{00000000-0005-0000-0000-0000ED020000}"/>
    <cellStyle name="20% - Accent5 3 4 2 2 2" xfId="25243" xr:uid="{CFF74376-7396-46D5-B835-C4CC434A6246}"/>
    <cellStyle name="20% - Accent5 3 4 2 2 3" xfId="15963" xr:uid="{C428DD1E-AC5E-4511-8305-BE4BC6F21569}"/>
    <cellStyle name="20% - Accent5 3 4 2 3" xfId="21026" xr:uid="{38C6C889-2B4D-4B9F-9BAD-83CB48C9BE9B}"/>
    <cellStyle name="20% - Accent5 3 4 2 4" xfId="11745" xr:uid="{A12342CB-1DE7-4DF7-9E12-F9A30A6E710E}"/>
    <cellStyle name="20% - Accent5 3 4 3" xfId="5368" xr:uid="{00000000-0005-0000-0000-0000EE020000}"/>
    <cellStyle name="20% - Accent5 3 4 3 2" xfId="23098" xr:uid="{BD350494-1628-4FD6-991E-E654C5DE90A9}"/>
    <cellStyle name="20% - Accent5 3 4 3 3" xfId="13818" xr:uid="{18FB6465-992B-4FB0-BCBC-9E4244F32884}"/>
    <cellStyle name="20% - Accent5 3 4 4" xfId="18881" xr:uid="{28438207-AC24-4A41-A283-3806F6ED0987}"/>
    <cellStyle name="20% - Accent5 3 4 5" xfId="9600" xr:uid="{8CEBC070-81AC-40D0-8359-210DEADC4F93}"/>
    <cellStyle name="20% - Accent5 3 5" xfId="1474" xr:uid="{00000000-0005-0000-0000-0000EF020000}"/>
    <cellStyle name="20% - Accent5 3 5 2" xfId="3704" xr:uid="{00000000-0005-0000-0000-0000F0020000}"/>
    <cellStyle name="20% - Accent5 3 5 2 2" xfId="7926" xr:uid="{00000000-0005-0000-0000-0000F1020000}"/>
    <cellStyle name="20% - Accent5 3 5 2 2 2" xfId="25656" xr:uid="{274E76B6-F1E9-4385-AD7E-1A20F319CD65}"/>
    <cellStyle name="20% - Accent5 3 5 2 2 3" xfId="16376" xr:uid="{CCF82855-5C30-44B3-8785-00B69209D492}"/>
    <cellStyle name="20% - Accent5 3 5 2 3" xfId="21439" xr:uid="{97F08A3D-E65F-4AE3-8B0C-FD61ED932D3B}"/>
    <cellStyle name="20% - Accent5 3 5 2 4" xfId="12158" xr:uid="{F08F4C1B-55E8-4014-9477-BA9EA1DCDDEE}"/>
    <cellStyle name="20% - Accent5 3 5 3" xfId="5781" xr:uid="{00000000-0005-0000-0000-0000F2020000}"/>
    <cellStyle name="20% - Accent5 3 5 3 2" xfId="23511" xr:uid="{3C7F5AC7-F220-40AD-90E6-586CBF96C0E7}"/>
    <cellStyle name="20% - Accent5 3 5 3 3" xfId="14231" xr:uid="{7ABE7B11-2B17-455A-A2F2-4FBFEE3557F3}"/>
    <cellStyle name="20% - Accent5 3 5 4" xfId="19294" xr:uid="{542A9381-86B4-4B88-90E4-0B5F1B492E3F}"/>
    <cellStyle name="20% - Accent5 3 5 5" xfId="10013" xr:uid="{A419322D-A9E3-45FF-BE12-D1912B68047B}"/>
    <cellStyle name="20% - Accent5 3 6" xfId="1888" xr:uid="{00000000-0005-0000-0000-0000F3020000}"/>
    <cellStyle name="20% - Accent5 3 6 2" xfId="4117" xr:uid="{00000000-0005-0000-0000-0000F4020000}"/>
    <cellStyle name="20% - Accent5 3 6 2 2" xfId="8339" xr:uid="{00000000-0005-0000-0000-0000F5020000}"/>
    <cellStyle name="20% - Accent5 3 6 2 2 2" xfId="26069" xr:uid="{743BB6C7-FC39-4E8B-BE6C-95D0754AF03E}"/>
    <cellStyle name="20% - Accent5 3 6 2 2 3" xfId="16789" xr:uid="{F921C15B-FFE5-46B0-9782-6AF3E1885EFA}"/>
    <cellStyle name="20% - Accent5 3 6 2 3" xfId="21852" xr:uid="{85F01570-1384-4093-9875-CD8BC88545DB}"/>
    <cellStyle name="20% - Accent5 3 6 2 4" xfId="12571" xr:uid="{8A9E5AD4-C914-4C21-A668-A28379C19EF1}"/>
    <cellStyle name="20% - Accent5 3 6 3" xfId="6194" xr:uid="{00000000-0005-0000-0000-0000F6020000}"/>
    <cellStyle name="20% - Accent5 3 6 3 2" xfId="23924" xr:uid="{41B5CDFA-0ED0-4426-B10B-B40511996A3C}"/>
    <cellStyle name="20% - Accent5 3 6 3 3" xfId="14644" xr:uid="{34F422AA-51F8-4F86-8CCD-C37D6EFE11DD}"/>
    <cellStyle name="20% - Accent5 3 6 4" xfId="19707" xr:uid="{09A3E72A-E18E-4DE8-8FC0-7B61846717CA}"/>
    <cellStyle name="20% - Accent5 3 6 5" xfId="10426" xr:uid="{0DB4C203-8C17-4EC6-83D5-D1B75C59B7A2}"/>
    <cellStyle name="20% - Accent5 3 7" xfId="2301" xr:uid="{00000000-0005-0000-0000-0000F7020000}"/>
    <cellStyle name="20% - Accent5 3 7 2" xfId="6607" xr:uid="{00000000-0005-0000-0000-0000F8020000}"/>
    <cellStyle name="20% - Accent5 3 7 2 2" xfId="24337" xr:uid="{374ED566-386D-4EB8-B850-131F63CDF409}"/>
    <cellStyle name="20% - Accent5 3 7 2 3" xfId="15057" xr:uid="{C03A545B-2B13-48CB-975A-41E85448B364}"/>
    <cellStyle name="20% - Accent5 3 7 3" xfId="20120" xr:uid="{FC31FFB9-62E6-4119-ADD8-42B97E376021}"/>
    <cellStyle name="20% - Accent5 3 7 4" xfId="10839" xr:uid="{127B82DC-266A-49E4-9A90-DBE4E9242407}"/>
    <cellStyle name="20% - Accent5 3 8" xfId="4541" xr:uid="{00000000-0005-0000-0000-0000F9020000}"/>
    <cellStyle name="20% - Accent5 3 8 2" xfId="22271" xr:uid="{1081A2E5-5ACD-436E-907B-041321CA49A0}"/>
    <cellStyle name="20% - Accent5 3 8 3" xfId="12991" xr:uid="{1D794114-6CE0-492C-B8B8-51AB24A21FC4}"/>
    <cellStyle name="20% - Accent5 3 9" xfId="18054" xr:uid="{CD5A7908-3CBC-4A72-A46D-D4C8245D63D5}"/>
    <cellStyle name="20% - Accent5 4" xfId="40" xr:uid="{00000000-0005-0000-0000-0000FA020000}"/>
    <cellStyle name="20% - Accent5 4 10" xfId="8775" xr:uid="{4A3BE494-1579-435E-BD2E-304A4EF0B819}"/>
    <cellStyle name="20% - Accent5 4 2" xfId="609" xr:uid="{00000000-0005-0000-0000-0000FB020000}"/>
    <cellStyle name="20% - Accent5 4 2 2" xfId="2880" xr:uid="{00000000-0005-0000-0000-0000FC020000}"/>
    <cellStyle name="20% - Accent5 4 2 2 2" xfId="7102" xr:uid="{00000000-0005-0000-0000-0000FD020000}"/>
    <cellStyle name="20% - Accent5 4 2 2 2 2" xfId="24832" xr:uid="{E709E9F8-D36D-4C90-8173-B2B27DA7CB79}"/>
    <cellStyle name="20% - Accent5 4 2 2 2 3" xfId="15552" xr:uid="{B7B2BF9A-5DC3-4525-8F2E-F87D9F2236A6}"/>
    <cellStyle name="20% - Accent5 4 2 2 3" xfId="20615" xr:uid="{94630110-A888-4CF6-B0FF-06B6DDC10A5E}"/>
    <cellStyle name="20% - Accent5 4 2 2 4" xfId="11334" xr:uid="{7D539358-E0F2-4F98-A621-428673AF5062}"/>
    <cellStyle name="20% - Accent5 4 2 3" xfId="4957" xr:uid="{00000000-0005-0000-0000-0000FE020000}"/>
    <cellStyle name="20% - Accent5 4 2 3 2" xfId="22687" xr:uid="{753EDDA6-9DBE-4C6E-AEBD-A2C7755852FA}"/>
    <cellStyle name="20% - Accent5 4 2 3 3" xfId="13407" xr:uid="{460F5DF8-7C3B-4525-A873-86F6F5D4E255}"/>
    <cellStyle name="20% - Accent5 4 2 4" xfId="18470" xr:uid="{2AE73FD0-F476-44EA-802B-839FEB032A3D}"/>
    <cellStyle name="20% - Accent5 4 2 5" xfId="17640" xr:uid="{F412F225-3991-4C74-A00A-8382114FBEC2}"/>
    <cellStyle name="20% - Accent5 4 2 6" xfId="9189" xr:uid="{F864DFE6-C0C2-4E97-8CD6-19D3F2DA30BC}"/>
    <cellStyle name="20% - Accent5 4 3" xfId="1062" xr:uid="{00000000-0005-0000-0000-0000FF020000}"/>
    <cellStyle name="20% - Accent5 4 3 2" xfId="3293" xr:uid="{00000000-0005-0000-0000-000000030000}"/>
    <cellStyle name="20% - Accent5 4 3 2 2" xfId="7515" xr:uid="{00000000-0005-0000-0000-000001030000}"/>
    <cellStyle name="20% - Accent5 4 3 2 2 2" xfId="25245" xr:uid="{247FCBB7-F051-4D2C-A8C8-31231C1F15C2}"/>
    <cellStyle name="20% - Accent5 4 3 2 2 3" xfId="15965" xr:uid="{127996E0-3DC9-47E2-B643-AFFC38B4371F}"/>
    <cellStyle name="20% - Accent5 4 3 2 3" xfId="21028" xr:uid="{05224DCE-9B93-44C6-A5A9-6BF2B294CE2A}"/>
    <cellStyle name="20% - Accent5 4 3 2 4" xfId="11747" xr:uid="{4B561328-BFA7-48C9-8014-2266CCD173AD}"/>
    <cellStyle name="20% - Accent5 4 3 3" xfId="5370" xr:uid="{00000000-0005-0000-0000-000002030000}"/>
    <cellStyle name="20% - Accent5 4 3 3 2" xfId="23100" xr:uid="{BE2D0DF9-A760-44B5-ABF5-110AB2A9DDB0}"/>
    <cellStyle name="20% - Accent5 4 3 3 3" xfId="13820" xr:uid="{3A246632-B4C6-4439-BF40-33454C68FCC1}"/>
    <cellStyle name="20% - Accent5 4 3 4" xfId="18883" xr:uid="{28A23B16-0BD8-48C8-A8BC-CCBA707C669B}"/>
    <cellStyle name="20% - Accent5 4 3 5" xfId="9602" xr:uid="{1F4C656A-0821-4E2B-84FF-28E73724E4FD}"/>
    <cellStyle name="20% - Accent5 4 4" xfId="1476" xr:uid="{00000000-0005-0000-0000-000003030000}"/>
    <cellStyle name="20% - Accent5 4 4 2" xfId="3706" xr:uid="{00000000-0005-0000-0000-000004030000}"/>
    <cellStyle name="20% - Accent5 4 4 2 2" xfId="7928" xr:uid="{00000000-0005-0000-0000-000005030000}"/>
    <cellStyle name="20% - Accent5 4 4 2 2 2" xfId="25658" xr:uid="{3971E89C-7237-4FEE-A344-9DF38400411E}"/>
    <cellStyle name="20% - Accent5 4 4 2 2 3" xfId="16378" xr:uid="{9CDDFD9F-4FB8-46FC-BCD7-3B3D6948750A}"/>
    <cellStyle name="20% - Accent5 4 4 2 3" xfId="21441" xr:uid="{861FA838-CB43-4480-A9FD-5002F916FDB1}"/>
    <cellStyle name="20% - Accent5 4 4 2 4" xfId="12160" xr:uid="{8155559C-7DA3-420D-BAF9-285C676D4506}"/>
    <cellStyle name="20% - Accent5 4 4 3" xfId="5783" xr:uid="{00000000-0005-0000-0000-000006030000}"/>
    <cellStyle name="20% - Accent5 4 4 3 2" xfId="23513" xr:uid="{0AF3BB03-5ABF-43AF-9E59-0975F58B987F}"/>
    <cellStyle name="20% - Accent5 4 4 3 3" xfId="14233" xr:uid="{1869651D-893E-4E92-BA96-775BA140225C}"/>
    <cellStyle name="20% - Accent5 4 4 4" xfId="19296" xr:uid="{5D0E144C-A842-4957-90B8-097654C55825}"/>
    <cellStyle name="20% - Accent5 4 4 5" xfId="10015" xr:uid="{EA8FFFDF-404E-472E-88EF-7DCCCB76E8A4}"/>
    <cellStyle name="20% - Accent5 4 5" xfId="1890" xr:uid="{00000000-0005-0000-0000-000007030000}"/>
    <cellStyle name="20% - Accent5 4 5 2" xfId="4119" xr:uid="{00000000-0005-0000-0000-000008030000}"/>
    <cellStyle name="20% - Accent5 4 5 2 2" xfId="8341" xr:uid="{00000000-0005-0000-0000-000009030000}"/>
    <cellStyle name="20% - Accent5 4 5 2 2 2" xfId="26071" xr:uid="{B9F3E3A2-DF6E-47D0-9D62-EF705E73B02E}"/>
    <cellStyle name="20% - Accent5 4 5 2 2 3" xfId="16791" xr:uid="{D7A96F06-E801-4B7B-ABA1-E3AFC4363779}"/>
    <cellStyle name="20% - Accent5 4 5 2 3" xfId="21854" xr:uid="{3E7A7368-ED2F-459C-94F1-DC2EF8A5E785}"/>
    <cellStyle name="20% - Accent5 4 5 2 4" xfId="12573" xr:uid="{8CF7CD2F-980B-49E7-9CD4-08C3A6511C0D}"/>
    <cellStyle name="20% - Accent5 4 5 3" xfId="6196" xr:uid="{00000000-0005-0000-0000-00000A030000}"/>
    <cellStyle name="20% - Accent5 4 5 3 2" xfId="23926" xr:uid="{F01235BE-961B-4E6E-8603-85F30ADB9E81}"/>
    <cellStyle name="20% - Accent5 4 5 3 3" xfId="14646" xr:uid="{577BE450-ED96-4164-B95C-62410C29A731}"/>
    <cellStyle name="20% - Accent5 4 5 4" xfId="19709" xr:uid="{504741D9-50F9-4AE7-B229-6AB3FDEAED8D}"/>
    <cellStyle name="20% - Accent5 4 5 5" xfId="10428" xr:uid="{43008FCE-BAC2-4B77-93FA-9B50C0490BF8}"/>
    <cellStyle name="20% - Accent5 4 6" xfId="2303" xr:uid="{00000000-0005-0000-0000-00000B030000}"/>
    <cellStyle name="20% - Accent5 4 6 2" xfId="6609" xr:uid="{00000000-0005-0000-0000-00000C030000}"/>
    <cellStyle name="20% - Accent5 4 6 2 2" xfId="24339" xr:uid="{1DD13594-7546-4E53-B267-5B7E5C283267}"/>
    <cellStyle name="20% - Accent5 4 6 2 3" xfId="15059" xr:uid="{3DE0CB8B-3EB2-4B95-B480-83E867A61242}"/>
    <cellStyle name="20% - Accent5 4 6 3" xfId="20122" xr:uid="{914A0FB4-421B-4694-8426-5816F150FB67}"/>
    <cellStyle name="20% - Accent5 4 6 4" xfId="10841" xr:uid="{071344A7-7F8B-47E3-8E90-406B970C8956}"/>
    <cellStyle name="20% - Accent5 4 7" xfId="4543" xr:uid="{00000000-0005-0000-0000-00000D030000}"/>
    <cellStyle name="20% - Accent5 4 7 2" xfId="22273" xr:uid="{AF0F44E0-9BDB-494A-AA11-E3B8168671A2}"/>
    <cellStyle name="20% - Accent5 4 7 3" xfId="12993" xr:uid="{0A045787-4D22-4EDA-B5BA-2B83A6DC4DFA}"/>
    <cellStyle name="20% - Accent5 4 8" xfId="18056" xr:uid="{A7B87F80-7B89-4E90-825C-B2297707962D}"/>
    <cellStyle name="20% - Accent5 4 9" xfId="17223" xr:uid="{74C770E9-DA99-4B50-8142-572861C16ECE}"/>
    <cellStyle name="20% - Accent5 5" xfId="602" xr:uid="{00000000-0005-0000-0000-00000E030000}"/>
    <cellStyle name="20% - Accent5 5 2" xfId="2873" xr:uid="{00000000-0005-0000-0000-00000F030000}"/>
    <cellStyle name="20% - Accent5 5 2 2" xfId="7095" xr:uid="{00000000-0005-0000-0000-000010030000}"/>
    <cellStyle name="20% - Accent5 5 2 2 2" xfId="24825" xr:uid="{1FA9381B-8550-4BAC-BA37-9EEDD3C5668D}"/>
    <cellStyle name="20% - Accent5 5 2 2 3" xfId="15545" xr:uid="{892FDFC4-A846-46BD-A3C6-70083B1445A9}"/>
    <cellStyle name="20% - Accent5 5 2 3" xfId="20608" xr:uid="{152CBF90-C348-47A6-B26F-DCE6A9B3D69D}"/>
    <cellStyle name="20% - Accent5 5 2 4" xfId="11327" xr:uid="{A2FEDB70-A815-45C9-9AAF-E2B288B814AB}"/>
    <cellStyle name="20% - Accent5 5 3" xfId="4950" xr:uid="{00000000-0005-0000-0000-000011030000}"/>
    <cellStyle name="20% - Accent5 5 3 2" xfId="22680" xr:uid="{AA48FD78-225F-4A5D-BD27-9AB8FBF6A3D5}"/>
    <cellStyle name="20% - Accent5 5 3 3" xfId="13400" xr:uid="{E08B3128-5D41-4591-9D0C-D5A6573D7CC9}"/>
    <cellStyle name="20% - Accent5 5 4" xfId="18463" xr:uid="{8538BA09-CDFD-4130-A113-F53A7B6AEB6D}"/>
    <cellStyle name="20% - Accent5 5 5" xfId="17633" xr:uid="{30A8382E-4FFC-43F0-B88F-88FD35540FE7}"/>
    <cellStyle name="20% - Accent5 5 6" xfId="9182" xr:uid="{4FB9491B-3E46-4DDF-B1AA-FE39F915E9E4}"/>
    <cellStyle name="20% - Accent5 6" xfId="1055" xr:uid="{00000000-0005-0000-0000-000012030000}"/>
    <cellStyle name="20% - Accent5 6 2" xfId="3286" xr:uid="{00000000-0005-0000-0000-000013030000}"/>
    <cellStyle name="20% - Accent5 6 2 2" xfId="7508" xr:uid="{00000000-0005-0000-0000-000014030000}"/>
    <cellStyle name="20% - Accent5 6 2 2 2" xfId="25238" xr:uid="{6E77167B-607A-45F0-BA5E-E30591A4D79D}"/>
    <cellStyle name="20% - Accent5 6 2 2 3" xfId="15958" xr:uid="{F59BACF8-D3F7-4A67-88F7-77B473CE3304}"/>
    <cellStyle name="20% - Accent5 6 2 3" xfId="21021" xr:uid="{BAC3BC6D-2601-4640-A4FE-53113E21B2C6}"/>
    <cellStyle name="20% - Accent5 6 2 4" xfId="11740" xr:uid="{CB1C2D3D-35D9-4070-802D-6F43A9A1B8E2}"/>
    <cellStyle name="20% - Accent5 6 3" xfId="5363" xr:uid="{00000000-0005-0000-0000-000015030000}"/>
    <cellStyle name="20% - Accent5 6 3 2" xfId="23093" xr:uid="{C4E1B31E-9F87-4FAE-A9AF-F171BBB96BDD}"/>
    <cellStyle name="20% - Accent5 6 3 3" xfId="13813" xr:uid="{90AF7B0C-6530-4154-8446-947C6BCB3DC4}"/>
    <cellStyle name="20% - Accent5 6 4" xfId="18876" xr:uid="{0E78A60A-79FF-457D-BD07-6D5B89FA2BEE}"/>
    <cellStyle name="20% - Accent5 6 5" xfId="9595" xr:uid="{3F04A22E-3158-4219-ABCE-D66993A5C04B}"/>
    <cellStyle name="20% - Accent5 7" xfId="1469" xr:uid="{00000000-0005-0000-0000-000016030000}"/>
    <cellStyle name="20% - Accent5 7 2" xfId="3699" xr:uid="{00000000-0005-0000-0000-000017030000}"/>
    <cellStyle name="20% - Accent5 7 2 2" xfId="7921" xr:uid="{00000000-0005-0000-0000-000018030000}"/>
    <cellStyle name="20% - Accent5 7 2 2 2" xfId="25651" xr:uid="{83FA30D5-9800-4AAD-9A07-4887C902639B}"/>
    <cellStyle name="20% - Accent5 7 2 2 3" xfId="16371" xr:uid="{E838C578-E132-4CF1-AA18-678416CBA67C}"/>
    <cellStyle name="20% - Accent5 7 2 3" xfId="21434" xr:uid="{6AF07DC3-F461-4C95-9295-08BD77596F57}"/>
    <cellStyle name="20% - Accent5 7 2 4" xfId="12153" xr:uid="{284D06D6-DFD6-4BFB-AB21-896273EB0B48}"/>
    <cellStyle name="20% - Accent5 7 3" xfId="5776" xr:uid="{00000000-0005-0000-0000-000019030000}"/>
    <cellStyle name="20% - Accent5 7 3 2" xfId="23506" xr:uid="{83EB8B09-7818-46E6-9F5C-A5FB17FE75D4}"/>
    <cellStyle name="20% - Accent5 7 3 3" xfId="14226" xr:uid="{42DC5D0F-3B6D-48FC-99CD-BE89DF71B866}"/>
    <cellStyle name="20% - Accent5 7 4" xfId="19289" xr:uid="{6280B315-D762-4ECB-ACF8-B5D0C4C92812}"/>
    <cellStyle name="20% - Accent5 7 5" xfId="10008" xr:uid="{88F588E1-A5DA-4D3E-886E-4B51F4860AE0}"/>
    <cellStyle name="20% - Accent5 8" xfId="1883" xr:uid="{00000000-0005-0000-0000-00001A030000}"/>
    <cellStyle name="20% - Accent5 8 2" xfId="4112" xr:uid="{00000000-0005-0000-0000-00001B030000}"/>
    <cellStyle name="20% - Accent5 8 2 2" xfId="8334" xr:uid="{00000000-0005-0000-0000-00001C030000}"/>
    <cellStyle name="20% - Accent5 8 2 2 2" xfId="26064" xr:uid="{C2B16920-3316-4321-A079-9C737DDED66F}"/>
    <cellStyle name="20% - Accent5 8 2 2 3" xfId="16784" xr:uid="{1633C8BF-CB98-47D9-9067-D96485FA294E}"/>
    <cellStyle name="20% - Accent5 8 2 3" xfId="21847" xr:uid="{B26D58F9-C399-422D-B5A0-1E6D17849FB8}"/>
    <cellStyle name="20% - Accent5 8 2 4" xfId="12566" xr:uid="{D8872272-B95A-4658-AB52-25945654DA30}"/>
    <cellStyle name="20% - Accent5 8 3" xfId="6189" xr:uid="{00000000-0005-0000-0000-00001D030000}"/>
    <cellStyle name="20% - Accent5 8 3 2" xfId="23919" xr:uid="{59EC437D-EBA6-45E3-8AE1-CA5232782C9B}"/>
    <cellStyle name="20% - Accent5 8 3 3" xfId="14639" xr:uid="{AF8CA70C-FCA5-4A9F-B41E-172D26A9B09E}"/>
    <cellStyle name="20% - Accent5 8 4" xfId="19702" xr:uid="{B2FDF7D2-7D6C-43A3-A4E0-CEDAEC56B290}"/>
    <cellStyle name="20% - Accent5 8 5" xfId="10421" xr:uid="{7A866830-0FC1-4CE4-A323-C99A42016045}"/>
    <cellStyle name="20% - Accent5 9" xfId="2296" xr:uid="{00000000-0005-0000-0000-00001E030000}"/>
    <cellStyle name="20% - Accent5 9 2" xfId="6602" xr:uid="{00000000-0005-0000-0000-00001F030000}"/>
    <cellStyle name="20% - Accent5 9 2 2" xfId="24332" xr:uid="{11D46741-598C-4E45-9499-52CB8CAA220D}"/>
    <cellStyle name="20% - Accent5 9 2 3" xfId="15052" xr:uid="{C8902382-7083-4B2D-90E9-97DE44C439E9}"/>
    <cellStyle name="20% - Accent5 9 3" xfId="20115" xr:uid="{5BFBE9C8-D552-4749-BB5B-75D048587357}"/>
    <cellStyle name="20% - Accent5 9 4" xfId="10834" xr:uid="{E6614BFB-324A-44D3-889D-158BCD95B893}"/>
    <cellStyle name="20% - Accent6" xfId="41" builtinId="50" customBuiltin="1"/>
    <cellStyle name="20% - Accent6 10" xfId="4544" xr:uid="{00000000-0005-0000-0000-000021030000}"/>
    <cellStyle name="20% - Accent6 10 2" xfId="22274" xr:uid="{B230FBB6-73BB-4947-8A19-82B498634C45}"/>
    <cellStyle name="20% - Accent6 10 3" xfId="12994" xr:uid="{BBABC882-CD13-4E92-8607-3F8D1F01A042}"/>
    <cellStyle name="20% - Accent6 11" xfId="18057" xr:uid="{A316DC7B-B5CF-407C-B42B-DA1732EEFAA9}"/>
    <cellStyle name="20% - Accent6 12" xfId="17224" xr:uid="{728F9776-5EBF-4366-9282-15F9157C493F}"/>
    <cellStyle name="20% - Accent6 13" xfId="8776" xr:uid="{4638BA7C-C00B-47A7-8173-828A62D408FB}"/>
    <cellStyle name="20% - Accent6 2" xfId="42" xr:uid="{00000000-0005-0000-0000-000022030000}"/>
    <cellStyle name="20% - Accent6 2 10" xfId="18058" xr:uid="{4E0D989A-E06C-449B-8D2B-69B5CA7ADD3A}"/>
    <cellStyle name="20% - Accent6 2 11" xfId="17225" xr:uid="{56C29BB7-EB28-4D84-A205-82DCA40741E6}"/>
    <cellStyle name="20% - Accent6 2 12" xfId="8777" xr:uid="{BB080803-796F-4E20-A825-FC17DED67937}"/>
    <cellStyle name="20% - Accent6 2 2" xfId="43" xr:uid="{00000000-0005-0000-0000-000023030000}"/>
    <cellStyle name="20% - Accent6 2 2 10" xfId="17226" xr:uid="{F8A1EC5A-7208-4FA1-9835-D2E352B453C1}"/>
    <cellStyle name="20% - Accent6 2 2 11" xfId="8778" xr:uid="{1BD5962B-4DDF-43E4-9311-6A62CB73D10C}"/>
    <cellStyle name="20% - Accent6 2 2 2" xfId="44" xr:uid="{00000000-0005-0000-0000-000024030000}"/>
    <cellStyle name="20% - Accent6 2 2 2 10" xfId="8779" xr:uid="{5045ADA0-55DF-4987-966D-283BAF7977C1}"/>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24836" xr:uid="{A52365E6-3726-4FCB-908E-6139963DC859}"/>
    <cellStyle name="20% - Accent6 2 2 2 2 2 2 3" xfId="15556" xr:uid="{36FF23EB-CFB7-47B1-BA0C-292A84D4CFDA}"/>
    <cellStyle name="20% - Accent6 2 2 2 2 2 3" xfId="20619" xr:uid="{05F7D3FE-AEC6-46ED-8B6E-A8C244CF6038}"/>
    <cellStyle name="20% - Accent6 2 2 2 2 2 4" xfId="11338" xr:uid="{EBFA4CE9-2E9C-4BD4-B3BD-16254AEEA784}"/>
    <cellStyle name="20% - Accent6 2 2 2 2 3" xfId="4961" xr:uid="{00000000-0005-0000-0000-000028030000}"/>
    <cellStyle name="20% - Accent6 2 2 2 2 3 2" xfId="22691" xr:uid="{FD04AC04-26FF-4DA5-A14A-BBE7EC7F81DC}"/>
    <cellStyle name="20% - Accent6 2 2 2 2 3 3" xfId="13411" xr:uid="{D230C8D8-97CF-4837-A958-31E8D969E94A}"/>
    <cellStyle name="20% - Accent6 2 2 2 2 4" xfId="18474" xr:uid="{AE4C219A-A218-4D17-86AC-F2EE548E475E}"/>
    <cellStyle name="20% - Accent6 2 2 2 2 5" xfId="17644" xr:uid="{EBA95BEE-3FF7-4AB8-9903-39C3811822B1}"/>
    <cellStyle name="20% - Accent6 2 2 2 2 6" xfId="9193" xr:uid="{7941CDCF-D917-4C23-A553-BBD1920A04F2}"/>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25249" xr:uid="{E3D3FDAF-80AA-4800-BFBA-16D0863A4122}"/>
    <cellStyle name="20% - Accent6 2 2 2 3 2 2 3" xfId="15969" xr:uid="{D22467B8-3026-4B3E-9D58-08564FF66ABA}"/>
    <cellStyle name="20% - Accent6 2 2 2 3 2 3" xfId="21032" xr:uid="{012624DA-4E04-47E1-9469-9873C1CDB4DB}"/>
    <cellStyle name="20% - Accent6 2 2 2 3 2 4" xfId="11751" xr:uid="{0C588652-A57B-491F-AEC8-904C0C84E63C}"/>
    <cellStyle name="20% - Accent6 2 2 2 3 3" xfId="5374" xr:uid="{00000000-0005-0000-0000-00002C030000}"/>
    <cellStyle name="20% - Accent6 2 2 2 3 3 2" xfId="23104" xr:uid="{F20CF612-B417-465F-8EFF-13D4A1ECDCAD}"/>
    <cellStyle name="20% - Accent6 2 2 2 3 3 3" xfId="13824" xr:uid="{B99F8950-5851-4693-B944-46B3D516BC69}"/>
    <cellStyle name="20% - Accent6 2 2 2 3 4" xfId="18887" xr:uid="{A52B758B-E663-41BB-84DC-5DD5F6EF1168}"/>
    <cellStyle name="20% - Accent6 2 2 2 3 5" xfId="9606" xr:uid="{BF31ACE9-C4AD-4136-9261-B4C77A1C976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25662" xr:uid="{BB466514-6069-4557-88E0-29E71B5F3A14}"/>
    <cellStyle name="20% - Accent6 2 2 2 4 2 2 3" xfId="16382" xr:uid="{EE6C4C0C-C689-4E3B-8AD4-886599923265}"/>
    <cellStyle name="20% - Accent6 2 2 2 4 2 3" xfId="21445" xr:uid="{98085382-4E5D-464D-844C-5924272439D1}"/>
    <cellStyle name="20% - Accent6 2 2 2 4 2 4" xfId="12164" xr:uid="{9E6A96BD-025B-4005-884B-65C975613AFC}"/>
    <cellStyle name="20% - Accent6 2 2 2 4 3" xfId="5787" xr:uid="{00000000-0005-0000-0000-000030030000}"/>
    <cellStyle name="20% - Accent6 2 2 2 4 3 2" xfId="23517" xr:uid="{E7A831F8-B839-4971-A35B-9DD00C79FFFC}"/>
    <cellStyle name="20% - Accent6 2 2 2 4 3 3" xfId="14237" xr:uid="{9A8D359E-6A61-40B0-9692-B1469E346CEB}"/>
    <cellStyle name="20% - Accent6 2 2 2 4 4" xfId="19300" xr:uid="{3CB9CFEE-E9F3-4AB8-8656-D934C86E1D06}"/>
    <cellStyle name="20% - Accent6 2 2 2 4 5" xfId="10019" xr:uid="{52AF8157-7178-4164-9C48-F8B0E6227AEF}"/>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26075" xr:uid="{FF4CC365-979E-4EE4-AAE1-F68884C67A0C}"/>
    <cellStyle name="20% - Accent6 2 2 2 5 2 2 3" xfId="16795" xr:uid="{BD27813D-481A-4D00-BF96-F9304988D87C}"/>
    <cellStyle name="20% - Accent6 2 2 2 5 2 3" xfId="21858" xr:uid="{D6D61ACE-2987-44D7-AB8C-CC1DD1249712}"/>
    <cellStyle name="20% - Accent6 2 2 2 5 2 4" xfId="12577" xr:uid="{80D26995-3C7E-413F-82FC-B2AC196313B8}"/>
    <cellStyle name="20% - Accent6 2 2 2 5 3" xfId="6200" xr:uid="{00000000-0005-0000-0000-000034030000}"/>
    <cellStyle name="20% - Accent6 2 2 2 5 3 2" xfId="23930" xr:uid="{8958B1BE-9689-427E-8EEB-EA669955D974}"/>
    <cellStyle name="20% - Accent6 2 2 2 5 3 3" xfId="14650" xr:uid="{587673F1-117E-4D68-A8AE-02C3BB698772}"/>
    <cellStyle name="20% - Accent6 2 2 2 5 4" xfId="19713" xr:uid="{14958680-35D3-486C-9655-06E06D8DE695}"/>
    <cellStyle name="20% - Accent6 2 2 2 5 5" xfId="10432" xr:uid="{825B9F92-CF40-4E04-ABA8-C75043AF2B11}"/>
    <cellStyle name="20% - Accent6 2 2 2 6" xfId="2307" xr:uid="{00000000-0005-0000-0000-000035030000}"/>
    <cellStyle name="20% - Accent6 2 2 2 6 2" xfId="6613" xr:uid="{00000000-0005-0000-0000-000036030000}"/>
    <cellStyle name="20% - Accent6 2 2 2 6 2 2" xfId="24343" xr:uid="{C88D600B-70B9-4DAC-8763-090FF0F40BC7}"/>
    <cellStyle name="20% - Accent6 2 2 2 6 2 3" xfId="15063" xr:uid="{5AD402F2-2F93-48CE-B507-A5DB1926138B}"/>
    <cellStyle name="20% - Accent6 2 2 2 6 3" xfId="20126" xr:uid="{6D5C168B-495E-4D17-8FF8-154667A2A6E5}"/>
    <cellStyle name="20% - Accent6 2 2 2 6 4" xfId="10845" xr:uid="{60C3A7B3-E8E1-4114-94B4-1D03C1499D1F}"/>
    <cellStyle name="20% - Accent6 2 2 2 7" xfId="4547" xr:uid="{00000000-0005-0000-0000-000037030000}"/>
    <cellStyle name="20% - Accent6 2 2 2 7 2" xfId="22277" xr:uid="{DF4269C2-C4F5-4328-9405-FEAB7E7596C3}"/>
    <cellStyle name="20% - Accent6 2 2 2 7 3" xfId="12997" xr:uid="{730768E8-BA1D-4EA7-A5AE-F3681FF8075E}"/>
    <cellStyle name="20% - Accent6 2 2 2 8" xfId="18060" xr:uid="{F032BCBA-C104-415D-A19B-0DB4B0690C2B}"/>
    <cellStyle name="20% - Accent6 2 2 2 9" xfId="17227" xr:uid="{7DA98D72-930B-47CA-BA3E-E0FB5008ABE2}"/>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24835" xr:uid="{8BFFF6BA-B2E4-4021-8E66-4F63DC250D16}"/>
    <cellStyle name="20% - Accent6 2 2 3 2 2 3" xfId="15555" xr:uid="{C04FD34D-113A-478F-9893-DC530BDF9AEC}"/>
    <cellStyle name="20% - Accent6 2 2 3 2 3" xfId="20618" xr:uid="{E5B77AD1-B4F3-4598-B848-EE22B1AE5F43}"/>
    <cellStyle name="20% - Accent6 2 2 3 2 4" xfId="11337" xr:uid="{DB4741F0-22C7-4D68-9749-29E3B6370096}"/>
    <cellStyle name="20% - Accent6 2 2 3 3" xfId="4960" xr:uid="{00000000-0005-0000-0000-00003B030000}"/>
    <cellStyle name="20% - Accent6 2 2 3 3 2" xfId="22690" xr:uid="{E189E83C-47B2-4734-9C9A-88E888FFDA20}"/>
    <cellStyle name="20% - Accent6 2 2 3 3 3" xfId="13410" xr:uid="{FE19F0A9-DA59-4CFF-8F0B-AB2396C17CE6}"/>
    <cellStyle name="20% - Accent6 2 2 3 4" xfId="18473" xr:uid="{EF687E7A-57B2-46EB-BAF9-345D1BFAB27C}"/>
    <cellStyle name="20% - Accent6 2 2 3 5" xfId="17643" xr:uid="{CBF85924-4E24-4F98-B2C2-4C6FEC36ADDC}"/>
    <cellStyle name="20% - Accent6 2 2 3 6" xfId="9192" xr:uid="{223589B3-C540-4526-B54E-CA9A05559581}"/>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25248" xr:uid="{B33ADA3E-9079-4DD3-9FA3-8AE83D4E7135}"/>
    <cellStyle name="20% - Accent6 2 2 4 2 2 3" xfId="15968" xr:uid="{31BBC88A-7A85-4A24-A85A-575EFDF464DC}"/>
    <cellStyle name="20% - Accent6 2 2 4 2 3" xfId="21031" xr:uid="{7BE8DBDD-857D-405B-8C19-2577D75C7A16}"/>
    <cellStyle name="20% - Accent6 2 2 4 2 4" xfId="11750" xr:uid="{0E8CEF6A-4D60-44AA-8C4B-F36B92D734FE}"/>
    <cellStyle name="20% - Accent6 2 2 4 3" xfId="5373" xr:uid="{00000000-0005-0000-0000-00003F030000}"/>
    <cellStyle name="20% - Accent6 2 2 4 3 2" xfId="23103" xr:uid="{99B28EA2-4C8A-4798-B905-3AEA1E38D8F3}"/>
    <cellStyle name="20% - Accent6 2 2 4 3 3" xfId="13823" xr:uid="{7AAE6CE0-4740-48C0-9D6A-38B9D455FE04}"/>
    <cellStyle name="20% - Accent6 2 2 4 4" xfId="18886" xr:uid="{90A47342-4714-47B5-B5FD-ACD21CB1884C}"/>
    <cellStyle name="20% - Accent6 2 2 4 5" xfId="9605" xr:uid="{876792CD-17A6-4DAD-8863-FFF301A7E3E0}"/>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25661" xr:uid="{2A2F9AC3-5DBB-4E17-90D2-600B3559E5CE}"/>
    <cellStyle name="20% - Accent6 2 2 5 2 2 3" xfId="16381" xr:uid="{89051974-A065-4BFF-8327-A01EDCF86395}"/>
    <cellStyle name="20% - Accent6 2 2 5 2 3" xfId="21444" xr:uid="{6EAB37C1-3199-4E83-960E-330F3F250689}"/>
    <cellStyle name="20% - Accent6 2 2 5 2 4" xfId="12163" xr:uid="{B801496B-CA9A-4111-838A-07681DA44796}"/>
    <cellStyle name="20% - Accent6 2 2 5 3" xfId="5786" xr:uid="{00000000-0005-0000-0000-000043030000}"/>
    <cellStyle name="20% - Accent6 2 2 5 3 2" xfId="23516" xr:uid="{A9CE5FC0-9EC4-4D0A-9D52-4B3224AA668F}"/>
    <cellStyle name="20% - Accent6 2 2 5 3 3" xfId="14236" xr:uid="{CBFEA019-D264-455E-9C52-E1FC543775CA}"/>
    <cellStyle name="20% - Accent6 2 2 5 4" xfId="19299" xr:uid="{6F9D44BE-286B-4074-B925-657AD7DEFCA3}"/>
    <cellStyle name="20% - Accent6 2 2 5 5" xfId="10018" xr:uid="{0BA51261-7899-4377-9C37-3F463508374D}"/>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26074" xr:uid="{63DC9997-8759-473F-A27A-EAE82FDCDC25}"/>
    <cellStyle name="20% - Accent6 2 2 6 2 2 3" xfId="16794" xr:uid="{78E264D7-E5AC-4B99-8450-1166EEEBECE6}"/>
    <cellStyle name="20% - Accent6 2 2 6 2 3" xfId="21857" xr:uid="{B8B7E913-F72E-4DFF-BF86-BFBE2AAD7AB3}"/>
    <cellStyle name="20% - Accent6 2 2 6 2 4" xfId="12576" xr:uid="{A92AC0C9-4773-4576-A86E-B14A5B7426A3}"/>
    <cellStyle name="20% - Accent6 2 2 6 3" xfId="6199" xr:uid="{00000000-0005-0000-0000-000047030000}"/>
    <cellStyle name="20% - Accent6 2 2 6 3 2" xfId="23929" xr:uid="{B6C1252D-EB8F-4719-B4F2-6D5ED7AF5015}"/>
    <cellStyle name="20% - Accent6 2 2 6 3 3" xfId="14649" xr:uid="{EB20FBB4-3308-4580-8A36-C4BA0E6314AA}"/>
    <cellStyle name="20% - Accent6 2 2 6 4" xfId="19712" xr:uid="{CCB982B8-6619-444C-A556-5F0CD1BD9CD6}"/>
    <cellStyle name="20% - Accent6 2 2 6 5" xfId="10431" xr:uid="{5E90CB52-DAE3-46CA-86A2-4F23EC93BF57}"/>
    <cellStyle name="20% - Accent6 2 2 7" xfId="2306" xr:uid="{00000000-0005-0000-0000-000048030000}"/>
    <cellStyle name="20% - Accent6 2 2 7 2" xfId="6612" xr:uid="{00000000-0005-0000-0000-000049030000}"/>
    <cellStyle name="20% - Accent6 2 2 7 2 2" xfId="24342" xr:uid="{95CDFD27-4C27-4136-BDE8-3B621E6DB4E3}"/>
    <cellStyle name="20% - Accent6 2 2 7 2 3" xfId="15062" xr:uid="{E0B57FD6-9C40-482D-B167-A9CCDFA15550}"/>
    <cellStyle name="20% - Accent6 2 2 7 3" xfId="20125" xr:uid="{7266E589-4BB4-4713-90BC-84EE9A4B0597}"/>
    <cellStyle name="20% - Accent6 2 2 7 4" xfId="10844" xr:uid="{222A86CF-C45E-4D0D-8F99-EA7957620040}"/>
    <cellStyle name="20% - Accent6 2 2 8" xfId="4546" xr:uid="{00000000-0005-0000-0000-00004A030000}"/>
    <cellStyle name="20% - Accent6 2 2 8 2" xfId="22276" xr:uid="{1307132B-4606-4685-9F94-C7990BFB2CD2}"/>
    <cellStyle name="20% - Accent6 2 2 8 3" xfId="12996" xr:uid="{E4B61576-87D6-463C-8675-B5A196E4EA05}"/>
    <cellStyle name="20% - Accent6 2 2 9" xfId="18059" xr:uid="{1B07E16D-AD1F-45DE-B7A1-A98253E49E8A}"/>
    <cellStyle name="20% - Accent6 2 3" xfId="45" xr:uid="{00000000-0005-0000-0000-00004B030000}"/>
    <cellStyle name="20% - Accent6 2 3 10" xfId="8780" xr:uid="{235F3F9B-A518-4BE7-BF94-3CD27C40DA98}"/>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24837" xr:uid="{EF1592D3-D6C2-4D8F-8ADB-596F80D56AD4}"/>
    <cellStyle name="20% - Accent6 2 3 2 2 2 3" xfId="15557" xr:uid="{1C616082-407F-4BAB-871D-608ADF9D5222}"/>
    <cellStyle name="20% - Accent6 2 3 2 2 3" xfId="20620" xr:uid="{DEEBCA96-62CC-4757-9C5C-F39A2360365C}"/>
    <cellStyle name="20% - Accent6 2 3 2 2 4" xfId="11339" xr:uid="{B913833F-BF2F-442B-B871-9B6EE7BDC9F0}"/>
    <cellStyle name="20% - Accent6 2 3 2 3" xfId="4962" xr:uid="{00000000-0005-0000-0000-00004F030000}"/>
    <cellStyle name="20% - Accent6 2 3 2 3 2" xfId="22692" xr:uid="{4EA55B1E-8B9A-4978-B3B3-7C8FD8423E2D}"/>
    <cellStyle name="20% - Accent6 2 3 2 3 3" xfId="13412" xr:uid="{B0DF3839-41E0-488D-A30B-1B423CB069F6}"/>
    <cellStyle name="20% - Accent6 2 3 2 4" xfId="18475" xr:uid="{A5EFEC21-A040-414A-A9FA-6484E798D2C8}"/>
    <cellStyle name="20% - Accent6 2 3 2 5" xfId="17645" xr:uid="{82C3A5B0-61FE-4A6B-972A-19EB64883332}"/>
    <cellStyle name="20% - Accent6 2 3 2 6" xfId="9194" xr:uid="{290D036C-DA6E-436F-B543-9EEB6958A50E}"/>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25250" xr:uid="{D4553684-543A-473D-9BBC-7AD64BAFA7D0}"/>
    <cellStyle name="20% - Accent6 2 3 3 2 2 3" xfId="15970" xr:uid="{B7224C46-A77A-4A68-A86F-FBA135643CC2}"/>
    <cellStyle name="20% - Accent6 2 3 3 2 3" xfId="21033" xr:uid="{55744534-A53D-40EB-A4DE-8CC1E3198042}"/>
    <cellStyle name="20% - Accent6 2 3 3 2 4" xfId="11752" xr:uid="{CEF9EE53-469F-43C4-A741-DD02C660FE8D}"/>
    <cellStyle name="20% - Accent6 2 3 3 3" xfId="5375" xr:uid="{00000000-0005-0000-0000-000053030000}"/>
    <cellStyle name="20% - Accent6 2 3 3 3 2" xfId="23105" xr:uid="{C6B6B2A1-CBDF-4F30-A2BC-84B98F59EAA4}"/>
    <cellStyle name="20% - Accent6 2 3 3 3 3" xfId="13825" xr:uid="{E26B1744-D19D-49C5-B39D-1817D0E98DEA}"/>
    <cellStyle name="20% - Accent6 2 3 3 4" xfId="18888" xr:uid="{EBE45397-3D64-4471-A9E1-42AEBA65F39E}"/>
    <cellStyle name="20% - Accent6 2 3 3 5" xfId="9607" xr:uid="{B8DA7FCD-52A5-4ADF-A01A-4CA4466394D4}"/>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25663" xr:uid="{AC3623B5-210C-4341-A5E4-C9446D374DBB}"/>
    <cellStyle name="20% - Accent6 2 3 4 2 2 3" xfId="16383" xr:uid="{6311E581-0CC9-4AAC-B139-A5729727163D}"/>
    <cellStyle name="20% - Accent6 2 3 4 2 3" xfId="21446" xr:uid="{4628675F-E0D9-4E50-A51C-BA858BAD3905}"/>
    <cellStyle name="20% - Accent6 2 3 4 2 4" xfId="12165" xr:uid="{DBEC1DC9-A723-47C0-98EA-5F6AC4818571}"/>
    <cellStyle name="20% - Accent6 2 3 4 3" xfId="5788" xr:uid="{00000000-0005-0000-0000-000057030000}"/>
    <cellStyle name="20% - Accent6 2 3 4 3 2" xfId="23518" xr:uid="{9C1BDB1E-B22A-4840-A394-02AF1054271B}"/>
    <cellStyle name="20% - Accent6 2 3 4 3 3" xfId="14238" xr:uid="{A95B0754-8035-4611-BF41-5C13E6A1DCD3}"/>
    <cellStyle name="20% - Accent6 2 3 4 4" xfId="19301" xr:uid="{2640D418-1548-4DF8-9789-BF2432ACFE43}"/>
    <cellStyle name="20% - Accent6 2 3 4 5" xfId="10020" xr:uid="{0A2B6AAF-C8FE-4B4A-B452-86550549EE89}"/>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26076" xr:uid="{E67311EF-28E0-4B8F-9830-147805A8F138}"/>
    <cellStyle name="20% - Accent6 2 3 5 2 2 3" xfId="16796" xr:uid="{D0DC214A-8ED9-424F-AC6C-B83817F746C4}"/>
    <cellStyle name="20% - Accent6 2 3 5 2 3" xfId="21859" xr:uid="{FD8FC877-1540-454F-A222-06FC2A784076}"/>
    <cellStyle name="20% - Accent6 2 3 5 2 4" xfId="12578" xr:uid="{BB16A6C9-490F-4189-9E3E-8CA874D206F2}"/>
    <cellStyle name="20% - Accent6 2 3 5 3" xfId="6201" xr:uid="{00000000-0005-0000-0000-00005B030000}"/>
    <cellStyle name="20% - Accent6 2 3 5 3 2" xfId="23931" xr:uid="{AFC35952-7370-41E5-97B5-286F77489DC4}"/>
    <cellStyle name="20% - Accent6 2 3 5 3 3" xfId="14651" xr:uid="{DAB0E81D-7085-4829-B625-7F6726C65FEF}"/>
    <cellStyle name="20% - Accent6 2 3 5 4" xfId="19714" xr:uid="{2345ADD2-EC66-42B5-AF9F-E1557BCDE8F2}"/>
    <cellStyle name="20% - Accent6 2 3 5 5" xfId="10433" xr:uid="{A9A306F5-4A99-4001-82F9-882B4590BB78}"/>
    <cellStyle name="20% - Accent6 2 3 6" xfId="2308" xr:uid="{00000000-0005-0000-0000-00005C030000}"/>
    <cellStyle name="20% - Accent6 2 3 6 2" xfId="6614" xr:uid="{00000000-0005-0000-0000-00005D030000}"/>
    <cellStyle name="20% - Accent6 2 3 6 2 2" xfId="24344" xr:uid="{5539042F-71AE-4B66-9D90-7E2D71A84876}"/>
    <cellStyle name="20% - Accent6 2 3 6 2 3" xfId="15064" xr:uid="{2D0440A9-D204-4072-A516-3A7DF87E2D2A}"/>
    <cellStyle name="20% - Accent6 2 3 6 3" xfId="20127" xr:uid="{FA9B1CF0-3E6A-445C-A9AF-C788CFEBF6C7}"/>
    <cellStyle name="20% - Accent6 2 3 6 4" xfId="10846" xr:uid="{67ADC7B4-D67B-49D2-9EE7-DBE3AF80AD72}"/>
    <cellStyle name="20% - Accent6 2 3 7" xfId="4548" xr:uid="{00000000-0005-0000-0000-00005E030000}"/>
    <cellStyle name="20% - Accent6 2 3 7 2" xfId="22278" xr:uid="{F33CF323-62A0-4FC8-A885-CCDB705DB109}"/>
    <cellStyle name="20% - Accent6 2 3 7 3" xfId="12998" xr:uid="{FAB733B1-0029-41C3-945F-2F773149D7A0}"/>
    <cellStyle name="20% - Accent6 2 3 8" xfId="18061" xr:uid="{454D83F2-CF01-4E0E-B41E-7A7168BCB87E}"/>
    <cellStyle name="20% - Accent6 2 3 9" xfId="17228" xr:uid="{3B6C9D2A-1684-4580-A82C-1DD1EFF6679A}"/>
    <cellStyle name="20% - Accent6 2 4" xfId="611" xr:uid="{00000000-0005-0000-0000-00005F030000}"/>
    <cellStyle name="20% - Accent6 2 4 2" xfId="2882" xr:uid="{00000000-0005-0000-0000-000060030000}"/>
    <cellStyle name="20% - Accent6 2 4 2 2" xfId="7104" xr:uid="{00000000-0005-0000-0000-000061030000}"/>
    <cellStyle name="20% - Accent6 2 4 2 2 2" xfId="24834" xr:uid="{4ADB5060-991C-4D70-BBE3-EAD9C82ED040}"/>
    <cellStyle name="20% - Accent6 2 4 2 2 3" xfId="15554" xr:uid="{3744C2AB-0566-4FA2-8417-C5FB007FBB95}"/>
    <cellStyle name="20% - Accent6 2 4 2 3" xfId="20617" xr:uid="{E51C96DF-5D23-44E6-A341-A72FD8956B82}"/>
    <cellStyle name="20% - Accent6 2 4 2 4" xfId="11336" xr:uid="{BF58DF6B-0315-4364-829E-4AFA903638F5}"/>
    <cellStyle name="20% - Accent6 2 4 3" xfId="4959" xr:uid="{00000000-0005-0000-0000-000062030000}"/>
    <cellStyle name="20% - Accent6 2 4 3 2" xfId="22689" xr:uid="{6E2F0BB5-DD57-4472-896C-F649C1307A20}"/>
    <cellStyle name="20% - Accent6 2 4 3 3" xfId="13409" xr:uid="{69A0C3AE-E30A-4BE4-8C18-226C45670EE7}"/>
    <cellStyle name="20% - Accent6 2 4 4" xfId="18472" xr:uid="{B104B784-8FE7-4944-8196-FE9341A8760D}"/>
    <cellStyle name="20% - Accent6 2 4 5" xfId="17642" xr:uid="{567306C2-97BC-4420-8C56-EAACE1184853}"/>
    <cellStyle name="20% - Accent6 2 4 6" xfId="9191" xr:uid="{0908401B-3FD0-4992-8440-5ECDEE7CB427}"/>
    <cellStyle name="20% - Accent6 2 5" xfId="1064" xr:uid="{00000000-0005-0000-0000-000063030000}"/>
    <cellStyle name="20% - Accent6 2 5 2" xfId="3295" xr:uid="{00000000-0005-0000-0000-000064030000}"/>
    <cellStyle name="20% - Accent6 2 5 2 2" xfId="7517" xr:uid="{00000000-0005-0000-0000-000065030000}"/>
    <cellStyle name="20% - Accent6 2 5 2 2 2" xfId="25247" xr:uid="{5E54C684-6BB8-4136-B7BE-357D3C2DD811}"/>
    <cellStyle name="20% - Accent6 2 5 2 2 3" xfId="15967" xr:uid="{EAD81790-F9D8-4C46-B89D-1A9158C9F8EB}"/>
    <cellStyle name="20% - Accent6 2 5 2 3" xfId="21030" xr:uid="{4285B919-B45A-4A07-886A-423BA197269A}"/>
    <cellStyle name="20% - Accent6 2 5 2 4" xfId="11749" xr:uid="{BAC3C89A-580C-47C6-B9DA-5B3D49B447AE}"/>
    <cellStyle name="20% - Accent6 2 5 3" xfId="5372" xr:uid="{00000000-0005-0000-0000-000066030000}"/>
    <cellStyle name="20% - Accent6 2 5 3 2" xfId="23102" xr:uid="{2A90A2EE-D4CD-4848-B462-D38DB3ABAE4B}"/>
    <cellStyle name="20% - Accent6 2 5 3 3" xfId="13822" xr:uid="{FCCBB8D4-63BC-4650-8AA3-A59BB5DE09FE}"/>
    <cellStyle name="20% - Accent6 2 5 4" xfId="18885" xr:uid="{A31EE586-EF9D-4F45-A7EF-845972B18F37}"/>
    <cellStyle name="20% - Accent6 2 5 5" xfId="9604" xr:uid="{9AE38A59-A339-4C1F-A7EA-9B4C1B2B3201}"/>
    <cellStyle name="20% - Accent6 2 6" xfId="1478" xr:uid="{00000000-0005-0000-0000-000067030000}"/>
    <cellStyle name="20% - Accent6 2 6 2" xfId="3708" xr:uid="{00000000-0005-0000-0000-000068030000}"/>
    <cellStyle name="20% - Accent6 2 6 2 2" xfId="7930" xr:uid="{00000000-0005-0000-0000-000069030000}"/>
    <cellStyle name="20% - Accent6 2 6 2 2 2" xfId="25660" xr:uid="{54C84547-B64C-4005-8391-09C25439CDB4}"/>
    <cellStyle name="20% - Accent6 2 6 2 2 3" xfId="16380" xr:uid="{9B199608-D19A-4AD9-BAEE-4A17D5A8C9F6}"/>
    <cellStyle name="20% - Accent6 2 6 2 3" xfId="21443" xr:uid="{F9961284-A30F-4ACB-9E30-20543A481C3E}"/>
    <cellStyle name="20% - Accent6 2 6 2 4" xfId="12162" xr:uid="{57AB7F50-CCED-4385-BA0E-ACC5E983099B}"/>
    <cellStyle name="20% - Accent6 2 6 3" xfId="5785" xr:uid="{00000000-0005-0000-0000-00006A030000}"/>
    <cellStyle name="20% - Accent6 2 6 3 2" xfId="23515" xr:uid="{B26106AC-DC76-4EFB-9E05-0EE3FA69DB70}"/>
    <cellStyle name="20% - Accent6 2 6 3 3" xfId="14235" xr:uid="{18CDF00B-F100-460C-B949-251B2EDCD88E}"/>
    <cellStyle name="20% - Accent6 2 6 4" xfId="19298" xr:uid="{53938A00-54EA-4432-8E77-5BCA73C1A274}"/>
    <cellStyle name="20% - Accent6 2 6 5" xfId="10017" xr:uid="{FBD51E05-CDCE-4A81-863A-4D49F2A35084}"/>
    <cellStyle name="20% - Accent6 2 7" xfId="1892" xr:uid="{00000000-0005-0000-0000-00006B030000}"/>
    <cellStyle name="20% - Accent6 2 7 2" xfId="4121" xr:uid="{00000000-0005-0000-0000-00006C030000}"/>
    <cellStyle name="20% - Accent6 2 7 2 2" xfId="8343" xr:uid="{00000000-0005-0000-0000-00006D030000}"/>
    <cellStyle name="20% - Accent6 2 7 2 2 2" xfId="26073" xr:uid="{7734AF10-EA9A-4191-B970-2D756E166146}"/>
    <cellStyle name="20% - Accent6 2 7 2 2 3" xfId="16793" xr:uid="{90D667D8-82EC-4932-A48F-CCB7C6670A66}"/>
    <cellStyle name="20% - Accent6 2 7 2 3" xfId="21856" xr:uid="{177A2C6B-C5B6-4064-B70B-DE4ED6EFC606}"/>
    <cellStyle name="20% - Accent6 2 7 2 4" xfId="12575" xr:uid="{4546FF3B-3713-4CF8-A751-FC2AE77172E5}"/>
    <cellStyle name="20% - Accent6 2 7 3" xfId="6198" xr:uid="{00000000-0005-0000-0000-00006E030000}"/>
    <cellStyle name="20% - Accent6 2 7 3 2" xfId="23928" xr:uid="{187AF279-06A0-4823-80A4-C004266E5E89}"/>
    <cellStyle name="20% - Accent6 2 7 3 3" xfId="14648" xr:uid="{F27A0DCA-538A-444F-AAB0-DD2745DDB035}"/>
    <cellStyle name="20% - Accent6 2 7 4" xfId="19711" xr:uid="{91794963-7927-49F7-8028-1B0D97ACCC1D}"/>
    <cellStyle name="20% - Accent6 2 7 5" xfId="10430" xr:uid="{E7677BBC-0BA0-4DC4-96FD-752840084AC1}"/>
    <cellStyle name="20% - Accent6 2 8" xfId="2305" xr:uid="{00000000-0005-0000-0000-00006F030000}"/>
    <cellStyle name="20% - Accent6 2 8 2" xfId="6611" xr:uid="{00000000-0005-0000-0000-000070030000}"/>
    <cellStyle name="20% - Accent6 2 8 2 2" xfId="24341" xr:uid="{A132DE00-7168-41D3-8ECF-080456F3BA7E}"/>
    <cellStyle name="20% - Accent6 2 8 2 3" xfId="15061" xr:uid="{E95AC4E6-8428-400A-8A96-2EBBAA247AF8}"/>
    <cellStyle name="20% - Accent6 2 8 3" xfId="20124" xr:uid="{DD3E7FED-132D-4DD4-A4AB-FD3EA5EABAA2}"/>
    <cellStyle name="20% - Accent6 2 8 4" xfId="10843" xr:uid="{A807A392-718A-4CFC-AA76-95CA644FAC6B}"/>
    <cellStyle name="20% - Accent6 2 9" xfId="4545" xr:uid="{00000000-0005-0000-0000-000071030000}"/>
    <cellStyle name="20% - Accent6 2 9 2" xfId="22275" xr:uid="{1717FF13-6F3D-494E-BF55-9F7E9A3459E3}"/>
    <cellStyle name="20% - Accent6 2 9 3" xfId="12995" xr:uid="{7AFEEF3F-8D4C-4ED8-BE19-91236DE7221D}"/>
    <cellStyle name="20% - Accent6 3" xfId="46" xr:uid="{00000000-0005-0000-0000-000072030000}"/>
    <cellStyle name="20% - Accent6 3 10" xfId="17229" xr:uid="{8DF5A6A7-E98D-49AE-91CE-AA2C45697D64}"/>
    <cellStyle name="20% - Accent6 3 11" xfId="8781" xr:uid="{C737B4E6-0745-4834-A0D0-5748241296B2}"/>
    <cellStyle name="20% - Accent6 3 2" xfId="47" xr:uid="{00000000-0005-0000-0000-000073030000}"/>
    <cellStyle name="20% - Accent6 3 2 10" xfId="8782" xr:uid="{480FA4C5-EDDE-4A1A-8B0C-3F7B4300ADFD}"/>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24839" xr:uid="{C7978B29-2F76-4745-90E0-AA7B38A4C05B}"/>
    <cellStyle name="20% - Accent6 3 2 2 2 2 3" xfId="15559" xr:uid="{C44EB975-677A-4AF9-B6B2-24E2499DED4D}"/>
    <cellStyle name="20% - Accent6 3 2 2 2 3" xfId="20622" xr:uid="{AA2EDC12-D0A1-4761-B681-570590347D93}"/>
    <cellStyle name="20% - Accent6 3 2 2 2 4" xfId="11341" xr:uid="{310F7465-5694-4B06-99EC-E2FCB0D112E1}"/>
    <cellStyle name="20% - Accent6 3 2 2 3" xfId="4964" xr:uid="{00000000-0005-0000-0000-000077030000}"/>
    <cellStyle name="20% - Accent6 3 2 2 3 2" xfId="22694" xr:uid="{1379428D-104C-44CE-8239-7A0A6AC808D9}"/>
    <cellStyle name="20% - Accent6 3 2 2 3 3" xfId="13414" xr:uid="{CCFE2B90-C209-4DB9-BDF9-00E5ADB791C1}"/>
    <cellStyle name="20% - Accent6 3 2 2 4" xfId="18477" xr:uid="{7C060198-8D9E-494D-B10A-AB8A8B2823BF}"/>
    <cellStyle name="20% - Accent6 3 2 2 5" xfId="17647" xr:uid="{992E8847-FB08-46EE-9122-1533C7339A0E}"/>
    <cellStyle name="20% - Accent6 3 2 2 6" xfId="9196" xr:uid="{BC1478D5-67FA-440B-8A19-2DF54E83F088}"/>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25252" xr:uid="{0AF08988-57C7-4043-B1B7-534A22D1E8A1}"/>
    <cellStyle name="20% - Accent6 3 2 3 2 2 3" xfId="15972" xr:uid="{AED2EAA8-39A8-4375-9B17-E822955BE3AE}"/>
    <cellStyle name="20% - Accent6 3 2 3 2 3" xfId="21035" xr:uid="{D1329B55-5FF1-42C8-8594-659F87B6E499}"/>
    <cellStyle name="20% - Accent6 3 2 3 2 4" xfId="11754" xr:uid="{9E0933EF-1CCB-49E8-89DE-7A655A165209}"/>
    <cellStyle name="20% - Accent6 3 2 3 3" xfId="5377" xr:uid="{00000000-0005-0000-0000-00007B030000}"/>
    <cellStyle name="20% - Accent6 3 2 3 3 2" xfId="23107" xr:uid="{C3AF5350-5A18-42CD-AF3A-9E15539EB38B}"/>
    <cellStyle name="20% - Accent6 3 2 3 3 3" xfId="13827" xr:uid="{BBAF5449-4D53-48DC-871F-61801D2757D7}"/>
    <cellStyle name="20% - Accent6 3 2 3 4" xfId="18890" xr:uid="{1D897A70-40B1-4470-9201-62CF2EC42465}"/>
    <cellStyle name="20% - Accent6 3 2 3 5" xfId="9609" xr:uid="{5814D96E-DDB6-4670-828F-C2DAB18B41E3}"/>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25665" xr:uid="{BB4F3F0E-DCBF-42DA-BB8A-A5E86B05EFA0}"/>
    <cellStyle name="20% - Accent6 3 2 4 2 2 3" xfId="16385" xr:uid="{F943111E-1754-4D07-95CF-FABA94690030}"/>
    <cellStyle name="20% - Accent6 3 2 4 2 3" xfId="21448" xr:uid="{8E98E543-6C74-4CF4-8D4D-A69D17952263}"/>
    <cellStyle name="20% - Accent6 3 2 4 2 4" xfId="12167" xr:uid="{271D9ECD-047B-4D82-AF60-E66B012858EE}"/>
    <cellStyle name="20% - Accent6 3 2 4 3" xfId="5790" xr:uid="{00000000-0005-0000-0000-00007F030000}"/>
    <cellStyle name="20% - Accent6 3 2 4 3 2" xfId="23520" xr:uid="{D994F2CF-EFBD-4E0A-A476-3C72644030EB}"/>
    <cellStyle name="20% - Accent6 3 2 4 3 3" xfId="14240" xr:uid="{5FDEAB8A-5C4D-4C4E-922C-C49CECE06E56}"/>
    <cellStyle name="20% - Accent6 3 2 4 4" xfId="19303" xr:uid="{C694505C-FE0F-4210-AB3D-77875A771E0B}"/>
    <cellStyle name="20% - Accent6 3 2 4 5" xfId="10022" xr:uid="{8D010097-0EC5-4E55-B714-409D40A28DF1}"/>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26078" xr:uid="{A523A543-60FB-43D5-A98C-1B9E5462DC16}"/>
    <cellStyle name="20% - Accent6 3 2 5 2 2 3" xfId="16798" xr:uid="{299D77D9-78D8-402B-89E9-96C97B76F6E6}"/>
    <cellStyle name="20% - Accent6 3 2 5 2 3" xfId="21861" xr:uid="{F9665AAE-0F6A-4182-B718-5CFB6D327CA1}"/>
    <cellStyle name="20% - Accent6 3 2 5 2 4" xfId="12580" xr:uid="{E9EBF9DB-8DD0-49A2-94F8-C835921E6699}"/>
    <cellStyle name="20% - Accent6 3 2 5 3" xfId="6203" xr:uid="{00000000-0005-0000-0000-000083030000}"/>
    <cellStyle name="20% - Accent6 3 2 5 3 2" xfId="23933" xr:uid="{0A24EFF5-7339-42E2-86C2-09F172984FAD}"/>
    <cellStyle name="20% - Accent6 3 2 5 3 3" xfId="14653" xr:uid="{B595CA9F-6E14-4B65-B260-A29FE8BBE77E}"/>
    <cellStyle name="20% - Accent6 3 2 5 4" xfId="19716" xr:uid="{0662CC79-24DA-4721-AA54-F7A019E31DC4}"/>
    <cellStyle name="20% - Accent6 3 2 5 5" xfId="10435" xr:uid="{7C3AC793-BC41-4343-960C-436483FEBFF2}"/>
    <cellStyle name="20% - Accent6 3 2 6" xfId="2310" xr:uid="{00000000-0005-0000-0000-000084030000}"/>
    <cellStyle name="20% - Accent6 3 2 6 2" xfId="6616" xr:uid="{00000000-0005-0000-0000-000085030000}"/>
    <cellStyle name="20% - Accent6 3 2 6 2 2" xfId="24346" xr:uid="{B3769900-774D-4866-B70D-2D184DA48B24}"/>
    <cellStyle name="20% - Accent6 3 2 6 2 3" xfId="15066" xr:uid="{7C1F0C49-4EE7-4CAD-B181-FB9627716B8A}"/>
    <cellStyle name="20% - Accent6 3 2 6 3" xfId="20129" xr:uid="{21B5F8FC-7D95-445C-900B-3C627BB4E122}"/>
    <cellStyle name="20% - Accent6 3 2 6 4" xfId="10848" xr:uid="{BF635F7E-5643-4DE6-AC68-47D4910D3958}"/>
    <cellStyle name="20% - Accent6 3 2 7" xfId="4550" xr:uid="{00000000-0005-0000-0000-000086030000}"/>
    <cellStyle name="20% - Accent6 3 2 7 2" xfId="22280" xr:uid="{BC3C6CB8-4DC7-408B-A555-EE1F24B47EFE}"/>
    <cellStyle name="20% - Accent6 3 2 7 3" xfId="13000" xr:uid="{5609BC5F-8A17-466A-9F98-7C2681416074}"/>
    <cellStyle name="20% - Accent6 3 2 8" xfId="18063" xr:uid="{E6A7261E-396B-4926-970E-1215637AC1FB}"/>
    <cellStyle name="20% - Accent6 3 2 9" xfId="17230" xr:uid="{8A87CDFC-5623-41AA-A581-AF460CAB0D51}"/>
    <cellStyle name="20% - Accent6 3 3" xfId="615" xr:uid="{00000000-0005-0000-0000-000087030000}"/>
    <cellStyle name="20% - Accent6 3 3 2" xfId="2886" xr:uid="{00000000-0005-0000-0000-000088030000}"/>
    <cellStyle name="20% - Accent6 3 3 2 2" xfId="7108" xr:uid="{00000000-0005-0000-0000-000089030000}"/>
    <cellStyle name="20% - Accent6 3 3 2 2 2" xfId="24838" xr:uid="{5B16D21A-B0A4-4EF1-8D8B-E77BFCFBE0E7}"/>
    <cellStyle name="20% - Accent6 3 3 2 2 3" xfId="15558" xr:uid="{093913F7-778A-4B18-99E3-E72C53964569}"/>
    <cellStyle name="20% - Accent6 3 3 2 3" xfId="20621" xr:uid="{1A0C8C3D-922E-454E-99D8-3DB2545E820E}"/>
    <cellStyle name="20% - Accent6 3 3 2 4" xfId="11340" xr:uid="{71C5B822-5F2D-422C-AB54-2C662F72E4E0}"/>
    <cellStyle name="20% - Accent6 3 3 3" xfId="4963" xr:uid="{00000000-0005-0000-0000-00008A030000}"/>
    <cellStyle name="20% - Accent6 3 3 3 2" xfId="22693" xr:uid="{ED1C1E24-DDC8-4CAD-AEFD-B5361DE85B19}"/>
    <cellStyle name="20% - Accent6 3 3 3 3" xfId="13413" xr:uid="{A8A41EE7-7AE3-4DA2-BF96-B4B75BBBD5AF}"/>
    <cellStyle name="20% - Accent6 3 3 4" xfId="18476" xr:uid="{91690AEA-3659-44F8-B773-54086727CD1D}"/>
    <cellStyle name="20% - Accent6 3 3 5" xfId="17646" xr:uid="{17093E6E-B96F-46CB-8588-371ECFDF73CD}"/>
    <cellStyle name="20% - Accent6 3 3 6" xfId="9195" xr:uid="{BFACAD15-F700-4F30-9D8E-D5FA922103F0}"/>
    <cellStyle name="20% - Accent6 3 4" xfId="1068" xr:uid="{00000000-0005-0000-0000-00008B030000}"/>
    <cellStyle name="20% - Accent6 3 4 2" xfId="3299" xr:uid="{00000000-0005-0000-0000-00008C030000}"/>
    <cellStyle name="20% - Accent6 3 4 2 2" xfId="7521" xr:uid="{00000000-0005-0000-0000-00008D030000}"/>
    <cellStyle name="20% - Accent6 3 4 2 2 2" xfId="25251" xr:uid="{0CA0BFC4-8711-4272-8E8D-2AFA20CD2B41}"/>
    <cellStyle name="20% - Accent6 3 4 2 2 3" xfId="15971" xr:uid="{65169D13-FDFD-453B-BDAA-B3598A4A7CBC}"/>
    <cellStyle name="20% - Accent6 3 4 2 3" xfId="21034" xr:uid="{07370EAE-5B63-4CCD-A57A-CD9DF4DE3362}"/>
    <cellStyle name="20% - Accent6 3 4 2 4" xfId="11753" xr:uid="{C9DF2F37-85D1-4D69-A900-C43E3EB7A59C}"/>
    <cellStyle name="20% - Accent6 3 4 3" xfId="5376" xr:uid="{00000000-0005-0000-0000-00008E030000}"/>
    <cellStyle name="20% - Accent6 3 4 3 2" xfId="23106" xr:uid="{360CFB2D-D5DB-4AA3-BA69-2B6BBB2C9204}"/>
    <cellStyle name="20% - Accent6 3 4 3 3" xfId="13826" xr:uid="{30A00A7F-483B-4A1D-8EB2-70C42E6D212F}"/>
    <cellStyle name="20% - Accent6 3 4 4" xfId="18889" xr:uid="{44314F5F-FA62-4317-985D-E6E5B01D2414}"/>
    <cellStyle name="20% - Accent6 3 4 5" xfId="9608" xr:uid="{992307DA-F02B-4433-AE62-F23BA10D8F68}"/>
    <cellStyle name="20% - Accent6 3 5" xfId="1482" xr:uid="{00000000-0005-0000-0000-00008F030000}"/>
    <cellStyle name="20% - Accent6 3 5 2" xfId="3712" xr:uid="{00000000-0005-0000-0000-000090030000}"/>
    <cellStyle name="20% - Accent6 3 5 2 2" xfId="7934" xr:uid="{00000000-0005-0000-0000-000091030000}"/>
    <cellStyle name="20% - Accent6 3 5 2 2 2" xfId="25664" xr:uid="{39E354FC-9D21-4CFA-80FD-F82A670BB6A0}"/>
    <cellStyle name="20% - Accent6 3 5 2 2 3" xfId="16384" xr:uid="{226E7501-4D93-42AC-9AE4-9F161B49735F}"/>
    <cellStyle name="20% - Accent6 3 5 2 3" xfId="21447" xr:uid="{4019DF41-CA52-432A-A14D-4344C2E76FE8}"/>
    <cellStyle name="20% - Accent6 3 5 2 4" xfId="12166" xr:uid="{C71927CC-4449-40E4-88ED-764A6EAED4D9}"/>
    <cellStyle name="20% - Accent6 3 5 3" xfId="5789" xr:uid="{00000000-0005-0000-0000-000092030000}"/>
    <cellStyle name="20% - Accent6 3 5 3 2" xfId="23519" xr:uid="{B87FDDF6-A587-4A7C-B6B8-85C4D47D1212}"/>
    <cellStyle name="20% - Accent6 3 5 3 3" xfId="14239" xr:uid="{EC60A682-2275-4399-95E2-6B164F6D1104}"/>
    <cellStyle name="20% - Accent6 3 5 4" xfId="19302" xr:uid="{393B484D-D013-4081-AE23-C11816E131D7}"/>
    <cellStyle name="20% - Accent6 3 5 5" xfId="10021" xr:uid="{64DE8260-1B61-477A-9269-CDF14198AB9A}"/>
    <cellStyle name="20% - Accent6 3 6" xfId="1896" xr:uid="{00000000-0005-0000-0000-000093030000}"/>
    <cellStyle name="20% - Accent6 3 6 2" xfId="4125" xr:uid="{00000000-0005-0000-0000-000094030000}"/>
    <cellStyle name="20% - Accent6 3 6 2 2" xfId="8347" xr:uid="{00000000-0005-0000-0000-000095030000}"/>
    <cellStyle name="20% - Accent6 3 6 2 2 2" xfId="26077" xr:uid="{CC0C0506-1D3E-4A0B-88E1-EB46149881A8}"/>
    <cellStyle name="20% - Accent6 3 6 2 2 3" xfId="16797" xr:uid="{368CD02B-F7F1-4539-8EC5-3940FF5A62EB}"/>
    <cellStyle name="20% - Accent6 3 6 2 3" xfId="21860" xr:uid="{1FF2015C-70F1-447E-ACDD-E5D39C3BE153}"/>
    <cellStyle name="20% - Accent6 3 6 2 4" xfId="12579" xr:uid="{D26691B6-CA13-41AC-9C22-32517AE5375D}"/>
    <cellStyle name="20% - Accent6 3 6 3" xfId="6202" xr:uid="{00000000-0005-0000-0000-000096030000}"/>
    <cellStyle name="20% - Accent6 3 6 3 2" xfId="23932" xr:uid="{226718F2-4832-41A7-BC17-DE5F479EAFBC}"/>
    <cellStyle name="20% - Accent6 3 6 3 3" xfId="14652" xr:uid="{3B309B3D-DEB8-4099-A85D-132AC35F209A}"/>
    <cellStyle name="20% - Accent6 3 6 4" xfId="19715" xr:uid="{25127391-7A55-4698-B0DC-ECA4630E4C76}"/>
    <cellStyle name="20% - Accent6 3 6 5" xfId="10434" xr:uid="{619A9B36-9D49-4ADA-9406-8AC2E7E14436}"/>
    <cellStyle name="20% - Accent6 3 7" xfId="2309" xr:uid="{00000000-0005-0000-0000-000097030000}"/>
    <cellStyle name="20% - Accent6 3 7 2" xfId="6615" xr:uid="{00000000-0005-0000-0000-000098030000}"/>
    <cellStyle name="20% - Accent6 3 7 2 2" xfId="24345" xr:uid="{C6F3A849-7EE6-42E3-87F5-1544F2A5D37E}"/>
    <cellStyle name="20% - Accent6 3 7 2 3" xfId="15065" xr:uid="{EF5FB9E7-4C5E-4B26-A582-AA24C9AC9840}"/>
    <cellStyle name="20% - Accent6 3 7 3" xfId="20128" xr:uid="{D256A5DD-C80B-4B06-B4C1-71C8C2D446B6}"/>
    <cellStyle name="20% - Accent6 3 7 4" xfId="10847" xr:uid="{8C67861B-A0BA-4762-BA86-257BC6ADC5AE}"/>
    <cellStyle name="20% - Accent6 3 8" xfId="4549" xr:uid="{00000000-0005-0000-0000-000099030000}"/>
    <cellStyle name="20% - Accent6 3 8 2" xfId="22279" xr:uid="{C7999F52-CCFB-47CE-90D2-6E87B2083AB3}"/>
    <cellStyle name="20% - Accent6 3 8 3" xfId="12999" xr:uid="{AF76F775-8045-413A-BC2A-74E3F2142DA6}"/>
    <cellStyle name="20% - Accent6 3 9" xfId="18062" xr:uid="{3E3C103C-9C4E-4EE0-821C-2D2B0CF9DFD1}"/>
    <cellStyle name="20% - Accent6 4" xfId="48" xr:uid="{00000000-0005-0000-0000-00009A030000}"/>
    <cellStyle name="20% - Accent6 4 10" xfId="8783" xr:uid="{97E58922-6189-4CAB-AE7D-D3512FA278B1}"/>
    <cellStyle name="20% - Accent6 4 2" xfId="617" xr:uid="{00000000-0005-0000-0000-00009B030000}"/>
    <cellStyle name="20% - Accent6 4 2 2" xfId="2888" xr:uid="{00000000-0005-0000-0000-00009C030000}"/>
    <cellStyle name="20% - Accent6 4 2 2 2" xfId="7110" xr:uid="{00000000-0005-0000-0000-00009D030000}"/>
    <cellStyle name="20% - Accent6 4 2 2 2 2" xfId="24840" xr:uid="{1F0C2877-4419-4367-B52C-874F17DA9E21}"/>
    <cellStyle name="20% - Accent6 4 2 2 2 3" xfId="15560" xr:uid="{7432FA5B-9C3E-4065-984D-3CB29C31DC3E}"/>
    <cellStyle name="20% - Accent6 4 2 2 3" xfId="20623" xr:uid="{AEBBE9D7-8DEA-4670-BAF4-5F2760576C67}"/>
    <cellStyle name="20% - Accent6 4 2 2 4" xfId="11342" xr:uid="{03717B88-2F28-4E0D-9977-DD0F45FB6C6D}"/>
    <cellStyle name="20% - Accent6 4 2 3" xfId="4965" xr:uid="{00000000-0005-0000-0000-00009E030000}"/>
    <cellStyle name="20% - Accent6 4 2 3 2" xfId="22695" xr:uid="{D10D3C1F-9288-4CC9-A059-2C3737803C1D}"/>
    <cellStyle name="20% - Accent6 4 2 3 3" xfId="13415" xr:uid="{775D9E6F-9DB5-4E8F-B5A5-9D6BCD63961D}"/>
    <cellStyle name="20% - Accent6 4 2 4" xfId="18478" xr:uid="{FDABC052-0CBC-4C03-AB47-4B53C8BE76E0}"/>
    <cellStyle name="20% - Accent6 4 2 5" xfId="17648" xr:uid="{7D520B00-876E-4628-A5CB-E41B2395D8C2}"/>
    <cellStyle name="20% - Accent6 4 2 6" xfId="9197" xr:uid="{789B9E59-1EDF-4814-861C-CD6DB11B7B9C}"/>
    <cellStyle name="20% - Accent6 4 3" xfId="1070" xr:uid="{00000000-0005-0000-0000-00009F030000}"/>
    <cellStyle name="20% - Accent6 4 3 2" xfId="3301" xr:uid="{00000000-0005-0000-0000-0000A0030000}"/>
    <cellStyle name="20% - Accent6 4 3 2 2" xfId="7523" xr:uid="{00000000-0005-0000-0000-0000A1030000}"/>
    <cellStyle name="20% - Accent6 4 3 2 2 2" xfId="25253" xr:uid="{952961ED-95D5-49B2-AF2E-8E70EE2A9373}"/>
    <cellStyle name="20% - Accent6 4 3 2 2 3" xfId="15973" xr:uid="{C86C551B-8DAF-4DAE-A522-F0114CC2E139}"/>
    <cellStyle name="20% - Accent6 4 3 2 3" xfId="21036" xr:uid="{3996AED0-BB11-4143-A178-87D32AFA105B}"/>
    <cellStyle name="20% - Accent6 4 3 2 4" xfId="11755" xr:uid="{4E81A57C-64BA-4C35-A3E0-DA7775038E07}"/>
    <cellStyle name="20% - Accent6 4 3 3" xfId="5378" xr:uid="{00000000-0005-0000-0000-0000A2030000}"/>
    <cellStyle name="20% - Accent6 4 3 3 2" xfId="23108" xr:uid="{94C734C2-9816-4624-8017-CACB73028579}"/>
    <cellStyle name="20% - Accent6 4 3 3 3" xfId="13828" xr:uid="{336DE486-2E67-4E13-8460-25D512E49B47}"/>
    <cellStyle name="20% - Accent6 4 3 4" xfId="18891" xr:uid="{40A601D4-6BEA-4718-A69D-E2533981863E}"/>
    <cellStyle name="20% - Accent6 4 3 5" xfId="9610" xr:uid="{F1D1AE0C-0793-4C3F-B8AB-C223342201FB}"/>
    <cellStyle name="20% - Accent6 4 4" xfId="1484" xr:uid="{00000000-0005-0000-0000-0000A3030000}"/>
    <cellStyle name="20% - Accent6 4 4 2" xfId="3714" xr:uid="{00000000-0005-0000-0000-0000A4030000}"/>
    <cellStyle name="20% - Accent6 4 4 2 2" xfId="7936" xr:uid="{00000000-0005-0000-0000-0000A5030000}"/>
    <cellStyle name="20% - Accent6 4 4 2 2 2" xfId="25666" xr:uid="{7D4BD0C7-3C1A-44E9-8A67-2D32A34DF823}"/>
    <cellStyle name="20% - Accent6 4 4 2 2 3" xfId="16386" xr:uid="{AFAB91E6-FB9F-4CE7-BD6B-2D4DA23ED5E9}"/>
    <cellStyle name="20% - Accent6 4 4 2 3" xfId="21449" xr:uid="{129FC911-0088-4C6D-99CA-36FFBF485ACB}"/>
    <cellStyle name="20% - Accent6 4 4 2 4" xfId="12168" xr:uid="{9ADB10F1-6CFF-43EB-A21F-41A9E86798D8}"/>
    <cellStyle name="20% - Accent6 4 4 3" xfId="5791" xr:uid="{00000000-0005-0000-0000-0000A6030000}"/>
    <cellStyle name="20% - Accent6 4 4 3 2" xfId="23521" xr:uid="{7414791B-1172-4CD6-ADAF-488BE928071C}"/>
    <cellStyle name="20% - Accent6 4 4 3 3" xfId="14241" xr:uid="{48432A93-BA95-4A90-A4E9-3DF01A25F8A5}"/>
    <cellStyle name="20% - Accent6 4 4 4" xfId="19304" xr:uid="{D49C77AF-44E6-4F9D-8031-790C1E85F39B}"/>
    <cellStyle name="20% - Accent6 4 4 5" xfId="10023" xr:uid="{46F4D5E7-0A79-4B22-8B3B-79741D73A20E}"/>
    <cellStyle name="20% - Accent6 4 5" xfId="1898" xr:uid="{00000000-0005-0000-0000-0000A7030000}"/>
    <cellStyle name="20% - Accent6 4 5 2" xfId="4127" xr:uid="{00000000-0005-0000-0000-0000A8030000}"/>
    <cellStyle name="20% - Accent6 4 5 2 2" xfId="8349" xr:uid="{00000000-0005-0000-0000-0000A9030000}"/>
    <cellStyle name="20% - Accent6 4 5 2 2 2" xfId="26079" xr:uid="{D668E01B-971A-4F86-A066-D47BC1BBC8DF}"/>
    <cellStyle name="20% - Accent6 4 5 2 2 3" xfId="16799" xr:uid="{BAA15E67-0DF2-4A3E-9D1D-DB223D6B6BC5}"/>
    <cellStyle name="20% - Accent6 4 5 2 3" xfId="21862" xr:uid="{1BCFE7D1-491B-4825-A40D-71A0EE6E1752}"/>
    <cellStyle name="20% - Accent6 4 5 2 4" xfId="12581" xr:uid="{CCC40D66-E7F9-4254-AA08-4F058857430B}"/>
    <cellStyle name="20% - Accent6 4 5 3" xfId="6204" xr:uid="{00000000-0005-0000-0000-0000AA030000}"/>
    <cellStyle name="20% - Accent6 4 5 3 2" xfId="23934" xr:uid="{FDA93D40-2B56-484B-9CB8-80B370B37866}"/>
    <cellStyle name="20% - Accent6 4 5 3 3" xfId="14654" xr:uid="{E5BAEC70-8293-4621-B74E-165F245024D9}"/>
    <cellStyle name="20% - Accent6 4 5 4" xfId="19717" xr:uid="{1FC92601-CB6C-4F61-979D-DE94B4C671FA}"/>
    <cellStyle name="20% - Accent6 4 5 5" xfId="10436" xr:uid="{53F87C55-8FFF-429C-9316-2A831BB5000B}"/>
    <cellStyle name="20% - Accent6 4 6" xfId="2311" xr:uid="{00000000-0005-0000-0000-0000AB030000}"/>
    <cellStyle name="20% - Accent6 4 6 2" xfId="6617" xr:uid="{00000000-0005-0000-0000-0000AC030000}"/>
    <cellStyle name="20% - Accent6 4 6 2 2" xfId="24347" xr:uid="{0818BC28-8204-4EA3-8037-E652118F2F26}"/>
    <cellStyle name="20% - Accent6 4 6 2 3" xfId="15067" xr:uid="{B9459B01-6B3E-4BD8-9529-94A482D1DC4A}"/>
    <cellStyle name="20% - Accent6 4 6 3" xfId="20130" xr:uid="{F680EAC4-F884-4E1A-A55C-0A7368C20C16}"/>
    <cellStyle name="20% - Accent6 4 6 4" xfId="10849" xr:uid="{3B84229C-ADD7-4435-9231-996EA07E980B}"/>
    <cellStyle name="20% - Accent6 4 7" xfId="4551" xr:uid="{00000000-0005-0000-0000-0000AD030000}"/>
    <cellStyle name="20% - Accent6 4 7 2" xfId="22281" xr:uid="{1322E7BD-3F2A-483E-8FAF-82E38C21CC5A}"/>
    <cellStyle name="20% - Accent6 4 7 3" xfId="13001" xr:uid="{85213799-ABE9-44E7-A057-15DBF4BCBFBE}"/>
    <cellStyle name="20% - Accent6 4 8" xfId="18064" xr:uid="{E75F099B-5925-4F82-BF72-F10B0B13A71B}"/>
    <cellStyle name="20% - Accent6 4 9" xfId="17231" xr:uid="{ACC92098-C1F2-44B2-BA91-4ED634CDAC4F}"/>
    <cellStyle name="20% - Accent6 5" xfId="610" xr:uid="{00000000-0005-0000-0000-0000AE030000}"/>
    <cellStyle name="20% - Accent6 5 2" xfId="2881" xr:uid="{00000000-0005-0000-0000-0000AF030000}"/>
    <cellStyle name="20% - Accent6 5 2 2" xfId="7103" xr:uid="{00000000-0005-0000-0000-0000B0030000}"/>
    <cellStyle name="20% - Accent6 5 2 2 2" xfId="24833" xr:uid="{C9E1AF42-0EE4-443E-BEA9-5F0BA8C2F771}"/>
    <cellStyle name="20% - Accent6 5 2 2 3" xfId="15553" xr:uid="{BE496094-7265-44FE-9DE4-ECEF03F4821B}"/>
    <cellStyle name="20% - Accent6 5 2 3" xfId="20616" xr:uid="{A2D97DBE-4199-4B57-9C6D-5E409F5FB2D2}"/>
    <cellStyle name="20% - Accent6 5 2 4" xfId="11335" xr:uid="{BE99EFB5-EC17-45D0-AB90-1011EDF81EC3}"/>
    <cellStyle name="20% - Accent6 5 3" xfId="4958" xr:uid="{00000000-0005-0000-0000-0000B1030000}"/>
    <cellStyle name="20% - Accent6 5 3 2" xfId="22688" xr:uid="{E74E747C-C88B-49C3-91FE-0C8667E2EA20}"/>
    <cellStyle name="20% - Accent6 5 3 3" xfId="13408" xr:uid="{C53C8A93-8076-49FB-BFF0-4DF22E12662B}"/>
    <cellStyle name="20% - Accent6 5 4" xfId="18471" xr:uid="{6A90E4D1-A57F-482B-BF6D-11ABE953BA10}"/>
    <cellStyle name="20% - Accent6 5 5" xfId="17641" xr:uid="{5A5D428F-5723-4FD0-A9BE-6A55EC732C8A}"/>
    <cellStyle name="20% - Accent6 5 6" xfId="9190" xr:uid="{4270DC04-DDBC-471A-A5A3-84BF565F3253}"/>
    <cellStyle name="20% - Accent6 6" xfId="1063" xr:uid="{00000000-0005-0000-0000-0000B2030000}"/>
    <cellStyle name="20% - Accent6 6 2" xfId="3294" xr:uid="{00000000-0005-0000-0000-0000B3030000}"/>
    <cellStyle name="20% - Accent6 6 2 2" xfId="7516" xr:uid="{00000000-0005-0000-0000-0000B4030000}"/>
    <cellStyle name="20% - Accent6 6 2 2 2" xfId="25246" xr:uid="{0F7B1DDE-0DED-45C0-9095-ADC165AB71F8}"/>
    <cellStyle name="20% - Accent6 6 2 2 3" xfId="15966" xr:uid="{00F25DBC-910C-4166-B5A9-64EA9E945F21}"/>
    <cellStyle name="20% - Accent6 6 2 3" xfId="21029" xr:uid="{32891253-6E82-4C9D-B7E7-281BAC133F08}"/>
    <cellStyle name="20% - Accent6 6 2 4" xfId="11748" xr:uid="{B9235215-B9C3-475A-82DE-0FA667A9B87D}"/>
    <cellStyle name="20% - Accent6 6 3" xfId="5371" xr:uid="{00000000-0005-0000-0000-0000B5030000}"/>
    <cellStyle name="20% - Accent6 6 3 2" xfId="23101" xr:uid="{3EFE1B01-B8E6-49B9-B5B4-BF8552BE8B12}"/>
    <cellStyle name="20% - Accent6 6 3 3" xfId="13821" xr:uid="{40289EAE-0026-452D-AEFC-4300F8ED10F6}"/>
    <cellStyle name="20% - Accent6 6 4" xfId="18884" xr:uid="{70ECB2EE-CA45-4077-A56A-8D16540545AB}"/>
    <cellStyle name="20% - Accent6 6 5" xfId="9603" xr:uid="{2DAAD04F-2E1A-44EC-B0A0-E9286D8CD0F0}"/>
    <cellStyle name="20% - Accent6 7" xfId="1477" xr:uid="{00000000-0005-0000-0000-0000B6030000}"/>
    <cellStyle name="20% - Accent6 7 2" xfId="3707" xr:uid="{00000000-0005-0000-0000-0000B7030000}"/>
    <cellStyle name="20% - Accent6 7 2 2" xfId="7929" xr:uid="{00000000-0005-0000-0000-0000B8030000}"/>
    <cellStyle name="20% - Accent6 7 2 2 2" xfId="25659" xr:uid="{3D633B1E-BA6E-4194-B143-60DEFE1A5AC4}"/>
    <cellStyle name="20% - Accent6 7 2 2 3" xfId="16379" xr:uid="{FDD5BE68-23EF-4724-AA97-6FCD4F83C6C2}"/>
    <cellStyle name="20% - Accent6 7 2 3" xfId="21442" xr:uid="{EE3501B5-9A59-48D9-AF02-0905F99A4D5A}"/>
    <cellStyle name="20% - Accent6 7 2 4" xfId="12161" xr:uid="{0E3F1100-CC04-4390-A276-5372256DF8A4}"/>
    <cellStyle name="20% - Accent6 7 3" xfId="5784" xr:uid="{00000000-0005-0000-0000-0000B9030000}"/>
    <cellStyle name="20% - Accent6 7 3 2" xfId="23514" xr:uid="{223D186D-4EC7-4815-85EE-254A3D7EEDB4}"/>
    <cellStyle name="20% - Accent6 7 3 3" xfId="14234" xr:uid="{662A1DA5-7C9C-4B71-B03F-383108608B6C}"/>
    <cellStyle name="20% - Accent6 7 4" xfId="19297" xr:uid="{5DA7C277-182D-4D97-A5A5-755FC33DF6E2}"/>
    <cellStyle name="20% - Accent6 7 5" xfId="10016" xr:uid="{87301881-99AB-4562-8B5D-5099281DF020}"/>
    <cellStyle name="20% - Accent6 8" xfId="1891" xr:uid="{00000000-0005-0000-0000-0000BA030000}"/>
    <cellStyle name="20% - Accent6 8 2" xfId="4120" xr:uid="{00000000-0005-0000-0000-0000BB030000}"/>
    <cellStyle name="20% - Accent6 8 2 2" xfId="8342" xr:uid="{00000000-0005-0000-0000-0000BC030000}"/>
    <cellStyle name="20% - Accent6 8 2 2 2" xfId="26072" xr:uid="{3C941A70-A509-4208-B86B-67C291D79394}"/>
    <cellStyle name="20% - Accent6 8 2 2 3" xfId="16792" xr:uid="{90AAEB83-2615-4FE4-AA02-0C9FB9C93451}"/>
    <cellStyle name="20% - Accent6 8 2 3" xfId="21855" xr:uid="{D9425A2A-8DF0-4763-BF31-7A8EBD5E4BBB}"/>
    <cellStyle name="20% - Accent6 8 2 4" xfId="12574" xr:uid="{549D08F9-09AE-4261-979B-886BEC9195FC}"/>
    <cellStyle name="20% - Accent6 8 3" xfId="6197" xr:uid="{00000000-0005-0000-0000-0000BD030000}"/>
    <cellStyle name="20% - Accent6 8 3 2" xfId="23927" xr:uid="{F87F5EB8-8806-46E6-857F-2A14FCF6C751}"/>
    <cellStyle name="20% - Accent6 8 3 3" xfId="14647" xr:uid="{43DA59FE-FA5D-4DE5-B5A9-863BBE700754}"/>
    <cellStyle name="20% - Accent6 8 4" xfId="19710" xr:uid="{AEBE854E-3567-4D19-883F-9AC6B84162D2}"/>
    <cellStyle name="20% - Accent6 8 5" xfId="10429" xr:uid="{3A524668-ED19-4359-83BE-4224647080E0}"/>
    <cellStyle name="20% - Accent6 9" xfId="2304" xr:uid="{00000000-0005-0000-0000-0000BE030000}"/>
    <cellStyle name="20% - Accent6 9 2" xfId="6610" xr:uid="{00000000-0005-0000-0000-0000BF030000}"/>
    <cellStyle name="20% - Accent6 9 2 2" xfId="24340" xr:uid="{A852BCE6-2324-4159-A0A0-B1796300D6B4}"/>
    <cellStyle name="20% - Accent6 9 2 3" xfId="15060" xr:uid="{F1194701-ACC8-41F7-A52A-DF6DEBEEE021}"/>
    <cellStyle name="20% - Accent6 9 3" xfId="20123" xr:uid="{32F222DA-A935-408B-8E69-4B926C402AB9}"/>
    <cellStyle name="20% - Accent6 9 4" xfId="10842" xr:uid="{29DA6288-4839-4B43-8B87-661C5FB08665}"/>
    <cellStyle name="40% - Accent1" xfId="49" builtinId="31" customBuiltin="1"/>
    <cellStyle name="40% - Accent1 10" xfId="4552" xr:uid="{00000000-0005-0000-0000-0000C1030000}"/>
    <cellStyle name="40% - Accent1 10 2" xfId="22282" xr:uid="{D179488D-FE84-4A6A-B9F2-383BB955B5EC}"/>
    <cellStyle name="40% - Accent1 10 3" xfId="13002" xr:uid="{02AA232E-87B1-4A9A-BCD6-6F3A43FDEB3D}"/>
    <cellStyle name="40% - Accent1 11" xfId="18065" xr:uid="{5AD25418-AC5F-4E98-84A1-60CA3B415D14}"/>
    <cellStyle name="40% - Accent1 12" xfId="17232" xr:uid="{E85D0557-AD7C-44EB-98A2-288C7D2E5E62}"/>
    <cellStyle name="40% - Accent1 13" xfId="8784" xr:uid="{3DA3B816-6C50-420F-8D11-C370FCFFBFAE}"/>
    <cellStyle name="40% - Accent1 2" xfId="50" xr:uid="{00000000-0005-0000-0000-0000C2030000}"/>
    <cellStyle name="40% - Accent1 2 10" xfId="18066" xr:uid="{7255D920-573D-42F2-AF0D-B60EBBD281A0}"/>
    <cellStyle name="40% - Accent1 2 11" xfId="17233" xr:uid="{20F7F155-C210-47E2-B0F5-92233A24242D}"/>
    <cellStyle name="40% - Accent1 2 12" xfId="8785" xr:uid="{45FC03E9-7949-4F2F-BC60-88023BB69A06}"/>
    <cellStyle name="40% - Accent1 2 2" xfId="51" xr:uid="{00000000-0005-0000-0000-0000C3030000}"/>
    <cellStyle name="40% - Accent1 2 2 10" xfId="17234" xr:uid="{D9ECAE53-59F9-4EC1-BBA7-71D420C53132}"/>
    <cellStyle name="40% - Accent1 2 2 11" xfId="8786" xr:uid="{90F72685-4DF7-4996-A182-D91E2F8AAC8A}"/>
    <cellStyle name="40% - Accent1 2 2 2" xfId="52" xr:uid="{00000000-0005-0000-0000-0000C4030000}"/>
    <cellStyle name="40% - Accent1 2 2 2 10" xfId="8787" xr:uid="{A30F9927-88F1-4103-B41D-7473ABF4169D}"/>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24844" xr:uid="{B31D5AA4-79B5-4B1C-AE2D-0D378C1560F8}"/>
    <cellStyle name="40% - Accent1 2 2 2 2 2 2 3" xfId="15564" xr:uid="{4E947F07-C0C0-4162-94F4-97857FDCFA45}"/>
    <cellStyle name="40% - Accent1 2 2 2 2 2 3" xfId="20627" xr:uid="{34F53794-1DC2-4DED-9E55-C28F35923B59}"/>
    <cellStyle name="40% - Accent1 2 2 2 2 2 4" xfId="11346" xr:uid="{F6532DF1-6860-456A-9881-B2E5D45CBB82}"/>
    <cellStyle name="40% - Accent1 2 2 2 2 3" xfId="4969" xr:uid="{00000000-0005-0000-0000-0000C8030000}"/>
    <cellStyle name="40% - Accent1 2 2 2 2 3 2" xfId="22699" xr:uid="{DA5C64EE-0589-450B-9451-9B6526D0295E}"/>
    <cellStyle name="40% - Accent1 2 2 2 2 3 3" xfId="13419" xr:uid="{FA10C2CF-772F-4579-8676-131CB8ECA768}"/>
    <cellStyle name="40% - Accent1 2 2 2 2 4" xfId="18482" xr:uid="{F87B0B5F-013C-415A-A54B-3FA260E7460B}"/>
    <cellStyle name="40% - Accent1 2 2 2 2 5" xfId="17652" xr:uid="{0805836B-F562-43D1-9EDF-B51D964DC36B}"/>
    <cellStyle name="40% - Accent1 2 2 2 2 6" xfId="9201" xr:uid="{591B3C51-FD4B-4EDB-93A0-FB5D6980824A}"/>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25257" xr:uid="{689D8F6D-C255-4C4E-9904-5765BF993BEA}"/>
    <cellStyle name="40% - Accent1 2 2 2 3 2 2 3" xfId="15977" xr:uid="{99F7DFEA-BC26-4E78-A447-F97942016DE6}"/>
    <cellStyle name="40% - Accent1 2 2 2 3 2 3" xfId="21040" xr:uid="{505BE983-B166-4037-94D3-53A10427EE4D}"/>
    <cellStyle name="40% - Accent1 2 2 2 3 2 4" xfId="11759" xr:uid="{EEC62C0C-B263-45FF-990E-AE2AC2AA78AB}"/>
    <cellStyle name="40% - Accent1 2 2 2 3 3" xfId="5382" xr:uid="{00000000-0005-0000-0000-0000CC030000}"/>
    <cellStyle name="40% - Accent1 2 2 2 3 3 2" xfId="23112" xr:uid="{C19D1FE6-355B-41C2-90CC-B56E2A96F3DF}"/>
    <cellStyle name="40% - Accent1 2 2 2 3 3 3" xfId="13832" xr:uid="{547014FE-2CBC-4D29-A43D-CA6597A1AE41}"/>
    <cellStyle name="40% - Accent1 2 2 2 3 4" xfId="18895" xr:uid="{E4923236-61DE-4332-A977-A0703FD36286}"/>
    <cellStyle name="40% - Accent1 2 2 2 3 5" xfId="9614" xr:uid="{9E4F8833-7D2A-4CF0-A0B1-5B88DB7E26E2}"/>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25670" xr:uid="{9FC1FF55-F503-4385-9735-9C0871C0BEFE}"/>
    <cellStyle name="40% - Accent1 2 2 2 4 2 2 3" xfId="16390" xr:uid="{D95FEE2C-017C-4B7B-867D-14EA6BD6AEE3}"/>
    <cellStyle name="40% - Accent1 2 2 2 4 2 3" xfId="21453" xr:uid="{B5D2AEE6-DAC3-4000-8B21-DC5F26019781}"/>
    <cellStyle name="40% - Accent1 2 2 2 4 2 4" xfId="12172" xr:uid="{ED60CFC0-CF41-4D23-8856-257E104D2916}"/>
    <cellStyle name="40% - Accent1 2 2 2 4 3" xfId="5795" xr:uid="{00000000-0005-0000-0000-0000D0030000}"/>
    <cellStyle name="40% - Accent1 2 2 2 4 3 2" xfId="23525" xr:uid="{530DA177-CF83-4AC4-A902-AF7D8E48ED80}"/>
    <cellStyle name="40% - Accent1 2 2 2 4 3 3" xfId="14245" xr:uid="{2F753ADA-6A23-447B-819F-AE4D0367782E}"/>
    <cellStyle name="40% - Accent1 2 2 2 4 4" xfId="19308" xr:uid="{877E7238-F64B-47DB-8471-8B7F5FE99A3C}"/>
    <cellStyle name="40% - Accent1 2 2 2 4 5" xfId="10027" xr:uid="{DD8FA1B6-E779-4D5F-A7E1-7511846C3A52}"/>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26083" xr:uid="{B0C2216B-FBD2-4D98-A0DF-BCE9656112B0}"/>
    <cellStyle name="40% - Accent1 2 2 2 5 2 2 3" xfId="16803" xr:uid="{4E91DB41-AA77-4322-BE5A-523D42388414}"/>
    <cellStyle name="40% - Accent1 2 2 2 5 2 3" xfId="21866" xr:uid="{E3C9B9CB-54F0-4E83-B88E-6FA2F9E2DD4F}"/>
    <cellStyle name="40% - Accent1 2 2 2 5 2 4" xfId="12585" xr:uid="{B1A4F65F-4954-473F-8615-E98787DAD1DE}"/>
    <cellStyle name="40% - Accent1 2 2 2 5 3" xfId="6208" xr:uid="{00000000-0005-0000-0000-0000D4030000}"/>
    <cellStyle name="40% - Accent1 2 2 2 5 3 2" xfId="23938" xr:uid="{62B00324-C622-4C4D-95EC-1B87382B87A9}"/>
    <cellStyle name="40% - Accent1 2 2 2 5 3 3" xfId="14658" xr:uid="{A4B1959D-67D7-4AA3-97C3-C9A6A210BF3F}"/>
    <cellStyle name="40% - Accent1 2 2 2 5 4" xfId="19721" xr:uid="{2F7E490B-D7ED-48E6-BC37-62C5A409CFF5}"/>
    <cellStyle name="40% - Accent1 2 2 2 5 5" xfId="10440" xr:uid="{C4C2A1D4-D94F-4E55-817B-ED6F850F2B40}"/>
    <cellStyle name="40% - Accent1 2 2 2 6" xfId="2315" xr:uid="{00000000-0005-0000-0000-0000D5030000}"/>
    <cellStyle name="40% - Accent1 2 2 2 6 2" xfId="6621" xr:uid="{00000000-0005-0000-0000-0000D6030000}"/>
    <cellStyle name="40% - Accent1 2 2 2 6 2 2" xfId="24351" xr:uid="{5E20582C-99D8-4EC9-9236-9E32876D37AC}"/>
    <cellStyle name="40% - Accent1 2 2 2 6 2 3" xfId="15071" xr:uid="{7EEE45BA-A18C-4970-8BA3-973709E5CF78}"/>
    <cellStyle name="40% - Accent1 2 2 2 6 3" xfId="20134" xr:uid="{F305B396-D44D-4530-AFC1-F2626167401B}"/>
    <cellStyle name="40% - Accent1 2 2 2 6 4" xfId="10853" xr:uid="{CE11EF81-78C5-453D-BAE9-CA4D7C1248CE}"/>
    <cellStyle name="40% - Accent1 2 2 2 7" xfId="4555" xr:uid="{00000000-0005-0000-0000-0000D7030000}"/>
    <cellStyle name="40% - Accent1 2 2 2 7 2" xfId="22285" xr:uid="{7DE306DF-8A55-4CC9-A949-DF510D0D1B33}"/>
    <cellStyle name="40% - Accent1 2 2 2 7 3" xfId="13005" xr:uid="{CC0D4A11-CC0C-4BD9-9949-B07619921F7A}"/>
    <cellStyle name="40% - Accent1 2 2 2 8" xfId="18068" xr:uid="{D2360102-8B0C-4E54-B2E4-3A5CBCDA4D08}"/>
    <cellStyle name="40% - Accent1 2 2 2 9" xfId="17235" xr:uid="{05A2E97D-8F4B-4EF0-AF88-E2E6672C9100}"/>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24843" xr:uid="{57C44246-0E6E-4CD7-B01E-DAAB5F496948}"/>
    <cellStyle name="40% - Accent1 2 2 3 2 2 3" xfId="15563" xr:uid="{78F76728-C87A-4484-B71C-318AD2636B1B}"/>
    <cellStyle name="40% - Accent1 2 2 3 2 3" xfId="20626" xr:uid="{5C8BE796-9669-4E8B-AC2A-E02D69BF0938}"/>
    <cellStyle name="40% - Accent1 2 2 3 2 4" xfId="11345" xr:uid="{D8565B79-6DCF-4572-810D-46783291F20C}"/>
    <cellStyle name="40% - Accent1 2 2 3 3" xfId="4968" xr:uid="{00000000-0005-0000-0000-0000DB030000}"/>
    <cellStyle name="40% - Accent1 2 2 3 3 2" xfId="22698" xr:uid="{F2F451E9-2300-4D29-86E6-B99E2C336420}"/>
    <cellStyle name="40% - Accent1 2 2 3 3 3" xfId="13418" xr:uid="{A774E5D6-856B-44B9-8695-8B77D2500947}"/>
    <cellStyle name="40% - Accent1 2 2 3 4" xfId="18481" xr:uid="{3ACD93FD-763C-4F89-88F2-5D2A786FE9A2}"/>
    <cellStyle name="40% - Accent1 2 2 3 5" xfId="17651" xr:uid="{BD4352CA-0BDA-48C3-B8DC-D7B550BCF9B3}"/>
    <cellStyle name="40% - Accent1 2 2 3 6" xfId="9200" xr:uid="{25861B9E-BB3C-4B87-9DA6-98D0608B5A60}"/>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25256" xr:uid="{C3771EAD-E8F4-48C5-B7C5-21987429DE24}"/>
    <cellStyle name="40% - Accent1 2 2 4 2 2 3" xfId="15976" xr:uid="{85A7095A-21BB-4101-A9B7-77AACE18F854}"/>
    <cellStyle name="40% - Accent1 2 2 4 2 3" xfId="21039" xr:uid="{65E353CD-8AF7-48FC-977D-66797079060A}"/>
    <cellStyle name="40% - Accent1 2 2 4 2 4" xfId="11758" xr:uid="{4FC96D2B-7803-41A6-81B9-495E3EBE3A5D}"/>
    <cellStyle name="40% - Accent1 2 2 4 3" xfId="5381" xr:uid="{00000000-0005-0000-0000-0000DF030000}"/>
    <cellStyle name="40% - Accent1 2 2 4 3 2" xfId="23111" xr:uid="{858221AE-03ED-4C0B-9148-3D74E79460A1}"/>
    <cellStyle name="40% - Accent1 2 2 4 3 3" xfId="13831" xr:uid="{4028B3A9-239D-4531-9862-27BAF7BF4415}"/>
    <cellStyle name="40% - Accent1 2 2 4 4" xfId="18894" xr:uid="{57FC485A-6616-48C1-AB45-BA0FDE68B860}"/>
    <cellStyle name="40% - Accent1 2 2 4 5" xfId="9613" xr:uid="{B2355988-2DFC-4F0E-B819-FDBD271C7824}"/>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25669" xr:uid="{0B13CD98-9595-4C48-878F-4EB341546F3D}"/>
    <cellStyle name="40% - Accent1 2 2 5 2 2 3" xfId="16389" xr:uid="{33C9658E-03C2-43EA-8A46-DDABC87AAF1F}"/>
    <cellStyle name="40% - Accent1 2 2 5 2 3" xfId="21452" xr:uid="{FEB2F143-408D-430C-9428-1182E1EBA640}"/>
    <cellStyle name="40% - Accent1 2 2 5 2 4" xfId="12171" xr:uid="{4B3A3CD9-3F79-4841-B816-32F66E0F8619}"/>
    <cellStyle name="40% - Accent1 2 2 5 3" xfId="5794" xr:uid="{00000000-0005-0000-0000-0000E3030000}"/>
    <cellStyle name="40% - Accent1 2 2 5 3 2" xfId="23524" xr:uid="{365382DB-6D06-42C4-ADB2-AD6BEC074790}"/>
    <cellStyle name="40% - Accent1 2 2 5 3 3" xfId="14244" xr:uid="{86A7AED9-80C8-4877-9509-C9570358420A}"/>
    <cellStyle name="40% - Accent1 2 2 5 4" xfId="19307" xr:uid="{3F657156-BFB8-4E44-8C0B-E7CAC4ECAFC5}"/>
    <cellStyle name="40% - Accent1 2 2 5 5" xfId="10026" xr:uid="{D26B287F-B509-4FF2-AD04-4D8C49682749}"/>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26082" xr:uid="{F337C825-80BD-4807-BDDC-BEE2897F89D6}"/>
    <cellStyle name="40% - Accent1 2 2 6 2 2 3" xfId="16802" xr:uid="{ECFDBE8F-E61A-464E-B5D5-922D4C511BBE}"/>
    <cellStyle name="40% - Accent1 2 2 6 2 3" xfId="21865" xr:uid="{02F82343-07D5-4675-93DF-68FE1730188E}"/>
    <cellStyle name="40% - Accent1 2 2 6 2 4" xfId="12584" xr:uid="{1715072D-619E-42F4-BED1-A071A0BFA840}"/>
    <cellStyle name="40% - Accent1 2 2 6 3" xfId="6207" xr:uid="{00000000-0005-0000-0000-0000E7030000}"/>
    <cellStyle name="40% - Accent1 2 2 6 3 2" xfId="23937" xr:uid="{44AE11D2-2C11-4599-BB2C-65C53A5C4AE1}"/>
    <cellStyle name="40% - Accent1 2 2 6 3 3" xfId="14657" xr:uid="{EA20FEDF-F4F2-4BE1-99FF-FE36066FD919}"/>
    <cellStyle name="40% - Accent1 2 2 6 4" xfId="19720" xr:uid="{372B5F93-DE17-4EC5-B5B0-3636B8BD701E}"/>
    <cellStyle name="40% - Accent1 2 2 6 5" xfId="10439" xr:uid="{36543A6B-90AF-44C5-947D-D3E97B1DD3E3}"/>
    <cellStyle name="40% - Accent1 2 2 7" xfId="2314" xr:uid="{00000000-0005-0000-0000-0000E8030000}"/>
    <cellStyle name="40% - Accent1 2 2 7 2" xfId="6620" xr:uid="{00000000-0005-0000-0000-0000E9030000}"/>
    <cellStyle name="40% - Accent1 2 2 7 2 2" xfId="24350" xr:uid="{0B3FED10-633B-49C7-B0A8-949509887751}"/>
    <cellStyle name="40% - Accent1 2 2 7 2 3" xfId="15070" xr:uid="{51A6B069-A98B-470E-A326-9586EB5499BE}"/>
    <cellStyle name="40% - Accent1 2 2 7 3" xfId="20133" xr:uid="{3F03230E-9D9D-4520-8565-CF73E40913A8}"/>
    <cellStyle name="40% - Accent1 2 2 7 4" xfId="10852" xr:uid="{E9052A3C-1C28-4719-8CC6-7BAB7F120333}"/>
    <cellStyle name="40% - Accent1 2 2 8" xfId="4554" xr:uid="{00000000-0005-0000-0000-0000EA030000}"/>
    <cellStyle name="40% - Accent1 2 2 8 2" xfId="22284" xr:uid="{616BBB31-2D30-4DD4-B145-BDF1850C1C9D}"/>
    <cellStyle name="40% - Accent1 2 2 8 3" xfId="13004" xr:uid="{803F79CA-A788-4C13-B71F-BDAFA9CC5CC8}"/>
    <cellStyle name="40% - Accent1 2 2 9" xfId="18067" xr:uid="{0372A6B3-B89B-45C3-8456-F3B3BAA6EDAE}"/>
    <cellStyle name="40% - Accent1 2 3" xfId="53" xr:uid="{00000000-0005-0000-0000-0000EB030000}"/>
    <cellStyle name="40% - Accent1 2 3 10" xfId="8788" xr:uid="{F520D6B8-A035-43D1-9C05-E9DAC6EE8DA6}"/>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24845" xr:uid="{31C379B2-738C-4C4B-A002-137F05DB99C4}"/>
    <cellStyle name="40% - Accent1 2 3 2 2 2 3" xfId="15565" xr:uid="{53998573-BCFE-424D-9E79-28F764557F9F}"/>
    <cellStyle name="40% - Accent1 2 3 2 2 3" xfId="20628" xr:uid="{D76C5F8C-32B9-483D-818C-C3EAAD1EDE35}"/>
    <cellStyle name="40% - Accent1 2 3 2 2 4" xfId="11347" xr:uid="{4CD58CCF-BF65-4E4B-B43A-FC04C7C92EE9}"/>
    <cellStyle name="40% - Accent1 2 3 2 3" xfId="4970" xr:uid="{00000000-0005-0000-0000-0000EF030000}"/>
    <cellStyle name="40% - Accent1 2 3 2 3 2" xfId="22700" xr:uid="{C8B18990-51E8-4518-9AF7-00609460BFAD}"/>
    <cellStyle name="40% - Accent1 2 3 2 3 3" xfId="13420" xr:uid="{21C4E9B7-7B55-4E42-95F1-5BB1349A18CA}"/>
    <cellStyle name="40% - Accent1 2 3 2 4" xfId="18483" xr:uid="{BC06928A-A4F0-45A1-9C5D-317C33C168B3}"/>
    <cellStyle name="40% - Accent1 2 3 2 5" xfId="17653" xr:uid="{5B80B07B-1586-4CE1-A971-206F5B065D76}"/>
    <cellStyle name="40% - Accent1 2 3 2 6" xfId="9202" xr:uid="{F077331C-3C9F-4281-BD2A-7D4D4B3CD365}"/>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25258" xr:uid="{898DF488-C471-4530-98F9-00D651734CD7}"/>
    <cellStyle name="40% - Accent1 2 3 3 2 2 3" xfId="15978" xr:uid="{862BF46A-AFD1-4100-A585-DD10823AA17C}"/>
    <cellStyle name="40% - Accent1 2 3 3 2 3" xfId="21041" xr:uid="{645D344C-5A58-4D35-A416-1EE69B354DB1}"/>
    <cellStyle name="40% - Accent1 2 3 3 2 4" xfId="11760" xr:uid="{3A462F10-FC6F-4547-B0F5-4A680D0AE8E4}"/>
    <cellStyle name="40% - Accent1 2 3 3 3" xfId="5383" xr:uid="{00000000-0005-0000-0000-0000F3030000}"/>
    <cellStyle name="40% - Accent1 2 3 3 3 2" xfId="23113" xr:uid="{52996D0D-EF69-40F6-9A19-425EB758125F}"/>
    <cellStyle name="40% - Accent1 2 3 3 3 3" xfId="13833" xr:uid="{5203E98D-2A49-4AD3-BB57-7D17DB3D842A}"/>
    <cellStyle name="40% - Accent1 2 3 3 4" xfId="18896" xr:uid="{6853439A-5B51-4B2A-9F51-707F7179E32B}"/>
    <cellStyle name="40% - Accent1 2 3 3 5" xfId="9615" xr:uid="{CF4DE7DE-B810-4CE0-9E3A-46FD1F57B8A9}"/>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25671" xr:uid="{FF393C3B-F035-43FC-9770-04281131DA59}"/>
    <cellStyle name="40% - Accent1 2 3 4 2 2 3" xfId="16391" xr:uid="{94A09D01-60D7-4801-ADF1-99D449FDA609}"/>
    <cellStyle name="40% - Accent1 2 3 4 2 3" xfId="21454" xr:uid="{3BC821CF-20D3-4D7D-A46E-5C921E1AB6F3}"/>
    <cellStyle name="40% - Accent1 2 3 4 2 4" xfId="12173" xr:uid="{2F7BDF0A-C198-4100-AF74-3B85ACCFB42F}"/>
    <cellStyle name="40% - Accent1 2 3 4 3" xfId="5796" xr:uid="{00000000-0005-0000-0000-0000F7030000}"/>
    <cellStyle name="40% - Accent1 2 3 4 3 2" xfId="23526" xr:uid="{41D90572-5B92-41AB-8EC6-78C6593730BD}"/>
    <cellStyle name="40% - Accent1 2 3 4 3 3" xfId="14246" xr:uid="{687973B5-BDA0-4BF7-AC1D-773E1E735D8D}"/>
    <cellStyle name="40% - Accent1 2 3 4 4" xfId="19309" xr:uid="{079BCA7A-4EEF-4C1A-8129-D21ABA82F29F}"/>
    <cellStyle name="40% - Accent1 2 3 4 5" xfId="10028" xr:uid="{86B2203E-9D7C-47BF-86D2-11C81E57A6D0}"/>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26084" xr:uid="{C08F54ED-0288-4087-98F0-567673F2DA81}"/>
    <cellStyle name="40% - Accent1 2 3 5 2 2 3" xfId="16804" xr:uid="{E6534818-FCCE-4D77-B046-17191C9AA2EF}"/>
    <cellStyle name="40% - Accent1 2 3 5 2 3" xfId="21867" xr:uid="{517E9E73-A1AD-443A-B63F-D497018BDD42}"/>
    <cellStyle name="40% - Accent1 2 3 5 2 4" xfId="12586" xr:uid="{AEB920B7-3AB9-49F8-924B-3AC76498A197}"/>
    <cellStyle name="40% - Accent1 2 3 5 3" xfId="6209" xr:uid="{00000000-0005-0000-0000-0000FB030000}"/>
    <cellStyle name="40% - Accent1 2 3 5 3 2" xfId="23939" xr:uid="{53F468E2-5525-492E-9753-E13EE53AA847}"/>
    <cellStyle name="40% - Accent1 2 3 5 3 3" xfId="14659" xr:uid="{4E70A35B-0ED8-4500-9B00-72F13D2A700F}"/>
    <cellStyle name="40% - Accent1 2 3 5 4" xfId="19722" xr:uid="{A4C5C572-0A94-496F-B660-7DA8B3D6104B}"/>
    <cellStyle name="40% - Accent1 2 3 5 5" xfId="10441" xr:uid="{03F582C8-5633-480F-9354-832E5CB4AA39}"/>
    <cellStyle name="40% - Accent1 2 3 6" xfId="2316" xr:uid="{00000000-0005-0000-0000-0000FC030000}"/>
    <cellStyle name="40% - Accent1 2 3 6 2" xfId="6622" xr:uid="{00000000-0005-0000-0000-0000FD030000}"/>
    <cellStyle name="40% - Accent1 2 3 6 2 2" xfId="24352" xr:uid="{F38F4B97-B0C1-47B6-83F0-14EBECE4E0B5}"/>
    <cellStyle name="40% - Accent1 2 3 6 2 3" xfId="15072" xr:uid="{3DF0323C-BA6A-47E9-8B61-C39FD418DFBE}"/>
    <cellStyle name="40% - Accent1 2 3 6 3" xfId="20135" xr:uid="{D0350CA3-3D66-458A-AFE2-48F673F68904}"/>
    <cellStyle name="40% - Accent1 2 3 6 4" xfId="10854" xr:uid="{CEF70572-2D21-4F10-877D-F36631ED7AFD}"/>
    <cellStyle name="40% - Accent1 2 3 7" xfId="4556" xr:uid="{00000000-0005-0000-0000-0000FE030000}"/>
    <cellStyle name="40% - Accent1 2 3 7 2" xfId="22286" xr:uid="{A16A2644-706D-4D3F-AEDE-627D6508CDCD}"/>
    <cellStyle name="40% - Accent1 2 3 7 3" xfId="13006" xr:uid="{15318DE9-716F-4E44-8536-47BB2B9582C9}"/>
    <cellStyle name="40% - Accent1 2 3 8" xfId="18069" xr:uid="{F0F1C406-DAFC-48CD-A396-344587DC41A5}"/>
    <cellStyle name="40% - Accent1 2 3 9" xfId="17236" xr:uid="{89E6868E-03A9-4780-B508-236C8AC3FB9D}"/>
    <cellStyle name="40% - Accent1 2 4" xfId="619" xr:uid="{00000000-0005-0000-0000-0000FF030000}"/>
    <cellStyle name="40% - Accent1 2 4 2" xfId="2890" xr:uid="{00000000-0005-0000-0000-000000040000}"/>
    <cellStyle name="40% - Accent1 2 4 2 2" xfId="7112" xr:uid="{00000000-0005-0000-0000-000001040000}"/>
    <cellStyle name="40% - Accent1 2 4 2 2 2" xfId="24842" xr:uid="{665EC1BE-29A0-4065-B5A9-54173E502382}"/>
    <cellStyle name="40% - Accent1 2 4 2 2 3" xfId="15562" xr:uid="{2476332B-118C-421B-ABB8-E05530F836E4}"/>
    <cellStyle name="40% - Accent1 2 4 2 3" xfId="20625" xr:uid="{D63EB8FE-47F0-4E63-B3E5-5198CD8D87F6}"/>
    <cellStyle name="40% - Accent1 2 4 2 4" xfId="11344" xr:uid="{7CD6F651-F5BD-440F-B257-387502FBFD5D}"/>
    <cellStyle name="40% - Accent1 2 4 3" xfId="4967" xr:uid="{00000000-0005-0000-0000-000002040000}"/>
    <cellStyle name="40% - Accent1 2 4 3 2" xfId="22697" xr:uid="{B55B7CAB-4763-42B0-8445-3C89BB3EC064}"/>
    <cellStyle name="40% - Accent1 2 4 3 3" xfId="13417" xr:uid="{26E3F2A5-BD09-4313-939E-CFFEFD3D7B4C}"/>
    <cellStyle name="40% - Accent1 2 4 4" xfId="18480" xr:uid="{894ABD86-B65C-49DC-A04E-8E071AFD8B09}"/>
    <cellStyle name="40% - Accent1 2 4 5" xfId="17650" xr:uid="{A47AFF9B-C6E0-499D-88FB-AF00CED2CA3B}"/>
    <cellStyle name="40% - Accent1 2 4 6" xfId="9199" xr:uid="{00807FCA-C410-43B8-880A-A3D8FC98B101}"/>
    <cellStyle name="40% - Accent1 2 5" xfId="1072" xr:uid="{00000000-0005-0000-0000-000003040000}"/>
    <cellStyle name="40% - Accent1 2 5 2" xfId="3303" xr:uid="{00000000-0005-0000-0000-000004040000}"/>
    <cellStyle name="40% - Accent1 2 5 2 2" xfId="7525" xr:uid="{00000000-0005-0000-0000-000005040000}"/>
    <cellStyle name="40% - Accent1 2 5 2 2 2" xfId="25255" xr:uid="{AC1CE028-B675-4D8D-B702-EFA5EE90028F}"/>
    <cellStyle name="40% - Accent1 2 5 2 2 3" xfId="15975" xr:uid="{3959237B-8C00-41AE-87FA-E8041C5D76CC}"/>
    <cellStyle name="40% - Accent1 2 5 2 3" xfId="21038" xr:uid="{B5A2FC86-24D5-4104-9BB9-3A1A3AA39873}"/>
    <cellStyle name="40% - Accent1 2 5 2 4" xfId="11757" xr:uid="{B342C167-31C7-4CF9-9C58-A24B0D30F6E7}"/>
    <cellStyle name="40% - Accent1 2 5 3" xfId="5380" xr:uid="{00000000-0005-0000-0000-000006040000}"/>
    <cellStyle name="40% - Accent1 2 5 3 2" xfId="23110" xr:uid="{42E4E2DB-5D8B-42AE-9B4B-EB7B04644C56}"/>
    <cellStyle name="40% - Accent1 2 5 3 3" xfId="13830" xr:uid="{26047929-1ED1-44BC-B2B7-57C7FBE14F92}"/>
    <cellStyle name="40% - Accent1 2 5 4" xfId="18893" xr:uid="{A1CDC75B-A134-44ED-A442-B8EC4E8D97B1}"/>
    <cellStyle name="40% - Accent1 2 5 5" xfId="9612" xr:uid="{AAEF8C2B-E231-4CC6-962D-F951C7162885}"/>
    <cellStyle name="40% - Accent1 2 6" xfId="1486" xr:uid="{00000000-0005-0000-0000-000007040000}"/>
    <cellStyle name="40% - Accent1 2 6 2" xfId="3716" xr:uid="{00000000-0005-0000-0000-000008040000}"/>
    <cellStyle name="40% - Accent1 2 6 2 2" xfId="7938" xr:uid="{00000000-0005-0000-0000-000009040000}"/>
    <cellStyle name="40% - Accent1 2 6 2 2 2" xfId="25668" xr:uid="{3B17DCEC-E3FE-4D16-9989-5B0F6B2739D2}"/>
    <cellStyle name="40% - Accent1 2 6 2 2 3" xfId="16388" xr:uid="{037B3B22-F55A-42B4-8575-C4ACF26F9407}"/>
    <cellStyle name="40% - Accent1 2 6 2 3" xfId="21451" xr:uid="{BBD16A56-FDC2-4EA3-805F-16F2CF50B9E5}"/>
    <cellStyle name="40% - Accent1 2 6 2 4" xfId="12170" xr:uid="{5F97FDDF-6EBB-4756-9C2E-AE771768F4A9}"/>
    <cellStyle name="40% - Accent1 2 6 3" xfId="5793" xr:uid="{00000000-0005-0000-0000-00000A040000}"/>
    <cellStyle name="40% - Accent1 2 6 3 2" xfId="23523" xr:uid="{324E0D4C-7E8F-4BEB-B907-4D783AE52C41}"/>
    <cellStyle name="40% - Accent1 2 6 3 3" xfId="14243" xr:uid="{081F0206-FAD4-4AAF-B963-6142F2EFE86D}"/>
    <cellStyle name="40% - Accent1 2 6 4" xfId="19306" xr:uid="{B5F1245D-992C-4009-9B59-D37025A7C453}"/>
    <cellStyle name="40% - Accent1 2 6 5" xfId="10025" xr:uid="{40182087-B8C1-4D97-9752-A2619DD2789E}"/>
    <cellStyle name="40% - Accent1 2 7" xfId="1900" xr:uid="{00000000-0005-0000-0000-00000B040000}"/>
    <cellStyle name="40% - Accent1 2 7 2" xfId="4129" xr:uid="{00000000-0005-0000-0000-00000C040000}"/>
    <cellStyle name="40% - Accent1 2 7 2 2" xfId="8351" xr:uid="{00000000-0005-0000-0000-00000D040000}"/>
    <cellStyle name="40% - Accent1 2 7 2 2 2" xfId="26081" xr:uid="{574A78CA-F012-4B79-9CC4-8FB1BC388346}"/>
    <cellStyle name="40% - Accent1 2 7 2 2 3" xfId="16801" xr:uid="{A4CCBE8E-7696-4323-AECF-F8C579D929D4}"/>
    <cellStyle name="40% - Accent1 2 7 2 3" xfId="21864" xr:uid="{B2896A96-B738-4A6C-977C-BB6BCF04F0A2}"/>
    <cellStyle name="40% - Accent1 2 7 2 4" xfId="12583" xr:uid="{AF2CE1F6-23EE-4348-9BDA-EEBF63A80619}"/>
    <cellStyle name="40% - Accent1 2 7 3" xfId="6206" xr:uid="{00000000-0005-0000-0000-00000E040000}"/>
    <cellStyle name="40% - Accent1 2 7 3 2" xfId="23936" xr:uid="{A86F9F0D-E532-4392-9DF4-BC78C063CFC8}"/>
    <cellStyle name="40% - Accent1 2 7 3 3" xfId="14656" xr:uid="{6928D619-C081-473A-9E2C-4249F0E1C9D1}"/>
    <cellStyle name="40% - Accent1 2 7 4" xfId="19719" xr:uid="{80F33638-9D33-4E25-917D-4A795F732D58}"/>
    <cellStyle name="40% - Accent1 2 7 5" xfId="10438" xr:uid="{62011DA2-002F-48C9-8D25-E0A8BCA9A0D1}"/>
    <cellStyle name="40% - Accent1 2 8" xfId="2313" xr:uid="{00000000-0005-0000-0000-00000F040000}"/>
    <cellStyle name="40% - Accent1 2 8 2" xfId="6619" xr:uid="{00000000-0005-0000-0000-000010040000}"/>
    <cellStyle name="40% - Accent1 2 8 2 2" xfId="24349" xr:uid="{860495CA-5B85-4B21-BBB6-719DF519771F}"/>
    <cellStyle name="40% - Accent1 2 8 2 3" xfId="15069" xr:uid="{A98E9942-8F15-4F49-B1BD-F80BBD707342}"/>
    <cellStyle name="40% - Accent1 2 8 3" xfId="20132" xr:uid="{31FBDFED-147D-4717-81B7-E6B84EE897DE}"/>
    <cellStyle name="40% - Accent1 2 8 4" xfId="10851" xr:uid="{9515D366-FCF5-47B3-B764-A32C480C2AE3}"/>
    <cellStyle name="40% - Accent1 2 9" xfId="4553" xr:uid="{00000000-0005-0000-0000-000011040000}"/>
    <cellStyle name="40% - Accent1 2 9 2" xfId="22283" xr:uid="{69612D94-F702-4288-B2CD-FF53E593E43B}"/>
    <cellStyle name="40% - Accent1 2 9 3" xfId="13003" xr:uid="{A90F5165-07CC-4FD0-ABEF-C179C79381CE}"/>
    <cellStyle name="40% - Accent1 3" xfId="54" xr:uid="{00000000-0005-0000-0000-000012040000}"/>
    <cellStyle name="40% - Accent1 3 10" xfId="17237" xr:uid="{C52E55BE-DC32-4CAD-B743-2A718FE9EE29}"/>
    <cellStyle name="40% - Accent1 3 11" xfId="8789" xr:uid="{10122BBB-6154-44A9-970F-10B552621DC7}"/>
    <cellStyle name="40% - Accent1 3 2" xfId="55" xr:uid="{00000000-0005-0000-0000-000013040000}"/>
    <cellStyle name="40% - Accent1 3 2 10" xfId="8790" xr:uid="{DEC829EC-8C05-4934-8591-2E6031CF3A8B}"/>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24847" xr:uid="{CF81DC5F-ADA8-4116-95A2-B1D6FBF94C75}"/>
    <cellStyle name="40% - Accent1 3 2 2 2 2 3" xfId="15567" xr:uid="{6F907CD7-4A5C-4603-8805-18EE453FCD0C}"/>
    <cellStyle name="40% - Accent1 3 2 2 2 3" xfId="20630" xr:uid="{1FDF8477-01D3-4741-9761-AC53E038677E}"/>
    <cellStyle name="40% - Accent1 3 2 2 2 4" xfId="11349" xr:uid="{BF84F583-F7FA-4BC3-96B1-F22CD5018B94}"/>
    <cellStyle name="40% - Accent1 3 2 2 3" xfId="4972" xr:uid="{00000000-0005-0000-0000-000017040000}"/>
    <cellStyle name="40% - Accent1 3 2 2 3 2" xfId="22702" xr:uid="{FD333174-7DB9-4853-B293-9BE031ECB025}"/>
    <cellStyle name="40% - Accent1 3 2 2 3 3" xfId="13422" xr:uid="{C5655D4D-D4BF-4C82-BE46-396107C1E59E}"/>
    <cellStyle name="40% - Accent1 3 2 2 4" xfId="18485" xr:uid="{1E337804-1EA2-4B96-8A46-1F0E9705FD26}"/>
    <cellStyle name="40% - Accent1 3 2 2 5" xfId="17655" xr:uid="{B25A7688-CE2F-4BE2-BCA3-44A9E78B0492}"/>
    <cellStyle name="40% - Accent1 3 2 2 6" xfId="9204" xr:uid="{4722976C-D692-4B41-AAA1-72D918503BBB}"/>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25260" xr:uid="{971E0933-8CC5-41EF-A07E-F528A43F59C2}"/>
    <cellStyle name="40% - Accent1 3 2 3 2 2 3" xfId="15980" xr:uid="{F66A81D7-3D55-4FD2-86FD-731E570308A6}"/>
    <cellStyle name="40% - Accent1 3 2 3 2 3" xfId="21043" xr:uid="{931B5DC1-F53B-475B-8404-0D058FAB5DF7}"/>
    <cellStyle name="40% - Accent1 3 2 3 2 4" xfId="11762" xr:uid="{1F7BEA09-3F21-4B9C-BF09-349B8A9E0EB3}"/>
    <cellStyle name="40% - Accent1 3 2 3 3" xfId="5385" xr:uid="{00000000-0005-0000-0000-00001B040000}"/>
    <cellStyle name="40% - Accent1 3 2 3 3 2" xfId="23115" xr:uid="{F55DD106-1419-4AEB-A390-AE7E05B81832}"/>
    <cellStyle name="40% - Accent1 3 2 3 3 3" xfId="13835" xr:uid="{09DC9776-E01B-4A0F-939E-AC755BE0D28F}"/>
    <cellStyle name="40% - Accent1 3 2 3 4" xfId="18898" xr:uid="{0B3958BD-0E57-4C0F-A8CA-973CEE28A07E}"/>
    <cellStyle name="40% - Accent1 3 2 3 5" xfId="9617" xr:uid="{A1DD8EE5-5541-4991-BEC7-9F6B2A17366B}"/>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25673" xr:uid="{27CDB2B8-A4FD-42C5-8DBB-5DEA392F98F0}"/>
    <cellStyle name="40% - Accent1 3 2 4 2 2 3" xfId="16393" xr:uid="{15E0DF2B-F420-44C1-BE1D-509CC92C7203}"/>
    <cellStyle name="40% - Accent1 3 2 4 2 3" xfId="21456" xr:uid="{4C4752C1-7FDC-446E-8153-0A31AD921FA6}"/>
    <cellStyle name="40% - Accent1 3 2 4 2 4" xfId="12175" xr:uid="{D714BDA9-F262-4964-A1CC-894700B6BF3A}"/>
    <cellStyle name="40% - Accent1 3 2 4 3" xfId="5798" xr:uid="{00000000-0005-0000-0000-00001F040000}"/>
    <cellStyle name="40% - Accent1 3 2 4 3 2" xfId="23528" xr:uid="{BE1F0213-D711-49FD-BECF-ACFFEED6BEDE}"/>
    <cellStyle name="40% - Accent1 3 2 4 3 3" xfId="14248" xr:uid="{A033F6FD-1EE2-40A5-BC7C-FA6B8D7FCB24}"/>
    <cellStyle name="40% - Accent1 3 2 4 4" xfId="19311" xr:uid="{D53A0A2D-79D8-47F8-A680-1587E3FAAFF7}"/>
    <cellStyle name="40% - Accent1 3 2 4 5" xfId="10030" xr:uid="{D9FC80F7-072B-400C-971B-646DAF8AF9B4}"/>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26086" xr:uid="{460AEB8E-BB4F-45A2-A84D-CD7C8C559964}"/>
    <cellStyle name="40% - Accent1 3 2 5 2 2 3" xfId="16806" xr:uid="{0DB8088B-312E-4AE5-BBF9-D8CD96A41D90}"/>
    <cellStyle name="40% - Accent1 3 2 5 2 3" xfId="21869" xr:uid="{1C1F919B-AAE7-47C3-A806-A0C42DFBB4E2}"/>
    <cellStyle name="40% - Accent1 3 2 5 2 4" xfId="12588" xr:uid="{698D1873-881C-4582-9610-990ECD2D1209}"/>
    <cellStyle name="40% - Accent1 3 2 5 3" xfId="6211" xr:uid="{00000000-0005-0000-0000-000023040000}"/>
    <cellStyle name="40% - Accent1 3 2 5 3 2" xfId="23941" xr:uid="{217A8F31-EEDB-45E4-BA99-5D069B5173B2}"/>
    <cellStyle name="40% - Accent1 3 2 5 3 3" xfId="14661" xr:uid="{4A075992-52BD-459B-A467-966FEEABA823}"/>
    <cellStyle name="40% - Accent1 3 2 5 4" xfId="19724" xr:uid="{C4179ACB-4748-40D0-BEE9-446821227755}"/>
    <cellStyle name="40% - Accent1 3 2 5 5" xfId="10443" xr:uid="{1EA48B10-7E4F-4C6D-B89E-4B46FE391A45}"/>
    <cellStyle name="40% - Accent1 3 2 6" xfId="2318" xr:uid="{00000000-0005-0000-0000-000024040000}"/>
    <cellStyle name="40% - Accent1 3 2 6 2" xfId="6624" xr:uid="{00000000-0005-0000-0000-000025040000}"/>
    <cellStyle name="40% - Accent1 3 2 6 2 2" xfId="24354" xr:uid="{05D64B0E-5909-4ABE-A155-6AC0E589779A}"/>
    <cellStyle name="40% - Accent1 3 2 6 2 3" xfId="15074" xr:uid="{48018D81-06D6-4820-B3FF-7DF978F2822D}"/>
    <cellStyle name="40% - Accent1 3 2 6 3" xfId="20137" xr:uid="{F3A00A52-13AE-4452-85C6-9BEE028E54C0}"/>
    <cellStyle name="40% - Accent1 3 2 6 4" xfId="10856" xr:uid="{7A1BD1DE-D5CB-4D7A-A60B-4AD28A31DFA4}"/>
    <cellStyle name="40% - Accent1 3 2 7" xfId="4558" xr:uid="{00000000-0005-0000-0000-000026040000}"/>
    <cellStyle name="40% - Accent1 3 2 7 2" xfId="22288" xr:uid="{74DA9D98-EBD5-4FC3-A158-986D0CC6E186}"/>
    <cellStyle name="40% - Accent1 3 2 7 3" xfId="13008" xr:uid="{16078680-2E61-4ECA-8CF3-029D3934E630}"/>
    <cellStyle name="40% - Accent1 3 2 8" xfId="18071" xr:uid="{F4019D10-0755-4E71-8E65-80BD8C08FD6E}"/>
    <cellStyle name="40% - Accent1 3 2 9" xfId="17238" xr:uid="{AAA74FDA-B9D9-465D-BB53-A8230AF24265}"/>
    <cellStyle name="40% - Accent1 3 3" xfId="623" xr:uid="{00000000-0005-0000-0000-000027040000}"/>
    <cellStyle name="40% - Accent1 3 3 2" xfId="2894" xr:uid="{00000000-0005-0000-0000-000028040000}"/>
    <cellStyle name="40% - Accent1 3 3 2 2" xfId="7116" xr:uid="{00000000-0005-0000-0000-000029040000}"/>
    <cellStyle name="40% - Accent1 3 3 2 2 2" xfId="24846" xr:uid="{47A4C185-9F32-4140-99B5-281AC34ACE42}"/>
    <cellStyle name="40% - Accent1 3 3 2 2 3" xfId="15566" xr:uid="{9A613F23-67C2-4223-AA39-852641EE63AB}"/>
    <cellStyle name="40% - Accent1 3 3 2 3" xfId="20629" xr:uid="{63788CB7-9861-47DD-A337-02781440CB6B}"/>
    <cellStyle name="40% - Accent1 3 3 2 4" xfId="11348" xr:uid="{A49C5B03-B9B8-460F-ABC9-A45564C31495}"/>
    <cellStyle name="40% - Accent1 3 3 3" xfId="4971" xr:uid="{00000000-0005-0000-0000-00002A040000}"/>
    <cellStyle name="40% - Accent1 3 3 3 2" xfId="22701" xr:uid="{7AAB2F04-4792-4048-A90B-BC10CB0684D4}"/>
    <cellStyle name="40% - Accent1 3 3 3 3" xfId="13421" xr:uid="{7164815B-4AE2-425C-97B4-1474689FB381}"/>
    <cellStyle name="40% - Accent1 3 3 4" xfId="18484" xr:uid="{62A4BB15-946C-4ED4-B1F7-D0CB0A80B087}"/>
    <cellStyle name="40% - Accent1 3 3 5" xfId="17654" xr:uid="{FFFF878F-A055-4475-88FC-D107889494B6}"/>
    <cellStyle name="40% - Accent1 3 3 6" xfId="9203" xr:uid="{4FBEE513-FBB9-40E4-B450-3A98D3464795}"/>
    <cellStyle name="40% - Accent1 3 4" xfId="1076" xr:uid="{00000000-0005-0000-0000-00002B040000}"/>
    <cellStyle name="40% - Accent1 3 4 2" xfId="3307" xr:uid="{00000000-0005-0000-0000-00002C040000}"/>
    <cellStyle name="40% - Accent1 3 4 2 2" xfId="7529" xr:uid="{00000000-0005-0000-0000-00002D040000}"/>
    <cellStyle name="40% - Accent1 3 4 2 2 2" xfId="25259" xr:uid="{64979523-E1FB-4C85-867B-4D5A1DDBBF4A}"/>
    <cellStyle name="40% - Accent1 3 4 2 2 3" xfId="15979" xr:uid="{8658AF40-E5DE-449A-9AAC-3FC492F4D40C}"/>
    <cellStyle name="40% - Accent1 3 4 2 3" xfId="21042" xr:uid="{F5DBC3CC-0F57-4F33-B10E-9DC5F75109DA}"/>
    <cellStyle name="40% - Accent1 3 4 2 4" xfId="11761" xr:uid="{5764A86C-7D62-465B-ADDD-C607F3E26307}"/>
    <cellStyle name="40% - Accent1 3 4 3" xfId="5384" xr:uid="{00000000-0005-0000-0000-00002E040000}"/>
    <cellStyle name="40% - Accent1 3 4 3 2" xfId="23114" xr:uid="{1248BE11-7BAD-4740-A842-D76F8FD088DF}"/>
    <cellStyle name="40% - Accent1 3 4 3 3" xfId="13834" xr:uid="{4F395AF7-3B5E-41C3-B8B8-57ED57FEBEEE}"/>
    <cellStyle name="40% - Accent1 3 4 4" xfId="18897" xr:uid="{243678BA-434C-4D45-ABFA-B3C6DC56CFDF}"/>
    <cellStyle name="40% - Accent1 3 4 5" xfId="9616" xr:uid="{62155F1F-9F72-41C4-A601-65F10515A4C4}"/>
    <cellStyle name="40% - Accent1 3 5" xfId="1490" xr:uid="{00000000-0005-0000-0000-00002F040000}"/>
    <cellStyle name="40% - Accent1 3 5 2" xfId="3720" xr:uid="{00000000-0005-0000-0000-000030040000}"/>
    <cellStyle name="40% - Accent1 3 5 2 2" xfId="7942" xr:uid="{00000000-0005-0000-0000-000031040000}"/>
    <cellStyle name="40% - Accent1 3 5 2 2 2" xfId="25672" xr:uid="{33D118AF-072F-4A2A-B62B-88D4EFC25E8B}"/>
    <cellStyle name="40% - Accent1 3 5 2 2 3" xfId="16392" xr:uid="{7D601F2A-555A-4706-9FF9-97B9DA4B01DB}"/>
    <cellStyle name="40% - Accent1 3 5 2 3" xfId="21455" xr:uid="{A0982D9B-F1FC-4733-AD72-B33CDE9E3E19}"/>
    <cellStyle name="40% - Accent1 3 5 2 4" xfId="12174" xr:uid="{96271033-A8C4-4A50-9EDF-A288F14A79AE}"/>
    <cellStyle name="40% - Accent1 3 5 3" xfId="5797" xr:uid="{00000000-0005-0000-0000-000032040000}"/>
    <cellStyle name="40% - Accent1 3 5 3 2" xfId="23527" xr:uid="{216A7256-2042-4064-9D15-EC512406E3E2}"/>
    <cellStyle name="40% - Accent1 3 5 3 3" xfId="14247" xr:uid="{A725FDFF-1B73-489A-BF5A-C0ED3E6C4A11}"/>
    <cellStyle name="40% - Accent1 3 5 4" xfId="19310" xr:uid="{77F5A982-03DA-45CD-BA43-01BE0F389000}"/>
    <cellStyle name="40% - Accent1 3 5 5" xfId="10029" xr:uid="{EE779300-43A3-428B-BBD1-2C6225FDBF8F}"/>
    <cellStyle name="40% - Accent1 3 6" xfId="1904" xr:uid="{00000000-0005-0000-0000-000033040000}"/>
    <cellStyle name="40% - Accent1 3 6 2" xfId="4133" xr:uid="{00000000-0005-0000-0000-000034040000}"/>
    <cellStyle name="40% - Accent1 3 6 2 2" xfId="8355" xr:uid="{00000000-0005-0000-0000-000035040000}"/>
    <cellStyle name="40% - Accent1 3 6 2 2 2" xfId="26085" xr:uid="{27BF177D-2EA4-41CE-9122-08CD7A5B64A6}"/>
    <cellStyle name="40% - Accent1 3 6 2 2 3" xfId="16805" xr:uid="{2C8CF2F0-F058-4842-BAE6-8DBAE2762E2D}"/>
    <cellStyle name="40% - Accent1 3 6 2 3" xfId="21868" xr:uid="{CD532583-974C-4E7C-839C-85CD8DEA4500}"/>
    <cellStyle name="40% - Accent1 3 6 2 4" xfId="12587" xr:uid="{7A5E570D-AA1D-44D9-8F2A-56916AA4BA99}"/>
    <cellStyle name="40% - Accent1 3 6 3" xfId="6210" xr:uid="{00000000-0005-0000-0000-000036040000}"/>
    <cellStyle name="40% - Accent1 3 6 3 2" xfId="23940" xr:uid="{C99DE867-3D67-4B89-AC08-0E3CF74EE7C9}"/>
    <cellStyle name="40% - Accent1 3 6 3 3" xfId="14660" xr:uid="{DF982A0E-A97E-4E86-8D15-BBF12F1E7C02}"/>
    <cellStyle name="40% - Accent1 3 6 4" xfId="19723" xr:uid="{2523889E-65F1-4D6B-870B-5295252FDB48}"/>
    <cellStyle name="40% - Accent1 3 6 5" xfId="10442" xr:uid="{6798F3F7-F2DF-41DC-8C3C-5FE957F52285}"/>
    <cellStyle name="40% - Accent1 3 7" xfId="2317" xr:uid="{00000000-0005-0000-0000-000037040000}"/>
    <cellStyle name="40% - Accent1 3 7 2" xfId="6623" xr:uid="{00000000-0005-0000-0000-000038040000}"/>
    <cellStyle name="40% - Accent1 3 7 2 2" xfId="24353" xr:uid="{A114E29B-4A6F-48DF-858C-5942C7E7D8AD}"/>
    <cellStyle name="40% - Accent1 3 7 2 3" xfId="15073" xr:uid="{48A6F943-5544-446C-8DB3-87C1754071CE}"/>
    <cellStyle name="40% - Accent1 3 7 3" xfId="20136" xr:uid="{577C7D16-59E5-47A4-A0BB-5C2E10EC8224}"/>
    <cellStyle name="40% - Accent1 3 7 4" xfId="10855" xr:uid="{F27105C1-9A63-40DC-BF32-3D69B594091A}"/>
    <cellStyle name="40% - Accent1 3 8" xfId="4557" xr:uid="{00000000-0005-0000-0000-000039040000}"/>
    <cellStyle name="40% - Accent1 3 8 2" xfId="22287" xr:uid="{D85EC7CF-88AC-4FAD-9FE2-65BC56A57D54}"/>
    <cellStyle name="40% - Accent1 3 8 3" xfId="13007" xr:uid="{A343466A-74ED-496D-8E0F-4483444B7317}"/>
    <cellStyle name="40% - Accent1 3 9" xfId="18070" xr:uid="{B42E8464-7BDC-4406-BCFD-4E3161A9F283}"/>
    <cellStyle name="40% - Accent1 4" xfId="56" xr:uid="{00000000-0005-0000-0000-00003A040000}"/>
    <cellStyle name="40% - Accent1 4 10" xfId="8791" xr:uid="{985DAE10-FA21-4A0C-B788-7534CCA77D78}"/>
    <cellStyle name="40% - Accent1 4 2" xfId="625" xr:uid="{00000000-0005-0000-0000-00003B040000}"/>
    <cellStyle name="40% - Accent1 4 2 2" xfId="2896" xr:uid="{00000000-0005-0000-0000-00003C040000}"/>
    <cellStyle name="40% - Accent1 4 2 2 2" xfId="7118" xr:uid="{00000000-0005-0000-0000-00003D040000}"/>
    <cellStyle name="40% - Accent1 4 2 2 2 2" xfId="24848" xr:uid="{530834A8-EE11-401C-AB8C-5E45B6098581}"/>
    <cellStyle name="40% - Accent1 4 2 2 2 3" xfId="15568" xr:uid="{81DACA1A-1B8D-4B8D-9811-9D6AFFAACBF3}"/>
    <cellStyle name="40% - Accent1 4 2 2 3" xfId="20631" xr:uid="{1B6B0C49-D0A9-4868-8A68-FBCCDD014E59}"/>
    <cellStyle name="40% - Accent1 4 2 2 4" xfId="11350" xr:uid="{C4131E53-EE89-45F9-8C36-BA19FAF6593E}"/>
    <cellStyle name="40% - Accent1 4 2 3" xfId="4973" xr:uid="{00000000-0005-0000-0000-00003E040000}"/>
    <cellStyle name="40% - Accent1 4 2 3 2" xfId="22703" xr:uid="{99F6B667-7009-4EB7-82A1-93CB27E5AA04}"/>
    <cellStyle name="40% - Accent1 4 2 3 3" xfId="13423" xr:uid="{05AC7676-448E-48DC-BD2F-9DCBB9F710F4}"/>
    <cellStyle name="40% - Accent1 4 2 4" xfId="18486" xr:uid="{51447850-AAED-476B-9F9B-400F73F1EBAE}"/>
    <cellStyle name="40% - Accent1 4 2 5" xfId="17656" xr:uid="{1D5683FC-E84C-469C-91EE-088E5A92A6C4}"/>
    <cellStyle name="40% - Accent1 4 2 6" xfId="9205" xr:uid="{A2AA71BD-9ABB-4918-BFD9-554D62E6D2DC}"/>
    <cellStyle name="40% - Accent1 4 3" xfId="1078" xr:uid="{00000000-0005-0000-0000-00003F040000}"/>
    <cellStyle name="40% - Accent1 4 3 2" xfId="3309" xr:uid="{00000000-0005-0000-0000-000040040000}"/>
    <cellStyle name="40% - Accent1 4 3 2 2" xfId="7531" xr:uid="{00000000-0005-0000-0000-000041040000}"/>
    <cellStyle name="40% - Accent1 4 3 2 2 2" xfId="25261" xr:uid="{EBC46385-CA13-463A-80A9-C44433884D89}"/>
    <cellStyle name="40% - Accent1 4 3 2 2 3" xfId="15981" xr:uid="{A6656437-9C2E-4E66-83C4-CE764FD0634B}"/>
    <cellStyle name="40% - Accent1 4 3 2 3" xfId="21044" xr:uid="{C886F9FE-9F09-4E71-97DE-9D3F48FE968D}"/>
    <cellStyle name="40% - Accent1 4 3 2 4" xfId="11763" xr:uid="{967FEA36-B124-4D46-8366-5CE2F3D24B84}"/>
    <cellStyle name="40% - Accent1 4 3 3" xfId="5386" xr:uid="{00000000-0005-0000-0000-000042040000}"/>
    <cellStyle name="40% - Accent1 4 3 3 2" xfId="23116" xr:uid="{6C20C9C1-B47F-4829-802E-4D8FF42D896B}"/>
    <cellStyle name="40% - Accent1 4 3 3 3" xfId="13836" xr:uid="{3739B573-9E62-42DD-BBFD-D26245F67D57}"/>
    <cellStyle name="40% - Accent1 4 3 4" xfId="18899" xr:uid="{9277B0D5-6CBC-4F56-8FE1-8E1D5656327E}"/>
    <cellStyle name="40% - Accent1 4 3 5" xfId="9618" xr:uid="{903BBB02-155A-4DD1-BEA5-048C78B11E00}"/>
    <cellStyle name="40% - Accent1 4 4" xfId="1492" xr:uid="{00000000-0005-0000-0000-000043040000}"/>
    <cellStyle name="40% - Accent1 4 4 2" xfId="3722" xr:uid="{00000000-0005-0000-0000-000044040000}"/>
    <cellStyle name="40% - Accent1 4 4 2 2" xfId="7944" xr:uid="{00000000-0005-0000-0000-000045040000}"/>
    <cellStyle name="40% - Accent1 4 4 2 2 2" xfId="25674" xr:uid="{FA5B1085-5174-4807-BD8D-279681AB6309}"/>
    <cellStyle name="40% - Accent1 4 4 2 2 3" xfId="16394" xr:uid="{1DB87767-97E7-4EF6-B866-B8E7B49D2620}"/>
    <cellStyle name="40% - Accent1 4 4 2 3" xfId="21457" xr:uid="{426791DA-DDFE-40DC-A6E6-E6625E647831}"/>
    <cellStyle name="40% - Accent1 4 4 2 4" xfId="12176" xr:uid="{D79ED1D5-6DE0-4E8C-A00C-DC98E090C750}"/>
    <cellStyle name="40% - Accent1 4 4 3" xfId="5799" xr:uid="{00000000-0005-0000-0000-000046040000}"/>
    <cellStyle name="40% - Accent1 4 4 3 2" xfId="23529" xr:uid="{7D0E0869-1660-4FA4-9D65-7D51651F7233}"/>
    <cellStyle name="40% - Accent1 4 4 3 3" xfId="14249" xr:uid="{52F3B2DE-54DA-4F87-9341-54DADA5974D0}"/>
    <cellStyle name="40% - Accent1 4 4 4" xfId="19312" xr:uid="{7338A187-8426-4DAE-BD9E-1A75C8AE6113}"/>
    <cellStyle name="40% - Accent1 4 4 5" xfId="10031" xr:uid="{B788988E-DBF5-4315-8A74-395A825B562F}"/>
    <cellStyle name="40% - Accent1 4 5" xfId="1906" xr:uid="{00000000-0005-0000-0000-000047040000}"/>
    <cellStyle name="40% - Accent1 4 5 2" xfId="4135" xr:uid="{00000000-0005-0000-0000-000048040000}"/>
    <cellStyle name="40% - Accent1 4 5 2 2" xfId="8357" xr:uid="{00000000-0005-0000-0000-000049040000}"/>
    <cellStyle name="40% - Accent1 4 5 2 2 2" xfId="26087" xr:uid="{0F4D0D5D-E34F-4A5C-B49D-73D283DA3B52}"/>
    <cellStyle name="40% - Accent1 4 5 2 2 3" xfId="16807" xr:uid="{777BB43A-BA75-4341-B8C8-6C8F0ACB8DB5}"/>
    <cellStyle name="40% - Accent1 4 5 2 3" xfId="21870" xr:uid="{40E418C9-EEC2-41CB-9C92-B252285EE602}"/>
    <cellStyle name="40% - Accent1 4 5 2 4" xfId="12589" xr:uid="{2AF33675-866C-4B70-A7FA-B404EF83F4B4}"/>
    <cellStyle name="40% - Accent1 4 5 3" xfId="6212" xr:uid="{00000000-0005-0000-0000-00004A040000}"/>
    <cellStyle name="40% - Accent1 4 5 3 2" xfId="23942" xr:uid="{B2B44BE3-2A33-42F9-974E-859E6120BA67}"/>
    <cellStyle name="40% - Accent1 4 5 3 3" xfId="14662" xr:uid="{B3AC8E61-F8D3-47D5-9FE9-CD395F6CA063}"/>
    <cellStyle name="40% - Accent1 4 5 4" xfId="19725" xr:uid="{53901FD6-8AD1-4E63-B42A-01C4D0EB7834}"/>
    <cellStyle name="40% - Accent1 4 5 5" xfId="10444" xr:uid="{8AE071CB-1F0B-411C-B6C2-47219D01F5E5}"/>
    <cellStyle name="40% - Accent1 4 6" xfId="2319" xr:uid="{00000000-0005-0000-0000-00004B040000}"/>
    <cellStyle name="40% - Accent1 4 6 2" xfId="6625" xr:uid="{00000000-0005-0000-0000-00004C040000}"/>
    <cellStyle name="40% - Accent1 4 6 2 2" xfId="24355" xr:uid="{08EDD658-D2AB-4FE0-9165-6B6A69189469}"/>
    <cellStyle name="40% - Accent1 4 6 2 3" xfId="15075" xr:uid="{B795B53D-153E-4CE8-AA05-92C9D8A1E768}"/>
    <cellStyle name="40% - Accent1 4 6 3" xfId="20138" xr:uid="{90587237-8350-4FB3-9BA9-4493048ECEB4}"/>
    <cellStyle name="40% - Accent1 4 6 4" xfId="10857" xr:uid="{CE3041A2-6D38-4B6E-9017-BE2784D919FE}"/>
    <cellStyle name="40% - Accent1 4 7" xfId="4559" xr:uid="{00000000-0005-0000-0000-00004D040000}"/>
    <cellStyle name="40% - Accent1 4 7 2" xfId="22289" xr:uid="{A757E155-6C93-45A7-AF15-948E0170B347}"/>
    <cellStyle name="40% - Accent1 4 7 3" xfId="13009" xr:uid="{68019870-2396-4544-AB3B-D2B7DA13B789}"/>
    <cellStyle name="40% - Accent1 4 8" xfId="18072" xr:uid="{A55E9856-2F53-4108-9AC1-F6E66698ED7F}"/>
    <cellStyle name="40% - Accent1 4 9" xfId="17239" xr:uid="{7CBE87AD-B03F-421F-B34C-1A5F991DE678}"/>
    <cellStyle name="40% - Accent1 5" xfId="618" xr:uid="{00000000-0005-0000-0000-00004E040000}"/>
    <cellStyle name="40% - Accent1 5 2" xfId="2889" xr:uid="{00000000-0005-0000-0000-00004F040000}"/>
    <cellStyle name="40% - Accent1 5 2 2" xfId="7111" xr:uid="{00000000-0005-0000-0000-000050040000}"/>
    <cellStyle name="40% - Accent1 5 2 2 2" xfId="24841" xr:uid="{39486504-9589-4B66-9034-E338B980ED3F}"/>
    <cellStyle name="40% - Accent1 5 2 2 3" xfId="15561" xr:uid="{89CFA79F-9531-481E-AA00-BB9A4E039E06}"/>
    <cellStyle name="40% - Accent1 5 2 3" xfId="20624" xr:uid="{D6BF0772-34AC-4F79-92AF-CCA441878924}"/>
    <cellStyle name="40% - Accent1 5 2 4" xfId="11343" xr:uid="{A40D50B6-45FA-492F-B2FE-06C8B8A12E09}"/>
    <cellStyle name="40% - Accent1 5 3" xfId="4966" xr:uid="{00000000-0005-0000-0000-000051040000}"/>
    <cellStyle name="40% - Accent1 5 3 2" xfId="22696" xr:uid="{A7467BDF-A410-4256-9A43-DD4A6187635B}"/>
    <cellStyle name="40% - Accent1 5 3 3" xfId="13416" xr:uid="{042861CE-5A8F-42AF-BD45-8462649DF735}"/>
    <cellStyle name="40% - Accent1 5 4" xfId="18479" xr:uid="{4319E198-C5A8-4592-8883-0C66B3D919A3}"/>
    <cellStyle name="40% - Accent1 5 5" xfId="17649" xr:uid="{2194133C-FF50-49A0-9081-E2F344138A4A}"/>
    <cellStyle name="40% - Accent1 5 6" xfId="9198" xr:uid="{3514B839-6E3F-49A9-8E71-38DA3BFCEA0A}"/>
    <cellStyle name="40% - Accent1 6" xfId="1071" xr:uid="{00000000-0005-0000-0000-000052040000}"/>
    <cellStyle name="40% - Accent1 6 2" xfId="3302" xr:uid="{00000000-0005-0000-0000-000053040000}"/>
    <cellStyle name="40% - Accent1 6 2 2" xfId="7524" xr:uid="{00000000-0005-0000-0000-000054040000}"/>
    <cellStyle name="40% - Accent1 6 2 2 2" xfId="25254" xr:uid="{A76904AD-05C9-473B-9D17-070595B9906D}"/>
    <cellStyle name="40% - Accent1 6 2 2 3" xfId="15974" xr:uid="{9EB45AE8-81CD-4D3E-9C44-FC6CC8C09B78}"/>
    <cellStyle name="40% - Accent1 6 2 3" xfId="21037" xr:uid="{13D6D747-AE99-4C54-A84C-CA30D61AFC86}"/>
    <cellStyle name="40% - Accent1 6 2 4" xfId="11756" xr:uid="{416A92C8-BE4C-4CF9-8691-FB3B20CEDEE0}"/>
    <cellStyle name="40% - Accent1 6 3" xfId="5379" xr:uid="{00000000-0005-0000-0000-000055040000}"/>
    <cellStyle name="40% - Accent1 6 3 2" xfId="23109" xr:uid="{1878E6FF-6BEF-4665-B87B-52568EE722B4}"/>
    <cellStyle name="40% - Accent1 6 3 3" xfId="13829" xr:uid="{CA68430D-0725-4C59-B7F7-D36300C24695}"/>
    <cellStyle name="40% - Accent1 6 4" xfId="18892" xr:uid="{FDF5386C-211D-4BF8-9F1E-B58CC579B674}"/>
    <cellStyle name="40% - Accent1 6 5" xfId="9611" xr:uid="{B4AA9860-51BB-4250-9927-6F2D0A9176D1}"/>
    <cellStyle name="40% - Accent1 7" xfId="1485" xr:uid="{00000000-0005-0000-0000-000056040000}"/>
    <cellStyle name="40% - Accent1 7 2" xfId="3715" xr:uid="{00000000-0005-0000-0000-000057040000}"/>
    <cellStyle name="40% - Accent1 7 2 2" xfId="7937" xr:uid="{00000000-0005-0000-0000-000058040000}"/>
    <cellStyle name="40% - Accent1 7 2 2 2" xfId="25667" xr:uid="{352AC61C-360D-404C-8CDF-460F55467953}"/>
    <cellStyle name="40% - Accent1 7 2 2 3" xfId="16387" xr:uid="{DF47E7FC-5AE8-4D34-8AE7-3F905926976E}"/>
    <cellStyle name="40% - Accent1 7 2 3" xfId="21450" xr:uid="{CE957923-11AA-4465-A35A-7CE1A86E2846}"/>
    <cellStyle name="40% - Accent1 7 2 4" xfId="12169" xr:uid="{F33954BE-F719-4D81-8B89-EEA3CF510253}"/>
    <cellStyle name="40% - Accent1 7 3" xfId="5792" xr:uid="{00000000-0005-0000-0000-000059040000}"/>
    <cellStyle name="40% - Accent1 7 3 2" xfId="23522" xr:uid="{1D4613F0-CED9-4926-B09A-6461C6D7C61C}"/>
    <cellStyle name="40% - Accent1 7 3 3" xfId="14242" xr:uid="{939D8413-E6E7-4518-BC72-D38695E50F41}"/>
    <cellStyle name="40% - Accent1 7 4" xfId="19305" xr:uid="{685E7B41-17D9-4FE6-83B8-633868E455D9}"/>
    <cellStyle name="40% - Accent1 7 5" xfId="10024" xr:uid="{0010B28E-60A4-4DC0-9FEC-D2DDF00C5E78}"/>
    <cellStyle name="40% - Accent1 8" xfId="1899" xr:uid="{00000000-0005-0000-0000-00005A040000}"/>
    <cellStyle name="40% - Accent1 8 2" xfId="4128" xr:uid="{00000000-0005-0000-0000-00005B040000}"/>
    <cellStyle name="40% - Accent1 8 2 2" xfId="8350" xr:uid="{00000000-0005-0000-0000-00005C040000}"/>
    <cellStyle name="40% - Accent1 8 2 2 2" xfId="26080" xr:uid="{D1E5DE22-907A-44A5-8C1B-54DA8622F1B2}"/>
    <cellStyle name="40% - Accent1 8 2 2 3" xfId="16800" xr:uid="{E6486DF8-9CAB-4B2C-8B53-89E07A0FD4D7}"/>
    <cellStyle name="40% - Accent1 8 2 3" xfId="21863" xr:uid="{6F84B098-3E7B-4DE4-88E0-4590779AF731}"/>
    <cellStyle name="40% - Accent1 8 2 4" xfId="12582" xr:uid="{DC6260AE-50A2-4E25-9CC6-A67016187918}"/>
    <cellStyle name="40% - Accent1 8 3" xfId="6205" xr:uid="{00000000-0005-0000-0000-00005D040000}"/>
    <cellStyle name="40% - Accent1 8 3 2" xfId="23935" xr:uid="{25EBE757-0934-4FD2-9DBF-8E7BFDC5017C}"/>
    <cellStyle name="40% - Accent1 8 3 3" xfId="14655" xr:uid="{C0FD84B4-CAF7-4F88-A69B-191C090D4E60}"/>
    <cellStyle name="40% - Accent1 8 4" xfId="19718" xr:uid="{2D1F8B4C-9BE7-4F77-848B-8241FDF7BBF7}"/>
    <cellStyle name="40% - Accent1 8 5" xfId="10437" xr:uid="{57AA01B6-CEAC-42C0-B921-F03FDF7126FB}"/>
    <cellStyle name="40% - Accent1 9" xfId="2312" xr:uid="{00000000-0005-0000-0000-00005E040000}"/>
    <cellStyle name="40% - Accent1 9 2" xfId="6618" xr:uid="{00000000-0005-0000-0000-00005F040000}"/>
    <cellStyle name="40% - Accent1 9 2 2" xfId="24348" xr:uid="{F7B766C9-CAB2-459D-BEC1-1A47D2F40E2E}"/>
    <cellStyle name="40% - Accent1 9 2 3" xfId="15068" xr:uid="{0301A7F6-B589-4EED-8130-741CA5EED2A3}"/>
    <cellStyle name="40% - Accent1 9 3" xfId="20131" xr:uid="{D64751E9-AFA8-4641-81E5-0DD582E2BF06}"/>
    <cellStyle name="40% - Accent1 9 4" xfId="10850" xr:uid="{081E387A-E999-4EE2-A55C-ADC714B88DD8}"/>
    <cellStyle name="40% - Accent2" xfId="57" builtinId="35" customBuiltin="1"/>
    <cellStyle name="40% - Accent2 10" xfId="4560" xr:uid="{00000000-0005-0000-0000-000061040000}"/>
    <cellStyle name="40% - Accent2 10 2" xfId="22290" xr:uid="{DDB2AF9E-55C8-4771-8021-4FAC5F4BEACC}"/>
    <cellStyle name="40% - Accent2 10 3" xfId="13010" xr:uid="{AA843E2E-FE7C-4AA6-A396-CA3EEC995A7F}"/>
    <cellStyle name="40% - Accent2 11" xfId="18073" xr:uid="{361E5A2B-505E-4D82-8DD9-D03B3901B7A6}"/>
    <cellStyle name="40% - Accent2 12" xfId="17240" xr:uid="{BB4B1B81-9E6F-4A1A-B2A9-21C3B16E5B26}"/>
    <cellStyle name="40% - Accent2 13" xfId="8792" xr:uid="{D5AA8AA1-D85C-4D08-A847-64FA3C8342D1}"/>
    <cellStyle name="40% - Accent2 2" xfId="58" xr:uid="{00000000-0005-0000-0000-000062040000}"/>
    <cellStyle name="40% - Accent2 2 10" xfId="18074" xr:uid="{7C7F2666-4A71-46FF-8707-40101E42B6B9}"/>
    <cellStyle name="40% - Accent2 2 11" xfId="17241" xr:uid="{190F5D17-8286-402F-A265-2DA73D1D7ECB}"/>
    <cellStyle name="40% - Accent2 2 12" xfId="8793" xr:uid="{23051B52-C6B0-4115-8F3A-611ED8DC74C2}"/>
    <cellStyle name="40% - Accent2 2 2" xfId="59" xr:uid="{00000000-0005-0000-0000-000063040000}"/>
    <cellStyle name="40% - Accent2 2 2 10" xfId="17242" xr:uid="{CA3AF459-1D5D-496B-B21E-A9E4E1B3E93A}"/>
    <cellStyle name="40% - Accent2 2 2 11" xfId="8794" xr:uid="{2F3A2A5E-CA86-4963-A202-A0C0AB6CCED0}"/>
    <cellStyle name="40% - Accent2 2 2 2" xfId="60" xr:uid="{00000000-0005-0000-0000-000064040000}"/>
    <cellStyle name="40% - Accent2 2 2 2 10" xfId="8795" xr:uid="{6EB19621-E718-44A2-AA27-0AE162B6BD15}"/>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24852" xr:uid="{5CE33323-B0A8-48C0-B10E-E4A74E7D7C61}"/>
    <cellStyle name="40% - Accent2 2 2 2 2 2 2 3" xfId="15572" xr:uid="{CCB28037-44FE-445A-B495-0FA834A3C96C}"/>
    <cellStyle name="40% - Accent2 2 2 2 2 2 3" xfId="20635" xr:uid="{C24AD21B-7756-49E5-8B5D-8AD822AFD5CD}"/>
    <cellStyle name="40% - Accent2 2 2 2 2 2 4" xfId="11354" xr:uid="{50CC9C96-7BE9-4CF1-A192-5D319CF60284}"/>
    <cellStyle name="40% - Accent2 2 2 2 2 3" xfId="4977" xr:uid="{00000000-0005-0000-0000-000068040000}"/>
    <cellStyle name="40% - Accent2 2 2 2 2 3 2" xfId="22707" xr:uid="{53D75143-0776-423E-A994-14001856A356}"/>
    <cellStyle name="40% - Accent2 2 2 2 2 3 3" xfId="13427" xr:uid="{2DFFB4BB-CD1C-4848-A592-2606C62B2E90}"/>
    <cellStyle name="40% - Accent2 2 2 2 2 4" xfId="18490" xr:uid="{7BA1F3F4-127E-4C15-B899-D145DA3BB044}"/>
    <cellStyle name="40% - Accent2 2 2 2 2 5" xfId="17660" xr:uid="{BCAD2562-89CF-4774-9788-8A50C053E3FF}"/>
    <cellStyle name="40% - Accent2 2 2 2 2 6" xfId="9209" xr:uid="{FD91ED44-8476-44A5-9589-86B8A867AFA6}"/>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25265" xr:uid="{2DA09C94-D6CC-4D4E-8580-678216F347A3}"/>
    <cellStyle name="40% - Accent2 2 2 2 3 2 2 3" xfId="15985" xr:uid="{9FD3D00A-23CE-42A6-917E-5649ED7FDD05}"/>
    <cellStyle name="40% - Accent2 2 2 2 3 2 3" xfId="21048" xr:uid="{42AAB148-93E0-40E0-8D2A-00A567A307C7}"/>
    <cellStyle name="40% - Accent2 2 2 2 3 2 4" xfId="11767" xr:uid="{33C5D1FB-150E-4804-BC15-7530600B0E16}"/>
    <cellStyle name="40% - Accent2 2 2 2 3 3" xfId="5390" xr:uid="{00000000-0005-0000-0000-00006C040000}"/>
    <cellStyle name="40% - Accent2 2 2 2 3 3 2" xfId="23120" xr:uid="{0361BEF5-689F-4239-9BDA-1513B1F61B32}"/>
    <cellStyle name="40% - Accent2 2 2 2 3 3 3" xfId="13840" xr:uid="{A713FE5C-6035-4DB8-82A9-E54D7EDC5E23}"/>
    <cellStyle name="40% - Accent2 2 2 2 3 4" xfId="18903" xr:uid="{FA099A8C-672E-488F-9864-789DE54BD72B}"/>
    <cellStyle name="40% - Accent2 2 2 2 3 5" xfId="9622" xr:uid="{3BB786F3-620E-4308-9703-D55ACA72FC29}"/>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25678" xr:uid="{FA1BFABE-9623-4EBE-9A49-21D2A467C049}"/>
    <cellStyle name="40% - Accent2 2 2 2 4 2 2 3" xfId="16398" xr:uid="{86D6B100-61A3-4B38-9231-8745C596C894}"/>
    <cellStyle name="40% - Accent2 2 2 2 4 2 3" xfId="21461" xr:uid="{8F6C5462-03A1-48DA-A86C-499A84F727EF}"/>
    <cellStyle name="40% - Accent2 2 2 2 4 2 4" xfId="12180" xr:uid="{01EAE83E-F200-47EB-BC77-36BC46D109D0}"/>
    <cellStyle name="40% - Accent2 2 2 2 4 3" xfId="5803" xr:uid="{00000000-0005-0000-0000-000070040000}"/>
    <cellStyle name="40% - Accent2 2 2 2 4 3 2" xfId="23533" xr:uid="{A1B55172-76C2-4CA3-87A1-E0AC19B96C60}"/>
    <cellStyle name="40% - Accent2 2 2 2 4 3 3" xfId="14253" xr:uid="{8BA606FE-88CB-46EF-9F06-285BD2FA7EDD}"/>
    <cellStyle name="40% - Accent2 2 2 2 4 4" xfId="19316" xr:uid="{75FEF5D4-6D08-41DC-9DD1-C700EF440DB3}"/>
    <cellStyle name="40% - Accent2 2 2 2 4 5" xfId="10035" xr:uid="{0AA3EC2F-DE1D-4B55-BE62-F0C01ED703D3}"/>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26091" xr:uid="{C0A2ED37-1988-4CAC-BCE6-38D1A6C87B60}"/>
    <cellStyle name="40% - Accent2 2 2 2 5 2 2 3" xfId="16811" xr:uid="{95BEE265-AFB0-43D2-8F2F-A63604E7DA4C}"/>
    <cellStyle name="40% - Accent2 2 2 2 5 2 3" xfId="21874" xr:uid="{BFC8FB62-1598-4311-9239-13873036EEA0}"/>
    <cellStyle name="40% - Accent2 2 2 2 5 2 4" xfId="12593" xr:uid="{CC4B8D4F-8931-4652-BAF0-972D8BA131DF}"/>
    <cellStyle name="40% - Accent2 2 2 2 5 3" xfId="6216" xr:uid="{00000000-0005-0000-0000-000074040000}"/>
    <cellStyle name="40% - Accent2 2 2 2 5 3 2" xfId="23946" xr:uid="{9792CF38-844C-4B90-84F0-0D24F0295CDE}"/>
    <cellStyle name="40% - Accent2 2 2 2 5 3 3" xfId="14666" xr:uid="{776C8AD6-5D9C-4D92-9E70-097EE7925B27}"/>
    <cellStyle name="40% - Accent2 2 2 2 5 4" xfId="19729" xr:uid="{8DFC881A-CC62-41E5-B972-FAEE71465919}"/>
    <cellStyle name="40% - Accent2 2 2 2 5 5" xfId="10448" xr:uid="{4157A06E-AEAD-41C0-AF74-F9E69100D92E}"/>
    <cellStyle name="40% - Accent2 2 2 2 6" xfId="2323" xr:uid="{00000000-0005-0000-0000-000075040000}"/>
    <cellStyle name="40% - Accent2 2 2 2 6 2" xfId="6629" xr:uid="{00000000-0005-0000-0000-000076040000}"/>
    <cellStyle name="40% - Accent2 2 2 2 6 2 2" xfId="24359" xr:uid="{C6A1CE1C-8C06-456C-9CE9-C96891E580BB}"/>
    <cellStyle name="40% - Accent2 2 2 2 6 2 3" xfId="15079" xr:uid="{E7AB327B-A083-4FEB-A516-99669B4C79E8}"/>
    <cellStyle name="40% - Accent2 2 2 2 6 3" xfId="20142" xr:uid="{B384B6DE-F6C0-4D1E-AFE9-DC7E196E01E3}"/>
    <cellStyle name="40% - Accent2 2 2 2 6 4" xfId="10861" xr:uid="{FE5BBD1A-FA10-401D-8EE6-D5D659713D2E}"/>
    <cellStyle name="40% - Accent2 2 2 2 7" xfId="4563" xr:uid="{00000000-0005-0000-0000-000077040000}"/>
    <cellStyle name="40% - Accent2 2 2 2 7 2" xfId="22293" xr:uid="{0B0F054B-B719-47A5-A77E-A4EA428EC1A4}"/>
    <cellStyle name="40% - Accent2 2 2 2 7 3" xfId="13013" xr:uid="{A6B32578-0E93-4DC4-8A5E-32DC028FCCB3}"/>
    <cellStyle name="40% - Accent2 2 2 2 8" xfId="18076" xr:uid="{8DFE03EF-8D93-4699-A7D4-F8657DA20EBF}"/>
    <cellStyle name="40% - Accent2 2 2 2 9" xfId="17243" xr:uid="{E6C70D6F-5603-4385-A300-6DF0DF2A19F4}"/>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24851" xr:uid="{8D679F66-44DE-4ABB-A7C1-F75AF7AEFB22}"/>
    <cellStyle name="40% - Accent2 2 2 3 2 2 3" xfId="15571" xr:uid="{F7C9BBEA-5F8B-4327-A185-CAB7F4827766}"/>
    <cellStyle name="40% - Accent2 2 2 3 2 3" xfId="20634" xr:uid="{1705EC27-9B42-4A42-A846-D56337A12B66}"/>
    <cellStyle name="40% - Accent2 2 2 3 2 4" xfId="11353" xr:uid="{9E8F18B6-B2FC-4B8C-9308-079A680AC85C}"/>
    <cellStyle name="40% - Accent2 2 2 3 3" xfId="4976" xr:uid="{00000000-0005-0000-0000-00007B040000}"/>
    <cellStyle name="40% - Accent2 2 2 3 3 2" xfId="22706" xr:uid="{2923C7A8-BAFC-4D19-AAED-E48F830D9258}"/>
    <cellStyle name="40% - Accent2 2 2 3 3 3" xfId="13426" xr:uid="{48976435-82BD-4467-9767-9ED1BF779FFC}"/>
    <cellStyle name="40% - Accent2 2 2 3 4" xfId="18489" xr:uid="{0C3A8CE1-D6CF-4248-9E1C-C813FB99C158}"/>
    <cellStyle name="40% - Accent2 2 2 3 5" xfId="17659" xr:uid="{CC50CE87-1084-406B-999E-D1C893741032}"/>
    <cellStyle name="40% - Accent2 2 2 3 6" xfId="9208" xr:uid="{015D871A-332A-490C-877A-D58319C38F83}"/>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25264" xr:uid="{66F96475-CC87-4F52-8850-9F4428FBFA9C}"/>
    <cellStyle name="40% - Accent2 2 2 4 2 2 3" xfId="15984" xr:uid="{53B34ED7-3E4C-48DA-91EC-A4DD83771791}"/>
    <cellStyle name="40% - Accent2 2 2 4 2 3" xfId="21047" xr:uid="{E7F2ACB5-5091-4F67-9D95-241FA184A008}"/>
    <cellStyle name="40% - Accent2 2 2 4 2 4" xfId="11766" xr:uid="{45A53402-5BBA-4F29-B0F9-A05803AA9A42}"/>
    <cellStyle name="40% - Accent2 2 2 4 3" xfId="5389" xr:uid="{00000000-0005-0000-0000-00007F040000}"/>
    <cellStyle name="40% - Accent2 2 2 4 3 2" xfId="23119" xr:uid="{00E20E2D-60B5-4F1E-9AF6-37917DCDE4BB}"/>
    <cellStyle name="40% - Accent2 2 2 4 3 3" xfId="13839" xr:uid="{F6C42AE3-45C5-4426-BBDF-EC63CDF556F7}"/>
    <cellStyle name="40% - Accent2 2 2 4 4" xfId="18902" xr:uid="{3D85B0C6-0154-4430-A03D-908D63318B8C}"/>
    <cellStyle name="40% - Accent2 2 2 4 5" xfId="9621" xr:uid="{596FC335-821E-4B90-BAD2-4838AFF6EB9F}"/>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25677" xr:uid="{BD4147C1-09CA-492F-B29A-F9C79FB1852B}"/>
    <cellStyle name="40% - Accent2 2 2 5 2 2 3" xfId="16397" xr:uid="{40B4F5BD-1DA3-4B94-BFE5-0609C7A8E20A}"/>
    <cellStyle name="40% - Accent2 2 2 5 2 3" xfId="21460" xr:uid="{AE76E7C1-DD7E-41E1-AD18-D7CEC12E9F1E}"/>
    <cellStyle name="40% - Accent2 2 2 5 2 4" xfId="12179" xr:uid="{F6BDA532-7464-4D82-A936-997141533CD7}"/>
    <cellStyle name="40% - Accent2 2 2 5 3" xfId="5802" xr:uid="{00000000-0005-0000-0000-000083040000}"/>
    <cellStyle name="40% - Accent2 2 2 5 3 2" xfId="23532" xr:uid="{22E2B302-6781-4AD1-9FB7-9F04F4ABAF9F}"/>
    <cellStyle name="40% - Accent2 2 2 5 3 3" xfId="14252" xr:uid="{BDAA12D3-A541-499A-839C-D967F3D31F82}"/>
    <cellStyle name="40% - Accent2 2 2 5 4" xfId="19315" xr:uid="{9A57D707-576B-4514-92D9-2ED27D66DB62}"/>
    <cellStyle name="40% - Accent2 2 2 5 5" xfId="10034" xr:uid="{CF09ED65-7177-4055-BC0B-F525A27CD675}"/>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26090" xr:uid="{A8ED8D33-71A7-49D6-9437-C2F71AA1D355}"/>
    <cellStyle name="40% - Accent2 2 2 6 2 2 3" xfId="16810" xr:uid="{9FA4B970-4A2E-4BD7-8832-15DD3C569F89}"/>
    <cellStyle name="40% - Accent2 2 2 6 2 3" xfId="21873" xr:uid="{D2A698F1-D9CF-4723-8A87-63008FD1553E}"/>
    <cellStyle name="40% - Accent2 2 2 6 2 4" xfId="12592" xr:uid="{69D154EC-C0F2-4DDB-BD74-3A0DC0E6599A}"/>
    <cellStyle name="40% - Accent2 2 2 6 3" xfId="6215" xr:uid="{00000000-0005-0000-0000-000087040000}"/>
    <cellStyle name="40% - Accent2 2 2 6 3 2" xfId="23945" xr:uid="{BA5B1C79-3DBB-41E9-84C7-3426F57A0804}"/>
    <cellStyle name="40% - Accent2 2 2 6 3 3" xfId="14665" xr:uid="{98219759-C5F2-489F-9D6A-237A614CCD35}"/>
    <cellStyle name="40% - Accent2 2 2 6 4" xfId="19728" xr:uid="{EA97275A-2F02-406C-AD28-D782E930D384}"/>
    <cellStyle name="40% - Accent2 2 2 6 5" xfId="10447" xr:uid="{BB6A4161-68AC-413D-8B8E-7216C74A59AA}"/>
    <cellStyle name="40% - Accent2 2 2 7" xfId="2322" xr:uid="{00000000-0005-0000-0000-000088040000}"/>
    <cellStyle name="40% - Accent2 2 2 7 2" xfId="6628" xr:uid="{00000000-0005-0000-0000-000089040000}"/>
    <cellStyle name="40% - Accent2 2 2 7 2 2" xfId="24358" xr:uid="{CBEE25FD-9401-476A-A16A-4391C135596F}"/>
    <cellStyle name="40% - Accent2 2 2 7 2 3" xfId="15078" xr:uid="{28BC4DE4-847C-4B45-8C7F-B71323A1A3A6}"/>
    <cellStyle name="40% - Accent2 2 2 7 3" xfId="20141" xr:uid="{F0D15C29-6B6A-41C4-AC32-87AB83647592}"/>
    <cellStyle name="40% - Accent2 2 2 7 4" xfId="10860" xr:uid="{D7D0BDBB-1B07-4001-A717-A954E4B9A62E}"/>
    <cellStyle name="40% - Accent2 2 2 8" xfId="4562" xr:uid="{00000000-0005-0000-0000-00008A040000}"/>
    <cellStyle name="40% - Accent2 2 2 8 2" xfId="22292" xr:uid="{BF31E87E-9E34-48AD-B305-4F28CD9EAB70}"/>
    <cellStyle name="40% - Accent2 2 2 8 3" xfId="13012" xr:uid="{046EEFA6-4F71-4D51-AB4D-0B8DBBE91EE4}"/>
    <cellStyle name="40% - Accent2 2 2 9" xfId="18075" xr:uid="{7734BA59-71C5-4180-BE47-7651A3668172}"/>
    <cellStyle name="40% - Accent2 2 3" xfId="61" xr:uid="{00000000-0005-0000-0000-00008B040000}"/>
    <cellStyle name="40% - Accent2 2 3 10" xfId="8796" xr:uid="{6970336B-18C3-44F2-B3ED-10E5A04A32D5}"/>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24853" xr:uid="{5958D41A-CE94-4098-BEF3-30B221F0B0CB}"/>
    <cellStyle name="40% - Accent2 2 3 2 2 2 3" xfId="15573" xr:uid="{9AEE86BB-C5CA-40F2-8B53-24CF6BD080F5}"/>
    <cellStyle name="40% - Accent2 2 3 2 2 3" xfId="20636" xr:uid="{29CDCDB6-F47C-4BE2-BA78-3AD136026744}"/>
    <cellStyle name="40% - Accent2 2 3 2 2 4" xfId="11355" xr:uid="{84CC1C94-5E21-4C38-A292-F8B74D9DEE94}"/>
    <cellStyle name="40% - Accent2 2 3 2 3" xfId="4978" xr:uid="{00000000-0005-0000-0000-00008F040000}"/>
    <cellStyle name="40% - Accent2 2 3 2 3 2" xfId="22708" xr:uid="{B7AC6257-5D53-4AF3-9B5A-2A6D36492AC6}"/>
    <cellStyle name="40% - Accent2 2 3 2 3 3" xfId="13428" xr:uid="{40459522-0050-482D-AB3E-D7C74F5796FF}"/>
    <cellStyle name="40% - Accent2 2 3 2 4" xfId="18491" xr:uid="{05B68967-7B27-459D-B079-E4E9F686E4B3}"/>
    <cellStyle name="40% - Accent2 2 3 2 5" xfId="17661" xr:uid="{8B127582-B5CE-414B-B08C-AA677DF5D2BB}"/>
    <cellStyle name="40% - Accent2 2 3 2 6" xfId="9210" xr:uid="{9F2D6CCA-CA3B-4D10-99BE-C99BB0A95D42}"/>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25266" xr:uid="{91015EBE-37F7-4F7C-85BC-19CC9A413EC3}"/>
    <cellStyle name="40% - Accent2 2 3 3 2 2 3" xfId="15986" xr:uid="{B3982015-A71E-40AE-A22D-0F206CA2A022}"/>
    <cellStyle name="40% - Accent2 2 3 3 2 3" xfId="21049" xr:uid="{0735D251-1C1A-4622-AB5F-72274E6A86AC}"/>
    <cellStyle name="40% - Accent2 2 3 3 2 4" xfId="11768" xr:uid="{6A16884F-8CDE-4580-8E5C-7B498EE79460}"/>
    <cellStyle name="40% - Accent2 2 3 3 3" xfId="5391" xr:uid="{00000000-0005-0000-0000-000093040000}"/>
    <cellStyle name="40% - Accent2 2 3 3 3 2" xfId="23121" xr:uid="{C4FF35CA-80D2-477B-85A2-069B91FB15EE}"/>
    <cellStyle name="40% - Accent2 2 3 3 3 3" xfId="13841" xr:uid="{10CD3791-97FD-4341-9CA8-D17168DBD069}"/>
    <cellStyle name="40% - Accent2 2 3 3 4" xfId="18904" xr:uid="{E2E1FE2A-45BC-4B03-B41C-C54B9E2363B6}"/>
    <cellStyle name="40% - Accent2 2 3 3 5" xfId="9623" xr:uid="{BE5C0AE5-39C9-4BDB-916A-ACAE0DAF2AE2}"/>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25679" xr:uid="{CA5C91CB-4CC5-4428-A7FD-FD49472D90A3}"/>
    <cellStyle name="40% - Accent2 2 3 4 2 2 3" xfId="16399" xr:uid="{9E25AEF3-5CAA-490F-B130-B460261FD27A}"/>
    <cellStyle name="40% - Accent2 2 3 4 2 3" xfId="21462" xr:uid="{5E95A9F3-6508-4C2B-B2AA-D0EE647E1B2D}"/>
    <cellStyle name="40% - Accent2 2 3 4 2 4" xfId="12181" xr:uid="{5C6786AC-6286-4304-8F7A-5BE252CAA329}"/>
    <cellStyle name="40% - Accent2 2 3 4 3" xfId="5804" xr:uid="{00000000-0005-0000-0000-000097040000}"/>
    <cellStyle name="40% - Accent2 2 3 4 3 2" xfId="23534" xr:uid="{132B2CFF-30B6-4532-A3A7-C79579A6C7D6}"/>
    <cellStyle name="40% - Accent2 2 3 4 3 3" xfId="14254" xr:uid="{D0FDA847-3542-44DF-8682-9890D6924927}"/>
    <cellStyle name="40% - Accent2 2 3 4 4" xfId="19317" xr:uid="{8F9E78A7-5F81-4E06-BBD8-B33B6B4DA298}"/>
    <cellStyle name="40% - Accent2 2 3 4 5" xfId="10036" xr:uid="{46AFD713-7E69-4FAC-9E78-72039692AA88}"/>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26092" xr:uid="{4C50C252-D6C0-484A-BF27-C45880B0E5CF}"/>
    <cellStyle name="40% - Accent2 2 3 5 2 2 3" xfId="16812" xr:uid="{353F91F6-27D3-4D1D-B3E3-D5A66032256E}"/>
    <cellStyle name="40% - Accent2 2 3 5 2 3" xfId="21875" xr:uid="{3EFFEAD6-79A6-438E-A2DC-98B564514D3D}"/>
    <cellStyle name="40% - Accent2 2 3 5 2 4" xfId="12594" xr:uid="{6AEDA279-3ABE-4AB6-80E9-60D53296D1F8}"/>
    <cellStyle name="40% - Accent2 2 3 5 3" xfId="6217" xr:uid="{00000000-0005-0000-0000-00009B040000}"/>
    <cellStyle name="40% - Accent2 2 3 5 3 2" xfId="23947" xr:uid="{83BAF4C1-6E83-4FC0-939B-6739409F2451}"/>
    <cellStyle name="40% - Accent2 2 3 5 3 3" xfId="14667" xr:uid="{9851EA00-3B68-4DC2-AE67-680321E2A2DB}"/>
    <cellStyle name="40% - Accent2 2 3 5 4" xfId="19730" xr:uid="{3EE72A2A-7D1F-4F18-AA0A-4F2ED7505A2A}"/>
    <cellStyle name="40% - Accent2 2 3 5 5" xfId="10449" xr:uid="{9F89AD49-F380-4659-BBAA-65057EB1EE73}"/>
    <cellStyle name="40% - Accent2 2 3 6" xfId="2324" xr:uid="{00000000-0005-0000-0000-00009C040000}"/>
    <cellStyle name="40% - Accent2 2 3 6 2" xfId="6630" xr:uid="{00000000-0005-0000-0000-00009D040000}"/>
    <cellStyle name="40% - Accent2 2 3 6 2 2" xfId="24360" xr:uid="{1710266E-27E5-44EF-A801-9FEED098E4FF}"/>
    <cellStyle name="40% - Accent2 2 3 6 2 3" xfId="15080" xr:uid="{B92CE646-BBC0-41F8-9A3A-595274657F7B}"/>
    <cellStyle name="40% - Accent2 2 3 6 3" xfId="20143" xr:uid="{FCE393D5-2C91-4BF7-9618-DC23FF42E2FD}"/>
    <cellStyle name="40% - Accent2 2 3 6 4" xfId="10862" xr:uid="{32711DFF-1BF4-41A5-AADB-64AC253DDA01}"/>
    <cellStyle name="40% - Accent2 2 3 7" xfId="4564" xr:uid="{00000000-0005-0000-0000-00009E040000}"/>
    <cellStyle name="40% - Accent2 2 3 7 2" xfId="22294" xr:uid="{5ADC2930-0E89-4FE2-8268-B74F89CDD65C}"/>
    <cellStyle name="40% - Accent2 2 3 7 3" xfId="13014" xr:uid="{5FE637AA-AE4C-443E-A55E-A9E0C508B5F9}"/>
    <cellStyle name="40% - Accent2 2 3 8" xfId="18077" xr:uid="{5E756C94-9415-4CEE-AFC1-C195AA534EE5}"/>
    <cellStyle name="40% - Accent2 2 3 9" xfId="17244" xr:uid="{19575DBA-A474-4365-A9AA-CF6D30FF4186}"/>
    <cellStyle name="40% - Accent2 2 4" xfId="627" xr:uid="{00000000-0005-0000-0000-00009F040000}"/>
    <cellStyle name="40% - Accent2 2 4 2" xfId="2898" xr:uid="{00000000-0005-0000-0000-0000A0040000}"/>
    <cellStyle name="40% - Accent2 2 4 2 2" xfId="7120" xr:uid="{00000000-0005-0000-0000-0000A1040000}"/>
    <cellStyle name="40% - Accent2 2 4 2 2 2" xfId="24850" xr:uid="{5655A25C-23E9-4AFB-B557-486CA4287E3D}"/>
    <cellStyle name="40% - Accent2 2 4 2 2 3" xfId="15570" xr:uid="{F975B5A3-FDBA-40A2-B872-8B729B871466}"/>
    <cellStyle name="40% - Accent2 2 4 2 3" xfId="20633" xr:uid="{9CE61552-937B-4F54-A6A5-3E22A64CF3E1}"/>
    <cellStyle name="40% - Accent2 2 4 2 4" xfId="11352" xr:uid="{5FC7E549-9F57-458B-A427-F25A54404CF4}"/>
    <cellStyle name="40% - Accent2 2 4 3" xfId="4975" xr:uid="{00000000-0005-0000-0000-0000A2040000}"/>
    <cellStyle name="40% - Accent2 2 4 3 2" xfId="22705" xr:uid="{870DAE1B-A6BE-4994-BB49-4B6C333D785D}"/>
    <cellStyle name="40% - Accent2 2 4 3 3" xfId="13425" xr:uid="{FCFCB5A4-9715-47F4-8D45-ACE82563D41A}"/>
    <cellStyle name="40% - Accent2 2 4 4" xfId="18488" xr:uid="{A4C6EA04-C234-4C79-861B-EAA55E4A0096}"/>
    <cellStyle name="40% - Accent2 2 4 5" xfId="17658" xr:uid="{302436F6-4817-48BB-8762-78F9E57A8E9C}"/>
    <cellStyle name="40% - Accent2 2 4 6" xfId="9207" xr:uid="{3732AE60-E7E7-4157-830F-F4547041C104}"/>
    <cellStyle name="40% - Accent2 2 5" xfId="1080" xr:uid="{00000000-0005-0000-0000-0000A3040000}"/>
    <cellStyle name="40% - Accent2 2 5 2" xfId="3311" xr:uid="{00000000-0005-0000-0000-0000A4040000}"/>
    <cellStyle name="40% - Accent2 2 5 2 2" xfId="7533" xr:uid="{00000000-0005-0000-0000-0000A5040000}"/>
    <cellStyle name="40% - Accent2 2 5 2 2 2" xfId="25263" xr:uid="{476B7230-70CB-4E36-8295-D7C12E752A37}"/>
    <cellStyle name="40% - Accent2 2 5 2 2 3" xfId="15983" xr:uid="{B7212BD0-DEB4-4EB8-A1D9-21387789C179}"/>
    <cellStyle name="40% - Accent2 2 5 2 3" xfId="21046" xr:uid="{A73EA5C8-6DCD-455F-BFC6-2CE63E0FB66E}"/>
    <cellStyle name="40% - Accent2 2 5 2 4" xfId="11765" xr:uid="{2390CC77-B515-469C-B188-C737930F9475}"/>
    <cellStyle name="40% - Accent2 2 5 3" xfId="5388" xr:uid="{00000000-0005-0000-0000-0000A6040000}"/>
    <cellStyle name="40% - Accent2 2 5 3 2" xfId="23118" xr:uid="{C316E998-0781-4E01-9E4C-9F9FE237BFAD}"/>
    <cellStyle name="40% - Accent2 2 5 3 3" xfId="13838" xr:uid="{1BD583C9-4EC6-4359-97EB-CF9DCC77E0D0}"/>
    <cellStyle name="40% - Accent2 2 5 4" xfId="18901" xr:uid="{FDD32F27-19E2-49EA-B316-40C86F0F89B0}"/>
    <cellStyle name="40% - Accent2 2 5 5" xfId="9620" xr:uid="{AC565B2D-51D3-49EB-84B9-22F09F40DD4E}"/>
    <cellStyle name="40% - Accent2 2 6" xfId="1494" xr:uid="{00000000-0005-0000-0000-0000A7040000}"/>
    <cellStyle name="40% - Accent2 2 6 2" xfId="3724" xr:uid="{00000000-0005-0000-0000-0000A8040000}"/>
    <cellStyle name="40% - Accent2 2 6 2 2" xfId="7946" xr:uid="{00000000-0005-0000-0000-0000A9040000}"/>
    <cellStyle name="40% - Accent2 2 6 2 2 2" xfId="25676" xr:uid="{AA2F533F-7EAA-4376-9CC8-52640F2C4692}"/>
    <cellStyle name="40% - Accent2 2 6 2 2 3" xfId="16396" xr:uid="{17DAFF8C-D1FD-42EC-9A3E-6DE32D1C1E0D}"/>
    <cellStyle name="40% - Accent2 2 6 2 3" xfId="21459" xr:uid="{CFEF179E-8319-4A8C-B345-39968B064F62}"/>
    <cellStyle name="40% - Accent2 2 6 2 4" xfId="12178" xr:uid="{115BA4E8-78F2-463A-BE2A-E4269EFF0340}"/>
    <cellStyle name="40% - Accent2 2 6 3" xfId="5801" xr:uid="{00000000-0005-0000-0000-0000AA040000}"/>
    <cellStyle name="40% - Accent2 2 6 3 2" xfId="23531" xr:uid="{CADFF1F8-948F-4731-91EA-70E69A431005}"/>
    <cellStyle name="40% - Accent2 2 6 3 3" xfId="14251" xr:uid="{B3D578C6-E0B3-4E34-A9A2-F18E423F2B69}"/>
    <cellStyle name="40% - Accent2 2 6 4" xfId="19314" xr:uid="{C4DCA088-0CC4-48FD-92D5-98CEE611E144}"/>
    <cellStyle name="40% - Accent2 2 6 5" xfId="10033" xr:uid="{7A458A69-22F3-4209-85C6-714B27A626EF}"/>
    <cellStyle name="40% - Accent2 2 7" xfId="1908" xr:uid="{00000000-0005-0000-0000-0000AB040000}"/>
    <cellStyle name="40% - Accent2 2 7 2" xfId="4137" xr:uid="{00000000-0005-0000-0000-0000AC040000}"/>
    <cellStyle name="40% - Accent2 2 7 2 2" xfId="8359" xr:uid="{00000000-0005-0000-0000-0000AD040000}"/>
    <cellStyle name="40% - Accent2 2 7 2 2 2" xfId="26089" xr:uid="{56C07251-631D-4BA0-ABFA-4CAF6DE8C346}"/>
    <cellStyle name="40% - Accent2 2 7 2 2 3" xfId="16809" xr:uid="{28DA8F39-CABC-4963-B926-1FC3CFC01418}"/>
    <cellStyle name="40% - Accent2 2 7 2 3" xfId="21872" xr:uid="{CDE9519D-A41A-4199-B60C-9A17254E71BA}"/>
    <cellStyle name="40% - Accent2 2 7 2 4" xfId="12591" xr:uid="{8A2DA10D-FDAF-4FCA-B2F3-D024C6CACF2B}"/>
    <cellStyle name="40% - Accent2 2 7 3" xfId="6214" xr:uid="{00000000-0005-0000-0000-0000AE040000}"/>
    <cellStyle name="40% - Accent2 2 7 3 2" xfId="23944" xr:uid="{B7373F47-86CD-4CBA-8223-BE7EC2E3BA5F}"/>
    <cellStyle name="40% - Accent2 2 7 3 3" xfId="14664" xr:uid="{9BEB850C-A0EC-440E-9EAE-9CC6EE315B72}"/>
    <cellStyle name="40% - Accent2 2 7 4" xfId="19727" xr:uid="{16EEACFD-95BD-4BF3-B334-FFB18C0974F3}"/>
    <cellStyle name="40% - Accent2 2 7 5" xfId="10446" xr:uid="{4EA67135-DC58-4DD5-A98C-042C7FFB0565}"/>
    <cellStyle name="40% - Accent2 2 8" xfId="2321" xr:uid="{00000000-0005-0000-0000-0000AF040000}"/>
    <cellStyle name="40% - Accent2 2 8 2" xfId="6627" xr:uid="{00000000-0005-0000-0000-0000B0040000}"/>
    <cellStyle name="40% - Accent2 2 8 2 2" xfId="24357" xr:uid="{A220EF66-D6BE-4286-8D24-202CE91C2658}"/>
    <cellStyle name="40% - Accent2 2 8 2 3" xfId="15077" xr:uid="{0FEA95AC-6AFC-4754-B51B-32915C4E2FB2}"/>
    <cellStyle name="40% - Accent2 2 8 3" xfId="20140" xr:uid="{7445DD74-2D7A-4D86-BA3F-6295828A7EA3}"/>
    <cellStyle name="40% - Accent2 2 8 4" xfId="10859" xr:uid="{C625E541-5985-4248-AE30-004A241030D8}"/>
    <cellStyle name="40% - Accent2 2 9" xfId="4561" xr:uid="{00000000-0005-0000-0000-0000B1040000}"/>
    <cellStyle name="40% - Accent2 2 9 2" xfId="22291" xr:uid="{0DA92215-3FE0-4332-A753-AF3058E43E9E}"/>
    <cellStyle name="40% - Accent2 2 9 3" xfId="13011" xr:uid="{381842A0-E807-4A05-A125-6938449BFB30}"/>
    <cellStyle name="40% - Accent2 3" xfId="62" xr:uid="{00000000-0005-0000-0000-0000B2040000}"/>
    <cellStyle name="40% - Accent2 3 10" xfId="17245" xr:uid="{FDEF5584-4476-486A-8E87-A87D134AD71D}"/>
    <cellStyle name="40% - Accent2 3 11" xfId="8797" xr:uid="{09FC43CD-01DF-44E2-862F-8B6718EF1A97}"/>
    <cellStyle name="40% - Accent2 3 2" xfId="63" xr:uid="{00000000-0005-0000-0000-0000B3040000}"/>
    <cellStyle name="40% - Accent2 3 2 10" xfId="8798" xr:uid="{40FBABDB-3BD9-4A26-94E3-1764974EB884}"/>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24855" xr:uid="{394D43D3-27CF-43DB-A9CD-293DB7E741FF}"/>
    <cellStyle name="40% - Accent2 3 2 2 2 2 3" xfId="15575" xr:uid="{80036B9E-90B6-414A-8533-468DA8E964E8}"/>
    <cellStyle name="40% - Accent2 3 2 2 2 3" xfId="20638" xr:uid="{D9A366CC-971E-4F6A-9DF7-2B94F78BC527}"/>
    <cellStyle name="40% - Accent2 3 2 2 2 4" xfId="11357" xr:uid="{D23517CB-7E9E-4BC0-A1A1-10911BEFCE40}"/>
    <cellStyle name="40% - Accent2 3 2 2 3" xfId="4980" xr:uid="{00000000-0005-0000-0000-0000B7040000}"/>
    <cellStyle name="40% - Accent2 3 2 2 3 2" xfId="22710" xr:uid="{2BEAD020-C81A-4606-AD60-2BAE3E0FF90A}"/>
    <cellStyle name="40% - Accent2 3 2 2 3 3" xfId="13430" xr:uid="{40F7C154-9225-4FCE-8AFD-3893C772429A}"/>
    <cellStyle name="40% - Accent2 3 2 2 4" xfId="18493" xr:uid="{D2510F3E-E87D-4B36-AF91-92266FADE742}"/>
    <cellStyle name="40% - Accent2 3 2 2 5" xfId="17663" xr:uid="{A690AEE8-8668-4557-A436-1295656B8B74}"/>
    <cellStyle name="40% - Accent2 3 2 2 6" xfId="9212" xr:uid="{C3054898-A0CB-46BC-A093-C58F8A71E333}"/>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25268" xr:uid="{2BD32D34-EF78-48C8-A0CA-4FBD19E23F5D}"/>
    <cellStyle name="40% - Accent2 3 2 3 2 2 3" xfId="15988" xr:uid="{AF2177AC-76BD-4235-8E1D-19239272E289}"/>
    <cellStyle name="40% - Accent2 3 2 3 2 3" xfId="21051" xr:uid="{2CEB5AD7-E406-438A-A4CC-873EC5BAC19F}"/>
    <cellStyle name="40% - Accent2 3 2 3 2 4" xfId="11770" xr:uid="{5569D186-6D1E-4FF9-A4C6-95A2AC5CC750}"/>
    <cellStyle name="40% - Accent2 3 2 3 3" xfId="5393" xr:uid="{00000000-0005-0000-0000-0000BB040000}"/>
    <cellStyle name="40% - Accent2 3 2 3 3 2" xfId="23123" xr:uid="{C445E477-AA26-49BB-8F88-2F7BC8B81F0C}"/>
    <cellStyle name="40% - Accent2 3 2 3 3 3" xfId="13843" xr:uid="{A4AADFDE-E644-4F3A-862D-6E28A053E20D}"/>
    <cellStyle name="40% - Accent2 3 2 3 4" xfId="18906" xr:uid="{B0990B8D-A378-4CBB-8E80-6A1C481DD93C}"/>
    <cellStyle name="40% - Accent2 3 2 3 5" xfId="9625" xr:uid="{233D2533-0D33-4FB2-8499-28F5548BD852}"/>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25681" xr:uid="{B14DCAC1-A755-4D86-9D33-B83D8E6FA5CD}"/>
    <cellStyle name="40% - Accent2 3 2 4 2 2 3" xfId="16401" xr:uid="{2F4E4D2C-D2D4-40E1-A13D-2A7C1FA4317A}"/>
    <cellStyle name="40% - Accent2 3 2 4 2 3" xfId="21464" xr:uid="{7F239625-FB97-41F1-B74B-9B6483DD656B}"/>
    <cellStyle name="40% - Accent2 3 2 4 2 4" xfId="12183" xr:uid="{A92C27C7-94E9-4264-BCAD-76154C6CB006}"/>
    <cellStyle name="40% - Accent2 3 2 4 3" xfId="5806" xr:uid="{00000000-0005-0000-0000-0000BF040000}"/>
    <cellStyle name="40% - Accent2 3 2 4 3 2" xfId="23536" xr:uid="{5F00926F-1A88-4567-8CC9-11796C65C13D}"/>
    <cellStyle name="40% - Accent2 3 2 4 3 3" xfId="14256" xr:uid="{DEE96DF6-5EF8-4146-B93F-A128F27FA83A}"/>
    <cellStyle name="40% - Accent2 3 2 4 4" xfId="19319" xr:uid="{CB2EBB35-D817-4A63-B05E-650649BB1938}"/>
    <cellStyle name="40% - Accent2 3 2 4 5" xfId="10038" xr:uid="{30486F03-53CC-4127-8A05-64838AA7B35B}"/>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26094" xr:uid="{C6804911-3C03-4D39-B0CC-FFA46DF8EF24}"/>
    <cellStyle name="40% - Accent2 3 2 5 2 2 3" xfId="16814" xr:uid="{E8938A60-90F3-43AC-8548-A279B8A00A11}"/>
    <cellStyle name="40% - Accent2 3 2 5 2 3" xfId="21877" xr:uid="{CBF997DE-37CE-4271-8856-8A2BC773C57E}"/>
    <cellStyle name="40% - Accent2 3 2 5 2 4" xfId="12596" xr:uid="{2D200185-3A90-4E5E-A287-38601888BBDA}"/>
    <cellStyle name="40% - Accent2 3 2 5 3" xfId="6219" xr:uid="{00000000-0005-0000-0000-0000C3040000}"/>
    <cellStyle name="40% - Accent2 3 2 5 3 2" xfId="23949" xr:uid="{940CC0BF-6E8D-40E2-ACC6-545B7E5D236D}"/>
    <cellStyle name="40% - Accent2 3 2 5 3 3" xfId="14669" xr:uid="{EFEAC22C-D079-480F-881D-626B41220925}"/>
    <cellStyle name="40% - Accent2 3 2 5 4" xfId="19732" xr:uid="{16383B17-F20D-4FFB-85E4-7138628A181B}"/>
    <cellStyle name="40% - Accent2 3 2 5 5" xfId="10451" xr:uid="{FB0FDABA-8A67-4173-998D-50D89E26B1BB}"/>
    <cellStyle name="40% - Accent2 3 2 6" xfId="2326" xr:uid="{00000000-0005-0000-0000-0000C4040000}"/>
    <cellStyle name="40% - Accent2 3 2 6 2" xfId="6632" xr:uid="{00000000-0005-0000-0000-0000C5040000}"/>
    <cellStyle name="40% - Accent2 3 2 6 2 2" xfId="24362" xr:uid="{A9652F1B-8F50-4049-9971-F92C7B496FB8}"/>
    <cellStyle name="40% - Accent2 3 2 6 2 3" xfId="15082" xr:uid="{D358CB83-5751-4380-808E-8553A1E15B89}"/>
    <cellStyle name="40% - Accent2 3 2 6 3" xfId="20145" xr:uid="{2F6AD63F-1967-434D-B36F-F073AE4DCDB8}"/>
    <cellStyle name="40% - Accent2 3 2 6 4" xfId="10864" xr:uid="{DFDB4683-6F01-487C-87B9-2B4FF47F2E7E}"/>
    <cellStyle name="40% - Accent2 3 2 7" xfId="4566" xr:uid="{00000000-0005-0000-0000-0000C6040000}"/>
    <cellStyle name="40% - Accent2 3 2 7 2" xfId="22296" xr:uid="{E5B5BBFD-5AA5-49C4-ADD7-04D6ABF133D2}"/>
    <cellStyle name="40% - Accent2 3 2 7 3" xfId="13016" xr:uid="{C687D8B3-B3EF-4E32-BEB4-9DCF1CD2A7A4}"/>
    <cellStyle name="40% - Accent2 3 2 8" xfId="18079" xr:uid="{44D6EB8B-CBDB-40E2-90DC-0B19F7661AB1}"/>
    <cellStyle name="40% - Accent2 3 2 9" xfId="17246" xr:uid="{7BA0DE45-AD19-45F8-8961-5EDEF63CE391}"/>
    <cellStyle name="40% - Accent2 3 3" xfId="631" xr:uid="{00000000-0005-0000-0000-0000C7040000}"/>
    <cellStyle name="40% - Accent2 3 3 2" xfId="2902" xr:uid="{00000000-0005-0000-0000-0000C8040000}"/>
    <cellStyle name="40% - Accent2 3 3 2 2" xfId="7124" xr:uid="{00000000-0005-0000-0000-0000C9040000}"/>
    <cellStyle name="40% - Accent2 3 3 2 2 2" xfId="24854" xr:uid="{680EED0E-E1FD-4E06-8722-D6F44278491A}"/>
    <cellStyle name="40% - Accent2 3 3 2 2 3" xfId="15574" xr:uid="{8B7BF61C-585B-48A2-9A22-A18218C46221}"/>
    <cellStyle name="40% - Accent2 3 3 2 3" xfId="20637" xr:uid="{8C31B3D3-4F54-43E4-86F9-09638DF8A7E0}"/>
    <cellStyle name="40% - Accent2 3 3 2 4" xfId="11356" xr:uid="{1C706BEE-E74C-4D56-952A-B21B85579DBE}"/>
    <cellStyle name="40% - Accent2 3 3 3" xfId="4979" xr:uid="{00000000-0005-0000-0000-0000CA040000}"/>
    <cellStyle name="40% - Accent2 3 3 3 2" xfId="22709" xr:uid="{3E550D7C-9915-476E-93CE-C59415CED8B5}"/>
    <cellStyle name="40% - Accent2 3 3 3 3" xfId="13429" xr:uid="{3ABD86E6-BB6D-4A51-9213-707FD17268F5}"/>
    <cellStyle name="40% - Accent2 3 3 4" xfId="18492" xr:uid="{1A4FF436-2BD9-41E5-92EE-51AB53BA6222}"/>
    <cellStyle name="40% - Accent2 3 3 5" xfId="17662" xr:uid="{CF6ABB3E-6847-4DE5-9856-459725DFE8DC}"/>
    <cellStyle name="40% - Accent2 3 3 6" xfId="9211" xr:uid="{40F05222-4C41-4F44-B906-A45979123334}"/>
    <cellStyle name="40% - Accent2 3 4" xfId="1084" xr:uid="{00000000-0005-0000-0000-0000CB040000}"/>
    <cellStyle name="40% - Accent2 3 4 2" xfId="3315" xr:uid="{00000000-0005-0000-0000-0000CC040000}"/>
    <cellStyle name="40% - Accent2 3 4 2 2" xfId="7537" xr:uid="{00000000-0005-0000-0000-0000CD040000}"/>
    <cellStyle name="40% - Accent2 3 4 2 2 2" xfId="25267" xr:uid="{06E85A1C-3749-47CD-96CC-6B48E68E1B54}"/>
    <cellStyle name="40% - Accent2 3 4 2 2 3" xfId="15987" xr:uid="{6AF6DA81-A019-4525-B664-98E107A1B374}"/>
    <cellStyle name="40% - Accent2 3 4 2 3" xfId="21050" xr:uid="{8FF5F352-67D3-4EAD-A943-AF59170D47E7}"/>
    <cellStyle name="40% - Accent2 3 4 2 4" xfId="11769" xr:uid="{332E1259-2E43-4925-AA15-4ABD9BCA0B77}"/>
    <cellStyle name="40% - Accent2 3 4 3" xfId="5392" xr:uid="{00000000-0005-0000-0000-0000CE040000}"/>
    <cellStyle name="40% - Accent2 3 4 3 2" xfId="23122" xr:uid="{12DF279B-FC89-44AE-B959-7770739CD92E}"/>
    <cellStyle name="40% - Accent2 3 4 3 3" xfId="13842" xr:uid="{F9893AA3-AF02-40AE-9203-3F9CE03F1F5F}"/>
    <cellStyle name="40% - Accent2 3 4 4" xfId="18905" xr:uid="{A047E720-1022-45D4-B018-05BDC564FA5F}"/>
    <cellStyle name="40% - Accent2 3 4 5" xfId="9624" xr:uid="{946CFA23-E7CC-4906-B4A9-47678BF97CE3}"/>
    <cellStyle name="40% - Accent2 3 5" xfId="1498" xr:uid="{00000000-0005-0000-0000-0000CF040000}"/>
    <cellStyle name="40% - Accent2 3 5 2" xfId="3728" xr:uid="{00000000-0005-0000-0000-0000D0040000}"/>
    <cellStyle name="40% - Accent2 3 5 2 2" xfId="7950" xr:uid="{00000000-0005-0000-0000-0000D1040000}"/>
    <cellStyle name="40% - Accent2 3 5 2 2 2" xfId="25680" xr:uid="{AD4EC25A-FD86-438C-969A-6F25B5B9F9BA}"/>
    <cellStyle name="40% - Accent2 3 5 2 2 3" xfId="16400" xr:uid="{CB771DB0-A071-4AF0-8423-970991C165E2}"/>
    <cellStyle name="40% - Accent2 3 5 2 3" xfId="21463" xr:uid="{462D0887-4829-4F97-BDE5-EAEA5A5FB542}"/>
    <cellStyle name="40% - Accent2 3 5 2 4" xfId="12182" xr:uid="{4206A43D-FE3E-4D52-9770-66C8EA1A1E11}"/>
    <cellStyle name="40% - Accent2 3 5 3" xfId="5805" xr:uid="{00000000-0005-0000-0000-0000D2040000}"/>
    <cellStyle name="40% - Accent2 3 5 3 2" xfId="23535" xr:uid="{CC27D0AA-1E50-4459-83E4-450B897DCEAD}"/>
    <cellStyle name="40% - Accent2 3 5 3 3" xfId="14255" xr:uid="{4F38A870-30E2-45FF-978A-BBEA74B176E6}"/>
    <cellStyle name="40% - Accent2 3 5 4" xfId="19318" xr:uid="{3AFCD048-796C-4323-A007-D709611E0BE3}"/>
    <cellStyle name="40% - Accent2 3 5 5" xfId="10037" xr:uid="{7D03DD21-B99C-44E3-9DD5-0168B01DE610}"/>
    <cellStyle name="40% - Accent2 3 6" xfId="1912" xr:uid="{00000000-0005-0000-0000-0000D3040000}"/>
    <cellStyle name="40% - Accent2 3 6 2" xfId="4141" xr:uid="{00000000-0005-0000-0000-0000D4040000}"/>
    <cellStyle name="40% - Accent2 3 6 2 2" xfId="8363" xr:uid="{00000000-0005-0000-0000-0000D5040000}"/>
    <cellStyle name="40% - Accent2 3 6 2 2 2" xfId="26093" xr:uid="{10BC6559-941E-43CA-9872-95301599A4E6}"/>
    <cellStyle name="40% - Accent2 3 6 2 2 3" xfId="16813" xr:uid="{6FDF46EB-422E-4FFE-874C-862C9BA0B12D}"/>
    <cellStyle name="40% - Accent2 3 6 2 3" xfId="21876" xr:uid="{0AA7C97F-8C51-4B07-BAE8-E31DAE9640E2}"/>
    <cellStyle name="40% - Accent2 3 6 2 4" xfId="12595" xr:uid="{BF5BEBDE-E651-4B2B-B7C6-97DD80B237F7}"/>
    <cellStyle name="40% - Accent2 3 6 3" xfId="6218" xr:uid="{00000000-0005-0000-0000-0000D6040000}"/>
    <cellStyle name="40% - Accent2 3 6 3 2" xfId="23948" xr:uid="{F09D37F4-B096-43A3-A074-6E053F557162}"/>
    <cellStyle name="40% - Accent2 3 6 3 3" xfId="14668" xr:uid="{E771D9A2-4BC1-40DF-82A5-8778526EE799}"/>
    <cellStyle name="40% - Accent2 3 6 4" xfId="19731" xr:uid="{61752275-D8B1-45D4-8B98-963FC067246A}"/>
    <cellStyle name="40% - Accent2 3 6 5" xfId="10450" xr:uid="{58C65ECD-E35D-4FD3-AFBC-27EC4EE22DF8}"/>
    <cellStyle name="40% - Accent2 3 7" xfId="2325" xr:uid="{00000000-0005-0000-0000-0000D7040000}"/>
    <cellStyle name="40% - Accent2 3 7 2" xfId="6631" xr:uid="{00000000-0005-0000-0000-0000D8040000}"/>
    <cellStyle name="40% - Accent2 3 7 2 2" xfId="24361" xr:uid="{9549658C-51FB-490C-A42F-531F31FBE02D}"/>
    <cellStyle name="40% - Accent2 3 7 2 3" xfId="15081" xr:uid="{DE9ECA5A-7052-4979-9527-BF2BF8817181}"/>
    <cellStyle name="40% - Accent2 3 7 3" xfId="20144" xr:uid="{3F2A0912-AB1B-4A6E-A3A5-730DBC6FD24B}"/>
    <cellStyle name="40% - Accent2 3 7 4" xfId="10863" xr:uid="{7985266D-3C0D-41C2-BF82-E95CEC3A9352}"/>
    <cellStyle name="40% - Accent2 3 8" xfId="4565" xr:uid="{00000000-0005-0000-0000-0000D9040000}"/>
    <cellStyle name="40% - Accent2 3 8 2" xfId="22295" xr:uid="{416267BC-F7DF-4882-8C8D-EC27BF13CEE5}"/>
    <cellStyle name="40% - Accent2 3 8 3" xfId="13015" xr:uid="{2D4B0EE2-85EB-4A84-8BF4-5CC6EAF13644}"/>
    <cellStyle name="40% - Accent2 3 9" xfId="18078" xr:uid="{492CD861-DF94-42E4-ABA1-46E45B47ADCF}"/>
    <cellStyle name="40% - Accent2 4" xfId="64" xr:uid="{00000000-0005-0000-0000-0000DA040000}"/>
    <cellStyle name="40% - Accent2 4 10" xfId="8799" xr:uid="{3E8ECF95-2B46-4052-87AC-7946B4B6E566}"/>
    <cellStyle name="40% - Accent2 4 2" xfId="633" xr:uid="{00000000-0005-0000-0000-0000DB040000}"/>
    <cellStyle name="40% - Accent2 4 2 2" xfId="2904" xr:uid="{00000000-0005-0000-0000-0000DC040000}"/>
    <cellStyle name="40% - Accent2 4 2 2 2" xfId="7126" xr:uid="{00000000-0005-0000-0000-0000DD040000}"/>
    <cellStyle name="40% - Accent2 4 2 2 2 2" xfId="24856" xr:uid="{36CC8DCF-FB22-4DC7-8981-10BF4D145ADC}"/>
    <cellStyle name="40% - Accent2 4 2 2 2 3" xfId="15576" xr:uid="{390792C7-5D6D-4CC5-B383-44A200D67689}"/>
    <cellStyle name="40% - Accent2 4 2 2 3" xfId="20639" xr:uid="{2E0FDF83-4620-4B72-80E4-71F21E102844}"/>
    <cellStyle name="40% - Accent2 4 2 2 4" xfId="11358" xr:uid="{974766FD-5EF5-4FE4-8F50-CB88BDFBC5F0}"/>
    <cellStyle name="40% - Accent2 4 2 3" xfId="4981" xr:uid="{00000000-0005-0000-0000-0000DE040000}"/>
    <cellStyle name="40% - Accent2 4 2 3 2" xfId="22711" xr:uid="{57F42FD9-F91C-4C95-8F37-EAE2DF122425}"/>
    <cellStyle name="40% - Accent2 4 2 3 3" xfId="13431" xr:uid="{FF997013-67A5-4EAA-846C-716B7202FA88}"/>
    <cellStyle name="40% - Accent2 4 2 4" xfId="18494" xr:uid="{B22C9597-CDC7-4573-AE0B-B3502BEF3EEE}"/>
    <cellStyle name="40% - Accent2 4 2 5" xfId="17664" xr:uid="{05D38649-5A2F-40AD-8313-050211B24C06}"/>
    <cellStyle name="40% - Accent2 4 2 6" xfId="9213" xr:uid="{96BD7ADE-987F-4590-B7DB-39C66D1CC6A5}"/>
    <cellStyle name="40% - Accent2 4 3" xfId="1086" xr:uid="{00000000-0005-0000-0000-0000DF040000}"/>
    <cellStyle name="40% - Accent2 4 3 2" xfId="3317" xr:uid="{00000000-0005-0000-0000-0000E0040000}"/>
    <cellStyle name="40% - Accent2 4 3 2 2" xfId="7539" xr:uid="{00000000-0005-0000-0000-0000E1040000}"/>
    <cellStyle name="40% - Accent2 4 3 2 2 2" xfId="25269" xr:uid="{F0DE6F75-7375-4B0D-ACC4-4DF77C7B9F64}"/>
    <cellStyle name="40% - Accent2 4 3 2 2 3" xfId="15989" xr:uid="{92F1E169-88B8-4B61-B50D-0F92728D1345}"/>
    <cellStyle name="40% - Accent2 4 3 2 3" xfId="21052" xr:uid="{A274B80B-F813-4D1C-B204-5416E1E47B8D}"/>
    <cellStyle name="40% - Accent2 4 3 2 4" xfId="11771" xr:uid="{136E1CCC-1040-4B8E-BB01-C4571C5D0F57}"/>
    <cellStyle name="40% - Accent2 4 3 3" xfId="5394" xr:uid="{00000000-0005-0000-0000-0000E2040000}"/>
    <cellStyle name="40% - Accent2 4 3 3 2" xfId="23124" xr:uid="{A7959674-A8DD-4D9E-B9D3-919CF1FA832C}"/>
    <cellStyle name="40% - Accent2 4 3 3 3" xfId="13844" xr:uid="{DADBF866-D0AA-4350-9049-7D1D78A22C73}"/>
    <cellStyle name="40% - Accent2 4 3 4" xfId="18907" xr:uid="{93717227-9D7B-41F2-91F4-CCB5A1159BA9}"/>
    <cellStyle name="40% - Accent2 4 3 5" xfId="9626" xr:uid="{D81186BB-A6BA-4C3F-B642-45E3F44DB9F9}"/>
    <cellStyle name="40% - Accent2 4 4" xfId="1500" xr:uid="{00000000-0005-0000-0000-0000E3040000}"/>
    <cellStyle name="40% - Accent2 4 4 2" xfId="3730" xr:uid="{00000000-0005-0000-0000-0000E4040000}"/>
    <cellStyle name="40% - Accent2 4 4 2 2" xfId="7952" xr:uid="{00000000-0005-0000-0000-0000E5040000}"/>
    <cellStyle name="40% - Accent2 4 4 2 2 2" xfId="25682" xr:uid="{B29E851F-534E-4854-BCFE-365C067B2AFC}"/>
    <cellStyle name="40% - Accent2 4 4 2 2 3" xfId="16402" xr:uid="{C6B51428-2840-442C-A374-1AEBDA1002AB}"/>
    <cellStyle name="40% - Accent2 4 4 2 3" xfId="21465" xr:uid="{8A177588-8290-4052-AB40-0D2AE12CDC45}"/>
    <cellStyle name="40% - Accent2 4 4 2 4" xfId="12184" xr:uid="{AF1A2457-0D51-41D5-BDE6-A997A24BFF48}"/>
    <cellStyle name="40% - Accent2 4 4 3" xfId="5807" xr:uid="{00000000-0005-0000-0000-0000E6040000}"/>
    <cellStyle name="40% - Accent2 4 4 3 2" xfId="23537" xr:uid="{EF94BBF6-1D80-4D89-A2AA-F3CE1342CAD7}"/>
    <cellStyle name="40% - Accent2 4 4 3 3" xfId="14257" xr:uid="{9FB9D6CC-3B20-4DBF-AA2A-ED65B59D4666}"/>
    <cellStyle name="40% - Accent2 4 4 4" xfId="19320" xr:uid="{122329A5-8415-4DFC-A34B-D0F2DEACBC0C}"/>
    <cellStyle name="40% - Accent2 4 4 5" xfId="10039" xr:uid="{85DEBA7B-19DD-46F5-83B7-C3FA397AC9B1}"/>
    <cellStyle name="40% - Accent2 4 5" xfId="1914" xr:uid="{00000000-0005-0000-0000-0000E7040000}"/>
    <cellStyle name="40% - Accent2 4 5 2" xfId="4143" xr:uid="{00000000-0005-0000-0000-0000E8040000}"/>
    <cellStyle name="40% - Accent2 4 5 2 2" xfId="8365" xr:uid="{00000000-0005-0000-0000-0000E9040000}"/>
    <cellStyle name="40% - Accent2 4 5 2 2 2" xfId="26095" xr:uid="{CC225BBB-E7A0-4978-9F65-033E732E663E}"/>
    <cellStyle name="40% - Accent2 4 5 2 2 3" xfId="16815" xr:uid="{F3C1D91D-FFDB-48A9-AFC9-4E75A306426A}"/>
    <cellStyle name="40% - Accent2 4 5 2 3" xfId="21878" xr:uid="{FF09A1AD-FAFA-4274-AF44-0B0C04CFEE0F}"/>
    <cellStyle name="40% - Accent2 4 5 2 4" xfId="12597" xr:uid="{FA1148CB-505A-4AB1-A292-28CD8F1F8A73}"/>
    <cellStyle name="40% - Accent2 4 5 3" xfId="6220" xr:uid="{00000000-0005-0000-0000-0000EA040000}"/>
    <cellStyle name="40% - Accent2 4 5 3 2" xfId="23950" xr:uid="{DF28436B-A95C-4BAF-8C26-49F9213D5941}"/>
    <cellStyle name="40% - Accent2 4 5 3 3" xfId="14670" xr:uid="{69E333AD-BA3F-4942-A6D9-E9EC23EC298C}"/>
    <cellStyle name="40% - Accent2 4 5 4" xfId="19733" xr:uid="{F3D91737-BE32-4294-AA42-F317265E60F1}"/>
    <cellStyle name="40% - Accent2 4 5 5" xfId="10452" xr:uid="{47D60EA6-46A8-42D7-B02C-AFBAB83F3A35}"/>
    <cellStyle name="40% - Accent2 4 6" xfId="2327" xr:uid="{00000000-0005-0000-0000-0000EB040000}"/>
    <cellStyle name="40% - Accent2 4 6 2" xfId="6633" xr:uid="{00000000-0005-0000-0000-0000EC040000}"/>
    <cellStyle name="40% - Accent2 4 6 2 2" xfId="24363" xr:uid="{2F1E8C9F-A4BA-46FB-971F-1B2C2AE5C7CF}"/>
    <cellStyle name="40% - Accent2 4 6 2 3" xfId="15083" xr:uid="{5DFFF79D-C11E-429E-B123-2120C99EA737}"/>
    <cellStyle name="40% - Accent2 4 6 3" xfId="20146" xr:uid="{935DE528-C48B-4E9E-9C31-8FFAAD4571BD}"/>
    <cellStyle name="40% - Accent2 4 6 4" xfId="10865" xr:uid="{66C843D0-E0D3-40B9-BF0B-29D2A228497B}"/>
    <cellStyle name="40% - Accent2 4 7" xfId="4567" xr:uid="{00000000-0005-0000-0000-0000ED040000}"/>
    <cellStyle name="40% - Accent2 4 7 2" xfId="22297" xr:uid="{A21F7543-78DB-4D19-82D2-9EE381BB0388}"/>
    <cellStyle name="40% - Accent2 4 7 3" xfId="13017" xr:uid="{35C46953-B239-4A77-867F-F52EE91199F2}"/>
    <cellStyle name="40% - Accent2 4 8" xfId="18080" xr:uid="{FBC29769-4F10-44EB-AD37-D8345EF44DFA}"/>
    <cellStyle name="40% - Accent2 4 9" xfId="17247" xr:uid="{672D2764-433C-47AA-B0E5-FF0E40DFF547}"/>
    <cellStyle name="40% - Accent2 5" xfId="626" xr:uid="{00000000-0005-0000-0000-0000EE040000}"/>
    <cellStyle name="40% - Accent2 5 2" xfId="2897" xr:uid="{00000000-0005-0000-0000-0000EF040000}"/>
    <cellStyle name="40% - Accent2 5 2 2" xfId="7119" xr:uid="{00000000-0005-0000-0000-0000F0040000}"/>
    <cellStyle name="40% - Accent2 5 2 2 2" xfId="24849" xr:uid="{3ECE8027-1202-4E7B-80C3-013434A25EE9}"/>
    <cellStyle name="40% - Accent2 5 2 2 3" xfId="15569" xr:uid="{5C14225E-84A8-474D-B6E4-76B9951BF5AF}"/>
    <cellStyle name="40% - Accent2 5 2 3" xfId="20632" xr:uid="{EA45062B-3313-41BE-8FC1-4CC0E7D47E2E}"/>
    <cellStyle name="40% - Accent2 5 2 4" xfId="11351" xr:uid="{F7076754-E0C0-48A6-BDE1-1378E369CDCF}"/>
    <cellStyle name="40% - Accent2 5 3" xfId="4974" xr:uid="{00000000-0005-0000-0000-0000F1040000}"/>
    <cellStyle name="40% - Accent2 5 3 2" xfId="22704" xr:uid="{6EA89ABB-FD91-4AC8-BD43-5A2AEE8899CD}"/>
    <cellStyle name="40% - Accent2 5 3 3" xfId="13424" xr:uid="{36828E96-4D99-4DD9-BBCF-1EBEE36524CD}"/>
    <cellStyle name="40% - Accent2 5 4" xfId="18487" xr:uid="{5AE8F954-5441-4384-9A58-50889B1F3D76}"/>
    <cellStyle name="40% - Accent2 5 5" xfId="17657" xr:uid="{C560F3BF-19A5-45C6-A3CD-E7D16B258808}"/>
    <cellStyle name="40% - Accent2 5 6" xfId="9206" xr:uid="{3CD15A30-AA5A-4DE7-981C-098EE0C9E1C9}"/>
    <cellStyle name="40% - Accent2 6" xfId="1079" xr:uid="{00000000-0005-0000-0000-0000F2040000}"/>
    <cellStyle name="40% - Accent2 6 2" xfId="3310" xr:uid="{00000000-0005-0000-0000-0000F3040000}"/>
    <cellStyle name="40% - Accent2 6 2 2" xfId="7532" xr:uid="{00000000-0005-0000-0000-0000F4040000}"/>
    <cellStyle name="40% - Accent2 6 2 2 2" xfId="25262" xr:uid="{C770E8B1-80B7-4C09-B2B4-8D05DA2D8564}"/>
    <cellStyle name="40% - Accent2 6 2 2 3" xfId="15982" xr:uid="{9C6019DA-E9A5-447B-93BE-63A0286D6477}"/>
    <cellStyle name="40% - Accent2 6 2 3" xfId="21045" xr:uid="{4F5CCF49-BEBB-467C-864F-5828B2581535}"/>
    <cellStyle name="40% - Accent2 6 2 4" xfId="11764" xr:uid="{0F354AA4-21C3-4E67-A703-012C6077DAFC}"/>
    <cellStyle name="40% - Accent2 6 3" xfId="5387" xr:uid="{00000000-0005-0000-0000-0000F5040000}"/>
    <cellStyle name="40% - Accent2 6 3 2" xfId="23117" xr:uid="{8A780C2E-886C-435A-8C17-6F93171E7517}"/>
    <cellStyle name="40% - Accent2 6 3 3" xfId="13837" xr:uid="{207B0296-3265-44B8-8570-DE36258642DE}"/>
    <cellStyle name="40% - Accent2 6 4" xfId="18900" xr:uid="{B89669D0-6069-4758-AD04-7E00B227069F}"/>
    <cellStyle name="40% - Accent2 6 5" xfId="9619" xr:uid="{7CE423CF-92DD-40CF-B6C2-799345362421}"/>
    <cellStyle name="40% - Accent2 7" xfId="1493" xr:uid="{00000000-0005-0000-0000-0000F6040000}"/>
    <cellStyle name="40% - Accent2 7 2" xfId="3723" xr:uid="{00000000-0005-0000-0000-0000F7040000}"/>
    <cellStyle name="40% - Accent2 7 2 2" xfId="7945" xr:uid="{00000000-0005-0000-0000-0000F8040000}"/>
    <cellStyle name="40% - Accent2 7 2 2 2" xfId="25675" xr:uid="{8B4E287B-CFF9-49FC-A944-F8F9CCFC5A7F}"/>
    <cellStyle name="40% - Accent2 7 2 2 3" xfId="16395" xr:uid="{719A57B8-AF60-4DE4-8605-FBB1D981011D}"/>
    <cellStyle name="40% - Accent2 7 2 3" xfId="21458" xr:uid="{133F7E27-CC65-492C-86DE-51470FFDE0BF}"/>
    <cellStyle name="40% - Accent2 7 2 4" xfId="12177" xr:uid="{F50A5B58-47E8-4B06-8A3A-4CC81E6666B4}"/>
    <cellStyle name="40% - Accent2 7 3" xfId="5800" xr:uid="{00000000-0005-0000-0000-0000F9040000}"/>
    <cellStyle name="40% - Accent2 7 3 2" xfId="23530" xr:uid="{FD7F17F8-1AB4-4914-A06A-BEB7CCBFB757}"/>
    <cellStyle name="40% - Accent2 7 3 3" xfId="14250" xr:uid="{B82919AC-3891-47B8-AB2F-379B8FF1A457}"/>
    <cellStyle name="40% - Accent2 7 4" xfId="19313" xr:uid="{A3DD445D-3F70-42A5-BCCE-5D219A706349}"/>
    <cellStyle name="40% - Accent2 7 5" xfId="10032" xr:uid="{DA693DD6-5143-4CD8-81BC-A9D25C99DA1D}"/>
    <cellStyle name="40% - Accent2 8" xfId="1907" xr:uid="{00000000-0005-0000-0000-0000FA040000}"/>
    <cellStyle name="40% - Accent2 8 2" xfId="4136" xr:uid="{00000000-0005-0000-0000-0000FB040000}"/>
    <cellStyle name="40% - Accent2 8 2 2" xfId="8358" xr:uid="{00000000-0005-0000-0000-0000FC040000}"/>
    <cellStyle name="40% - Accent2 8 2 2 2" xfId="26088" xr:uid="{88BEDB1E-1CD2-4757-AE43-719F16F01EFE}"/>
    <cellStyle name="40% - Accent2 8 2 2 3" xfId="16808" xr:uid="{3C7BA7B1-7BC1-4932-99D2-4A65E4ABD6E4}"/>
    <cellStyle name="40% - Accent2 8 2 3" xfId="21871" xr:uid="{03F90AF7-1929-4670-9F69-C8FDC5C2E71C}"/>
    <cellStyle name="40% - Accent2 8 2 4" xfId="12590" xr:uid="{25F3DF30-99EE-455E-89B5-8D77417E1D93}"/>
    <cellStyle name="40% - Accent2 8 3" xfId="6213" xr:uid="{00000000-0005-0000-0000-0000FD040000}"/>
    <cellStyle name="40% - Accent2 8 3 2" xfId="23943" xr:uid="{AB5F2707-193E-454A-8011-F6AE9B0329A4}"/>
    <cellStyle name="40% - Accent2 8 3 3" xfId="14663" xr:uid="{2BA5EA76-CC83-4BFC-B8A2-CEC9CFF005BF}"/>
    <cellStyle name="40% - Accent2 8 4" xfId="19726" xr:uid="{7251494D-961D-4F74-BDBE-1FD6F25E612A}"/>
    <cellStyle name="40% - Accent2 8 5" xfId="10445" xr:uid="{A716CD92-DF5A-45FC-9807-2D66904C7486}"/>
    <cellStyle name="40% - Accent2 9" xfId="2320" xr:uid="{00000000-0005-0000-0000-0000FE040000}"/>
    <cellStyle name="40% - Accent2 9 2" xfId="6626" xr:uid="{00000000-0005-0000-0000-0000FF040000}"/>
    <cellStyle name="40% - Accent2 9 2 2" xfId="24356" xr:uid="{C031AE50-09BB-4E64-BB8B-443075C02BA0}"/>
    <cellStyle name="40% - Accent2 9 2 3" xfId="15076" xr:uid="{ADE9F943-C393-4453-9A14-9C65B729FCB3}"/>
    <cellStyle name="40% - Accent2 9 3" xfId="20139" xr:uid="{AD130D9F-1FD8-4687-B7DD-40ECCCE4B7D9}"/>
    <cellStyle name="40% - Accent2 9 4" xfId="10858" xr:uid="{96A053E5-0565-47BB-B3F6-B384E1B0EDDF}"/>
    <cellStyle name="40% - Accent3" xfId="65" builtinId="39" customBuiltin="1"/>
    <cellStyle name="40% - Accent3 10" xfId="4568" xr:uid="{00000000-0005-0000-0000-000001050000}"/>
    <cellStyle name="40% - Accent3 10 2" xfId="22298" xr:uid="{6A77E0F5-A4BB-4D89-A9AF-69709F1EECD6}"/>
    <cellStyle name="40% - Accent3 10 3" xfId="13018" xr:uid="{CF9900CB-7C7D-4AFE-9405-C0B07381E887}"/>
    <cellStyle name="40% - Accent3 11" xfId="18081" xr:uid="{3A51C1E0-FA79-4A03-8F3A-736901CDED05}"/>
    <cellStyle name="40% - Accent3 12" xfId="17248" xr:uid="{36FFF8EC-4321-4A5E-B2F4-F20178CE451B}"/>
    <cellStyle name="40% - Accent3 13" xfId="8800" xr:uid="{ACC960A0-6F68-4C5F-8208-A1B2BFEC3389}"/>
    <cellStyle name="40% - Accent3 2" xfId="66" xr:uid="{00000000-0005-0000-0000-000002050000}"/>
    <cellStyle name="40% - Accent3 2 10" xfId="18082" xr:uid="{A93BC864-A539-4145-A7DB-D5C9AD65C28F}"/>
    <cellStyle name="40% - Accent3 2 11" xfId="17249" xr:uid="{8AFD1204-24F2-42F8-9420-2725DE2B7E48}"/>
    <cellStyle name="40% - Accent3 2 12" xfId="8801" xr:uid="{FE651967-618C-436F-ADAB-55176F8BC2DA}"/>
    <cellStyle name="40% - Accent3 2 2" xfId="67" xr:uid="{00000000-0005-0000-0000-000003050000}"/>
    <cellStyle name="40% - Accent3 2 2 10" xfId="17250" xr:uid="{F87237F9-77D1-4FB8-A017-7E40EF00FEE2}"/>
    <cellStyle name="40% - Accent3 2 2 11" xfId="8802" xr:uid="{99EC3C99-B037-4A19-BFA6-4834D1A383CA}"/>
    <cellStyle name="40% - Accent3 2 2 2" xfId="68" xr:uid="{00000000-0005-0000-0000-000004050000}"/>
    <cellStyle name="40% - Accent3 2 2 2 10" xfId="8803" xr:uid="{FD0FA424-4AAB-45F5-8FD9-AD951AD4AEDD}"/>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24860" xr:uid="{991FB02B-5559-4CEF-9235-316930C09D8F}"/>
    <cellStyle name="40% - Accent3 2 2 2 2 2 2 3" xfId="15580" xr:uid="{C3C4F0B8-6658-4C0C-A91C-9A3D07C357DC}"/>
    <cellStyle name="40% - Accent3 2 2 2 2 2 3" xfId="20643" xr:uid="{E64ADD5F-9E86-41B7-900D-F3559E5198B7}"/>
    <cellStyle name="40% - Accent3 2 2 2 2 2 4" xfId="11362" xr:uid="{17018F99-C46E-403F-AE3A-AA77732F419E}"/>
    <cellStyle name="40% - Accent3 2 2 2 2 3" xfId="4985" xr:uid="{00000000-0005-0000-0000-000008050000}"/>
    <cellStyle name="40% - Accent3 2 2 2 2 3 2" xfId="22715" xr:uid="{764D64D3-7771-4EDD-B9A2-AE0E02F26149}"/>
    <cellStyle name="40% - Accent3 2 2 2 2 3 3" xfId="13435" xr:uid="{2B2D82E8-B692-4C23-90CF-22F7EFD8E951}"/>
    <cellStyle name="40% - Accent3 2 2 2 2 4" xfId="18498" xr:uid="{84660DBF-D57A-4021-B270-102F1A1DD5DE}"/>
    <cellStyle name="40% - Accent3 2 2 2 2 5" xfId="17668" xr:uid="{17655D17-1371-4C46-88EB-79AF856F803C}"/>
    <cellStyle name="40% - Accent3 2 2 2 2 6" xfId="9217" xr:uid="{35665E85-8F23-4DBD-B9CA-794801684849}"/>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25273" xr:uid="{04DA7652-C378-4393-83C1-5F2A3B8C5C6A}"/>
    <cellStyle name="40% - Accent3 2 2 2 3 2 2 3" xfId="15993" xr:uid="{5513996C-4707-4388-A35F-5685DF717C80}"/>
    <cellStyle name="40% - Accent3 2 2 2 3 2 3" xfId="21056" xr:uid="{9D71A70D-2ED7-4287-9ECD-DDDE3DD528AB}"/>
    <cellStyle name="40% - Accent3 2 2 2 3 2 4" xfId="11775" xr:uid="{CAEA7666-CB2F-4A22-AFB2-2FB436743D78}"/>
    <cellStyle name="40% - Accent3 2 2 2 3 3" xfId="5398" xr:uid="{00000000-0005-0000-0000-00000C050000}"/>
    <cellStyle name="40% - Accent3 2 2 2 3 3 2" xfId="23128" xr:uid="{4AC7E606-2401-40F0-BCF0-FD473667E00A}"/>
    <cellStyle name="40% - Accent3 2 2 2 3 3 3" xfId="13848" xr:uid="{8236286E-D397-4629-9FCE-A8E658088925}"/>
    <cellStyle name="40% - Accent3 2 2 2 3 4" xfId="18911" xr:uid="{5CE9583B-C8D0-46F3-8CE8-F040262ADACC}"/>
    <cellStyle name="40% - Accent3 2 2 2 3 5" xfId="9630" xr:uid="{4A35F27D-2197-4F09-9E6F-D3EC7251C0AA}"/>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25686" xr:uid="{3B121A4A-1687-469C-B3FD-303F6F3FD57C}"/>
    <cellStyle name="40% - Accent3 2 2 2 4 2 2 3" xfId="16406" xr:uid="{9CE7C15A-002F-41DC-957F-3490C68F1FF3}"/>
    <cellStyle name="40% - Accent3 2 2 2 4 2 3" xfId="21469" xr:uid="{372FF939-C00A-4086-83D4-BB2A34CDBF12}"/>
    <cellStyle name="40% - Accent3 2 2 2 4 2 4" xfId="12188" xr:uid="{CE2D630A-66F8-4341-9870-63F558873BAC}"/>
    <cellStyle name="40% - Accent3 2 2 2 4 3" xfId="5811" xr:uid="{00000000-0005-0000-0000-000010050000}"/>
    <cellStyle name="40% - Accent3 2 2 2 4 3 2" xfId="23541" xr:uid="{9A32A392-3204-4943-AB69-48C4ED363304}"/>
    <cellStyle name="40% - Accent3 2 2 2 4 3 3" xfId="14261" xr:uid="{34078759-F3D8-4E06-9B52-6B70E01B5B49}"/>
    <cellStyle name="40% - Accent3 2 2 2 4 4" xfId="19324" xr:uid="{5103515E-F257-47DC-91C9-425E13570A23}"/>
    <cellStyle name="40% - Accent3 2 2 2 4 5" xfId="10043" xr:uid="{0070020A-D446-4582-8441-39240D606144}"/>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26099" xr:uid="{4F60F596-5F08-45F3-9E54-656DDEB8E944}"/>
    <cellStyle name="40% - Accent3 2 2 2 5 2 2 3" xfId="16819" xr:uid="{2AB18B8E-31A1-4175-8EF2-03BB2E8B03A9}"/>
    <cellStyle name="40% - Accent3 2 2 2 5 2 3" xfId="21882" xr:uid="{8F9F7A9E-D387-4D4A-9D40-B0927EC7B31F}"/>
    <cellStyle name="40% - Accent3 2 2 2 5 2 4" xfId="12601" xr:uid="{B3B2489F-3825-4534-AC06-C4F43250AFBA}"/>
    <cellStyle name="40% - Accent3 2 2 2 5 3" xfId="6224" xr:uid="{00000000-0005-0000-0000-000014050000}"/>
    <cellStyle name="40% - Accent3 2 2 2 5 3 2" xfId="23954" xr:uid="{F8EE868E-414F-46DD-8BDE-EE312745CA05}"/>
    <cellStyle name="40% - Accent3 2 2 2 5 3 3" xfId="14674" xr:uid="{945488E2-5CBB-4000-94DB-B46BB855ACFF}"/>
    <cellStyle name="40% - Accent3 2 2 2 5 4" xfId="19737" xr:uid="{EB7DF4DA-3CE7-474E-8EB4-89F245D14268}"/>
    <cellStyle name="40% - Accent3 2 2 2 5 5" xfId="10456" xr:uid="{431EF11D-D0FA-4100-A823-792E99648BD1}"/>
    <cellStyle name="40% - Accent3 2 2 2 6" xfId="2331" xr:uid="{00000000-0005-0000-0000-000015050000}"/>
    <cellStyle name="40% - Accent3 2 2 2 6 2" xfId="6637" xr:uid="{00000000-0005-0000-0000-000016050000}"/>
    <cellStyle name="40% - Accent3 2 2 2 6 2 2" xfId="24367" xr:uid="{38E84E7B-EFED-40E1-94BF-A0038C5D2206}"/>
    <cellStyle name="40% - Accent3 2 2 2 6 2 3" xfId="15087" xr:uid="{9DE5CC7C-BF03-4D1B-8A33-A6496AFF3088}"/>
    <cellStyle name="40% - Accent3 2 2 2 6 3" xfId="20150" xr:uid="{E903C7FA-B3C3-4ACF-BB4B-5081F0C10E56}"/>
    <cellStyle name="40% - Accent3 2 2 2 6 4" xfId="10869" xr:uid="{81CC8DE9-EE53-42B1-B6E5-349B9DFF8DEC}"/>
    <cellStyle name="40% - Accent3 2 2 2 7" xfId="4571" xr:uid="{00000000-0005-0000-0000-000017050000}"/>
    <cellStyle name="40% - Accent3 2 2 2 7 2" xfId="22301" xr:uid="{E235B6A3-59B6-45CF-B10F-0F616FC3F9C2}"/>
    <cellStyle name="40% - Accent3 2 2 2 7 3" xfId="13021" xr:uid="{EED9F150-EC9F-4788-A2F8-A48ADEB93328}"/>
    <cellStyle name="40% - Accent3 2 2 2 8" xfId="18084" xr:uid="{5D8A2F6D-5DC9-4173-B987-0C54EB83B5ED}"/>
    <cellStyle name="40% - Accent3 2 2 2 9" xfId="17251" xr:uid="{FDFED583-F460-40D2-A2D3-238AD62B9E3D}"/>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24859" xr:uid="{D4BE76F3-74FD-41B2-BAB3-5A56A6EEA721}"/>
    <cellStyle name="40% - Accent3 2 2 3 2 2 3" xfId="15579" xr:uid="{6A999B0A-A923-49CF-8BC5-70828288C47B}"/>
    <cellStyle name="40% - Accent3 2 2 3 2 3" xfId="20642" xr:uid="{CDAF925A-9924-41DF-A5BB-08B7977AB10F}"/>
    <cellStyle name="40% - Accent3 2 2 3 2 4" xfId="11361" xr:uid="{AAA73C86-5420-4E25-993B-44AE5810B6F9}"/>
    <cellStyle name="40% - Accent3 2 2 3 3" xfId="4984" xr:uid="{00000000-0005-0000-0000-00001B050000}"/>
    <cellStyle name="40% - Accent3 2 2 3 3 2" xfId="22714" xr:uid="{8B2CEE58-59EB-4B7E-86BE-961BAEA955BE}"/>
    <cellStyle name="40% - Accent3 2 2 3 3 3" xfId="13434" xr:uid="{21F87E38-574B-4D64-A8A3-F9D8FFDC7851}"/>
    <cellStyle name="40% - Accent3 2 2 3 4" xfId="18497" xr:uid="{45098426-7B59-42F5-8B64-1E24FDA1987F}"/>
    <cellStyle name="40% - Accent3 2 2 3 5" xfId="17667" xr:uid="{38F79727-DF20-4904-ABDD-578108CBBBBB}"/>
    <cellStyle name="40% - Accent3 2 2 3 6" xfId="9216" xr:uid="{924FAD38-0586-4936-B23E-6273F9E89489}"/>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25272" xr:uid="{AB34249D-62E8-445C-8E53-4F4A06A58F96}"/>
    <cellStyle name="40% - Accent3 2 2 4 2 2 3" xfId="15992" xr:uid="{56D1F179-4EB5-40F8-BA21-DF080F9408F4}"/>
    <cellStyle name="40% - Accent3 2 2 4 2 3" xfId="21055" xr:uid="{68B32A2A-79CB-40A6-AE73-B7C425807493}"/>
    <cellStyle name="40% - Accent3 2 2 4 2 4" xfId="11774" xr:uid="{AFE14FA5-0C52-4AD0-8D37-CA6B0736D393}"/>
    <cellStyle name="40% - Accent3 2 2 4 3" xfId="5397" xr:uid="{00000000-0005-0000-0000-00001F050000}"/>
    <cellStyle name="40% - Accent3 2 2 4 3 2" xfId="23127" xr:uid="{D18936D0-5BF4-40C5-8879-944E763F8689}"/>
    <cellStyle name="40% - Accent3 2 2 4 3 3" xfId="13847" xr:uid="{67B3A3B6-2F85-4B53-93FA-E222F9453E11}"/>
    <cellStyle name="40% - Accent3 2 2 4 4" xfId="18910" xr:uid="{444B2543-7391-4E95-A8AC-5F4704F37775}"/>
    <cellStyle name="40% - Accent3 2 2 4 5" xfId="9629" xr:uid="{6DA50EE7-63CC-4E9F-9965-37FAAC056E85}"/>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25685" xr:uid="{88DB9C6C-21C0-4C5D-8EA4-DB17079E76FA}"/>
    <cellStyle name="40% - Accent3 2 2 5 2 2 3" xfId="16405" xr:uid="{5F879B01-9C53-4953-BF66-E0A614626BEB}"/>
    <cellStyle name="40% - Accent3 2 2 5 2 3" xfId="21468" xr:uid="{66F052DC-7956-4A19-96A7-D505E1ADCF91}"/>
    <cellStyle name="40% - Accent3 2 2 5 2 4" xfId="12187" xr:uid="{32EAA447-4480-4100-956C-AB9C157CFA9F}"/>
    <cellStyle name="40% - Accent3 2 2 5 3" xfId="5810" xr:uid="{00000000-0005-0000-0000-000023050000}"/>
    <cellStyle name="40% - Accent3 2 2 5 3 2" xfId="23540" xr:uid="{52198E1B-E58C-4A07-9853-C3AFD1A265FA}"/>
    <cellStyle name="40% - Accent3 2 2 5 3 3" xfId="14260" xr:uid="{1222D295-7B90-4D8F-9971-6F681FDF1A90}"/>
    <cellStyle name="40% - Accent3 2 2 5 4" xfId="19323" xr:uid="{14150B8E-98C0-4151-97C0-3B5C354D73F8}"/>
    <cellStyle name="40% - Accent3 2 2 5 5" xfId="10042" xr:uid="{FFB0D275-09A4-462D-BEBC-90766DB32C11}"/>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26098" xr:uid="{C5CAD9F1-DF0E-48B6-B460-DA05427DD19B}"/>
    <cellStyle name="40% - Accent3 2 2 6 2 2 3" xfId="16818" xr:uid="{549115F7-2946-4DD5-ABC4-426E4883DA71}"/>
    <cellStyle name="40% - Accent3 2 2 6 2 3" xfId="21881" xr:uid="{F1DA7DEE-61A2-4070-81D6-FDA3679E2BCB}"/>
    <cellStyle name="40% - Accent3 2 2 6 2 4" xfId="12600" xr:uid="{CDE698DA-2609-4CF2-8099-120FB7B74E0B}"/>
    <cellStyle name="40% - Accent3 2 2 6 3" xfId="6223" xr:uid="{00000000-0005-0000-0000-000027050000}"/>
    <cellStyle name="40% - Accent3 2 2 6 3 2" xfId="23953" xr:uid="{C6871F57-C52D-4D4E-B042-C4BD497188F0}"/>
    <cellStyle name="40% - Accent3 2 2 6 3 3" xfId="14673" xr:uid="{D947351B-96FA-42A7-91D8-82DDA189D425}"/>
    <cellStyle name="40% - Accent3 2 2 6 4" xfId="19736" xr:uid="{9598FB1F-8F58-4493-A0BB-EC9C2C419289}"/>
    <cellStyle name="40% - Accent3 2 2 6 5" xfId="10455" xr:uid="{2D05495C-0257-4280-9E66-DC4F31379B27}"/>
    <cellStyle name="40% - Accent3 2 2 7" xfId="2330" xr:uid="{00000000-0005-0000-0000-000028050000}"/>
    <cellStyle name="40% - Accent3 2 2 7 2" xfId="6636" xr:uid="{00000000-0005-0000-0000-000029050000}"/>
    <cellStyle name="40% - Accent3 2 2 7 2 2" xfId="24366" xr:uid="{C46411E4-8FD7-46E4-92D9-423E56F46161}"/>
    <cellStyle name="40% - Accent3 2 2 7 2 3" xfId="15086" xr:uid="{FD169C9D-0E16-443A-92F0-3C0E363ABF61}"/>
    <cellStyle name="40% - Accent3 2 2 7 3" xfId="20149" xr:uid="{ECA9C5DB-CECE-4F02-9952-A116844918F8}"/>
    <cellStyle name="40% - Accent3 2 2 7 4" xfId="10868" xr:uid="{1C02E1B6-F85A-47AE-8370-7EB6523BE26E}"/>
    <cellStyle name="40% - Accent3 2 2 8" xfId="4570" xr:uid="{00000000-0005-0000-0000-00002A050000}"/>
    <cellStyle name="40% - Accent3 2 2 8 2" xfId="22300" xr:uid="{DAED0075-FDC9-4AF7-8568-C045DA154F9F}"/>
    <cellStyle name="40% - Accent3 2 2 8 3" xfId="13020" xr:uid="{8BB8DD93-C235-44C2-8DF9-26EE4F0505A8}"/>
    <cellStyle name="40% - Accent3 2 2 9" xfId="18083" xr:uid="{0E9F8422-4C4C-47FA-ACE6-8C9FC248607D}"/>
    <cellStyle name="40% - Accent3 2 3" xfId="69" xr:uid="{00000000-0005-0000-0000-00002B050000}"/>
    <cellStyle name="40% - Accent3 2 3 10" xfId="8804" xr:uid="{A9AAB1B4-FFDA-4B20-A496-EB9FE7A367CB}"/>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24861" xr:uid="{9618CFCA-5661-4F56-8886-D4C539B6E448}"/>
    <cellStyle name="40% - Accent3 2 3 2 2 2 3" xfId="15581" xr:uid="{5ED6BE59-01ED-43EF-9656-DA365F1CC5EA}"/>
    <cellStyle name="40% - Accent3 2 3 2 2 3" xfId="20644" xr:uid="{A2D70C53-9635-440A-A057-44C678F634E6}"/>
    <cellStyle name="40% - Accent3 2 3 2 2 4" xfId="11363" xr:uid="{55A82DFE-2104-498D-A6DB-A98237BA5D8B}"/>
    <cellStyle name="40% - Accent3 2 3 2 3" xfId="4986" xr:uid="{00000000-0005-0000-0000-00002F050000}"/>
    <cellStyle name="40% - Accent3 2 3 2 3 2" xfId="22716" xr:uid="{41FEA0AA-619C-4A2A-AD66-45458240A350}"/>
    <cellStyle name="40% - Accent3 2 3 2 3 3" xfId="13436" xr:uid="{E30A4186-F247-462E-BE86-10167A478FC3}"/>
    <cellStyle name="40% - Accent3 2 3 2 4" xfId="18499" xr:uid="{E65363A5-3A45-46D4-AA1A-534654709E39}"/>
    <cellStyle name="40% - Accent3 2 3 2 5" xfId="17669" xr:uid="{F5C01D9C-6D8B-4B8C-856E-329B1F1B123B}"/>
    <cellStyle name="40% - Accent3 2 3 2 6" xfId="9218" xr:uid="{9688162A-6F17-4BBF-9F20-6A85528CAF9D}"/>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25274" xr:uid="{E1A7D665-74A2-4FF0-916C-CA4E76A43AA4}"/>
    <cellStyle name="40% - Accent3 2 3 3 2 2 3" xfId="15994" xr:uid="{F6274050-7C1E-4E0E-9E6C-86A443AD81D4}"/>
    <cellStyle name="40% - Accent3 2 3 3 2 3" xfId="21057" xr:uid="{6A8CB972-9AED-4E58-A662-8F6FB8865AF5}"/>
    <cellStyle name="40% - Accent3 2 3 3 2 4" xfId="11776" xr:uid="{D1FA7208-8AAA-4854-BC21-FDF0820E633F}"/>
    <cellStyle name="40% - Accent3 2 3 3 3" xfId="5399" xr:uid="{00000000-0005-0000-0000-000033050000}"/>
    <cellStyle name="40% - Accent3 2 3 3 3 2" xfId="23129" xr:uid="{562C2F7A-333C-4A70-BC84-7790C674CFB4}"/>
    <cellStyle name="40% - Accent3 2 3 3 3 3" xfId="13849" xr:uid="{C05A1DB9-7335-493C-9600-97557B4706B2}"/>
    <cellStyle name="40% - Accent3 2 3 3 4" xfId="18912" xr:uid="{AB18444B-A227-4F4F-851B-0AF01C1148D1}"/>
    <cellStyle name="40% - Accent3 2 3 3 5" xfId="9631" xr:uid="{A2CF8206-1FE2-4188-A14F-913DAAF066C0}"/>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25687" xr:uid="{6A4FD95B-5156-4CA8-AA8C-9204D01B6BB6}"/>
    <cellStyle name="40% - Accent3 2 3 4 2 2 3" xfId="16407" xr:uid="{C6F70A3E-6AFE-444F-BDFF-E0056168212F}"/>
    <cellStyle name="40% - Accent3 2 3 4 2 3" xfId="21470" xr:uid="{AC893D53-5822-4042-963E-563586857533}"/>
    <cellStyle name="40% - Accent3 2 3 4 2 4" xfId="12189" xr:uid="{3FAB068F-AAA3-48BF-A843-E4FBDE51AA5F}"/>
    <cellStyle name="40% - Accent3 2 3 4 3" xfId="5812" xr:uid="{00000000-0005-0000-0000-000037050000}"/>
    <cellStyle name="40% - Accent3 2 3 4 3 2" xfId="23542" xr:uid="{D23C4149-7EBA-494F-BD28-E586BEEFDCED}"/>
    <cellStyle name="40% - Accent3 2 3 4 3 3" xfId="14262" xr:uid="{4E77BD1D-0F8A-4C5B-BDCF-B799DB44E6F2}"/>
    <cellStyle name="40% - Accent3 2 3 4 4" xfId="19325" xr:uid="{D721E2D2-2616-4582-A4D7-A2F686598D2E}"/>
    <cellStyle name="40% - Accent3 2 3 4 5" xfId="10044" xr:uid="{6D11F89C-B4C1-4D40-AE44-7691B9E002C5}"/>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26100" xr:uid="{BC5B1088-A175-483F-A747-9CE905FC7E35}"/>
    <cellStyle name="40% - Accent3 2 3 5 2 2 3" xfId="16820" xr:uid="{07768A0F-D8D4-4F10-B94D-A0B755D5AF40}"/>
    <cellStyle name="40% - Accent3 2 3 5 2 3" xfId="21883" xr:uid="{B334D018-DBFB-44B1-AF1A-6F593347E165}"/>
    <cellStyle name="40% - Accent3 2 3 5 2 4" xfId="12602" xr:uid="{1688FFDC-4045-46EB-A976-E9DC919BD06E}"/>
    <cellStyle name="40% - Accent3 2 3 5 3" xfId="6225" xr:uid="{00000000-0005-0000-0000-00003B050000}"/>
    <cellStyle name="40% - Accent3 2 3 5 3 2" xfId="23955" xr:uid="{249E4DD5-DC07-4961-8010-E6755561A1C6}"/>
    <cellStyle name="40% - Accent3 2 3 5 3 3" xfId="14675" xr:uid="{221AE440-494A-48A2-AB40-95FE8427FA25}"/>
    <cellStyle name="40% - Accent3 2 3 5 4" xfId="19738" xr:uid="{3798336C-E252-4D31-9B02-C2E955D94A8D}"/>
    <cellStyle name="40% - Accent3 2 3 5 5" xfId="10457" xr:uid="{3C3E3948-F87F-486F-AB13-18DB75F194FE}"/>
    <cellStyle name="40% - Accent3 2 3 6" xfId="2332" xr:uid="{00000000-0005-0000-0000-00003C050000}"/>
    <cellStyle name="40% - Accent3 2 3 6 2" xfId="6638" xr:uid="{00000000-0005-0000-0000-00003D050000}"/>
    <cellStyle name="40% - Accent3 2 3 6 2 2" xfId="24368" xr:uid="{6C3FA806-851B-4F9C-8A83-C62BBF11731E}"/>
    <cellStyle name="40% - Accent3 2 3 6 2 3" xfId="15088" xr:uid="{2F8BDD5E-7B64-4559-8974-69AB93F86520}"/>
    <cellStyle name="40% - Accent3 2 3 6 3" xfId="20151" xr:uid="{53EDDC6C-B03B-4D79-B1AC-0A008A493E9E}"/>
    <cellStyle name="40% - Accent3 2 3 6 4" xfId="10870" xr:uid="{29B8F2F5-0205-4007-B2B4-AEF7D7F057DF}"/>
    <cellStyle name="40% - Accent3 2 3 7" xfId="4572" xr:uid="{00000000-0005-0000-0000-00003E050000}"/>
    <cellStyle name="40% - Accent3 2 3 7 2" xfId="22302" xr:uid="{00B67F66-46CE-4EA6-8F54-7626CA7DF6AE}"/>
    <cellStyle name="40% - Accent3 2 3 7 3" xfId="13022" xr:uid="{AE594352-4FD0-4789-A73F-3F364C38EA4A}"/>
    <cellStyle name="40% - Accent3 2 3 8" xfId="18085" xr:uid="{723FB504-DF3C-4F57-82A8-F61A09E94B9C}"/>
    <cellStyle name="40% - Accent3 2 3 9" xfId="17252" xr:uid="{90D886B0-A453-45D2-8C16-3892E03E816F}"/>
    <cellStyle name="40% - Accent3 2 4" xfId="635" xr:uid="{00000000-0005-0000-0000-00003F050000}"/>
    <cellStyle name="40% - Accent3 2 4 2" xfId="2906" xr:uid="{00000000-0005-0000-0000-000040050000}"/>
    <cellStyle name="40% - Accent3 2 4 2 2" xfId="7128" xr:uid="{00000000-0005-0000-0000-000041050000}"/>
    <cellStyle name="40% - Accent3 2 4 2 2 2" xfId="24858" xr:uid="{284F8B01-2B9B-489C-B9C6-482169FEDB23}"/>
    <cellStyle name="40% - Accent3 2 4 2 2 3" xfId="15578" xr:uid="{88D5E2CF-BF73-4C06-A79E-4C3293D4B0CE}"/>
    <cellStyle name="40% - Accent3 2 4 2 3" xfId="20641" xr:uid="{74F9E9DF-131F-41AA-B5C7-0F96B68CD823}"/>
    <cellStyle name="40% - Accent3 2 4 2 4" xfId="11360" xr:uid="{C7F39B5B-21EB-458E-BA7E-F7F371B182E7}"/>
    <cellStyle name="40% - Accent3 2 4 3" xfId="4983" xr:uid="{00000000-0005-0000-0000-000042050000}"/>
    <cellStyle name="40% - Accent3 2 4 3 2" xfId="22713" xr:uid="{392D2001-D861-4600-9ECE-CC88F5EFA042}"/>
    <cellStyle name="40% - Accent3 2 4 3 3" xfId="13433" xr:uid="{303FBD27-E46F-43AA-A0F9-8551F66B8251}"/>
    <cellStyle name="40% - Accent3 2 4 4" xfId="18496" xr:uid="{4DA49C09-9E08-40EF-93AA-FC6CBD0FBFAF}"/>
    <cellStyle name="40% - Accent3 2 4 5" xfId="17666" xr:uid="{41AE5424-4D94-4BB4-87AB-367571B5F0DF}"/>
    <cellStyle name="40% - Accent3 2 4 6" xfId="9215" xr:uid="{EE61F74E-7A15-4003-8E6B-2C1E0CE6A465}"/>
    <cellStyle name="40% - Accent3 2 5" xfId="1088" xr:uid="{00000000-0005-0000-0000-000043050000}"/>
    <cellStyle name="40% - Accent3 2 5 2" xfId="3319" xr:uid="{00000000-0005-0000-0000-000044050000}"/>
    <cellStyle name="40% - Accent3 2 5 2 2" xfId="7541" xr:uid="{00000000-0005-0000-0000-000045050000}"/>
    <cellStyle name="40% - Accent3 2 5 2 2 2" xfId="25271" xr:uid="{B9C4BDD0-64DC-4915-B19F-E0333361E37E}"/>
    <cellStyle name="40% - Accent3 2 5 2 2 3" xfId="15991" xr:uid="{48D3D7A5-AC07-4E20-B7B4-DC148BEAF7F2}"/>
    <cellStyle name="40% - Accent3 2 5 2 3" xfId="21054" xr:uid="{6D3EFDF3-FD52-4D2C-BAB5-D26CA532734B}"/>
    <cellStyle name="40% - Accent3 2 5 2 4" xfId="11773" xr:uid="{04E50BBB-A3C3-4D2C-9996-D54BFDD17B22}"/>
    <cellStyle name="40% - Accent3 2 5 3" xfId="5396" xr:uid="{00000000-0005-0000-0000-000046050000}"/>
    <cellStyle name="40% - Accent3 2 5 3 2" xfId="23126" xr:uid="{98A1DB1A-76CF-43DD-8E3E-FE293BAE409B}"/>
    <cellStyle name="40% - Accent3 2 5 3 3" xfId="13846" xr:uid="{C1FC09C4-BD9B-4FF2-8FBF-A04ED1C3CCD1}"/>
    <cellStyle name="40% - Accent3 2 5 4" xfId="18909" xr:uid="{DD58F8DB-B021-4B02-8419-59CA37EF373F}"/>
    <cellStyle name="40% - Accent3 2 5 5" xfId="9628" xr:uid="{7AEF06FA-17B9-4195-B77C-29D58FF64A5F}"/>
    <cellStyle name="40% - Accent3 2 6" xfId="1502" xr:uid="{00000000-0005-0000-0000-000047050000}"/>
    <cellStyle name="40% - Accent3 2 6 2" xfId="3732" xr:uid="{00000000-0005-0000-0000-000048050000}"/>
    <cellStyle name="40% - Accent3 2 6 2 2" xfId="7954" xr:uid="{00000000-0005-0000-0000-000049050000}"/>
    <cellStyle name="40% - Accent3 2 6 2 2 2" xfId="25684" xr:uid="{3D3FF099-CAF8-4186-B208-7F6E75B8310A}"/>
    <cellStyle name="40% - Accent3 2 6 2 2 3" xfId="16404" xr:uid="{992F94F3-E3B7-430B-A8B0-35F5DF644946}"/>
    <cellStyle name="40% - Accent3 2 6 2 3" xfId="21467" xr:uid="{06A76A70-2CA1-4912-94C9-37CF5D066A0D}"/>
    <cellStyle name="40% - Accent3 2 6 2 4" xfId="12186" xr:uid="{B3D05D38-EFFD-4BB1-ABA6-373D5440BB5D}"/>
    <cellStyle name="40% - Accent3 2 6 3" xfId="5809" xr:uid="{00000000-0005-0000-0000-00004A050000}"/>
    <cellStyle name="40% - Accent3 2 6 3 2" xfId="23539" xr:uid="{94598107-9747-442E-9FE5-759345D44D6D}"/>
    <cellStyle name="40% - Accent3 2 6 3 3" xfId="14259" xr:uid="{B6369643-DB25-4576-8266-EFC09B2252E6}"/>
    <cellStyle name="40% - Accent3 2 6 4" xfId="19322" xr:uid="{D6A81175-936A-436B-B3B9-6558EA694FA0}"/>
    <cellStyle name="40% - Accent3 2 6 5" xfId="10041" xr:uid="{B2507317-92BB-4982-AA15-1BE52C6A89C4}"/>
    <cellStyle name="40% - Accent3 2 7" xfId="1916" xr:uid="{00000000-0005-0000-0000-00004B050000}"/>
    <cellStyle name="40% - Accent3 2 7 2" xfId="4145" xr:uid="{00000000-0005-0000-0000-00004C050000}"/>
    <cellStyle name="40% - Accent3 2 7 2 2" xfId="8367" xr:uid="{00000000-0005-0000-0000-00004D050000}"/>
    <cellStyle name="40% - Accent3 2 7 2 2 2" xfId="26097" xr:uid="{4D29FEA1-5B6C-4BAF-8D67-2F9BBBBCDBCA}"/>
    <cellStyle name="40% - Accent3 2 7 2 2 3" xfId="16817" xr:uid="{76F42A1B-771A-4AF9-9529-9DE78E7AC8A5}"/>
    <cellStyle name="40% - Accent3 2 7 2 3" xfId="21880" xr:uid="{880414A5-9D83-4A6A-8156-A5E72376C161}"/>
    <cellStyle name="40% - Accent3 2 7 2 4" xfId="12599" xr:uid="{77A5F2D5-E146-47FA-8D6C-55E072E76B6D}"/>
    <cellStyle name="40% - Accent3 2 7 3" xfId="6222" xr:uid="{00000000-0005-0000-0000-00004E050000}"/>
    <cellStyle name="40% - Accent3 2 7 3 2" xfId="23952" xr:uid="{EA7A6CA1-A945-40AB-AE74-6C30846B6826}"/>
    <cellStyle name="40% - Accent3 2 7 3 3" xfId="14672" xr:uid="{7A8CC553-D711-418D-A8BC-E333B2D0443D}"/>
    <cellStyle name="40% - Accent3 2 7 4" xfId="19735" xr:uid="{83365A99-A0BD-4F68-93D9-4822EC3E4E7C}"/>
    <cellStyle name="40% - Accent3 2 7 5" xfId="10454" xr:uid="{C9681CB3-9FE1-4DCF-BCAA-68200DC91E5D}"/>
    <cellStyle name="40% - Accent3 2 8" xfId="2329" xr:uid="{00000000-0005-0000-0000-00004F050000}"/>
    <cellStyle name="40% - Accent3 2 8 2" xfId="6635" xr:uid="{00000000-0005-0000-0000-000050050000}"/>
    <cellStyle name="40% - Accent3 2 8 2 2" xfId="24365" xr:uid="{B0265932-7B7F-4E3B-B2E9-B0E8365F894B}"/>
    <cellStyle name="40% - Accent3 2 8 2 3" xfId="15085" xr:uid="{6104482B-5DB5-4082-9326-5126CFD1C7EB}"/>
    <cellStyle name="40% - Accent3 2 8 3" xfId="20148" xr:uid="{A022A9FC-ECC2-4A24-A522-F2BFF0528A0C}"/>
    <cellStyle name="40% - Accent3 2 8 4" xfId="10867" xr:uid="{A03BBF6F-C403-491C-9CE6-A5E09893CD75}"/>
    <cellStyle name="40% - Accent3 2 9" xfId="4569" xr:uid="{00000000-0005-0000-0000-000051050000}"/>
    <cellStyle name="40% - Accent3 2 9 2" xfId="22299" xr:uid="{8B0CD366-6DB0-4076-9573-9BCF70D6D9C5}"/>
    <cellStyle name="40% - Accent3 2 9 3" xfId="13019" xr:uid="{0AC002B5-ECDB-4DF8-9582-13497507CD57}"/>
    <cellStyle name="40% - Accent3 3" xfId="70" xr:uid="{00000000-0005-0000-0000-000052050000}"/>
    <cellStyle name="40% - Accent3 3 10" xfId="17253" xr:uid="{CE4BB5CF-D998-4240-B3D4-2230352D00BC}"/>
    <cellStyle name="40% - Accent3 3 11" xfId="8805" xr:uid="{B9B27755-81C0-47ED-8D1C-284C60766BBF}"/>
    <cellStyle name="40% - Accent3 3 2" xfId="71" xr:uid="{00000000-0005-0000-0000-000053050000}"/>
    <cellStyle name="40% - Accent3 3 2 10" xfId="8806" xr:uid="{DB3D6996-91C5-480F-BC2D-A0FF18533F76}"/>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24863" xr:uid="{43FF9ABF-BC42-410D-9AED-A1918562CCB4}"/>
    <cellStyle name="40% - Accent3 3 2 2 2 2 3" xfId="15583" xr:uid="{B1C963A1-20FF-4C9D-95F0-D7B7F8AC1481}"/>
    <cellStyle name="40% - Accent3 3 2 2 2 3" xfId="20646" xr:uid="{7369A020-40A9-4DB6-B299-5D9608992532}"/>
    <cellStyle name="40% - Accent3 3 2 2 2 4" xfId="11365" xr:uid="{35AEBBE6-02C1-4317-BC59-27E40A74965A}"/>
    <cellStyle name="40% - Accent3 3 2 2 3" xfId="4988" xr:uid="{00000000-0005-0000-0000-000057050000}"/>
    <cellStyle name="40% - Accent3 3 2 2 3 2" xfId="22718" xr:uid="{07C1190B-A947-4E86-953B-3DA88C72831A}"/>
    <cellStyle name="40% - Accent3 3 2 2 3 3" xfId="13438" xr:uid="{D01CA42D-827C-45FA-B867-107B325C6FF5}"/>
    <cellStyle name="40% - Accent3 3 2 2 4" xfId="18501" xr:uid="{8FA79B21-6D0F-496E-AE9B-E13C07C0012B}"/>
    <cellStyle name="40% - Accent3 3 2 2 5" xfId="17671" xr:uid="{C14B00F4-4D57-4533-B8E2-C53257FF3A9F}"/>
    <cellStyle name="40% - Accent3 3 2 2 6" xfId="9220" xr:uid="{D3D17403-A513-40FE-8795-C9C24443D0E0}"/>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25276" xr:uid="{708BB0B5-3269-4719-9739-AF8901B95E24}"/>
    <cellStyle name="40% - Accent3 3 2 3 2 2 3" xfId="15996" xr:uid="{FEB6ADB3-2B31-417E-B4B4-7317E21262B5}"/>
    <cellStyle name="40% - Accent3 3 2 3 2 3" xfId="21059" xr:uid="{3BC2DE75-8511-4A6F-B723-AFC3387B2BEE}"/>
    <cellStyle name="40% - Accent3 3 2 3 2 4" xfId="11778" xr:uid="{7918FD12-2FE2-4F39-A4A6-7561F1BF940A}"/>
    <cellStyle name="40% - Accent3 3 2 3 3" xfId="5401" xr:uid="{00000000-0005-0000-0000-00005B050000}"/>
    <cellStyle name="40% - Accent3 3 2 3 3 2" xfId="23131" xr:uid="{1BC96032-EA83-46B5-95D1-39F7B02AD14B}"/>
    <cellStyle name="40% - Accent3 3 2 3 3 3" xfId="13851" xr:uid="{FCB3C5ED-C3E8-4E65-89BF-9FD0B9725075}"/>
    <cellStyle name="40% - Accent3 3 2 3 4" xfId="18914" xr:uid="{914A3956-5AC5-4EB1-A68F-70D7F01B1127}"/>
    <cellStyle name="40% - Accent3 3 2 3 5" xfId="9633" xr:uid="{734E5658-056D-42AE-86BD-B8BE53DCABA4}"/>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25689" xr:uid="{A0E15B01-608D-4E6C-A1FA-BFD5047BB6A2}"/>
    <cellStyle name="40% - Accent3 3 2 4 2 2 3" xfId="16409" xr:uid="{A6BE373C-4AB4-4AAB-A27E-C2FEC611FC59}"/>
    <cellStyle name="40% - Accent3 3 2 4 2 3" xfId="21472" xr:uid="{1E2C3D76-57A1-4AF2-A0FF-3E5F1334F3ED}"/>
    <cellStyle name="40% - Accent3 3 2 4 2 4" xfId="12191" xr:uid="{FB73905D-1871-4C15-AD73-6434FDFE0805}"/>
    <cellStyle name="40% - Accent3 3 2 4 3" xfId="5814" xr:uid="{00000000-0005-0000-0000-00005F050000}"/>
    <cellStyle name="40% - Accent3 3 2 4 3 2" xfId="23544" xr:uid="{E19CF5E0-D644-4F74-9014-8FB49E4F4E30}"/>
    <cellStyle name="40% - Accent3 3 2 4 3 3" xfId="14264" xr:uid="{2975D31F-0321-4916-AA66-1DB3200C842D}"/>
    <cellStyle name="40% - Accent3 3 2 4 4" xfId="19327" xr:uid="{9DBBDF20-5469-4986-BBCE-E7156A2077BE}"/>
    <cellStyle name="40% - Accent3 3 2 4 5" xfId="10046" xr:uid="{9FE9D6A7-D944-41E0-AB01-2701148D5654}"/>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26102" xr:uid="{F56C831A-C75E-4F3A-B8F8-486B56C447D7}"/>
    <cellStyle name="40% - Accent3 3 2 5 2 2 3" xfId="16822" xr:uid="{B8A4733F-D135-4627-A1E2-F0B344689830}"/>
    <cellStyle name="40% - Accent3 3 2 5 2 3" xfId="21885" xr:uid="{C298D1CC-FC8C-4AE4-8E52-E76E8F37B5E0}"/>
    <cellStyle name="40% - Accent3 3 2 5 2 4" xfId="12604" xr:uid="{5EF95C5D-39A9-4227-A4BF-FAB01C2B0296}"/>
    <cellStyle name="40% - Accent3 3 2 5 3" xfId="6227" xr:uid="{00000000-0005-0000-0000-000063050000}"/>
    <cellStyle name="40% - Accent3 3 2 5 3 2" xfId="23957" xr:uid="{4974A0D3-A1F9-405B-B5E8-C36B43F08024}"/>
    <cellStyle name="40% - Accent3 3 2 5 3 3" xfId="14677" xr:uid="{AA531AB8-D002-4BE0-802D-58D8DED27036}"/>
    <cellStyle name="40% - Accent3 3 2 5 4" xfId="19740" xr:uid="{F308613B-54BA-44C2-B524-16563B6CB8E8}"/>
    <cellStyle name="40% - Accent3 3 2 5 5" xfId="10459" xr:uid="{AB624F1A-2207-42EC-AD0A-A3E8D7A7BA9F}"/>
    <cellStyle name="40% - Accent3 3 2 6" xfId="2334" xr:uid="{00000000-0005-0000-0000-000064050000}"/>
    <cellStyle name="40% - Accent3 3 2 6 2" xfId="6640" xr:uid="{00000000-0005-0000-0000-000065050000}"/>
    <cellStyle name="40% - Accent3 3 2 6 2 2" xfId="24370" xr:uid="{80F2614F-C534-42AF-9092-D56157526326}"/>
    <cellStyle name="40% - Accent3 3 2 6 2 3" xfId="15090" xr:uid="{D493942A-DFF9-438E-960C-A597E8E544CA}"/>
    <cellStyle name="40% - Accent3 3 2 6 3" xfId="20153" xr:uid="{682BF83D-FD8C-4EC5-A8F9-BE41F40138C1}"/>
    <cellStyle name="40% - Accent3 3 2 6 4" xfId="10872" xr:uid="{79FFFA95-C6AB-4C20-827A-61222F2981A5}"/>
    <cellStyle name="40% - Accent3 3 2 7" xfId="4574" xr:uid="{00000000-0005-0000-0000-000066050000}"/>
    <cellStyle name="40% - Accent3 3 2 7 2" xfId="22304" xr:uid="{C92F831F-6BD1-4F99-9D04-E17E2ACF9C4B}"/>
    <cellStyle name="40% - Accent3 3 2 7 3" xfId="13024" xr:uid="{98BF82AA-904B-47B0-BFF1-A03232360F5E}"/>
    <cellStyle name="40% - Accent3 3 2 8" xfId="18087" xr:uid="{A2BFA722-31D6-4E5B-A81D-558BC8B01F02}"/>
    <cellStyle name="40% - Accent3 3 2 9" xfId="17254" xr:uid="{F6DFD8EB-116C-4ADD-B53C-1F27DBD1C2CC}"/>
    <cellStyle name="40% - Accent3 3 3" xfId="639" xr:uid="{00000000-0005-0000-0000-000067050000}"/>
    <cellStyle name="40% - Accent3 3 3 2" xfId="2910" xr:uid="{00000000-0005-0000-0000-000068050000}"/>
    <cellStyle name="40% - Accent3 3 3 2 2" xfId="7132" xr:uid="{00000000-0005-0000-0000-000069050000}"/>
    <cellStyle name="40% - Accent3 3 3 2 2 2" xfId="24862" xr:uid="{0F9B177B-C565-43EE-BC7E-C36FBA9838ED}"/>
    <cellStyle name="40% - Accent3 3 3 2 2 3" xfId="15582" xr:uid="{7D1C08E6-F920-4DD6-ACBC-86F529BF0519}"/>
    <cellStyle name="40% - Accent3 3 3 2 3" xfId="20645" xr:uid="{8F152C1A-772D-45E7-8295-4885D37E1CD0}"/>
    <cellStyle name="40% - Accent3 3 3 2 4" xfId="11364" xr:uid="{196D425F-0F58-4CF3-8D41-531A938D7217}"/>
    <cellStyle name="40% - Accent3 3 3 3" xfId="4987" xr:uid="{00000000-0005-0000-0000-00006A050000}"/>
    <cellStyle name="40% - Accent3 3 3 3 2" xfId="22717" xr:uid="{9CD94CC1-39D8-466C-92AF-8D20FFFE0649}"/>
    <cellStyle name="40% - Accent3 3 3 3 3" xfId="13437" xr:uid="{BF54AF95-98A9-4048-BEC3-A7B4F747CE29}"/>
    <cellStyle name="40% - Accent3 3 3 4" xfId="18500" xr:uid="{DBCE638D-C145-416E-8C4D-15BB2569B61E}"/>
    <cellStyle name="40% - Accent3 3 3 5" xfId="17670" xr:uid="{6277A823-1DA6-4338-ACC1-DD20F505FC65}"/>
    <cellStyle name="40% - Accent3 3 3 6" xfId="9219" xr:uid="{01AEEC3D-51A1-4655-B6D3-52FCBD3D080D}"/>
    <cellStyle name="40% - Accent3 3 4" xfId="1092" xr:uid="{00000000-0005-0000-0000-00006B050000}"/>
    <cellStyle name="40% - Accent3 3 4 2" xfId="3323" xr:uid="{00000000-0005-0000-0000-00006C050000}"/>
    <cellStyle name="40% - Accent3 3 4 2 2" xfId="7545" xr:uid="{00000000-0005-0000-0000-00006D050000}"/>
    <cellStyle name="40% - Accent3 3 4 2 2 2" xfId="25275" xr:uid="{3413CF79-C4D7-4AE1-82A7-048A9BAB8483}"/>
    <cellStyle name="40% - Accent3 3 4 2 2 3" xfId="15995" xr:uid="{E93215F3-09DF-4087-81FC-05A6D008F32C}"/>
    <cellStyle name="40% - Accent3 3 4 2 3" xfId="21058" xr:uid="{158CD68F-2215-4AED-AE65-E9E6BC9158A1}"/>
    <cellStyle name="40% - Accent3 3 4 2 4" xfId="11777" xr:uid="{9027C00E-A639-4081-B693-4EFE6AD8E762}"/>
    <cellStyle name="40% - Accent3 3 4 3" xfId="5400" xr:uid="{00000000-0005-0000-0000-00006E050000}"/>
    <cellStyle name="40% - Accent3 3 4 3 2" xfId="23130" xr:uid="{17122D85-AF72-423D-A4E4-AE63AF23E454}"/>
    <cellStyle name="40% - Accent3 3 4 3 3" xfId="13850" xr:uid="{7198A003-59E3-4556-868A-16EF6603041D}"/>
    <cellStyle name="40% - Accent3 3 4 4" xfId="18913" xr:uid="{DC327821-CAF6-41AF-8E4C-78DF43DF5BF2}"/>
    <cellStyle name="40% - Accent3 3 4 5" xfId="9632" xr:uid="{B499058E-8C9E-4D35-83B2-DF5A53557B35}"/>
    <cellStyle name="40% - Accent3 3 5" xfId="1506" xr:uid="{00000000-0005-0000-0000-00006F050000}"/>
    <cellStyle name="40% - Accent3 3 5 2" xfId="3736" xr:uid="{00000000-0005-0000-0000-000070050000}"/>
    <cellStyle name="40% - Accent3 3 5 2 2" xfId="7958" xr:uid="{00000000-0005-0000-0000-000071050000}"/>
    <cellStyle name="40% - Accent3 3 5 2 2 2" xfId="25688" xr:uid="{E9203E33-BCAE-4746-AD6F-A0813C2D6092}"/>
    <cellStyle name="40% - Accent3 3 5 2 2 3" xfId="16408" xr:uid="{9A2CFC53-40AC-4E53-B6B2-77223B0EFDAC}"/>
    <cellStyle name="40% - Accent3 3 5 2 3" xfId="21471" xr:uid="{3CD91CC1-83D2-4AC0-A175-BF0ED36E8C6A}"/>
    <cellStyle name="40% - Accent3 3 5 2 4" xfId="12190" xr:uid="{2318BFBC-477F-401E-B08F-6E119E8D9D60}"/>
    <cellStyle name="40% - Accent3 3 5 3" xfId="5813" xr:uid="{00000000-0005-0000-0000-000072050000}"/>
    <cellStyle name="40% - Accent3 3 5 3 2" xfId="23543" xr:uid="{E4CA0A35-4D83-4F72-8026-FAE0154FA324}"/>
    <cellStyle name="40% - Accent3 3 5 3 3" xfId="14263" xr:uid="{5367AE57-B753-42C7-8238-8B5BE92F498A}"/>
    <cellStyle name="40% - Accent3 3 5 4" xfId="19326" xr:uid="{40EE92A3-9FA6-4565-9166-A79E33569EBE}"/>
    <cellStyle name="40% - Accent3 3 5 5" xfId="10045" xr:uid="{AF0BED74-3514-44DC-BA3C-C3FC1902C73B}"/>
    <cellStyle name="40% - Accent3 3 6" xfId="1920" xr:uid="{00000000-0005-0000-0000-000073050000}"/>
    <cellStyle name="40% - Accent3 3 6 2" xfId="4149" xr:uid="{00000000-0005-0000-0000-000074050000}"/>
    <cellStyle name="40% - Accent3 3 6 2 2" xfId="8371" xr:uid="{00000000-0005-0000-0000-000075050000}"/>
    <cellStyle name="40% - Accent3 3 6 2 2 2" xfId="26101" xr:uid="{FC584BA7-06B1-4B62-ABD8-96FF61D4E5F3}"/>
    <cellStyle name="40% - Accent3 3 6 2 2 3" xfId="16821" xr:uid="{CBFD4675-0467-4C74-829D-1EA4011DB2B0}"/>
    <cellStyle name="40% - Accent3 3 6 2 3" xfId="21884" xr:uid="{DB66DA2D-F69F-47CD-9C7D-AAC88EC78FBE}"/>
    <cellStyle name="40% - Accent3 3 6 2 4" xfId="12603" xr:uid="{8587D1E5-2DFC-4D42-86EF-797528A4FBE3}"/>
    <cellStyle name="40% - Accent3 3 6 3" xfId="6226" xr:uid="{00000000-0005-0000-0000-000076050000}"/>
    <cellStyle name="40% - Accent3 3 6 3 2" xfId="23956" xr:uid="{53394087-B100-4FEA-ACD5-F4347F1627EC}"/>
    <cellStyle name="40% - Accent3 3 6 3 3" xfId="14676" xr:uid="{0F465E04-E015-4683-BE3D-D23644D47993}"/>
    <cellStyle name="40% - Accent3 3 6 4" xfId="19739" xr:uid="{26C48D63-6425-4144-84CC-9095AF6B667D}"/>
    <cellStyle name="40% - Accent3 3 6 5" xfId="10458" xr:uid="{213AF5D0-88F9-4E47-AD89-DE5374595894}"/>
    <cellStyle name="40% - Accent3 3 7" xfId="2333" xr:uid="{00000000-0005-0000-0000-000077050000}"/>
    <cellStyle name="40% - Accent3 3 7 2" xfId="6639" xr:uid="{00000000-0005-0000-0000-000078050000}"/>
    <cellStyle name="40% - Accent3 3 7 2 2" xfId="24369" xr:uid="{0A28B028-764E-42A7-A535-7E7464D9C63A}"/>
    <cellStyle name="40% - Accent3 3 7 2 3" xfId="15089" xr:uid="{ABC9CF31-994D-48AA-BE9A-872908E50AD6}"/>
    <cellStyle name="40% - Accent3 3 7 3" xfId="20152" xr:uid="{CD6AEF76-A0E8-4719-B436-91FBF0C79B9B}"/>
    <cellStyle name="40% - Accent3 3 7 4" xfId="10871" xr:uid="{A15398CB-8949-4F1F-86C5-6438F3C526E9}"/>
    <cellStyle name="40% - Accent3 3 8" xfId="4573" xr:uid="{00000000-0005-0000-0000-000079050000}"/>
    <cellStyle name="40% - Accent3 3 8 2" xfId="22303" xr:uid="{657D5320-1552-4205-9AB2-A80C789417A0}"/>
    <cellStyle name="40% - Accent3 3 8 3" xfId="13023" xr:uid="{14EBB809-CC18-4BE7-BBBF-C0CF990CECFC}"/>
    <cellStyle name="40% - Accent3 3 9" xfId="18086" xr:uid="{0E61EFA6-67CE-47D5-9A12-B462CB467850}"/>
    <cellStyle name="40% - Accent3 4" xfId="72" xr:uid="{00000000-0005-0000-0000-00007A050000}"/>
    <cellStyle name="40% - Accent3 4 10" xfId="8807" xr:uid="{3A65D605-169D-4F94-95B6-EA74B1FAAB54}"/>
    <cellStyle name="40% - Accent3 4 2" xfId="641" xr:uid="{00000000-0005-0000-0000-00007B050000}"/>
    <cellStyle name="40% - Accent3 4 2 2" xfId="2912" xr:uid="{00000000-0005-0000-0000-00007C050000}"/>
    <cellStyle name="40% - Accent3 4 2 2 2" xfId="7134" xr:uid="{00000000-0005-0000-0000-00007D050000}"/>
    <cellStyle name="40% - Accent3 4 2 2 2 2" xfId="24864" xr:uid="{389C1F12-74D8-4D96-8AEC-B6B4CC128E21}"/>
    <cellStyle name="40% - Accent3 4 2 2 2 3" xfId="15584" xr:uid="{114BA16C-918A-4163-9E9A-D57C001E1060}"/>
    <cellStyle name="40% - Accent3 4 2 2 3" xfId="20647" xr:uid="{61C2935A-1887-4080-A436-27BC19C9FC42}"/>
    <cellStyle name="40% - Accent3 4 2 2 4" xfId="11366" xr:uid="{6814F2A3-FA4C-4EE6-8EC2-7F00412D8050}"/>
    <cellStyle name="40% - Accent3 4 2 3" xfId="4989" xr:uid="{00000000-0005-0000-0000-00007E050000}"/>
    <cellStyle name="40% - Accent3 4 2 3 2" xfId="22719" xr:uid="{CF572B73-D302-48AD-A94B-468A55D75774}"/>
    <cellStyle name="40% - Accent3 4 2 3 3" xfId="13439" xr:uid="{8D5104F0-589A-4CD9-962E-84B13367F2CA}"/>
    <cellStyle name="40% - Accent3 4 2 4" xfId="18502" xr:uid="{7A32D14F-0D80-47E2-84A9-A31294587C3A}"/>
    <cellStyle name="40% - Accent3 4 2 5" xfId="17672" xr:uid="{21B6F44D-FC73-43D3-A8E2-578C2FAE70D2}"/>
    <cellStyle name="40% - Accent3 4 2 6" xfId="9221" xr:uid="{420381FC-A4CF-4562-A2AE-8A9209CA90C6}"/>
    <cellStyle name="40% - Accent3 4 3" xfId="1094" xr:uid="{00000000-0005-0000-0000-00007F050000}"/>
    <cellStyle name="40% - Accent3 4 3 2" xfId="3325" xr:uid="{00000000-0005-0000-0000-000080050000}"/>
    <cellStyle name="40% - Accent3 4 3 2 2" xfId="7547" xr:uid="{00000000-0005-0000-0000-000081050000}"/>
    <cellStyle name="40% - Accent3 4 3 2 2 2" xfId="25277" xr:uid="{5BD1498A-7B58-422B-B48B-B0A22803D32C}"/>
    <cellStyle name="40% - Accent3 4 3 2 2 3" xfId="15997" xr:uid="{86F054DB-B1A7-457B-968F-9E4884122AA0}"/>
    <cellStyle name="40% - Accent3 4 3 2 3" xfId="21060" xr:uid="{9F4B9781-2D69-4C35-AA25-0FDD78C0AC61}"/>
    <cellStyle name="40% - Accent3 4 3 2 4" xfId="11779" xr:uid="{94EBCD69-5B10-45C9-80C1-CA7604463ABD}"/>
    <cellStyle name="40% - Accent3 4 3 3" xfId="5402" xr:uid="{00000000-0005-0000-0000-000082050000}"/>
    <cellStyle name="40% - Accent3 4 3 3 2" xfId="23132" xr:uid="{5AE05722-33EE-4A90-B7C4-DFF2AB602ED9}"/>
    <cellStyle name="40% - Accent3 4 3 3 3" xfId="13852" xr:uid="{CC699966-E3A0-4E93-9F0B-1428397AE167}"/>
    <cellStyle name="40% - Accent3 4 3 4" xfId="18915" xr:uid="{5160CDF2-5419-4F0E-B967-9245492580BF}"/>
    <cellStyle name="40% - Accent3 4 3 5" xfId="9634" xr:uid="{833062D8-9315-4D27-8CF3-BC6F8D7BCFEE}"/>
    <cellStyle name="40% - Accent3 4 4" xfId="1508" xr:uid="{00000000-0005-0000-0000-000083050000}"/>
    <cellStyle name="40% - Accent3 4 4 2" xfId="3738" xr:uid="{00000000-0005-0000-0000-000084050000}"/>
    <cellStyle name="40% - Accent3 4 4 2 2" xfId="7960" xr:uid="{00000000-0005-0000-0000-000085050000}"/>
    <cellStyle name="40% - Accent3 4 4 2 2 2" xfId="25690" xr:uid="{3292AC59-2646-47B5-98DB-3E551E6BAFBA}"/>
    <cellStyle name="40% - Accent3 4 4 2 2 3" xfId="16410" xr:uid="{ABF78C29-9FE2-4DB0-9B1F-A8A4188D87AB}"/>
    <cellStyle name="40% - Accent3 4 4 2 3" xfId="21473" xr:uid="{9FB43A20-0459-4FBD-8307-2943BA168B9B}"/>
    <cellStyle name="40% - Accent3 4 4 2 4" xfId="12192" xr:uid="{F327A5A8-B116-485E-AF5F-BBE9167CCCA1}"/>
    <cellStyle name="40% - Accent3 4 4 3" xfId="5815" xr:uid="{00000000-0005-0000-0000-000086050000}"/>
    <cellStyle name="40% - Accent3 4 4 3 2" xfId="23545" xr:uid="{DFF14D35-AD54-4013-B21E-67E1600402BA}"/>
    <cellStyle name="40% - Accent3 4 4 3 3" xfId="14265" xr:uid="{04AA72CE-AC84-465C-8CF7-FC8781EA485C}"/>
    <cellStyle name="40% - Accent3 4 4 4" xfId="19328" xr:uid="{FC053ED0-A0BF-4085-B4B1-FF9404F17DAB}"/>
    <cellStyle name="40% - Accent3 4 4 5" xfId="10047" xr:uid="{2739C8D9-C94D-439D-9207-A752931CF7B7}"/>
    <cellStyle name="40% - Accent3 4 5" xfId="1922" xr:uid="{00000000-0005-0000-0000-000087050000}"/>
    <cellStyle name="40% - Accent3 4 5 2" xfId="4151" xr:uid="{00000000-0005-0000-0000-000088050000}"/>
    <cellStyle name="40% - Accent3 4 5 2 2" xfId="8373" xr:uid="{00000000-0005-0000-0000-000089050000}"/>
    <cellStyle name="40% - Accent3 4 5 2 2 2" xfId="26103" xr:uid="{4F20C893-0C1D-4739-914E-E01BB1290E53}"/>
    <cellStyle name="40% - Accent3 4 5 2 2 3" xfId="16823" xr:uid="{9F67523A-AA67-4927-9033-ECA01FBD8499}"/>
    <cellStyle name="40% - Accent3 4 5 2 3" xfId="21886" xr:uid="{69AB1577-5F72-42E0-BCE5-F1A599D2FEB9}"/>
    <cellStyle name="40% - Accent3 4 5 2 4" xfId="12605" xr:uid="{7C0A3DED-41A0-4B56-AE8E-45719A9DA8DB}"/>
    <cellStyle name="40% - Accent3 4 5 3" xfId="6228" xr:uid="{00000000-0005-0000-0000-00008A050000}"/>
    <cellStyle name="40% - Accent3 4 5 3 2" xfId="23958" xr:uid="{E91B3F6F-13BB-4483-89AE-5FDB99174E2B}"/>
    <cellStyle name="40% - Accent3 4 5 3 3" xfId="14678" xr:uid="{AA4332D3-EBD1-4483-8D34-98CF008EC4E7}"/>
    <cellStyle name="40% - Accent3 4 5 4" xfId="19741" xr:uid="{D6FF3601-C43C-493D-9946-7CEC7E4BF50C}"/>
    <cellStyle name="40% - Accent3 4 5 5" xfId="10460" xr:uid="{A35A853B-612A-4972-A057-41C8D63A04E3}"/>
    <cellStyle name="40% - Accent3 4 6" xfId="2335" xr:uid="{00000000-0005-0000-0000-00008B050000}"/>
    <cellStyle name="40% - Accent3 4 6 2" xfId="6641" xr:uid="{00000000-0005-0000-0000-00008C050000}"/>
    <cellStyle name="40% - Accent3 4 6 2 2" xfId="24371" xr:uid="{628CE1AA-4E93-40DA-91C5-349F8C9D6935}"/>
    <cellStyle name="40% - Accent3 4 6 2 3" xfId="15091" xr:uid="{AA76FD7B-5D5B-4F01-942F-A2786A25F866}"/>
    <cellStyle name="40% - Accent3 4 6 3" xfId="20154" xr:uid="{32BE8C83-6B61-43AF-8D87-4AA36C82D76D}"/>
    <cellStyle name="40% - Accent3 4 6 4" xfId="10873" xr:uid="{72918153-CC01-4DE8-BE94-74CCE63109F4}"/>
    <cellStyle name="40% - Accent3 4 7" xfId="4575" xr:uid="{00000000-0005-0000-0000-00008D050000}"/>
    <cellStyle name="40% - Accent3 4 7 2" xfId="22305" xr:uid="{3AE721C3-61B0-4B50-B36B-32E4F9D05FE4}"/>
    <cellStyle name="40% - Accent3 4 7 3" xfId="13025" xr:uid="{503D998F-65FE-4E06-857C-8FCA5006C102}"/>
    <cellStyle name="40% - Accent3 4 8" xfId="18088" xr:uid="{6F7AA471-569B-461E-B005-674B36145921}"/>
    <cellStyle name="40% - Accent3 4 9" xfId="17255" xr:uid="{7BC997D5-E2F1-4232-8BFE-B12C410401D2}"/>
    <cellStyle name="40% - Accent3 5" xfId="634" xr:uid="{00000000-0005-0000-0000-00008E050000}"/>
    <cellStyle name="40% - Accent3 5 2" xfId="2905" xr:uid="{00000000-0005-0000-0000-00008F050000}"/>
    <cellStyle name="40% - Accent3 5 2 2" xfId="7127" xr:uid="{00000000-0005-0000-0000-000090050000}"/>
    <cellStyle name="40% - Accent3 5 2 2 2" xfId="24857" xr:uid="{4AFF0070-941A-45B2-8DFF-B96DF57A42D0}"/>
    <cellStyle name="40% - Accent3 5 2 2 3" xfId="15577" xr:uid="{7D27D724-E129-44DC-A11D-91D1D2EBACCA}"/>
    <cellStyle name="40% - Accent3 5 2 3" xfId="20640" xr:uid="{1FC26104-0834-496E-8C2D-C01475BE639E}"/>
    <cellStyle name="40% - Accent3 5 2 4" xfId="11359" xr:uid="{17486784-61B9-4ADA-824D-5ED686193906}"/>
    <cellStyle name="40% - Accent3 5 3" xfId="4982" xr:uid="{00000000-0005-0000-0000-000091050000}"/>
    <cellStyle name="40% - Accent3 5 3 2" xfId="22712" xr:uid="{D21C79C9-2AF8-48A6-AB41-38EA43467D70}"/>
    <cellStyle name="40% - Accent3 5 3 3" xfId="13432" xr:uid="{26327492-0B60-47E7-A725-2BD9328C2447}"/>
    <cellStyle name="40% - Accent3 5 4" xfId="18495" xr:uid="{EA54A411-01C1-47A4-A772-FEC6B9665C63}"/>
    <cellStyle name="40% - Accent3 5 5" xfId="17665" xr:uid="{9B550FE4-85EF-49B1-B43B-5954A8EC46AE}"/>
    <cellStyle name="40% - Accent3 5 6" xfId="9214" xr:uid="{774D84DB-8BD5-4F9C-8F3F-9913333E9156}"/>
    <cellStyle name="40% - Accent3 6" xfId="1087" xr:uid="{00000000-0005-0000-0000-000092050000}"/>
    <cellStyle name="40% - Accent3 6 2" xfId="3318" xr:uid="{00000000-0005-0000-0000-000093050000}"/>
    <cellStyle name="40% - Accent3 6 2 2" xfId="7540" xr:uid="{00000000-0005-0000-0000-000094050000}"/>
    <cellStyle name="40% - Accent3 6 2 2 2" xfId="25270" xr:uid="{897478CE-A642-40F3-8779-ACD5BF0A9138}"/>
    <cellStyle name="40% - Accent3 6 2 2 3" xfId="15990" xr:uid="{2DB5F0F0-6BF1-49BE-8ABA-3DB8C5B9626F}"/>
    <cellStyle name="40% - Accent3 6 2 3" xfId="21053" xr:uid="{B29C0C33-A91F-42CB-AFD1-EBC5DCEA6BE6}"/>
    <cellStyle name="40% - Accent3 6 2 4" xfId="11772" xr:uid="{527866D5-C4C1-49F8-9F6A-C184FFA8E2D5}"/>
    <cellStyle name="40% - Accent3 6 3" xfId="5395" xr:uid="{00000000-0005-0000-0000-000095050000}"/>
    <cellStyle name="40% - Accent3 6 3 2" xfId="23125" xr:uid="{7F5C6921-54C3-4B7E-B4DE-B9417C896693}"/>
    <cellStyle name="40% - Accent3 6 3 3" xfId="13845" xr:uid="{A3FF9E88-3C80-43AE-83D1-3A70E3429FB3}"/>
    <cellStyle name="40% - Accent3 6 4" xfId="18908" xr:uid="{B821445E-1C44-4A0B-BEF0-000DC350286F}"/>
    <cellStyle name="40% - Accent3 6 5" xfId="9627" xr:uid="{E1516E46-E0E9-4A0C-B65F-C43FD30FB4C0}"/>
    <cellStyle name="40% - Accent3 7" xfId="1501" xr:uid="{00000000-0005-0000-0000-000096050000}"/>
    <cellStyle name="40% - Accent3 7 2" xfId="3731" xr:uid="{00000000-0005-0000-0000-000097050000}"/>
    <cellStyle name="40% - Accent3 7 2 2" xfId="7953" xr:uid="{00000000-0005-0000-0000-000098050000}"/>
    <cellStyle name="40% - Accent3 7 2 2 2" xfId="25683" xr:uid="{199F4B3C-7BD6-4CFC-B221-BF622E1273A6}"/>
    <cellStyle name="40% - Accent3 7 2 2 3" xfId="16403" xr:uid="{BEE9AF43-7578-45B3-8B0C-96ADEBBE7991}"/>
    <cellStyle name="40% - Accent3 7 2 3" xfId="21466" xr:uid="{D0DCE425-15CF-4176-B046-4E8CB5FAF436}"/>
    <cellStyle name="40% - Accent3 7 2 4" xfId="12185" xr:uid="{2F18FE3A-FFF6-471A-BB3F-3C9091751C59}"/>
    <cellStyle name="40% - Accent3 7 3" xfId="5808" xr:uid="{00000000-0005-0000-0000-000099050000}"/>
    <cellStyle name="40% - Accent3 7 3 2" xfId="23538" xr:uid="{43F9E8B0-7838-4AC3-A704-9647A751EC24}"/>
    <cellStyle name="40% - Accent3 7 3 3" xfId="14258" xr:uid="{8A71B0FB-6EA2-4443-B04B-063EF2ABF450}"/>
    <cellStyle name="40% - Accent3 7 4" xfId="19321" xr:uid="{514B3001-1369-45EA-AE6F-6711FA44D3EE}"/>
    <cellStyle name="40% - Accent3 7 5" xfId="10040" xr:uid="{0FCC224D-92E1-4D12-9FE2-500F6F804D45}"/>
    <cellStyle name="40% - Accent3 8" xfId="1915" xr:uid="{00000000-0005-0000-0000-00009A050000}"/>
    <cellStyle name="40% - Accent3 8 2" xfId="4144" xr:uid="{00000000-0005-0000-0000-00009B050000}"/>
    <cellStyle name="40% - Accent3 8 2 2" xfId="8366" xr:uid="{00000000-0005-0000-0000-00009C050000}"/>
    <cellStyle name="40% - Accent3 8 2 2 2" xfId="26096" xr:uid="{9C81C13D-9249-4B04-8DD0-A1C62DBF9A0D}"/>
    <cellStyle name="40% - Accent3 8 2 2 3" xfId="16816" xr:uid="{BAA49C56-95EA-4526-B029-2A822DF45F6C}"/>
    <cellStyle name="40% - Accent3 8 2 3" xfId="21879" xr:uid="{5EA932C4-3ECB-490D-B45A-A5D8316710C3}"/>
    <cellStyle name="40% - Accent3 8 2 4" xfId="12598" xr:uid="{6FA4F1F2-86FA-4F77-A8EB-BA77E9287C37}"/>
    <cellStyle name="40% - Accent3 8 3" xfId="6221" xr:uid="{00000000-0005-0000-0000-00009D050000}"/>
    <cellStyle name="40% - Accent3 8 3 2" xfId="23951" xr:uid="{D6BBA044-D305-4C3A-9980-71108DA10F48}"/>
    <cellStyle name="40% - Accent3 8 3 3" xfId="14671" xr:uid="{389AEE71-6317-4D53-990F-8B735C921846}"/>
    <cellStyle name="40% - Accent3 8 4" xfId="19734" xr:uid="{07D6F57E-B9E2-432F-B368-351766C55DF4}"/>
    <cellStyle name="40% - Accent3 8 5" xfId="10453" xr:uid="{610212B2-E90A-4577-BA82-47E643F28796}"/>
    <cellStyle name="40% - Accent3 9" xfId="2328" xr:uid="{00000000-0005-0000-0000-00009E050000}"/>
    <cellStyle name="40% - Accent3 9 2" xfId="6634" xr:uid="{00000000-0005-0000-0000-00009F050000}"/>
    <cellStyle name="40% - Accent3 9 2 2" xfId="24364" xr:uid="{7E485990-0365-44F1-90F4-2B541CE6100B}"/>
    <cellStyle name="40% - Accent3 9 2 3" xfId="15084" xr:uid="{71132315-5E11-491E-9597-0CA213EC7CBC}"/>
    <cellStyle name="40% - Accent3 9 3" xfId="20147" xr:uid="{8EEE6425-37DF-422F-AA0E-853D11A2FD20}"/>
    <cellStyle name="40% - Accent3 9 4" xfId="10866" xr:uid="{9A24EDDC-11CB-4C1B-B32E-F07D9AC9C878}"/>
    <cellStyle name="40% - Accent4" xfId="73" builtinId="43" customBuiltin="1"/>
    <cellStyle name="40% - Accent4 10" xfId="4576" xr:uid="{00000000-0005-0000-0000-0000A1050000}"/>
    <cellStyle name="40% - Accent4 10 2" xfId="22306" xr:uid="{C2680935-BC42-4CFF-B713-E375009BD675}"/>
    <cellStyle name="40% - Accent4 10 3" xfId="13026" xr:uid="{B99EA39E-AD93-41F9-BB10-873B98ED346A}"/>
    <cellStyle name="40% - Accent4 11" xfId="18089" xr:uid="{C068B23C-E5F8-4843-BF0F-E83C91C41C6F}"/>
    <cellStyle name="40% - Accent4 12" xfId="17256" xr:uid="{4733084A-3F2E-445D-8496-FB5AF6A33930}"/>
    <cellStyle name="40% - Accent4 13" xfId="8808" xr:uid="{0F7D3A56-6B58-4456-AAC9-AEE5CD73D3D9}"/>
    <cellStyle name="40% - Accent4 2" xfId="74" xr:uid="{00000000-0005-0000-0000-0000A2050000}"/>
    <cellStyle name="40% - Accent4 2 10" xfId="18090" xr:uid="{F9337403-980B-4774-8346-577AC4E4DBA8}"/>
    <cellStyle name="40% - Accent4 2 11" xfId="17257" xr:uid="{B26CF7C2-DAA8-431C-89FD-A73B2850C6AB}"/>
    <cellStyle name="40% - Accent4 2 12" xfId="8809" xr:uid="{55EFC14C-7665-406D-B348-D7F22593DBDB}"/>
    <cellStyle name="40% - Accent4 2 2" xfId="75" xr:uid="{00000000-0005-0000-0000-0000A3050000}"/>
    <cellStyle name="40% - Accent4 2 2 10" xfId="17258" xr:uid="{C7FA5C76-BB3F-4ED9-9633-147EF897B49E}"/>
    <cellStyle name="40% - Accent4 2 2 11" xfId="8810" xr:uid="{3134C10D-10CB-44D4-B4F0-4B8B503A3B5F}"/>
    <cellStyle name="40% - Accent4 2 2 2" xfId="76" xr:uid="{00000000-0005-0000-0000-0000A4050000}"/>
    <cellStyle name="40% - Accent4 2 2 2 10" xfId="8811" xr:uid="{BE5A8C0E-4EB6-463D-8FB1-649A3CB8793E}"/>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24868" xr:uid="{DD9DC831-E5B2-4324-AAFB-F4BD614416A1}"/>
    <cellStyle name="40% - Accent4 2 2 2 2 2 2 3" xfId="15588" xr:uid="{F45737E4-112B-4F06-898F-CC0B0349505B}"/>
    <cellStyle name="40% - Accent4 2 2 2 2 2 3" xfId="20651" xr:uid="{B3CD2CBA-A364-4C44-87FA-CDFAA04F8997}"/>
    <cellStyle name="40% - Accent4 2 2 2 2 2 4" xfId="11370" xr:uid="{B75E31E8-E0FC-43FA-88D6-0B117B5697A0}"/>
    <cellStyle name="40% - Accent4 2 2 2 2 3" xfId="4993" xr:uid="{00000000-0005-0000-0000-0000A8050000}"/>
    <cellStyle name="40% - Accent4 2 2 2 2 3 2" xfId="22723" xr:uid="{66B345D0-53E5-4F50-B15A-7F81D7FF767C}"/>
    <cellStyle name="40% - Accent4 2 2 2 2 3 3" xfId="13443" xr:uid="{90342E01-B501-4295-8033-752576AB4D8F}"/>
    <cellStyle name="40% - Accent4 2 2 2 2 4" xfId="18506" xr:uid="{690166CF-A4CB-4C2A-ABAF-A64C3D688105}"/>
    <cellStyle name="40% - Accent4 2 2 2 2 5" xfId="17676" xr:uid="{14884EDC-56C3-4FB9-A846-01659AACCF9B}"/>
    <cellStyle name="40% - Accent4 2 2 2 2 6" xfId="9225" xr:uid="{64C5874C-2705-4053-9242-74452276CB66}"/>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25281" xr:uid="{9D650696-A593-41E6-BC96-6FEB0246610D}"/>
    <cellStyle name="40% - Accent4 2 2 2 3 2 2 3" xfId="16001" xr:uid="{C3EC93A8-1373-4FCC-8730-4EDFE41488B5}"/>
    <cellStyle name="40% - Accent4 2 2 2 3 2 3" xfId="21064" xr:uid="{5AAE8F55-8426-4993-BEB3-21CA7BC6BE0A}"/>
    <cellStyle name="40% - Accent4 2 2 2 3 2 4" xfId="11783" xr:uid="{14C33120-B835-4254-A19E-CBDE7B1BB736}"/>
    <cellStyle name="40% - Accent4 2 2 2 3 3" xfId="5406" xr:uid="{00000000-0005-0000-0000-0000AC050000}"/>
    <cellStyle name="40% - Accent4 2 2 2 3 3 2" xfId="23136" xr:uid="{78AAFE7A-6FB4-4C12-8C0B-4E8EFD2E0182}"/>
    <cellStyle name="40% - Accent4 2 2 2 3 3 3" xfId="13856" xr:uid="{6CFE78BD-1A08-4C28-A931-D54315B57481}"/>
    <cellStyle name="40% - Accent4 2 2 2 3 4" xfId="18919" xr:uid="{5CEDDFAB-4962-476D-8538-58613A349C54}"/>
    <cellStyle name="40% - Accent4 2 2 2 3 5" xfId="9638" xr:uid="{7B47A7D3-EDD5-4AD8-B39D-C448888A37DC}"/>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25694" xr:uid="{29F10E39-3819-4DD1-BBC9-427AD56D292F}"/>
    <cellStyle name="40% - Accent4 2 2 2 4 2 2 3" xfId="16414" xr:uid="{2BD27C54-C1A1-4E61-ACCA-BE521F7A0A18}"/>
    <cellStyle name="40% - Accent4 2 2 2 4 2 3" xfId="21477" xr:uid="{906A717D-4D02-4D7F-84ED-DCA82D877964}"/>
    <cellStyle name="40% - Accent4 2 2 2 4 2 4" xfId="12196" xr:uid="{BBC752B4-F39B-4636-B360-B25E54C3F7D9}"/>
    <cellStyle name="40% - Accent4 2 2 2 4 3" xfId="5819" xr:uid="{00000000-0005-0000-0000-0000B0050000}"/>
    <cellStyle name="40% - Accent4 2 2 2 4 3 2" xfId="23549" xr:uid="{34BAC6C5-694F-4588-9A60-88463E5A08AA}"/>
    <cellStyle name="40% - Accent4 2 2 2 4 3 3" xfId="14269" xr:uid="{9D7D149D-44CA-4D06-861F-BE3CE3FE8EA6}"/>
    <cellStyle name="40% - Accent4 2 2 2 4 4" xfId="19332" xr:uid="{3927A866-48B9-4863-919E-124EB13E5968}"/>
    <cellStyle name="40% - Accent4 2 2 2 4 5" xfId="10051" xr:uid="{5EA9DD0C-398B-4D9F-A8C0-88BCAD388F97}"/>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26107" xr:uid="{66E3B37D-FABB-4186-97C5-29577951EE67}"/>
    <cellStyle name="40% - Accent4 2 2 2 5 2 2 3" xfId="16827" xr:uid="{AB87A086-80C6-4BEA-80A9-6ACF88C44F40}"/>
    <cellStyle name="40% - Accent4 2 2 2 5 2 3" xfId="21890" xr:uid="{B4A0EA94-FEF2-4781-B74B-3C02AB65F932}"/>
    <cellStyle name="40% - Accent4 2 2 2 5 2 4" xfId="12609" xr:uid="{33B28C8B-003A-44A7-B44C-02D069109EDC}"/>
    <cellStyle name="40% - Accent4 2 2 2 5 3" xfId="6232" xr:uid="{00000000-0005-0000-0000-0000B4050000}"/>
    <cellStyle name="40% - Accent4 2 2 2 5 3 2" xfId="23962" xr:uid="{25B0D08B-D19C-46C4-8B07-3E17405BE9F6}"/>
    <cellStyle name="40% - Accent4 2 2 2 5 3 3" xfId="14682" xr:uid="{E2829843-646F-4EEB-A50D-8A3D9336CB9C}"/>
    <cellStyle name="40% - Accent4 2 2 2 5 4" xfId="19745" xr:uid="{E82A0E5F-7288-4CC8-A955-2D80B15AD34C}"/>
    <cellStyle name="40% - Accent4 2 2 2 5 5" xfId="10464" xr:uid="{66D919B3-513A-4657-8482-41DDE60546F7}"/>
    <cellStyle name="40% - Accent4 2 2 2 6" xfId="2339" xr:uid="{00000000-0005-0000-0000-0000B5050000}"/>
    <cellStyle name="40% - Accent4 2 2 2 6 2" xfId="6645" xr:uid="{00000000-0005-0000-0000-0000B6050000}"/>
    <cellStyle name="40% - Accent4 2 2 2 6 2 2" xfId="24375" xr:uid="{CD9F36C6-21D7-4382-9E7C-0F673E71FB41}"/>
    <cellStyle name="40% - Accent4 2 2 2 6 2 3" xfId="15095" xr:uid="{454CF230-6443-45E6-96BD-D0765D5C6C91}"/>
    <cellStyle name="40% - Accent4 2 2 2 6 3" xfId="20158" xr:uid="{FC966A38-4D07-4192-9327-D5B915D86B88}"/>
    <cellStyle name="40% - Accent4 2 2 2 6 4" xfId="10877" xr:uid="{AAC01E0F-E5BE-41F6-808B-2786A397DCDC}"/>
    <cellStyle name="40% - Accent4 2 2 2 7" xfId="4579" xr:uid="{00000000-0005-0000-0000-0000B7050000}"/>
    <cellStyle name="40% - Accent4 2 2 2 7 2" xfId="22309" xr:uid="{B6F4C8CE-D5C5-4151-A945-1C835931D9DF}"/>
    <cellStyle name="40% - Accent4 2 2 2 7 3" xfId="13029" xr:uid="{BB7F54A5-319C-47FE-A826-AC516950E366}"/>
    <cellStyle name="40% - Accent4 2 2 2 8" xfId="18092" xr:uid="{A0BABDD8-11B4-4106-B4AC-D1C690579A0D}"/>
    <cellStyle name="40% - Accent4 2 2 2 9" xfId="17259" xr:uid="{D0FAD26F-2EED-4B07-AD01-76F3A5DD8E0D}"/>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24867" xr:uid="{6DFE7CD2-315A-4937-BC4F-E690FB99F6B8}"/>
    <cellStyle name="40% - Accent4 2 2 3 2 2 3" xfId="15587" xr:uid="{D9883D7A-DC39-4F18-A2F0-88B4292E51D8}"/>
    <cellStyle name="40% - Accent4 2 2 3 2 3" xfId="20650" xr:uid="{A83E2147-D82B-4E9E-92D9-A884DB991219}"/>
    <cellStyle name="40% - Accent4 2 2 3 2 4" xfId="11369" xr:uid="{F2D6437E-63E4-4356-9233-4340387B9965}"/>
    <cellStyle name="40% - Accent4 2 2 3 3" xfId="4992" xr:uid="{00000000-0005-0000-0000-0000BB050000}"/>
    <cellStyle name="40% - Accent4 2 2 3 3 2" xfId="22722" xr:uid="{C7AF4AC4-C0CA-4096-81E6-FB2F949D1343}"/>
    <cellStyle name="40% - Accent4 2 2 3 3 3" xfId="13442" xr:uid="{A536E4AF-EB21-4F65-A385-FBE95972D15F}"/>
    <cellStyle name="40% - Accent4 2 2 3 4" xfId="18505" xr:uid="{BE49F008-AAAE-446A-9F06-FB8CC924C676}"/>
    <cellStyle name="40% - Accent4 2 2 3 5" xfId="17675" xr:uid="{8B8FB165-39DB-41E8-88F2-67520A1BAE80}"/>
    <cellStyle name="40% - Accent4 2 2 3 6" xfId="9224" xr:uid="{C7F569EE-27F3-405B-9126-44B1B17B36E0}"/>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25280" xr:uid="{0F376682-7699-46F1-B062-B7B3A1244BF9}"/>
    <cellStyle name="40% - Accent4 2 2 4 2 2 3" xfId="16000" xr:uid="{FBD9FE9D-6AF6-433A-B29A-93ED18941896}"/>
    <cellStyle name="40% - Accent4 2 2 4 2 3" xfId="21063" xr:uid="{31B9A76F-ED29-49E3-8C27-4B11F3F30FD8}"/>
    <cellStyle name="40% - Accent4 2 2 4 2 4" xfId="11782" xr:uid="{AC2C6CE7-B693-41EB-A1C2-7F9E9E751CCF}"/>
    <cellStyle name="40% - Accent4 2 2 4 3" xfId="5405" xr:uid="{00000000-0005-0000-0000-0000BF050000}"/>
    <cellStyle name="40% - Accent4 2 2 4 3 2" xfId="23135" xr:uid="{B7A7BCD2-753C-4DAC-8451-03BB68BC3B20}"/>
    <cellStyle name="40% - Accent4 2 2 4 3 3" xfId="13855" xr:uid="{A70041DC-A385-49D2-BF53-2834E27CA54B}"/>
    <cellStyle name="40% - Accent4 2 2 4 4" xfId="18918" xr:uid="{8FC7A432-3CE1-4DDE-A009-9CFB11AC5657}"/>
    <cellStyle name="40% - Accent4 2 2 4 5" xfId="9637" xr:uid="{C637D730-83FA-4FD7-A678-5E5FFAD37201}"/>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25693" xr:uid="{0371515E-83C7-4CCD-87DC-B5A38945F58B}"/>
    <cellStyle name="40% - Accent4 2 2 5 2 2 3" xfId="16413" xr:uid="{65675FB2-D990-4D9A-8245-FB4279DE4C53}"/>
    <cellStyle name="40% - Accent4 2 2 5 2 3" xfId="21476" xr:uid="{9C07D338-9616-4357-84F5-A61617201957}"/>
    <cellStyle name="40% - Accent4 2 2 5 2 4" xfId="12195" xr:uid="{4DFB86BC-06E6-462A-B4DB-5D737884B251}"/>
    <cellStyle name="40% - Accent4 2 2 5 3" xfId="5818" xr:uid="{00000000-0005-0000-0000-0000C3050000}"/>
    <cellStyle name="40% - Accent4 2 2 5 3 2" xfId="23548" xr:uid="{E141512E-99AD-4DE2-8E08-D2AAF5C0745A}"/>
    <cellStyle name="40% - Accent4 2 2 5 3 3" xfId="14268" xr:uid="{8F389819-D4A7-4A12-A481-A7811EC6A5DF}"/>
    <cellStyle name="40% - Accent4 2 2 5 4" xfId="19331" xr:uid="{AB2FFF3E-DF02-48BF-89FB-97916E693D89}"/>
    <cellStyle name="40% - Accent4 2 2 5 5" xfId="10050" xr:uid="{F0BB91F0-E167-48BC-998E-449F44C73632}"/>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26106" xr:uid="{39334E9D-C6E1-49D5-B41E-9551ABF4FBC8}"/>
    <cellStyle name="40% - Accent4 2 2 6 2 2 3" xfId="16826" xr:uid="{35E79035-102F-4578-9C5E-37E26AE4F60C}"/>
    <cellStyle name="40% - Accent4 2 2 6 2 3" xfId="21889" xr:uid="{457E7F07-DC51-43F5-B92F-F2CE2DE03842}"/>
    <cellStyle name="40% - Accent4 2 2 6 2 4" xfId="12608" xr:uid="{81FA1F7B-78BF-4491-9A44-3E5E8189BE27}"/>
    <cellStyle name="40% - Accent4 2 2 6 3" xfId="6231" xr:uid="{00000000-0005-0000-0000-0000C7050000}"/>
    <cellStyle name="40% - Accent4 2 2 6 3 2" xfId="23961" xr:uid="{9F253F1C-FCDF-41C7-A3F2-C9DDF59C577E}"/>
    <cellStyle name="40% - Accent4 2 2 6 3 3" xfId="14681" xr:uid="{27235FDA-6CA4-486F-A90A-E0A80E4DA234}"/>
    <cellStyle name="40% - Accent4 2 2 6 4" xfId="19744" xr:uid="{C543B833-F8C0-4A16-9439-9DB6D4B4E96E}"/>
    <cellStyle name="40% - Accent4 2 2 6 5" xfId="10463" xr:uid="{B4B0E48F-12F0-4560-8D25-EA63CF60B438}"/>
    <cellStyle name="40% - Accent4 2 2 7" xfId="2338" xr:uid="{00000000-0005-0000-0000-0000C8050000}"/>
    <cellStyle name="40% - Accent4 2 2 7 2" xfId="6644" xr:uid="{00000000-0005-0000-0000-0000C9050000}"/>
    <cellStyle name="40% - Accent4 2 2 7 2 2" xfId="24374" xr:uid="{ED3E0DD6-E445-4A71-A460-1131D8CC8E5D}"/>
    <cellStyle name="40% - Accent4 2 2 7 2 3" xfId="15094" xr:uid="{25045527-FEA3-4E76-9116-75E62645025B}"/>
    <cellStyle name="40% - Accent4 2 2 7 3" xfId="20157" xr:uid="{0ABD063C-6DB6-4448-8C01-EEFD70BD9D59}"/>
    <cellStyle name="40% - Accent4 2 2 7 4" xfId="10876" xr:uid="{2E20D65C-CB94-4FCA-A7D1-8E9D29839099}"/>
    <cellStyle name="40% - Accent4 2 2 8" xfId="4578" xr:uid="{00000000-0005-0000-0000-0000CA050000}"/>
    <cellStyle name="40% - Accent4 2 2 8 2" xfId="22308" xr:uid="{5FD7DDAC-17B5-4707-8839-B073CA5B10AB}"/>
    <cellStyle name="40% - Accent4 2 2 8 3" xfId="13028" xr:uid="{91D2E448-1418-4B32-921A-D1917EF4E037}"/>
    <cellStyle name="40% - Accent4 2 2 9" xfId="18091" xr:uid="{839B0CB0-150F-460B-BBCB-90B65C2B26A0}"/>
    <cellStyle name="40% - Accent4 2 3" xfId="77" xr:uid="{00000000-0005-0000-0000-0000CB050000}"/>
    <cellStyle name="40% - Accent4 2 3 10" xfId="8812" xr:uid="{EAE4E412-28A8-4B7F-95D3-14F37870DFE9}"/>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24869" xr:uid="{3CABB268-D67C-4009-AC30-997FE006B7FD}"/>
    <cellStyle name="40% - Accent4 2 3 2 2 2 3" xfId="15589" xr:uid="{E1C35250-F947-437D-9632-4A27395D54BC}"/>
    <cellStyle name="40% - Accent4 2 3 2 2 3" xfId="20652" xr:uid="{DD895AFD-4E21-4AE8-9291-7EDF2C8115BF}"/>
    <cellStyle name="40% - Accent4 2 3 2 2 4" xfId="11371" xr:uid="{A804C13E-43F1-48B9-A519-4217E3CC7926}"/>
    <cellStyle name="40% - Accent4 2 3 2 3" xfId="4994" xr:uid="{00000000-0005-0000-0000-0000CF050000}"/>
    <cellStyle name="40% - Accent4 2 3 2 3 2" xfId="22724" xr:uid="{7D7D7C69-8E12-49EE-B662-432CAC82CFB6}"/>
    <cellStyle name="40% - Accent4 2 3 2 3 3" xfId="13444" xr:uid="{0EF92F3F-4522-47CD-853C-A9ADB5B48BC6}"/>
    <cellStyle name="40% - Accent4 2 3 2 4" xfId="18507" xr:uid="{5DFD5D32-F50E-4C76-9FCA-238D1C36F152}"/>
    <cellStyle name="40% - Accent4 2 3 2 5" xfId="17677" xr:uid="{77AFEEEA-FDB6-4FFE-962B-85C3EA3C3DAC}"/>
    <cellStyle name="40% - Accent4 2 3 2 6" xfId="9226" xr:uid="{BCDD570F-6540-416F-B325-D1E61A93CFE1}"/>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25282" xr:uid="{A5995BFB-E62D-4D91-B255-50B85E8AAABB}"/>
    <cellStyle name="40% - Accent4 2 3 3 2 2 3" xfId="16002" xr:uid="{BBDB14E6-273A-4EBF-97CF-ADEB57FA8321}"/>
    <cellStyle name="40% - Accent4 2 3 3 2 3" xfId="21065" xr:uid="{08B55022-EDF0-4E6A-8FAA-0F59E0C5E55D}"/>
    <cellStyle name="40% - Accent4 2 3 3 2 4" xfId="11784" xr:uid="{D7BA1246-0869-4229-9F34-575197441BF1}"/>
    <cellStyle name="40% - Accent4 2 3 3 3" xfId="5407" xr:uid="{00000000-0005-0000-0000-0000D3050000}"/>
    <cellStyle name="40% - Accent4 2 3 3 3 2" xfId="23137" xr:uid="{C513D86D-B3EB-475B-984F-B33827A66DDA}"/>
    <cellStyle name="40% - Accent4 2 3 3 3 3" xfId="13857" xr:uid="{468B0C29-88CF-4036-98BD-95566FC0A47E}"/>
    <cellStyle name="40% - Accent4 2 3 3 4" xfId="18920" xr:uid="{AC53645B-259E-40CF-A083-29A218D06262}"/>
    <cellStyle name="40% - Accent4 2 3 3 5" xfId="9639" xr:uid="{548AB95E-0077-463A-A97A-A81AB3A15C19}"/>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25695" xr:uid="{29E0439D-2370-40CF-8F18-52DB25809947}"/>
    <cellStyle name="40% - Accent4 2 3 4 2 2 3" xfId="16415" xr:uid="{B9DDA5B9-4A60-457C-8F8F-4751B563871A}"/>
    <cellStyle name="40% - Accent4 2 3 4 2 3" xfId="21478" xr:uid="{F14916D9-59F1-4010-93CF-8F3C0DD799DD}"/>
    <cellStyle name="40% - Accent4 2 3 4 2 4" xfId="12197" xr:uid="{D0ED9870-D6E4-46EF-8935-2B4F3B9FB48D}"/>
    <cellStyle name="40% - Accent4 2 3 4 3" xfId="5820" xr:uid="{00000000-0005-0000-0000-0000D7050000}"/>
    <cellStyle name="40% - Accent4 2 3 4 3 2" xfId="23550" xr:uid="{BB8EF355-6948-45C9-9676-E0BDFCF5CCCE}"/>
    <cellStyle name="40% - Accent4 2 3 4 3 3" xfId="14270" xr:uid="{5FDD930A-05F7-4CC3-8166-5F2DF1A031BB}"/>
    <cellStyle name="40% - Accent4 2 3 4 4" xfId="19333" xr:uid="{3CA2FF8B-6D6D-44C8-AF51-D10422378F66}"/>
    <cellStyle name="40% - Accent4 2 3 4 5" xfId="10052" xr:uid="{5B70BB27-A68F-4A0E-9F99-6BF4C80F897A}"/>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26108" xr:uid="{2EA6ACC3-F297-4A5C-9DB8-4729A9012D37}"/>
    <cellStyle name="40% - Accent4 2 3 5 2 2 3" xfId="16828" xr:uid="{9C902A2C-F949-491A-99D9-7A71A7500A46}"/>
    <cellStyle name="40% - Accent4 2 3 5 2 3" xfId="21891" xr:uid="{B00B82A3-8713-42A0-A5D8-DCEA12BF58E7}"/>
    <cellStyle name="40% - Accent4 2 3 5 2 4" xfId="12610" xr:uid="{EF36E53A-8C0D-4828-B618-1C8EB08C9B0F}"/>
    <cellStyle name="40% - Accent4 2 3 5 3" xfId="6233" xr:uid="{00000000-0005-0000-0000-0000DB050000}"/>
    <cellStyle name="40% - Accent4 2 3 5 3 2" xfId="23963" xr:uid="{603B71A8-ACF0-41F7-98A4-C9611BB4F439}"/>
    <cellStyle name="40% - Accent4 2 3 5 3 3" xfId="14683" xr:uid="{DC102BB7-20B7-4E53-A9C4-FE7710267D73}"/>
    <cellStyle name="40% - Accent4 2 3 5 4" xfId="19746" xr:uid="{701EA64F-0D30-454B-B751-A601AE897672}"/>
    <cellStyle name="40% - Accent4 2 3 5 5" xfId="10465" xr:uid="{3A350165-2F1A-4095-B0FB-0812BCEE706E}"/>
    <cellStyle name="40% - Accent4 2 3 6" xfId="2340" xr:uid="{00000000-0005-0000-0000-0000DC050000}"/>
    <cellStyle name="40% - Accent4 2 3 6 2" xfId="6646" xr:uid="{00000000-0005-0000-0000-0000DD050000}"/>
    <cellStyle name="40% - Accent4 2 3 6 2 2" xfId="24376" xr:uid="{D1D4175A-EC11-4E64-AB73-6BA2EC2ED416}"/>
    <cellStyle name="40% - Accent4 2 3 6 2 3" xfId="15096" xr:uid="{620553A7-C82B-40A1-95FA-1EC24D785467}"/>
    <cellStyle name="40% - Accent4 2 3 6 3" xfId="20159" xr:uid="{AD55DB54-B806-4095-8BAC-969F09383A35}"/>
    <cellStyle name="40% - Accent4 2 3 6 4" xfId="10878" xr:uid="{02F4218D-B904-4810-87ED-D52B1C359CE0}"/>
    <cellStyle name="40% - Accent4 2 3 7" xfId="4580" xr:uid="{00000000-0005-0000-0000-0000DE050000}"/>
    <cellStyle name="40% - Accent4 2 3 7 2" xfId="22310" xr:uid="{CEE9065D-D274-4334-923E-564755158C7B}"/>
    <cellStyle name="40% - Accent4 2 3 7 3" xfId="13030" xr:uid="{57368377-9962-4C1B-8167-9D63A7EF1E00}"/>
    <cellStyle name="40% - Accent4 2 3 8" xfId="18093" xr:uid="{C7B1A644-305E-4742-B69B-0C35CE396221}"/>
    <cellStyle name="40% - Accent4 2 3 9" xfId="17260" xr:uid="{E7548426-D27C-42AB-99DB-B49C2395FF1C}"/>
    <cellStyle name="40% - Accent4 2 4" xfId="643" xr:uid="{00000000-0005-0000-0000-0000DF050000}"/>
    <cellStyle name="40% - Accent4 2 4 2" xfId="2914" xr:uid="{00000000-0005-0000-0000-0000E0050000}"/>
    <cellStyle name="40% - Accent4 2 4 2 2" xfId="7136" xr:uid="{00000000-0005-0000-0000-0000E1050000}"/>
    <cellStyle name="40% - Accent4 2 4 2 2 2" xfId="24866" xr:uid="{B47C234C-5471-49BA-8AE2-1B429C68EFB5}"/>
    <cellStyle name="40% - Accent4 2 4 2 2 3" xfId="15586" xr:uid="{AC7E5AF1-8F1F-490A-8D49-A4E37154FFDB}"/>
    <cellStyle name="40% - Accent4 2 4 2 3" xfId="20649" xr:uid="{5DB4F499-3634-4D1F-90E4-A4800D6F3AC4}"/>
    <cellStyle name="40% - Accent4 2 4 2 4" xfId="11368" xr:uid="{9CC2A0F1-90E6-4F72-B693-9B9B14F83AE8}"/>
    <cellStyle name="40% - Accent4 2 4 3" xfId="4991" xr:uid="{00000000-0005-0000-0000-0000E2050000}"/>
    <cellStyle name="40% - Accent4 2 4 3 2" xfId="22721" xr:uid="{90AABBA4-E345-4CAB-9579-62FD58645DA4}"/>
    <cellStyle name="40% - Accent4 2 4 3 3" xfId="13441" xr:uid="{59B5ECCE-D32F-47F3-A73D-4B66FA4CDC3D}"/>
    <cellStyle name="40% - Accent4 2 4 4" xfId="18504" xr:uid="{8666FDFA-6AEC-42A1-897C-8F751ECE453B}"/>
    <cellStyle name="40% - Accent4 2 4 5" xfId="17674" xr:uid="{E2F59C90-A084-4E26-A70D-F4BBDF4866D6}"/>
    <cellStyle name="40% - Accent4 2 4 6" xfId="9223" xr:uid="{4228BB00-A96A-41A1-BB9B-D52E3BBF3C03}"/>
    <cellStyle name="40% - Accent4 2 5" xfId="1096" xr:uid="{00000000-0005-0000-0000-0000E3050000}"/>
    <cellStyle name="40% - Accent4 2 5 2" xfId="3327" xr:uid="{00000000-0005-0000-0000-0000E4050000}"/>
    <cellStyle name="40% - Accent4 2 5 2 2" xfId="7549" xr:uid="{00000000-0005-0000-0000-0000E5050000}"/>
    <cellStyle name="40% - Accent4 2 5 2 2 2" xfId="25279" xr:uid="{04C90775-4B09-4343-B613-2DC29C7FEE5E}"/>
    <cellStyle name="40% - Accent4 2 5 2 2 3" xfId="15999" xr:uid="{A47375C9-2FB5-4F41-96C5-5BF4A400F5B3}"/>
    <cellStyle name="40% - Accent4 2 5 2 3" xfId="21062" xr:uid="{62D58804-7FFA-4312-B226-401114151961}"/>
    <cellStyle name="40% - Accent4 2 5 2 4" xfId="11781" xr:uid="{FDE1378F-B197-4D0D-9A6D-3B6CE9A8F4E1}"/>
    <cellStyle name="40% - Accent4 2 5 3" xfId="5404" xr:uid="{00000000-0005-0000-0000-0000E6050000}"/>
    <cellStyle name="40% - Accent4 2 5 3 2" xfId="23134" xr:uid="{A397EB29-64BA-42E3-B084-8BFAEA80D833}"/>
    <cellStyle name="40% - Accent4 2 5 3 3" xfId="13854" xr:uid="{223836B5-5324-4965-A15C-9D43AABE0964}"/>
    <cellStyle name="40% - Accent4 2 5 4" xfId="18917" xr:uid="{6CAE2A6D-E348-47D6-BD0C-E5FED0CD1060}"/>
    <cellStyle name="40% - Accent4 2 5 5" xfId="9636" xr:uid="{6324C99A-79AD-4A15-88DA-17445FC086F1}"/>
    <cellStyle name="40% - Accent4 2 6" xfId="1510" xr:uid="{00000000-0005-0000-0000-0000E7050000}"/>
    <cellStyle name="40% - Accent4 2 6 2" xfId="3740" xr:uid="{00000000-0005-0000-0000-0000E8050000}"/>
    <cellStyle name="40% - Accent4 2 6 2 2" xfId="7962" xr:uid="{00000000-0005-0000-0000-0000E9050000}"/>
    <cellStyle name="40% - Accent4 2 6 2 2 2" xfId="25692" xr:uid="{5BEAAA1D-696C-4601-83BC-D955CC8B0D5F}"/>
    <cellStyle name="40% - Accent4 2 6 2 2 3" xfId="16412" xr:uid="{17D7DB15-6215-45A0-BAA6-964DF2F8EA5F}"/>
    <cellStyle name="40% - Accent4 2 6 2 3" xfId="21475" xr:uid="{81228486-2FA2-4D76-83C2-1BF910891144}"/>
    <cellStyle name="40% - Accent4 2 6 2 4" xfId="12194" xr:uid="{6A54FE9D-6A9F-4797-A861-DA14020361C5}"/>
    <cellStyle name="40% - Accent4 2 6 3" xfId="5817" xr:uid="{00000000-0005-0000-0000-0000EA050000}"/>
    <cellStyle name="40% - Accent4 2 6 3 2" xfId="23547" xr:uid="{F17AFF1B-EA2C-437B-8C31-4F03486C6502}"/>
    <cellStyle name="40% - Accent4 2 6 3 3" xfId="14267" xr:uid="{F8207022-3BC0-4F56-935D-A81E0AB4237B}"/>
    <cellStyle name="40% - Accent4 2 6 4" xfId="19330" xr:uid="{F2F1BF47-0EE6-42DF-ADE6-5D43F438E2F8}"/>
    <cellStyle name="40% - Accent4 2 6 5" xfId="10049" xr:uid="{B19A7226-7683-457A-804E-1C0F93625B0B}"/>
    <cellStyle name="40% - Accent4 2 7" xfId="1924" xr:uid="{00000000-0005-0000-0000-0000EB050000}"/>
    <cellStyle name="40% - Accent4 2 7 2" xfId="4153" xr:uid="{00000000-0005-0000-0000-0000EC050000}"/>
    <cellStyle name="40% - Accent4 2 7 2 2" xfId="8375" xr:uid="{00000000-0005-0000-0000-0000ED050000}"/>
    <cellStyle name="40% - Accent4 2 7 2 2 2" xfId="26105" xr:uid="{4B8B4EA5-E402-48FA-971C-D77D94D07DB1}"/>
    <cellStyle name="40% - Accent4 2 7 2 2 3" xfId="16825" xr:uid="{D5DADC96-B623-4D95-9FC7-879852431BB4}"/>
    <cellStyle name="40% - Accent4 2 7 2 3" xfId="21888" xr:uid="{CD30654C-27F2-498B-81F3-3E0CFC32B027}"/>
    <cellStyle name="40% - Accent4 2 7 2 4" xfId="12607" xr:uid="{8B17913F-3298-499E-A5DF-34DC015356AF}"/>
    <cellStyle name="40% - Accent4 2 7 3" xfId="6230" xr:uid="{00000000-0005-0000-0000-0000EE050000}"/>
    <cellStyle name="40% - Accent4 2 7 3 2" xfId="23960" xr:uid="{DC02B7AA-B78F-43C0-A6B2-D6966AA0C9BD}"/>
    <cellStyle name="40% - Accent4 2 7 3 3" xfId="14680" xr:uid="{9AB587AE-5871-48B6-8694-02DFAA33DF1A}"/>
    <cellStyle name="40% - Accent4 2 7 4" xfId="19743" xr:uid="{88EDA110-B5F9-4735-A1BE-95E8B5CAB9CA}"/>
    <cellStyle name="40% - Accent4 2 7 5" xfId="10462" xr:uid="{7EEA2778-F982-4415-B282-BE1A8EE11A62}"/>
    <cellStyle name="40% - Accent4 2 8" xfId="2337" xr:uid="{00000000-0005-0000-0000-0000EF050000}"/>
    <cellStyle name="40% - Accent4 2 8 2" xfId="6643" xr:uid="{00000000-0005-0000-0000-0000F0050000}"/>
    <cellStyle name="40% - Accent4 2 8 2 2" xfId="24373" xr:uid="{09AFD63F-C011-43C8-9428-B46F49515E06}"/>
    <cellStyle name="40% - Accent4 2 8 2 3" xfId="15093" xr:uid="{CC729E6A-C5AF-4BE3-88E8-7E5994F77D5C}"/>
    <cellStyle name="40% - Accent4 2 8 3" xfId="20156" xr:uid="{14059764-4C9B-4739-BE8D-6199E5317261}"/>
    <cellStyle name="40% - Accent4 2 8 4" xfId="10875" xr:uid="{E312ACC3-76C4-4B43-AFD6-2A5F5016E45F}"/>
    <cellStyle name="40% - Accent4 2 9" xfId="4577" xr:uid="{00000000-0005-0000-0000-0000F1050000}"/>
    <cellStyle name="40% - Accent4 2 9 2" xfId="22307" xr:uid="{493B83FE-3C14-499F-AA30-2A6CDCFAFFE2}"/>
    <cellStyle name="40% - Accent4 2 9 3" xfId="13027" xr:uid="{C5CDE7CA-562B-4A4C-81A4-840C3812C828}"/>
    <cellStyle name="40% - Accent4 3" xfId="78" xr:uid="{00000000-0005-0000-0000-0000F2050000}"/>
    <cellStyle name="40% - Accent4 3 10" xfId="17261" xr:uid="{44A41D66-61B2-4413-BB3F-FFFBFC36FB05}"/>
    <cellStyle name="40% - Accent4 3 11" xfId="8813" xr:uid="{567E0F00-9E20-495C-8911-88B879440603}"/>
    <cellStyle name="40% - Accent4 3 2" xfId="79" xr:uid="{00000000-0005-0000-0000-0000F3050000}"/>
    <cellStyle name="40% - Accent4 3 2 10" xfId="8814" xr:uid="{35BAC7C4-0D1D-4B55-AFDE-5FB529501EAB}"/>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24871" xr:uid="{FE9F6901-A025-4CC1-A11E-5D9E0155EF35}"/>
    <cellStyle name="40% - Accent4 3 2 2 2 2 3" xfId="15591" xr:uid="{BC6E7AD4-1B6F-48E9-A1F7-92CBF0F967F5}"/>
    <cellStyle name="40% - Accent4 3 2 2 2 3" xfId="20654" xr:uid="{9825C786-DF29-4D97-AD13-8E5588C308F8}"/>
    <cellStyle name="40% - Accent4 3 2 2 2 4" xfId="11373" xr:uid="{501A6C19-311A-4EE7-9D09-EBD94D999E1F}"/>
    <cellStyle name="40% - Accent4 3 2 2 3" xfId="4996" xr:uid="{00000000-0005-0000-0000-0000F7050000}"/>
    <cellStyle name="40% - Accent4 3 2 2 3 2" xfId="22726" xr:uid="{335B9EBD-E361-41D9-A0C9-F2FCC5F2FBC2}"/>
    <cellStyle name="40% - Accent4 3 2 2 3 3" xfId="13446" xr:uid="{6EAF709D-B18F-4F61-9498-743BD25D4D98}"/>
    <cellStyle name="40% - Accent4 3 2 2 4" xfId="18509" xr:uid="{C5D81749-BB20-4AA7-866C-1FBFF353A7E7}"/>
    <cellStyle name="40% - Accent4 3 2 2 5" xfId="17679" xr:uid="{066F3331-7A39-4B13-A465-031CC9D0EC64}"/>
    <cellStyle name="40% - Accent4 3 2 2 6" xfId="9228" xr:uid="{DE0420F1-5A0F-4555-8E29-E68A64A7B357}"/>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25284" xr:uid="{642C6FC9-36C3-4584-95F4-7CD835D27F10}"/>
    <cellStyle name="40% - Accent4 3 2 3 2 2 3" xfId="16004" xr:uid="{7841C807-64FA-41CF-9D53-8E15CF6E9AFE}"/>
    <cellStyle name="40% - Accent4 3 2 3 2 3" xfId="21067" xr:uid="{3213CD4D-14F5-4C62-BABC-A25CB5DA38AE}"/>
    <cellStyle name="40% - Accent4 3 2 3 2 4" xfId="11786" xr:uid="{4F40AC53-495C-4B3D-8B11-B3ED8D72ED7D}"/>
    <cellStyle name="40% - Accent4 3 2 3 3" xfId="5409" xr:uid="{00000000-0005-0000-0000-0000FB050000}"/>
    <cellStyle name="40% - Accent4 3 2 3 3 2" xfId="23139" xr:uid="{E383F6CF-0DD4-4C81-85E5-B75E4333E501}"/>
    <cellStyle name="40% - Accent4 3 2 3 3 3" xfId="13859" xr:uid="{565FCEDB-C44C-4E98-8F5E-01D12668D05A}"/>
    <cellStyle name="40% - Accent4 3 2 3 4" xfId="18922" xr:uid="{001CF245-94B1-47A4-9FB4-8C1BB3EA9F08}"/>
    <cellStyle name="40% - Accent4 3 2 3 5" xfId="9641" xr:uid="{40562C79-DCC0-4857-B79D-88D8DC0E59AB}"/>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25697" xr:uid="{91C7793B-4F6C-43BC-8A33-39A7E3F407EB}"/>
    <cellStyle name="40% - Accent4 3 2 4 2 2 3" xfId="16417" xr:uid="{99F85AAB-DC4E-48EA-AEE1-5FA031617215}"/>
    <cellStyle name="40% - Accent4 3 2 4 2 3" xfId="21480" xr:uid="{BC6F9596-C061-4E4B-A2C9-AF0BCA6D68D2}"/>
    <cellStyle name="40% - Accent4 3 2 4 2 4" xfId="12199" xr:uid="{8BE23D5C-1059-41D7-A20B-0DD1AA4B1E3F}"/>
    <cellStyle name="40% - Accent4 3 2 4 3" xfId="5822" xr:uid="{00000000-0005-0000-0000-0000FF050000}"/>
    <cellStyle name="40% - Accent4 3 2 4 3 2" xfId="23552" xr:uid="{CCBCE54D-CDC8-43C5-8773-FE69E3D29501}"/>
    <cellStyle name="40% - Accent4 3 2 4 3 3" xfId="14272" xr:uid="{124AB4DF-D107-447C-B5A2-D6F78CCCED00}"/>
    <cellStyle name="40% - Accent4 3 2 4 4" xfId="19335" xr:uid="{78922497-29D5-4B0F-8F78-4884C5DC9409}"/>
    <cellStyle name="40% - Accent4 3 2 4 5" xfId="10054" xr:uid="{551B7CDC-FAA7-4CA9-B048-D3E6183A5107}"/>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26110" xr:uid="{BFDD00DD-FAFD-4158-B7DB-BF825B00D8EC}"/>
    <cellStyle name="40% - Accent4 3 2 5 2 2 3" xfId="16830" xr:uid="{7F777B18-77CC-4662-94F7-1718D2B28CAF}"/>
    <cellStyle name="40% - Accent4 3 2 5 2 3" xfId="21893" xr:uid="{E2980E2F-0F57-46B0-A5D5-B7C6B8CBB5D4}"/>
    <cellStyle name="40% - Accent4 3 2 5 2 4" xfId="12612" xr:uid="{CF6D45E9-27F5-4C86-AF0F-C5E65D62DC38}"/>
    <cellStyle name="40% - Accent4 3 2 5 3" xfId="6235" xr:uid="{00000000-0005-0000-0000-000003060000}"/>
    <cellStyle name="40% - Accent4 3 2 5 3 2" xfId="23965" xr:uid="{511C1540-AFD1-4D47-9D82-90DF56A58ACA}"/>
    <cellStyle name="40% - Accent4 3 2 5 3 3" xfId="14685" xr:uid="{00903E80-042C-442C-9A81-216E2D23BF47}"/>
    <cellStyle name="40% - Accent4 3 2 5 4" xfId="19748" xr:uid="{60D094A7-4162-4E3B-9516-9F7BFDE70394}"/>
    <cellStyle name="40% - Accent4 3 2 5 5" xfId="10467" xr:uid="{65D18215-6518-429D-AAED-5713CF6A7121}"/>
    <cellStyle name="40% - Accent4 3 2 6" xfId="2342" xr:uid="{00000000-0005-0000-0000-000004060000}"/>
    <cellStyle name="40% - Accent4 3 2 6 2" xfId="6648" xr:uid="{00000000-0005-0000-0000-000005060000}"/>
    <cellStyle name="40% - Accent4 3 2 6 2 2" xfId="24378" xr:uid="{0EE2ECF3-C96E-43B0-A5F4-E3B61C9EA174}"/>
    <cellStyle name="40% - Accent4 3 2 6 2 3" xfId="15098" xr:uid="{24995B95-6C20-4562-A965-F7DBF030E961}"/>
    <cellStyle name="40% - Accent4 3 2 6 3" xfId="20161" xr:uid="{CE38C5F4-0755-48A5-925E-1A912744269C}"/>
    <cellStyle name="40% - Accent4 3 2 6 4" xfId="10880" xr:uid="{2B638E4B-C4B0-4C53-82D4-B61A68E201AC}"/>
    <cellStyle name="40% - Accent4 3 2 7" xfId="4582" xr:uid="{00000000-0005-0000-0000-000006060000}"/>
    <cellStyle name="40% - Accent4 3 2 7 2" xfId="22312" xr:uid="{3EBA8143-EE2D-4121-8C1D-A288D16A1695}"/>
    <cellStyle name="40% - Accent4 3 2 7 3" xfId="13032" xr:uid="{1BE3FB33-2634-48CE-9755-BFE3847F8F40}"/>
    <cellStyle name="40% - Accent4 3 2 8" xfId="18095" xr:uid="{63CB5A39-3378-4481-A990-62CE73D14DBD}"/>
    <cellStyle name="40% - Accent4 3 2 9" xfId="17262" xr:uid="{CD4D7431-7585-4A32-ABF4-2119CD568A03}"/>
    <cellStyle name="40% - Accent4 3 3" xfId="647" xr:uid="{00000000-0005-0000-0000-000007060000}"/>
    <cellStyle name="40% - Accent4 3 3 2" xfId="2918" xr:uid="{00000000-0005-0000-0000-000008060000}"/>
    <cellStyle name="40% - Accent4 3 3 2 2" xfId="7140" xr:uid="{00000000-0005-0000-0000-000009060000}"/>
    <cellStyle name="40% - Accent4 3 3 2 2 2" xfId="24870" xr:uid="{42963235-9DC4-40D1-921F-EA89F0FA7D42}"/>
    <cellStyle name="40% - Accent4 3 3 2 2 3" xfId="15590" xr:uid="{B121C14B-924C-4368-9501-791F5D20DEFB}"/>
    <cellStyle name="40% - Accent4 3 3 2 3" xfId="20653" xr:uid="{877209C9-A215-4DC7-B83D-16E87403C883}"/>
    <cellStyle name="40% - Accent4 3 3 2 4" xfId="11372" xr:uid="{50EA1DA3-D433-4509-84CF-E20CF881B2F2}"/>
    <cellStyle name="40% - Accent4 3 3 3" xfId="4995" xr:uid="{00000000-0005-0000-0000-00000A060000}"/>
    <cellStyle name="40% - Accent4 3 3 3 2" xfId="22725" xr:uid="{8CE2BFB1-8807-4451-9001-936625DE5282}"/>
    <cellStyle name="40% - Accent4 3 3 3 3" xfId="13445" xr:uid="{8DE6107C-9EB1-45C4-B588-D5A827477725}"/>
    <cellStyle name="40% - Accent4 3 3 4" xfId="18508" xr:uid="{5D842CE1-B113-4899-8CA3-8731FE76BC83}"/>
    <cellStyle name="40% - Accent4 3 3 5" xfId="17678" xr:uid="{02AAD456-204F-4724-9684-7377A923DBEC}"/>
    <cellStyle name="40% - Accent4 3 3 6" xfId="9227" xr:uid="{095B8163-263A-4CE0-9084-2C6EAB2126C7}"/>
    <cellStyle name="40% - Accent4 3 4" xfId="1100" xr:uid="{00000000-0005-0000-0000-00000B060000}"/>
    <cellStyle name="40% - Accent4 3 4 2" xfId="3331" xr:uid="{00000000-0005-0000-0000-00000C060000}"/>
    <cellStyle name="40% - Accent4 3 4 2 2" xfId="7553" xr:uid="{00000000-0005-0000-0000-00000D060000}"/>
    <cellStyle name="40% - Accent4 3 4 2 2 2" xfId="25283" xr:uid="{41B22323-F34F-4481-8048-69C343FCEE28}"/>
    <cellStyle name="40% - Accent4 3 4 2 2 3" xfId="16003" xr:uid="{4AA2D7E4-9694-4B5B-960C-C8C34B3CA7B2}"/>
    <cellStyle name="40% - Accent4 3 4 2 3" xfId="21066" xr:uid="{2A0F298E-9787-4174-ADFA-F0FA8BFA17BA}"/>
    <cellStyle name="40% - Accent4 3 4 2 4" xfId="11785" xr:uid="{B5586BE9-B37E-4F99-A455-F6FFB0300D4A}"/>
    <cellStyle name="40% - Accent4 3 4 3" xfId="5408" xr:uid="{00000000-0005-0000-0000-00000E060000}"/>
    <cellStyle name="40% - Accent4 3 4 3 2" xfId="23138" xr:uid="{4809BED9-0637-4C1D-B57D-F0A51455256B}"/>
    <cellStyle name="40% - Accent4 3 4 3 3" xfId="13858" xr:uid="{644C5DB6-C7E0-4A9F-9C08-150A2CB8A0C1}"/>
    <cellStyle name="40% - Accent4 3 4 4" xfId="18921" xr:uid="{0C3A9DEC-885F-4947-B1A5-29F58ADA6B45}"/>
    <cellStyle name="40% - Accent4 3 4 5" xfId="9640" xr:uid="{4CAB4D05-8696-44CA-9055-DB0A4191DB06}"/>
    <cellStyle name="40% - Accent4 3 5" xfId="1514" xr:uid="{00000000-0005-0000-0000-00000F060000}"/>
    <cellStyle name="40% - Accent4 3 5 2" xfId="3744" xr:uid="{00000000-0005-0000-0000-000010060000}"/>
    <cellStyle name="40% - Accent4 3 5 2 2" xfId="7966" xr:uid="{00000000-0005-0000-0000-000011060000}"/>
    <cellStyle name="40% - Accent4 3 5 2 2 2" xfId="25696" xr:uid="{E9DABC4B-6EF0-43A5-80A8-B8B7E358AFFD}"/>
    <cellStyle name="40% - Accent4 3 5 2 2 3" xfId="16416" xr:uid="{76BC401C-8985-4924-B7E5-A281C793B40C}"/>
    <cellStyle name="40% - Accent4 3 5 2 3" xfId="21479" xr:uid="{A5DA332C-9509-48F1-91A6-37BDECB03493}"/>
    <cellStyle name="40% - Accent4 3 5 2 4" xfId="12198" xr:uid="{199EE839-C53C-4EAA-8402-B2FF801216BD}"/>
    <cellStyle name="40% - Accent4 3 5 3" xfId="5821" xr:uid="{00000000-0005-0000-0000-000012060000}"/>
    <cellStyle name="40% - Accent4 3 5 3 2" xfId="23551" xr:uid="{236ABFD6-15DB-4A81-B226-C84A59F512FA}"/>
    <cellStyle name="40% - Accent4 3 5 3 3" xfId="14271" xr:uid="{E567B4A3-C624-4936-BD7F-047859697B25}"/>
    <cellStyle name="40% - Accent4 3 5 4" xfId="19334" xr:uid="{2916F3E1-C2FB-43AC-8AC9-7632906C8B10}"/>
    <cellStyle name="40% - Accent4 3 5 5" xfId="10053" xr:uid="{8CCBB264-5409-4C24-AD78-FFDBBE103285}"/>
    <cellStyle name="40% - Accent4 3 6" xfId="1928" xr:uid="{00000000-0005-0000-0000-000013060000}"/>
    <cellStyle name="40% - Accent4 3 6 2" xfId="4157" xr:uid="{00000000-0005-0000-0000-000014060000}"/>
    <cellStyle name="40% - Accent4 3 6 2 2" xfId="8379" xr:uid="{00000000-0005-0000-0000-000015060000}"/>
    <cellStyle name="40% - Accent4 3 6 2 2 2" xfId="26109" xr:uid="{9FCF00FA-73F8-48F9-8C4D-F3F7D4536E72}"/>
    <cellStyle name="40% - Accent4 3 6 2 2 3" xfId="16829" xr:uid="{127585C1-5B13-441F-8C27-099D5C350053}"/>
    <cellStyle name="40% - Accent4 3 6 2 3" xfId="21892" xr:uid="{2127DDAE-6086-4180-A1DC-CB800A5CB6C2}"/>
    <cellStyle name="40% - Accent4 3 6 2 4" xfId="12611" xr:uid="{64F90BDA-D71A-43B9-A06F-4CE952614F96}"/>
    <cellStyle name="40% - Accent4 3 6 3" xfId="6234" xr:uid="{00000000-0005-0000-0000-000016060000}"/>
    <cellStyle name="40% - Accent4 3 6 3 2" xfId="23964" xr:uid="{EB620BAB-7C2E-44FC-9005-34F5C2FB0641}"/>
    <cellStyle name="40% - Accent4 3 6 3 3" xfId="14684" xr:uid="{3AEC7157-F321-4415-A09E-B5549DD0F69B}"/>
    <cellStyle name="40% - Accent4 3 6 4" xfId="19747" xr:uid="{C6D1E802-78D0-4F2A-BD5D-1F906EDC5ACD}"/>
    <cellStyle name="40% - Accent4 3 6 5" xfId="10466" xr:uid="{2A902606-D3B1-403F-BC79-E2598F2B2DA8}"/>
    <cellStyle name="40% - Accent4 3 7" xfId="2341" xr:uid="{00000000-0005-0000-0000-000017060000}"/>
    <cellStyle name="40% - Accent4 3 7 2" xfId="6647" xr:uid="{00000000-0005-0000-0000-000018060000}"/>
    <cellStyle name="40% - Accent4 3 7 2 2" xfId="24377" xr:uid="{DCD125DA-E774-4035-B6F6-795B19B52846}"/>
    <cellStyle name="40% - Accent4 3 7 2 3" xfId="15097" xr:uid="{BC6EBE12-6CB9-4EF0-BD2D-082098287816}"/>
    <cellStyle name="40% - Accent4 3 7 3" xfId="20160" xr:uid="{AF2FA13E-5A38-435A-9C63-DDC67DBA2578}"/>
    <cellStyle name="40% - Accent4 3 7 4" xfId="10879" xr:uid="{7E1D1C46-DE51-4E52-A2D1-A6D16979374B}"/>
    <cellStyle name="40% - Accent4 3 8" xfId="4581" xr:uid="{00000000-0005-0000-0000-000019060000}"/>
    <cellStyle name="40% - Accent4 3 8 2" xfId="22311" xr:uid="{9CDF9FEF-D5D5-4D38-8CD7-5A55DF36B182}"/>
    <cellStyle name="40% - Accent4 3 8 3" xfId="13031" xr:uid="{2DB903CC-32BB-4137-B1EC-1C81F7D4D23C}"/>
    <cellStyle name="40% - Accent4 3 9" xfId="18094" xr:uid="{29E0114E-070E-4C55-BE60-32C0D15046DA}"/>
    <cellStyle name="40% - Accent4 4" xfId="80" xr:uid="{00000000-0005-0000-0000-00001A060000}"/>
    <cellStyle name="40% - Accent4 4 10" xfId="8815" xr:uid="{862C5B96-5056-427C-8501-C6955F678380}"/>
    <cellStyle name="40% - Accent4 4 2" xfId="649" xr:uid="{00000000-0005-0000-0000-00001B060000}"/>
    <cellStyle name="40% - Accent4 4 2 2" xfId="2920" xr:uid="{00000000-0005-0000-0000-00001C060000}"/>
    <cellStyle name="40% - Accent4 4 2 2 2" xfId="7142" xr:uid="{00000000-0005-0000-0000-00001D060000}"/>
    <cellStyle name="40% - Accent4 4 2 2 2 2" xfId="24872" xr:uid="{60760368-9902-4FC0-9850-26DD51CEB5B1}"/>
    <cellStyle name="40% - Accent4 4 2 2 2 3" xfId="15592" xr:uid="{96626686-A0D8-45E9-88CB-17A80A2162F6}"/>
    <cellStyle name="40% - Accent4 4 2 2 3" xfId="20655" xr:uid="{7E31FF3E-A630-4313-93D9-3B8742C0A7A1}"/>
    <cellStyle name="40% - Accent4 4 2 2 4" xfId="11374" xr:uid="{028E7C0C-8F9D-4715-BA7B-481E53B9A99E}"/>
    <cellStyle name="40% - Accent4 4 2 3" xfId="4997" xr:uid="{00000000-0005-0000-0000-00001E060000}"/>
    <cellStyle name="40% - Accent4 4 2 3 2" xfId="22727" xr:uid="{64A1D330-7266-484B-A10C-AFD3ACBB5ADD}"/>
    <cellStyle name="40% - Accent4 4 2 3 3" xfId="13447" xr:uid="{1336A1F8-7EAB-44A2-A546-142649025C09}"/>
    <cellStyle name="40% - Accent4 4 2 4" xfId="18510" xr:uid="{20BAAAD8-270A-4661-AD23-45E14FD74DB4}"/>
    <cellStyle name="40% - Accent4 4 2 5" xfId="17680" xr:uid="{29E6704D-7016-4CAA-8F37-52AF6835FE70}"/>
    <cellStyle name="40% - Accent4 4 2 6" xfId="9229" xr:uid="{5548DB2A-A0FB-4A52-981D-8E06FDAF75D6}"/>
    <cellStyle name="40% - Accent4 4 3" xfId="1102" xr:uid="{00000000-0005-0000-0000-00001F060000}"/>
    <cellStyle name="40% - Accent4 4 3 2" xfId="3333" xr:uid="{00000000-0005-0000-0000-000020060000}"/>
    <cellStyle name="40% - Accent4 4 3 2 2" xfId="7555" xr:uid="{00000000-0005-0000-0000-000021060000}"/>
    <cellStyle name="40% - Accent4 4 3 2 2 2" xfId="25285" xr:uid="{FE9E711B-D5C0-460F-B456-0B9D4F79FC50}"/>
    <cellStyle name="40% - Accent4 4 3 2 2 3" xfId="16005" xr:uid="{C85F03D4-4417-474A-AD39-B3D972FF76EC}"/>
    <cellStyle name="40% - Accent4 4 3 2 3" xfId="21068" xr:uid="{ADC8ECE3-223B-406C-A5A3-050B40371946}"/>
    <cellStyle name="40% - Accent4 4 3 2 4" xfId="11787" xr:uid="{FB222B94-CF62-4989-BF61-63C6DA71FAB4}"/>
    <cellStyle name="40% - Accent4 4 3 3" xfId="5410" xr:uid="{00000000-0005-0000-0000-000022060000}"/>
    <cellStyle name="40% - Accent4 4 3 3 2" xfId="23140" xr:uid="{AE114E82-1A8A-4D35-BE85-F0D5B78B74F5}"/>
    <cellStyle name="40% - Accent4 4 3 3 3" xfId="13860" xr:uid="{2D8BF14E-A71B-4790-BA92-EEC064470E00}"/>
    <cellStyle name="40% - Accent4 4 3 4" xfId="18923" xr:uid="{47AFDCAB-FA14-4F37-B728-9BE67EFA2E20}"/>
    <cellStyle name="40% - Accent4 4 3 5" xfId="9642" xr:uid="{F3606984-D2CD-4A8B-80A2-68A8306FFE39}"/>
    <cellStyle name="40% - Accent4 4 4" xfId="1516" xr:uid="{00000000-0005-0000-0000-000023060000}"/>
    <cellStyle name="40% - Accent4 4 4 2" xfId="3746" xr:uid="{00000000-0005-0000-0000-000024060000}"/>
    <cellStyle name="40% - Accent4 4 4 2 2" xfId="7968" xr:uid="{00000000-0005-0000-0000-000025060000}"/>
    <cellStyle name="40% - Accent4 4 4 2 2 2" xfId="25698" xr:uid="{25861CB1-7663-4D72-B10E-A7006357AB5C}"/>
    <cellStyle name="40% - Accent4 4 4 2 2 3" xfId="16418" xr:uid="{0B81E367-97AA-4B81-A962-203A1248CAB6}"/>
    <cellStyle name="40% - Accent4 4 4 2 3" xfId="21481" xr:uid="{8F69FF25-2F53-49FE-AE10-230173EAC220}"/>
    <cellStyle name="40% - Accent4 4 4 2 4" xfId="12200" xr:uid="{2723E7AF-C0CB-4880-80B6-87B258FA1BD1}"/>
    <cellStyle name="40% - Accent4 4 4 3" xfId="5823" xr:uid="{00000000-0005-0000-0000-000026060000}"/>
    <cellStyle name="40% - Accent4 4 4 3 2" xfId="23553" xr:uid="{31B29B17-E4C9-4E60-BD95-40F4918724E5}"/>
    <cellStyle name="40% - Accent4 4 4 3 3" xfId="14273" xr:uid="{BF34D190-FCAA-4810-BDC7-BCDAC42D3D04}"/>
    <cellStyle name="40% - Accent4 4 4 4" xfId="19336" xr:uid="{56970275-20E7-4AF3-851D-AC83D5909F32}"/>
    <cellStyle name="40% - Accent4 4 4 5" xfId="10055" xr:uid="{E126ACF9-57F3-4B04-918C-8801377568D7}"/>
    <cellStyle name="40% - Accent4 4 5" xfId="1930" xr:uid="{00000000-0005-0000-0000-000027060000}"/>
    <cellStyle name="40% - Accent4 4 5 2" xfId="4159" xr:uid="{00000000-0005-0000-0000-000028060000}"/>
    <cellStyle name="40% - Accent4 4 5 2 2" xfId="8381" xr:uid="{00000000-0005-0000-0000-000029060000}"/>
    <cellStyle name="40% - Accent4 4 5 2 2 2" xfId="26111" xr:uid="{361D7B93-6679-49F6-8D93-7D27963B3A64}"/>
    <cellStyle name="40% - Accent4 4 5 2 2 3" xfId="16831" xr:uid="{D16606DA-39B9-4C17-B042-4554D98D707E}"/>
    <cellStyle name="40% - Accent4 4 5 2 3" xfId="21894" xr:uid="{1070E03A-5B70-459D-80BA-8F15D2223D7C}"/>
    <cellStyle name="40% - Accent4 4 5 2 4" xfId="12613" xr:uid="{41F53448-03EB-4A13-86DC-F3FCFE9805D0}"/>
    <cellStyle name="40% - Accent4 4 5 3" xfId="6236" xr:uid="{00000000-0005-0000-0000-00002A060000}"/>
    <cellStyle name="40% - Accent4 4 5 3 2" xfId="23966" xr:uid="{50447B94-574C-4042-8DB8-656F8DDDD455}"/>
    <cellStyle name="40% - Accent4 4 5 3 3" xfId="14686" xr:uid="{62DC0015-8CB8-4BB1-89E3-D7F110DA848A}"/>
    <cellStyle name="40% - Accent4 4 5 4" xfId="19749" xr:uid="{8769E210-C069-4104-98B2-F4522512D043}"/>
    <cellStyle name="40% - Accent4 4 5 5" xfId="10468" xr:uid="{3DEC2B70-4667-4012-951C-E31EE4DCF002}"/>
    <cellStyle name="40% - Accent4 4 6" xfId="2343" xr:uid="{00000000-0005-0000-0000-00002B060000}"/>
    <cellStyle name="40% - Accent4 4 6 2" xfId="6649" xr:uid="{00000000-0005-0000-0000-00002C060000}"/>
    <cellStyle name="40% - Accent4 4 6 2 2" xfId="24379" xr:uid="{1B8854DD-459F-47D2-8795-A1042CCE0E86}"/>
    <cellStyle name="40% - Accent4 4 6 2 3" xfId="15099" xr:uid="{D2CDDAD7-FAB0-4A74-84A2-A16E08FD47E2}"/>
    <cellStyle name="40% - Accent4 4 6 3" xfId="20162" xr:uid="{5EBE0F3D-E2EC-4C13-8DCB-9E9780B4EF21}"/>
    <cellStyle name="40% - Accent4 4 6 4" xfId="10881" xr:uid="{EA57F496-1C03-4A03-B36E-E49147061AC8}"/>
    <cellStyle name="40% - Accent4 4 7" xfId="4583" xr:uid="{00000000-0005-0000-0000-00002D060000}"/>
    <cellStyle name="40% - Accent4 4 7 2" xfId="22313" xr:uid="{9E642746-35CB-45CC-A18A-16795D047D19}"/>
    <cellStyle name="40% - Accent4 4 7 3" xfId="13033" xr:uid="{CA94044A-4B92-4679-8956-52DCA110BFEB}"/>
    <cellStyle name="40% - Accent4 4 8" xfId="18096" xr:uid="{BF61AB27-AAF3-438B-B40B-0CD3FD36E81C}"/>
    <cellStyle name="40% - Accent4 4 9" xfId="17263" xr:uid="{24F82B2C-5A6F-4C0F-9443-49B5A5143319}"/>
    <cellStyle name="40% - Accent4 5" xfId="642" xr:uid="{00000000-0005-0000-0000-00002E060000}"/>
    <cellStyle name="40% - Accent4 5 2" xfId="2913" xr:uid="{00000000-0005-0000-0000-00002F060000}"/>
    <cellStyle name="40% - Accent4 5 2 2" xfId="7135" xr:uid="{00000000-0005-0000-0000-000030060000}"/>
    <cellStyle name="40% - Accent4 5 2 2 2" xfId="24865" xr:uid="{08FE21B9-FB94-4FDE-8472-E70902FAE0CE}"/>
    <cellStyle name="40% - Accent4 5 2 2 3" xfId="15585" xr:uid="{23BF3A04-21CA-43FE-9424-099F8CA63CC4}"/>
    <cellStyle name="40% - Accent4 5 2 3" xfId="20648" xr:uid="{307E4695-522E-4971-A86C-04251CDC3C02}"/>
    <cellStyle name="40% - Accent4 5 2 4" xfId="11367" xr:uid="{A6748241-69C2-4D87-B6FD-0F04A81F3142}"/>
    <cellStyle name="40% - Accent4 5 3" xfId="4990" xr:uid="{00000000-0005-0000-0000-000031060000}"/>
    <cellStyle name="40% - Accent4 5 3 2" xfId="22720" xr:uid="{FA0C88FD-9B83-48CA-9744-7662F8004FA9}"/>
    <cellStyle name="40% - Accent4 5 3 3" xfId="13440" xr:uid="{F9BFA9D8-A3AD-4FCE-ADCE-4DB5D5D70F54}"/>
    <cellStyle name="40% - Accent4 5 4" xfId="18503" xr:uid="{4D66EAEB-FBF7-4A06-A1E3-221985D08842}"/>
    <cellStyle name="40% - Accent4 5 5" xfId="17673" xr:uid="{E7DABF67-98FA-4917-96E7-1DCA912623C9}"/>
    <cellStyle name="40% - Accent4 5 6" xfId="9222" xr:uid="{2675DA3A-D1EC-4549-A1FC-59230B865579}"/>
    <cellStyle name="40% - Accent4 6" xfId="1095" xr:uid="{00000000-0005-0000-0000-000032060000}"/>
    <cellStyle name="40% - Accent4 6 2" xfId="3326" xr:uid="{00000000-0005-0000-0000-000033060000}"/>
    <cellStyle name="40% - Accent4 6 2 2" xfId="7548" xr:uid="{00000000-0005-0000-0000-000034060000}"/>
    <cellStyle name="40% - Accent4 6 2 2 2" xfId="25278" xr:uid="{547279AF-9F72-44D9-A42D-08CF0D8479ED}"/>
    <cellStyle name="40% - Accent4 6 2 2 3" xfId="15998" xr:uid="{EF9D7E8C-7E8D-4C8B-9E40-D50C71AF0BCE}"/>
    <cellStyle name="40% - Accent4 6 2 3" xfId="21061" xr:uid="{41AAAF34-E642-4AC6-BB50-7CA628B25546}"/>
    <cellStyle name="40% - Accent4 6 2 4" xfId="11780" xr:uid="{1F96A7FE-F57C-46C9-8B73-A673DD541EA8}"/>
    <cellStyle name="40% - Accent4 6 3" xfId="5403" xr:uid="{00000000-0005-0000-0000-000035060000}"/>
    <cellStyle name="40% - Accent4 6 3 2" xfId="23133" xr:uid="{B1A75DF1-E7DF-47E6-BE43-3AFA092F71A3}"/>
    <cellStyle name="40% - Accent4 6 3 3" xfId="13853" xr:uid="{5BF0E405-9CC0-4310-B210-310026BF604D}"/>
    <cellStyle name="40% - Accent4 6 4" xfId="18916" xr:uid="{9DF8CD7D-5536-4DD5-85AF-2E2FDDCA886B}"/>
    <cellStyle name="40% - Accent4 6 5" xfId="9635" xr:uid="{4113EC27-F49A-470D-8F39-187376D31C0F}"/>
    <cellStyle name="40% - Accent4 7" xfId="1509" xr:uid="{00000000-0005-0000-0000-000036060000}"/>
    <cellStyle name="40% - Accent4 7 2" xfId="3739" xr:uid="{00000000-0005-0000-0000-000037060000}"/>
    <cellStyle name="40% - Accent4 7 2 2" xfId="7961" xr:uid="{00000000-0005-0000-0000-000038060000}"/>
    <cellStyle name="40% - Accent4 7 2 2 2" xfId="25691" xr:uid="{785AC659-6689-404B-A24F-612C0F188423}"/>
    <cellStyle name="40% - Accent4 7 2 2 3" xfId="16411" xr:uid="{DBAA8E27-4BE6-46A9-A849-A0B24C51E17D}"/>
    <cellStyle name="40% - Accent4 7 2 3" xfId="21474" xr:uid="{B895E8EB-C245-4FA6-9F7C-539E60E49C72}"/>
    <cellStyle name="40% - Accent4 7 2 4" xfId="12193" xr:uid="{3B620A24-E243-4294-8513-6BF08E89962F}"/>
    <cellStyle name="40% - Accent4 7 3" xfId="5816" xr:uid="{00000000-0005-0000-0000-000039060000}"/>
    <cellStyle name="40% - Accent4 7 3 2" xfId="23546" xr:uid="{E6E2082B-5126-43F7-8FD0-CE9269179E99}"/>
    <cellStyle name="40% - Accent4 7 3 3" xfId="14266" xr:uid="{9088A32C-287A-409B-877A-108516379102}"/>
    <cellStyle name="40% - Accent4 7 4" xfId="19329" xr:uid="{2DAE3FCD-3609-4899-97E9-DF7463004649}"/>
    <cellStyle name="40% - Accent4 7 5" xfId="10048" xr:uid="{6B3BE8DD-14F2-4CE0-AEE7-784C5434546E}"/>
    <cellStyle name="40% - Accent4 8" xfId="1923" xr:uid="{00000000-0005-0000-0000-00003A060000}"/>
    <cellStyle name="40% - Accent4 8 2" xfId="4152" xr:uid="{00000000-0005-0000-0000-00003B060000}"/>
    <cellStyle name="40% - Accent4 8 2 2" xfId="8374" xr:uid="{00000000-0005-0000-0000-00003C060000}"/>
    <cellStyle name="40% - Accent4 8 2 2 2" xfId="26104" xr:uid="{BC975024-D596-4BA2-84BA-F1AEB7115103}"/>
    <cellStyle name="40% - Accent4 8 2 2 3" xfId="16824" xr:uid="{AD8A0191-6F08-4CDB-9E97-C0D081DD8DAE}"/>
    <cellStyle name="40% - Accent4 8 2 3" xfId="21887" xr:uid="{29D59EB9-2B3D-43EC-8009-0B7908FAE21D}"/>
    <cellStyle name="40% - Accent4 8 2 4" xfId="12606" xr:uid="{D5E923F9-17D6-47BE-98EE-958405273078}"/>
    <cellStyle name="40% - Accent4 8 3" xfId="6229" xr:uid="{00000000-0005-0000-0000-00003D060000}"/>
    <cellStyle name="40% - Accent4 8 3 2" xfId="23959" xr:uid="{444A1FBC-D73E-437D-95C6-FC4EAE48242F}"/>
    <cellStyle name="40% - Accent4 8 3 3" xfId="14679" xr:uid="{A5DDABC0-5342-479A-9972-2B65C275E207}"/>
    <cellStyle name="40% - Accent4 8 4" xfId="19742" xr:uid="{6B930F3A-9AA4-4204-82FD-B9865CAAA2A6}"/>
    <cellStyle name="40% - Accent4 8 5" xfId="10461" xr:uid="{CAB69887-95DA-483B-BEE8-A41F031BBD56}"/>
    <cellStyle name="40% - Accent4 9" xfId="2336" xr:uid="{00000000-0005-0000-0000-00003E060000}"/>
    <cellStyle name="40% - Accent4 9 2" xfId="6642" xr:uid="{00000000-0005-0000-0000-00003F060000}"/>
    <cellStyle name="40% - Accent4 9 2 2" xfId="24372" xr:uid="{E51FA5F5-E1B4-4FEB-8F92-305EDFD77718}"/>
    <cellStyle name="40% - Accent4 9 2 3" xfId="15092" xr:uid="{805C404F-E3C8-49E8-9CE9-68097E164D5C}"/>
    <cellStyle name="40% - Accent4 9 3" xfId="20155" xr:uid="{CE544FBA-3C05-44D8-B0D5-4AADD7222A7E}"/>
    <cellStyle name="40% - Accent4 9 4" xfId="10874" xr:uid="{F0B6C535-DF19-452F-852C-C8311AFA33E2}"/>
    <cellStyle name="40% - Accent5" xfId="81" builtinId="47" customBuiltin="1"/>
    <cellStyle name="40% - Accent5 10" xfId="4584" xr:uid="{00000000-0005-0000-0000-000041060000}"/>
    <cellStyle name="40% - Accent5 10 2" xfId="22314" xr:uid="{7E6BDC42-69FE-4433-8931-6AEE44230006}"/>
    <cellStyle name="40% - Accent5 10 3" xfId="13034" xr:uid="{AF24B1F2-2DC5-42CE-B972-56D1FB7E816C}"/>
    <cellStyle name="40% - Accent5 11" xfId="18097" xr:uid="{B09252E7-CB18-4EA3-B3C2-B40892AD5442}"/>
    <cellStyle name="40% - Accent5 12" xfId="17264" xr:uid="{3E42298E-AB50-4591-A3A3-75500F4BE514}"/>
    <cellStyle name="40% - Accent5 13" xfId="8816" xr:uid="{8DDC52AC-57B3-4FB6-BC73-15962D6A21DF}"/>
    <cellStyle name="40% - Accent5 2" xfId="82" xr:uid="{00000000-0005-0000-0000-000042060000}"/>
    <cellStyle name="40% - Accent5 2 10" xfId="18098" xr:uid="{65F09702-950D-4DC7-9299-C038F1EFB05C}"/>
    <cellStyle name="40% - Accent5 2 11" xfId="17265" xr:uid="{7828AD4F-6C1D-4964-BDAD-10B90A708124}"/>
    <cellStyle name="40% - Accent5 2 12" xfId="8817" xr:uid="{6A30B15F-2B16-489E-8B8F-1CF9AB8E9625}"/>
    <cellStyle name="40% - Accent5 2 2" xfId="83" xr:uid="{00000000-0005-0000-0000-000043060000}"/>
    <cellStyle name="40% - Accent5 2 2 10" xfId="17266" xr:uid="{8F4A040F-ABC2-435C-8F51-CBE49512D04A}"/>
    <cellStyle name="40% - Accent5 2 2 11" xfId="8818" xr:uid="{CDD45E22-CC6F-4549-B31C-A26442D1E4D8}"/>
    <cellStyle name="40% - Accent5 2 2 2" xfId="84" xr:uid="{00000000-0005-0000-0000-000044060000}"/>
    <cellStyle name="40% - Accent5 2 2 2 10" xfId="8819" xr:uid="{582AFF3E-7D12-4CEA-900D-782D16FB6393}"/>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24876" xr:uid="{630B9B38-E02B-4100-AE45-DF63048FDCD8}"/>
    <cellStyle name="40% - Accent5 2 2 2 2 2 2 3" xfId="15596" xr:uid="{51672FDC-639C-46A3-B637-F65C511A8F54}"/>
    <cellStyle name="40% - Accent5 2 2 2 2 2 3" xfId="20659" xr:uid="{6BBF7EF4-4D96-4C39-85D3-A347760FB545}"/>
    <cellStyle name="40% - Accent5 2 2 2 2 2 4" xfId="11378" xr:uid="{0F94936C-71B8-4125-BDE4-CBE63F7C95C0}"/>
    <cellStyle name="40% - Accent5 2 2 2 2 3" xfId="5001" xr:uid="{00000000-0005-0000-0000-000048060000}"/>
    <cellStyle name="40% - Accent5 2 2 2 2 3 2" xfId="22731" xr:uid="{6274473B-E21B-4603-AB94-985373A0B09C}"/>
    <cellStyle name="40% - Accent5 2 2 2 2 3 3" xfId="13451" xr:uid="{F2DFB1C6-4BCA-4AC9-B2E3-7010A15543F7}"/>
    <cellStyle name="40% - Accent5 2 2 2 2 4" xfId="18514" xr:uid="{DE388B0C-5795-4684-A8DF-1E6FABF98BC3}"/>
    <cellStyle name="40% - Accent5 2 2 2 2 5" xfId="17684" xr:uid="{2F04C046-57F0-4727-924F-4320C9E796F3}"/>
    <cellStyle name="40% - Accent5 2 2 2 2 6" xfId="9233" xr:uid="{FAB1FFBC-E3D2-4F8D-9F5C-796CD01B3A91}"/>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25289" xr:uid="{C3CE5F8B-FE32-4CFC-8473-72FF1676A18E}"/>
    <cellStyle name="40% - Accent5 2 2 2 3 2 2 3" xfId="16009" xr:uid="{DEF14BD8-F68E-4404-A57E-AF4AB5339523}"/>
    <cellStyle name="40% - Accent5 2 2 2 3 2 3" xfId="21072" xr:uid="{2D58DF30-80C1-4C47-A53E-84C3AE6961EE}"/>
    <cellStyle name="40% - Accent5 2 2 2 3 2 4" xfId="11791" xr:uid="{C0933C94-14B4-4992-9474-7E45EDF750BB}"/>
    <cellStyle name="40% - Accent5 2 2 2 3 3" xfId="5414" xr:uid="{00000000-0005-0000-0000-00004C060000}"/>
    <cellStyle name="40% - Accent5 2 2 2 3 3 2" xfId="23144" xr:uid="{8326AE68-5DCF-4D9A-BA75-E3C3496716F4}"/>
    <cellStyle name="40% - Accent5 2 2 2 3 3 3" xfId="13864" xr:uid="{0B3C366B-E09D-4A1A-A107-0ABA33326580}"/>
    <cellStyle name="40% - Accent5 2 2 2 3 4" xfId="18927" xr:uid="{57F8B91B-C99D-4B0C-A810-469A98868EE8}"/>
    <cellStyle name="40% - Accent5 2 2 2 3 5" xfId="9646" xr:uid="{78A88C2B-0A0E-4079-9937-DF1206CBB38B}"/>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25702" xr:uid="{3A86E2F4-81B8-4652-BAD2-54197514B1F0}"/>
    <cellStyle name="40% - Accent5 2 2 2 4 2 2 3" xfId="16422" xr:uid="{1729B360-E118-4BC4-B53A-0B90C2A348A2}"/>
    <cellStyle name="40% - Accent5 2 2 2 4 2 3" xfId="21485" xr:uid="{7BE10ACE-9489-43C6-B77D-C5DF49500F4F}"/>
    <cellStyle name="40% - Accent5 2 2 2 4 2 4" xfId="12204" xr:uid="{34EA62EE-3B28-4FE9-9C13-C233C4E78C5D}"/>
    <cellStyle name="40% - Accent5 2 2 2 4 3" xfId="5827" xr:uid="{00000000-0005-0000-0000-000050060000}"/>
    <cellStyle name="40% - Accent5 2 2 2 4 3 2" xfId="23557" xr:uid="{DB4CCD80-86FF-433B-BE81-CC9D76AF789F}"/>
    <cellStyle name="40% - Accent5 2 2 2 4 3 3" xfId="14277" xr:uid="{3578D9BD-A750-4B59-BE5C-6BA5C46FDF09}"/>
    <cellStyle name="40% - Accent5 2 2 2 4 4" xfId="19340" xr:uid="{2650AA39-1F45-49E6-9796-3462C04E7845}"/>
    <cellStyle name="40% - Accent5 2 2 2 4 5" xfId="10059" xr:uid="{13664AAA-7FAC-44A6-8E6B-917878137F4F}"/>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26115" xr:uid="{0FA0CAC9-EFE0-41F2-8595-D9232CA3E079}"/>
    <cellStyle name="40% - Accent5 2 2 2 5 2 2 3" xfId="16835" xr:uid="{360993EA-91A7-409B-B219-823A3E261D45}"/>
    <cellStyle name="40% - Accent5 2 2 2 5 2 3" xfId="21898" xr:uid="{5B84898C-855B-4F64-92F9-2BF5FB895217}"/>
    <cellStyle name="40% - Accent5 2 2 2 5 2 4" xfId="12617" xr:uid="{7BD1554A-7FE2-4147-B8D4-CF072400FD49}"/>
    <cellStyle name="40% - Accent5 2 2 2 5 3" xfId="6240" xr:uid="{00000000-0005-0000-0000-000054060000}"/>
    <cellStyle name="40% - Accent5 2 2 2 5 3 2" xfId="23970" xr:uid="{60C0C045-4A92-439E-B88E-A8439DC29C07}"/>
    <cellStyle name="40% - Accent5 2 2 2 5 3 3" xfId="14690" xr:uid="{1E8863B8-726E-4ADE-A695-6F1DA32DCC4D}"/>
    <cellStyle name="40% - Accent5 2 2 2 5 4" xfId="19753" xr:uid="{F5E0682D-9B55-40C3-B7DC-B88772BA59D2}"/>
    <cellStyle name="40% - Accent5 2 2 2 5 5" xfId="10472" xr:uid="{56AD823F-CCB4-44B6-A391-E5B8C69C1B28}"/>
    <cellStyle name="40% - Accent5 2 2 2 6" xfId="2347" xr:uid="{00000000-0005-0000-0000-000055060000}"/>
    <cellStyle name="40% - Accent5 2 2 2 6 2" xfId="6653" xr:uid="{00000000-0005-0000-0000-000056060000}"/>
    <cellStyle name="40% - Accent5 2 2 2 6 2 2" xfId="24383" xr:uid="{97849638-110A-4609-94C5-016679AF5CF5}"/>
    <cellStyle name="40% - Accent5 2 2 2 6 2 3" xfId="15103" xr:uid="{4CF28C36-4144-4FC5-9598-CC0189BDFC95}"/>
    <cellStyle name="40% - Accent5 2 2 2 6 3" xfId="20166" xr:uid="{CEA558EF-BF68-44DC-B4C1-64047EEAA50B}"/>
    <cellStyle name="40% - Accent5 2 2 2 6 4" xfId="10885" xr:uid="{80A3629D-46C4-4B1D-B28E-490912B1A78A}"/>
    <cellStyle name="40% - Accent5 2 2 2 7" xfId="4587" xr:uid="{00000000-0005-0000-0000-000057060000}"/>
    <cellStyle name="40% - Accent5 2 2 2 7 2" xfId="22317" xr:uid="{C2DA5BB0-B3D2-4E8C-AC61-FF5893E76643}"/>
    <cellStyle name="40% - Accent5 2 2 2 7 3" xfId="13037" xr:uid="{74FE06F6-F967-4FFE-A6AE-A894083B2D66}"/>
    <cellStyle name="40% - Accent5 2 2 2 8" xfId="18100" xr:uid="{E0EAF454-213B-4880-8144-A06A7FC8D7C2}"/>
    <cellStyle name="40% - Accent5 2 2 2 9" xfId="17267" xr:uid="{9E251E28-D69D-49D7-B2F7-3F985BE3D8F2}"/>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24875" xr:uid="{BEEADDB1-72FB-4B1A-A3C3-A4707CBA2E06}"/>
    <cellStyle name="40% - Accent5 2 2 3 2 2 3" xfId="15595" xr:uid="{3B68BD40-C94F-4FCB-BD9D-183FE1900F25}"/>
    <cellStyle name="40% - Accent5 2 2 3 2 3" xfId="20658" xr:uid="{803D7B75-B2C2-4EE1-AF9A-F0D3829CAE58}"/>
    <cellStyle name="40% - Accent5 2 2 3 2 4" xfId="11377" xr:uid="{C89896F2-D38F-4633-8AA7-8BB88C32DE48}"/>
    <cellStyle name="40% - Accent5 2 2 3 3" xfId="5000" xr:uid="{00000000-0005-0000-0000-00005B060000}"/>
    <cellStyle name="40% - Accent5 2 2 3 3 2" xfId="22730" xr:uid="{D22704BE-F76B-4D23-8F5F-99D4752835CE}"/>
    <cellStyle name="40% - Accent5 2 2 3 3 3" xfId="13450" xr:uid="{35B20EDE-4CB0-4FFC-B44D-0F90450D537A}"/>
    <cellStyle name="40% - Accent5 2 2 3 4" xfId="18513" xr:uid="{813B51E7-D030-42AC-B175-155E958F681A}"/>
    <cellStyle name="40% - Accent5 2 2 3 5" xfId="17683" xr:uid="{212E0880-16E0-4F7F-95E6-11ECA8AC1D06}"/>
    <cellStyle name="40% - Accent5 2 2 3 6" xfId="9232" xr:uid="{79FA5AD3-F179-4E59-A905-9D49E2C38614}"/>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25288" xr:uid="{5518F17C-BCF8-41E5-8F8C-A8F1A1DD078F}"/>
    <cellStyle name="40% - Accent5 2 2 4 2 2 3" xfId="16008" xr:uid="{0A9209D3-D87F-4754-B450-947B9528ABE3}"/>
    <cellStyle name="40% - Accent5 2 2 4 2 3" xfId="21071" xr:uid="{7BC0DB56-41E5-4E32-A255-BCB4D6A0FC1F}"/>
    <cellStyle name="40% - Accent5 2 2 4 2 4" xfId="11790" xr:uid="{8042F946-04D5-4471-90F9-D80ED5097A6F}"/>
    <cellStyle name="40% - Accent5 2 2 4 3" xfId="5413" xr:uid="{00000000-0005-0000-0000-00005F060000}"/>
    <cellStyle name="40% - Accent5 2 2 4 3 2" xfId="23143" xr:uid="{8AA961AA-A1C6-40F6-BC9A-CC843B3DD375}"/>
    <cellStyle name="40% - Accent5 2 2 4 3 3" xfId="13863" xr:uid="{116C90CA-900F-4777-AE8B-9FE9062E561C}"/>
    <cellStyle name="40% - Accent5 2 2 4 4" xfId="18926" xr:uid="{2059892C-EA75-48FC-82E0-1DEE3E2F873B}"/>
    <cellStyle name="40% - Accent5 2 2 4 5" xfId="9645" xr:uid="{01266540-1C0B-4386-8CAD-6F53CE49B165}"/>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25701" xr:uid="{AA336A5D-3332-4DC7-80A7-FA927B76B4B4}"/>
    <cellStyle name="40% - Accent5 2 2 5 2 2 3" xfId="16421" xr:uid="{1B456C95-A18C-4342-8CDF-EC80EF6382A5}"/>
    <cellStyle name="40% - Accent5 2 2 5 2 3" xfId="21484" xr:uid="{AA48EF2C-2707-4D10-880B-06D6C90A6E4A}"/>
    <cellStyle name="40% - Accent5 2 2 5 2 4" xfId="12203" xr:uid="{49DEE9AC-7BC8-4F1A-84F2-77F85E95D5C0}"/>
    <cellStyle name="40% - Accent5 2 2 5 3" xfId="5826" xr:uid="{00000000-0005-0000-0000-000063060000}"/>
    <cellStyle name="40% - Accent5 2 2 5 3 2" xfId="23556" xr:uid="{5BA28C00-F85C-4BDD-A852-C5A6D6488F58}"/>
    <cellStyle name="40% - Accent5 2 2 5 3 3" xfId="14276" xr:uid="{4560A949-A5B6-4AA7-A2E2-9C33E41AC1B7}"/>
    <cellStyle name="40% - Accent5 2 2 5 4" xfId="19339" xr:uid="{433DCE05-B0C0-42DF-ABFC-27FFCF3C39E2}"/>
    <cellStyle name="40% - Accent5 2 2 5 5" xfId="10058" xr:uid="{F84ED9D9-25FD-4EF4-83BE-9D9430B3F379}"/>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26114" xr:uid="{B98F5DE0-B42C-4B18-A4B7-4D9618902D7B}"/>
    <cellStyle name="40% - Accent5 2 2 6 2 2 3" xfId="16834" xr:uid="{C32925EA-631D-4DEB-B15C-5DAA6DB8DF30}"/>
    <cellStyle name="40% - Accent5 2 2 6 2 3" xfId="21897" xr:uid="{E4CCD6A3-53D7-4045-AF7B-81488FF7222A}"/>
    <cellStyle name="40% - Accent5 2 2 6 2 4" xfId="12616" xr:uid="{B48EC034-23A2-4D58-9003-A656C483D8B3}"/>
    <cellStyle name="40% - Accent5 2 2 6 3" xfId="6239" xr:uid="{00000000-0005-0000-0000-000067060000}"/>
    <cellStyle name="40% - Accent5 2 2 6 3 2" xfId="23969" xr:uid="{81456566-337B-4FBB-8F17-DF8D52D619B5}"/>
    <cellStyle name="40% - Accent5 2 2 6 3 3" xfId="14689" xr:uid="{6C2A8518-100D-47FB-B7F8-43E152127504}"/>
    <cellStyle name="40% - Accent5 2 2 6 4" xfId="19752" xr:uid="{488CCBE1-6641-4F5F-A684-E4F9CAF8F4A9}"/>
    <cellStyle name="40% - Accent5 2 2 6 5" xfId="10471" xr:uid="{E32E1443-3044-4E07-9A74-50155FE1C550}"/>
    <cellStyle name="40% - Accent5 2 2 7" xfId="2346" xr:uid="{00000000-0005-0000-0000-000068060000}"/>
    <cellStyle name="40% - Accent5 2 2 7 2" xfId="6652" xr:uid="{00000000-0005-0000-0000-000069060000}"/>
    <cellStyle name="40% - Accent5 2 2 7 2 2" xfId="24382" xr:uid="{0153BDFE-5B93-4BD2-943C-ABC8FA4E34EC}"/>
    <cellStyle name="40% - Accent5 2 2 7 2 3" xfId="15102" xr:uid="{B7ADBD5D-4882-465C-94A2-C2DD0268D26A}"/>
    <cellStyle name="40% - Accent5 2 2 7 3" xfId="20165" xr:uid="{39AE7613-681F-4AB7-8A13-9056C36AFB18}"/>
    <cellStyle name="40% - Accent5 2 2 7 4" xfId="10884" xr:uid="{F0921DDF-E72E-497C-88E7-2743EF3AC707}"/>
    <cellStyle name="40% - Accent5 2 2 8" xfId="4586" xr:uid="{00000000-0005-0000-0000-00006A060000}"/>
    <cellStyle name="40% - Accent5 2 2 8 2" xfId="22316" xr:uid="{877E2B73-4C1D-4C21-A880-5278BCBA3A41}"/>
    <cellStyle name="40% - Accent5 2 2 8 3" xfId="13036" xr:uid="{E459E7C5-F118-48E2-BAC0-B7A4588C1C11}"/>
    <cellStyle name="40% - Accent5 2 2 9" xfId="18099" xr:uid="{80680D53-5298-4DB4-A34C-A148516B9D73}"/>
    <cellStyle name="40% - Accent5 2 3" xfId="85" xr:uid="{00000000-0005-0000-0000-00006B060000}"/>
    <cellStyle name="40% - Accent5 2 3 10" xfId="8820" xr:uid="{507B3540-5598-4AF0-9366-D99EB24F312F}"/>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24877" xr:uid="{23EE114B-02D9-42AE-ABFA-0CFC5A965240}"/>
    <cellStyle name="40% - Accent5 2 3 2 2 2 3" xfId="15597" xr:uid="{0D33E6EE-F2F2-4DBE-BA74-25A063CFBF8B}"/>
    <cellStyle name="40% - Accent5 2 3 2 2 3" xfId="20660" xr:uid="{12B794C7-C165-4A29-948C-CD2C52D50091}"/>
    <cellStyle name="40% - Accent5 2 3 2 2 4" xfId="11379" xr:uid="{1C8CE165-F285-480A-9B17-6289AEA36576}"/>
    <cellStyle name="40% - Accent5 2 3 2 3" xfId="5002" xr:uid="{00000000-0005-0000-0000-00006F060000}"/>
    <cellStyle name="40% - Accent5 2 3 2 3 2" xfId="22732" xr:uid="{E02EE90F-A6CF-4C5D-B32B-2FF3D24C4FCE}"/>
    <cellStyle name="40% - Accent5 2 3 2 3 3" xfId="13452" xr:uid="{99A92E70-FD26-4A8C-9B10-B7629B9603D8}"/>
    <cellStyle name="40% - Accent5 2 3 2 4" xfId="18515" xr:uid="{8C10C185-1FFA-4C98-8F00-4C992365CD54}"/>
    <cellStyle name="40% - Accent5 2 3 2 5" xfId="17685" xr:uid="{FE9CDDC4-3D6E-4195-BA39-F5D1E2932192}"/>
    <cellStyle name="40% - Accent5 2 3 2 6" xfId="9234" xr:uid="{9D3D49A1-FB18-49CC-B7E9-7340FE12EA69}"/>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25290" xr:uid="{E7EF0D83-93CD-4C8D-8232-FB839B99E39A}"/>
    <cellStyle name="40% - Accent5 2 3 3 2 2 3" xfId="16010" xr:uid="{D05C59DE-4A21-454A-B330-04754684AF24}"/>
    <cellStyle name="40% - Accent5 2 3 3 2 3" xfId="21073" xr:uid="{BC1134B1-6738-4D70-8F2A-DBBDAB4B7596}"/>
    <cellStyle name="40% - Accent5 2 3 3 2 4" xfId="11792" xr:uid="{A5B3AC33-96EF-457F-88A6-8622F41BF7F7}"/>
    <cellStyle name="40% - Accent5 2 3 3 3" xfId="5415" xr:uid="{00000000-0005-0000-0000-000073060000}"/>
    <cellStyle name="40% - Accent5 2 3 3 3 2" xfId="23145" xr:uid="{D4161CB4-D90F-413A-B510-67FC98B69AE7}"/>
    <cellStyle name="40% - Accent5 2 3 3 3 3" xfId="13865" xr:uid="{BD69FD89-A356-4358-8381-C534E67A11F5}"/>
    <cellStyle name="40% - Accent5 2 3 3 4" xfId="18928" xr:uid="{9A9C4914-E22E-47B2-B0BB-F6A4C2A2B5EC}"/>
    <cellStyle name="40% - Accent5 2 3 3 5" xfId="9647" xr:uid="{49DABA41-9BA6-483E-B0AC-B70D79475D58}"/>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25703" xr:uid="{BE87E49A-F065-4A97-961C-79BF08474236}"/>
    <cellStyle name="40% - Accent5 2 3 4 2 2 3" xfId="16423" xr:uid="{3182E67E-50B4-402F-9EA8-0F309B8E8FE8}"/>
    <cellStyle name="40% - Accent5 2 3 4 2 3" xfId="21486" xr:uid="{FCA09874-8B16-45E4-AEF7-A29F9421D09D}"/>
    <cellStyle name="40% - Accent5 2 3 4 2 4" xfId="12205" xr:uid="{3B305466-C37B-4CD4-8390-E0145622B69D}"/>
    <cellStyle name="40% - Accent5 2 3 4 3" xfId="5828" xr:uid="{00000000-0005-0000-0000-000077060000}"/>
    <cellStyle name="40% - Accent5 2 3 4 3 2" xfId="23558" xr:uid="{8AA2C932-451C-4909-9FD1-61F244696C7F}"/>
    <cellStyle name="40% - Accent5 2 3 4 3 3" xfId="14278" xr:uid="{00A9259D-D100-43E7-BD32-36FAD115770A}"/>
    <cellStyle name="40% - Accent5 2 3 4 4" xfId="19341" xr:uid="{FB180576-1919-45EB-841F-E56FCD2055D9}"/>
    <cellStyle name="40% - Accent5 2 3 4 5" xfId="10060" xr:uid="{28DD9A8B-8A01-45DF-AB05-7BF615E7111A}"/>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26116" xr:uid="{58347159-40C0-4756-8AB0-539EA2E259EC}"/>
    <cellStyle name="40% - Accent5 2 3 5 2 2 3" xfId="16836" xr:uid="{F472A5B6-6294-41F0-8C9D-1FC719567C14}"/>
    <cellStyle name="40% - Accent5 2 3 5 2 3" xfId="21899" xr:uid="{266899BD-F61E-4F0D-8AAF-752B321952FD}"/>
    <cellStyle name="40% - Accent5 2 3 5 2 4" xfId="12618" xr:uid="{DF71968C-FBD1-4181-979F-8338D2CB5474}"/>
    <cellStyle name="40% - Accent5 2 3 5 3" xfId="6241" xr:uid="{00000000-0005-0000-0000-00007B060000}"/>
    <cellStyle name="40% - Accent5 2 3 5 3 2" xfId="23971" xr:uid="{AD137E08-A85E-4958-AE97-39D31913FE1F}"/>
    <cellStyle name="40% - Accent5 2 3 5 3 3" xfId="14691" xr:uid="{61BEDE7D-F44B-4DE7-A63A-D3E4C5040AA3}"/>
    <cellStyle name="40% - Accent5 2 3 5 4" xfId="19754" xr:uid="{F24497DD-705A-4719-9EE8-1F03AE3A52E9}"/>
    <cellStyle name="40% - Accent5 2 3 5 5" xfId="10473" xr:uid="{BA97A34B-7A00-4D40-B559-E1B954CDF349}"/>
    <cellStyle name="40% - Accent5 2 3 6" xfId="2348" xr:uid="{00000000-0005-0000-0000-00007C060000}"/>
    <cellStyle name="40% - Accent5 2 3 6 2" xfId="6654" xr:uid="{00000000-0005-0000-0000-00007D060000}"/>
    <cellStyle name="40% - Accent5 2 3 6 2 2" xfId="24384" xr:uid="{AF2B274F-33C2-4207-9C21-96095F63CEB4}"/>
    <cellStyle name="40% - Accent5 2 3 6 2 3" xfId="15104" xr:uid="{09A4C52B-2F5A-422A-8CB5-11E6C5478DAF}"/>
    <cellStyle name="40% - Accent5 2 3 6 3" xfId="20167" xr:uid="{4AC631E9-4C78-41AA-A951-93C882AC0883}"/>
    <cellStyle name="40% - Accent5 2 3 6 4" xfId="10886" xr:uid="{733A3386-C620-4711-9C80-31AD2365F0D0}"/>
    <cellStyle name="40% - Accent5 2 3 7" xfId="4588" xr:uid="{00000000-0005-0000-0000-00007E060000}"/>
    <cellStyle name="40% - Accent5 2 3 7 2" xfId="22318" xr:uid="{D6879540-3147-4741-9320-410D9300DD14}"/>
    <cellStyle name="40% - Accent5 2 3 7 3" xfId="13038" xr:uid="{7AEF1469-CD4A-4DD6-8084-D0E542A3D073}"/>
    <cellStyle name="40% - Accent5 2 3 8" xfId="18101" xr:uid="{DD58C4AC-DA72-47A9-8497-225B0C168639}"/>
    <cellStyle name="40% - Accent5 2 3 9" xfId="17268" xr:uid="{6FE68B62-7C85-46D6-9642-A440E8805884}"/>
    <cellStyle name="40% - Accent5 2 4" xfId="651" xr:uid="{00000000-0005-0000-0000-00007F060000}"/>
    <cellStyle name="40% - Accent5 2 4 2" xfId="2922" xr:uid="{00000000-0005-0000-0000-000080060000}"/>
    <cellStyle name="40% - Accent5 2 4 2 2" xfId="7144" xr:uid="{00000000-0005-0000-0000-000081060000}"/>
    <cellStyle name="40% - Accent5 2 4 2 2 2" xfId="24874" xr:uid="{385CA404-FBD3-412F-BD01-849D7FF0D5E4}"/>
    <cellStyle name="40% - Accent5 2 4 2 2 3" xfId="15594" xr:uid="{80FF1750-801F-443C-B9EF-24D201ED530F}"/>
    <cellStyle name="40% - Accent5 2 4 2 3" xfId="20657" xr:uid="{3062033D-6DBD-43CE-9527-CD33CF28210A}"/>
    <cellStyle name="40% - Accent5 2 4 2 4" xfId="11376" xr:uid="{BB24CAAB-78A1-4955-B89F-29F9B87BF088}"/>
    <cellStyle name="40% - Accent5 2 4 3" xfId="4999" xr:uid="{00000000-0005-0000-0000-000082060000}"/>
    <cellStyle name="40% - Accent5 2 4 3 2" xfId="22729" xr:uid="{B1C7C966-E2E3-4499-B156-1C9171C19366}"/>
    <cellStyle name="40% - Accent5 2 4 3 3" xfId="13449" xr:uid="{A5B22479-660F-4072-9F94-24607D272C02}"/>
    <cellStyle name="40% - Accent5 2 4 4" xfId="18512" xr:uid="{698F9EA5-DB99-4B06-AB93-9EAE9E966641}"/>
    <cellStyle name="40% - Accent5 2 4 5" xfId="17682" xr:uid="{4287B13E-4FFA-4E77-853D-90AA5299A046}"/>
    <cellStyle name="40% - Accent5 2 4 6" xfId="9231" xr:uid="{D0753D7E-24BF-4C8F-81F7-983CBB135BEA}"/>
    <cellStyle name="40% - Accent5 2 5" xfId="1104" xr:uid="{00000000-0005-0000-0000-000083060000}"/>
    <cellStyle name="40% - Accent5 2 5 2" xfId="3335" xr:uid="{00000000-0005-0000-0000-000084060000}"/>
    <cellStyle name="40% - Accent5 2 5 2 2" xfId="7557" xr:uid="{00000000-0005-0000-0000-000085060000}"/>
    <cellStyle name="40% - Accent5 2 5 2 2 2" xfId="25287" xr:uid="{781EC94A-CC56-45DA-9D02-1979B8D49299}"/>
    <cellStyle name="40% - Accent5 2 5 2 2 3" xfId="16007" xr:uid="{70D569BE-AD94-4676-8F1F-8D056242EE71}"/>
    <cellStyle name="40% - Accent5 2 5 2 3" xfId="21070" xr:uid="{20EBF106-DD1D-4D0E-B431-9353D58832FF}"/>
    <cellStyle name="40% - Accent5 2 5 2 4" xfId="11789" xr:uid="{38712918-A302-4A34-A0F3-3BBA9A9AD975}"/>
    <cellStyle name="40% - Accent5 2 5 3" xfId="5412" xr:uid="{00000000-0005-0000-0000-000086060000}"/>
    <cellStyle name="40% - Accent5 2 5 3 2" xfId="23142" xr:uid="{69783EA4-5788-4BD1-8A45-0A779902A13E}"/>
    <cellStyle name="40% - Accent5 2 5 3 3" xfId="13862" xr:uid="{91447ABF-FE04-47F7-946F-B13FB88C1758}"/>
    <cellStyle name="40% - Accent5 2 5 4" xfId="18925" xr:uid="{D145D74C-08CC-4FD7-BCDF-9B4420A960B2}"/>
    <cellStyle name="40% - Accent5 2 5 5" xfId="9644" xr:uid="{5438EEA9-5ECE-44C8-99A7-2CA9650FDF84}"/>
    <cellStyle name="40% - Accent5 2 6" xfId="1518" xr:uid="{00000000-0005-0000-0000-000087060000}"/>
    <cellStyle name="40% - Accent5 2 6 2" xfId="3748" xr:uid="{00000000-0005-0000-0000-000088060000}"/>
    <cellStyle name="40% - Accent5 2 6 2 2" xfId="7970" xr:uid="{00000000-0005-0000-0000-000089060000}"/>
    <cellStyle name="40% - Accent5 2 6 2 2 2" xfId="25700" xr:uid="{5B5F4DB3-6549-4915-8856-204BC10DBAEC}"/>
    <cellStyle name="40% - Accent5 2 6 2 2 3" xfId="16420" xr:uid="{87A8366D-C41D-4D70-9F04-0CB36756DEE2}"/>
    <cellStyle name="40% - Accent5 2 6 2 3" xfId="21483" xr:uid="{8E2C1515-F2B7-48F2-A46E-1A676C659CD4}"/>
    <cellStyle name="40% - Accent5 2 6 2 4" xfId="12202" xr:uid="{7A3875B8-C879-4771-B621-485824CEA72A}"/>
    <cellStyle name="40% - Accent5 2 6 3" xfId="5825" xr:uid="{00000000-0005-0000-0000-00008A060000}"/>
    <cellStyle name="40% - Accent5 2 6 3 2" xfId="23555" xr:uid="{8DC01834-A1B8-4D52-931A-BAE50A015D4E}"/>
    <cellStyle name="40% - Accent5 2 6 3 3" xfId="14275" xr:uid="{C2C42407-0F06-4DE1-8A3C-A147771154AC}"/>
    <cellStyle name="40% - Accent5 2 6 4" xfId="19338" xr:uid="{AFFEB260-FBB9-4C13-B180-B5976B194463}"/>
    <cellStyle name="40% - Accent5 2 6 5" xfId="10057" xr:uid="{9A450289-1CDE-431F-B656-2F74C1E38C17}"/>
    <cellStyle name="40% - Accent5 2 7" xfId="1932" xr:uid="{00000000-0005-0000-0000-00008B060000}"/>
    <cellStyle name="40% - Accent5 2 7 2" xfId="4161" xr:uid="{00000000-0005-0000-0000-00008C060000}"/>
    <cellStyle name="40% - Accent5 2 7 2 2" xfId="8383" xr:uid="{00000000-0005-0000-0000-00008D060000}"/>
    <cellStyle name="40% - Accent5 2 7 2 2 2" xfId="26113" xr:uid="{1CE97D32-10C7-4A12-9553-9AB3E4F28566}"/>
    <cellStyle name="40% - Accent5 2 7 2 2 3" xfId="16833" xr:uid="{8A4C9EFC-2DF3-47D1-869B-6D348932037B}"/>
    <cellStyle name="40% - Accent5 2 7 2 3" xfId="21896" xr:uid="{AC0A1008-D2F6-4487-B928-25028D57B383}"/>
    <cellStyle name="40% - Accent5 2 7 2 4" xfId="12615" xr:uid="{DDFD6A7E-9BA0-4E9D-BA33-A5B7B7A0A853}"/>
    <cellStyle name="40% - Accent5 2 7 3" xfId="6238" xr:uid="{00000000-0005-0000-0000-00008E060000}"/>
    <cellStyle name="40% - Accent5 2 7 3 2" xfId="23968" xr:uid="{707983AA-0A35-41A2-B946-03515DF02348}"/>
    <cellStyle name="40% - Accent5 2 7 3 3" xfId="14688" xr:uid="{C93D766A-7E35-4453-BE9A-326DFEAFA320}"/>
    <cellStyle name="40% - Accent5 2 7 4" xfId="19751" xr:uid="{6786AE05-3415-45E5-AA26-2C920E8110D1}"/>
    <cellStyle name="40% - Accent5 2 7 5" xfId="10470" xr:uid="{4A55DDCB-E856-4355-99AB-CA670FF8E9DB}"/>
    <cellStyle name="40% - Accent5 2 8" xfId="2345" xr:uid="{00000000-0005-0000-0000-00008F060000}"/>
    <cellStyle name="40% - Accent5 2 8 2" xfId="6651" xr:uid="{00000000-0005-0000-0000-000090060000}"/>
    <cellStyle name="40% - Accent5 2 8 2 2" xfId="24381" xr:uid="{E1261E32-8D6C-42D4-A858-24714DC4A14D}"/>
    <cellStyle name="40% - Accent5 2 8 2 3" xfId="15101" xr:uid="{2073C946-05FE-4963-9709-ABABB3FE33C1}"/>
    <cellStyle name="40% - Accent5 2 8 3" xfId="20164" xr:uid="{7590B3AD-7C9E-4E54-A1DA-BAD01917AE14}"/>
    <cellStyle name="40% - Accent5 2 8 4" xfId="10883" xr:uid="{BE026A41-641F-4D28-A6F8-B987C2EEAE61}"/>
    <cellStyle name="40% - Accent5 2 9" xfId="4585" xr:uid="{00000000-0005-0000-0000-000091060000}"/>
    <cellStyle name="40% - Accent5 2 9 2" xfId="22315" xr:uid="{F37B9E1D-A08E-4D18-8F86-C767C4CB77E4}"/>
    <cellStyle name="40% - Accent5 2 9 3" xfId="13035" xr:uid="{E308E7D1-8ABF-498D-B11D-7CD0DB0B6551}"/>
    <cellStyle name="40% - Accent5 3" xfId="86" xr:uid="{00000000-0005-0000-0000-000092060000}"/>
    <cellStyle name="40% - Accent5 3 10" xfId="17269" xr:uid="{C7D5D3A6-3AA3-4017-B016-FA204B0ABE1D}"/>
    <cellStyle name="40% - Accent5 3 11" xfId="8821" xr:uid="{E81FFE6E-1AA3-4CE8-8E26-481DEF28F0CF}"/>
    <cellStyle name="40% - Accent5 3 2" xfId="87" xr:uid="{00000000-0005-0000-0000-000093060000}"/>
    <cellStyle name="40% - Accent5 3 2 10" xfId="8822" xr:uid="{FD68AAA0-7541-41F1-BCC2-17F9DB290B75}"/>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24879" xr:uid="{A0DB7F99-D74E-4EE0-8C45-57315355D3F5}"/>
    <cellStyle name="40% - Accent5 3 2 2 2 2 3" xfId="15599" xr:uid="{0B0FB221-00FF-47E0-91E0-FF432DEABCA4}"/>
    <cellStyle name="40% - Accent5 3 2 2 2 3" xfId="20662" xr:uid="{F59C6065-715B-4227-9534-D5290A1B5775}"/>
    <cellStyle name="40% - Accent5 3 2 2 2 4" xfId="11381" xr:uid="{4D1232B0-888C-4088-9F16-5CF901C2BAE6}"/>
    <cellStyle name="40% - Accent5 3 2 2 3" xfId="5004" xr:uid="{00000000-0005-0000-0000-000097060000}"/>
    <cellStyle name="40% - Accent5 3 2 2 3 2" xfId="22734" xr:uid="{E251B801-6774-4F6A-BBC3-F980537D0A68}"/>
    <cellStyle name="40% - Accent5 3 2 2 3 3" xfId="13454" xr:uid="{D1D18397-197E-4BBF-A7FE-D186AF7E115A}"/>
    <cellStyle name="40% - Accent5 3 2 2 4" xfId="18517" xr:uid="{05404B02-A93F-49C6-93F1-7A5C2003F92B}"/>
    <cellStyle name="40% - Accent5 3 2 2 5" xfId="17687" xr:uid="{6DB41B9D-F9C6-4E7B-85BB-C255BD35A1FD}"/>
    <cellStyle name="40% - Accent5 3 2 2 6" xfId="9236" xr:uid="{9D3110B6-51E7-439C-B41F-13370394A1D2}"/>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25292" xr:uid="{2D37E308-6A50-46E7-B1B5-395BBA5CCD32}"/>
    <cellStyle name="40% - Accent5 3 2 3 2 2 3" xfId="16012" xr:uid="{FF01239A-E83E-41ED-BD19-1FE5CC0CA83F}"/>
    <cellStyle name="40% - Accent5 3 2 3 2 3" xfId="21075" xr:uid="{DFEC20C5-4602-4519-96A7-C942C22AC528}"/>
    <cellStyle name="40% - Accent5 3 2 3 2 4" xfId="11794" xr:uid="{2ACF558F-BCCD-49FA-A3BB-635C82AA834A}"/>
    <cellStyle name="40% - Accent5 3 2 3 3" xfId="5417" xr:uid="{00000000-0005-0000-0000-00009B060000}"/>
    <cellStyle name="40% - Accent5 3 2 3 3 2" xfId="23147" xr:uid="{AAF4B318-AB96-45B5-A197-7124EB9325E4}"/>
    <cellStyle name="40% - Accent5 3 2 3 3 3" xfId="13867" xr:uid="{5987E58B-E91F-406E-B419-428833307950}"/>
    <cellStyle name="40% - Accent5 3 2 3 4" xfId="18930" xr:uid="{ED061DC2-C10B-4883-B963-EB9C0F554F61}"/>
    <cellStyle name="40% - Accent5 3 2 3 5" xfId="9649" xr:uid="{561B1938-2E87-47B7-A89A-49A9F653D483}"/>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25705" xr:uid="{12BD8A46-6E24-42F2-956A-ADB1DC20D417}"/>
    <cellStyle name="40% - Accent5 3 2 4 2 2 3" xfId="16425" xr:uid="{0CEA62CA-9D48-4396-9901-D242859D2714}"/>
    <cellStyle name="40% - Accent5 3 2 4 2 3" xfId="21488" xr:uid="{0DA13DC4-8E92-43C9-825C-CAC00628BA4C}"/>
    <cellStyle name="40% - Accent5 3 2 4 2 4" xfId="12207" xr:uid="{42DDE074-7575-42C6-A870-CEA460C748B7}"/>
    <cellStyle name="40% - Accent5 3 2 4 3" xfId="5830" xr:uid="{00000000-0005-0000-0000-00009F060000}"/>
    <cellStyle name="40% - Accent5 3 2 4 3 2" xfId="23560" xr:uid="{3F1FA17F-4451-4B96-8CA2-B951614AEABF}"/>
    <cellStyle name="40% - Accent5 3 2 4 3 3" xfId="14280" xr:uid="{D04C0BE4-0D81-47A0-B2C1-0511CEBC047F}"/>
    <cellStyle name="40% - Accent5 3 2 4 4" xfId="19343" xr:uid="{26275833-CC14-461C-8220-3C137280304C}"/>
    <cellStyle name="40% - Accent5 3 2 4 5" xfId="10062" xr:uid="{6086F0FA-0D77-4500-8C9A-ABF4A7FFAABB}"/>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26118" xr:uid="{9B6E3AF0-13CE-4FFA-8D2E-9B8A4A6048FB}"/>
    <cellStyle name="40% - Accent5 3 2 5 2 2 3" xfId="16838" xr:uid="{A34C6D54-1A72-4D37-8A5E-0C015FE9E610}"/>
    <cellStyle name="40% - Accent5 3 2 5 2 3" xfId="21901" xr:uid="{D5FB2292-9C87-49A5-9CF6-C8D03C9D9E4E}"/>
    <cellStyle name="40% - Accent5 3 2 5 2 4" xfId="12620" xr:uid="{703773A7-7FF5-4336-A2EF-A333C6CFB583}"/>
    <cellStyle name="40% - Accent5 3 2 5 3" xfId="6243" xr:uid="{00000000-0005-0000-0000-0000A3060000}"/>
    <cellStyle name="40% - Accent5 3 2 5 3 2" xfId="23973" xr:uid="{7E4DB9B4-AA48-44CC-8B26-EA8373FC7754}"/>
    <cellStyle name="40% - Accent5 3 2 5 3 3" xfId="14693" xr:uid="{7E9E5B4E-8ECF-48CB-952F-688CC0F10CDD}"/>
    <cellStyle name="40% - Accent5 3 2 5 4" xfId="19756" xr:uid="{7D1B56BD-49D9-4239-88D7-08C504196D19}"/>
    <cellStyle name="40% - Accent5 3 2 5 5" xfId="10475" xr:uid="{D63A4697-07DB-4562-B0FE-7A5A2DB6C6A6}"/>
    <cellStyle name="40% - Accent5 3 2 6" xfId="2350" xr:uid="{00000000-0005-0000-0000-0000A4060000}"/>
    <cellStyle name="40% - Accent5 3 2 6 2" xfId="6656" xr:uid="{00000000-0005-0000-0000-0000A5060000}"/>
    <cellStyle name="40% - Accent5 3 2 6 2 2" xfId="24386" xr:uid="{5E01285D-8104-452D-BF88-D6D349ADDB3A}"/>
    <cellStyle name="40% - Accent5 3 2 6 2 3" xfId="15106" xr:uid="{724B01D9-DEBD-4771-AC61-C2C3CC66DCEB}"/>
    <cellStyle name="40% - Accent5 3 2 6 3" xfId="20169" xr:uid="{1F638B29-497E-45F2-A635-30162DD075F1}"/>
    <cellStyle name="40% - Accent5 3 2 6 4" xfId="10888" xr:uid="{B8FA064C-9D84-4639-A62F-EA66EEEEE93E}"/>
    <cellStyle name="40% - Accent5 3 2 7" xfId="4590" xr:uid="{00000000-0005-0000-0000-0000A6060000}"/>
    <cellStyle name="40% - Accent5 3 2 7 2" xfId="22320" xr:uid="{ED7B4568-2D4C-42BF-A257-0596B5B55825}"/>
    <cellStyle name="40% - Accent5 3 2 7 3" xfId="13040" xr:uid="{1713E9F7-FB39-4649-86CC-2AB0A8C15879}"/>
    <cellStyle name="40% - Accent5 3 2 8" xfId="18103" xr:uid="{D18ABD98-053B-4421-8DC1-2A032E76FABC}"/>
    <cellStyle name="40% - Accent5 3 2 9" xfId="17270" xr:uid="{FB4FB31C-E1AE-4E79-B948-E4AB6C5F78C3}"/>
    <cellStyle name="40% - Accent5 3 3" xfId="655" xr:uid="{00000000-0005-0000-0000-0000A7060000}"/>
    <cellStyle name="40% - Accent5 3 3 2" xfId="2926" xr:uid="{00000000-0005-0000-0000-0000A8060000}"/>
    <cellStyle name="40% - Accent5 3 3 2 2" xfId="7148" xr:uid="{00000000-0005-0000-0000-0000A9060000}"/>
    <cellStyle name="40% - Accent5 3 3 2 2 2" xfId="24878" xr:uid="{75F0739B-01B9-45EF-8C91-06F420B31F43}"/>
    <cellStyle name="40% - Accent5 3 3 2 2 3" xfId="15598" xr:uid="{53643E6C-7E15-42D9-9625-CDEA5FEAC266}"/>
    <cellStyle name="40% - Accent5 3 3 2 3" xfId="20661" xr:uid="{DEECE607-74E7-4C89-A991-231160D10C1C}"/>
    <cellStyle name="40% - Accent5 3 3 2 4" xfId="11380" xr:uid="{56B13DDD-F8BC-4298-9CD9-679975BF9CB5}"/>
    <cellStyle name="40% - Accent5 3 3 3" xfId="5003" xr:uid="{00000000-0005-0000-0000-0000AA060000}"/>
    <cellStyle name="40% - Accent5 3 3 3 2" xfId="22733" xr:uid="{E37C0F4C-A029-4EFE-8DE6-96EE3248EBD5}"/>
    <cellStyle name="40% - Accent5 3 3 3 3" xfId="13453" xr:uid="{F4CBD8AF-545B-42C3-AC7F-0A870FC8B046}"/>
    <cellStyle name="40% - Accent5 3 3 4" xfId="18516" xr:uid="{8FC459AF-FC95-4B5D-B27C-3D7ADD4A6D26}"/>
    <cellStyle name="40% - Accent5 3 3 5" xfId="17686" xr:uid="{A30BC30C-B4B5-4AC9-BD84-C003EE95F637}"/>
    <cellStyle name="40% - Accent5 3 3 6" xfId="9235" xr:uid="{14E422D4-DBD4-46E4-9AF7-2D80803477A6}"/>
    <cellStyle name="40% - Accent5 3 4" xfId="1108" xr:uid="{00000000-0005-0000-0000-0000AB060000}"/>
    <cellStyle name="40% - Accent5 3 4 2" xfId="3339" xr:uid="{00000000-0005-0000-0000-0000AC060000}"/>
    <cellStyle name="40% - Accent5 3 4 2 2" xfId="7561" xr:uid="{00000000-0005-0000-0000-0000AD060000}"/>
    <cellStyle name="40% - Accent5 3 4 2 2 2" xfId="25291" xr:uid="{95689762-DAC3-4188-A11B-675B82692873}"/>
    <cellStyle name="40% - Accent5 3 4 2 2 3" xfId="16011" xr:uid="{8A4BC92F-745F-48B0-B6D2-543FCD14E3C3}"/>
    <cellStyle name="40% - Accent5 3 4 2 3" xfId="21074" xr:uid="{821EFE24-D361-486C-932F-D349B6353003}"/>
    <cellStyle name="40% - Accent5 3 4 2 4" xfId="11793" xr:uid="{45F17173-E4A5-438B-A7F7-5406964CEADC}"/>
    <cellStyle name="40% - Accent5 3 4 3" xfId="5416" xr:uid="{00000000-0005-0000-0000-0000AE060000}"/>
    <cellStyle name="40% - Accent5 3 4 3 2" xfId="23146" xr:uid="{DB570171-18C8-46FE-8568-93B04437ED4B}"/>
    <cellStyle name="40% - Accent5 3 4 3 3" xfId="13866" xr:uid="{876FAEFC-9C51-4C93-BB4E-456C796F14B5}"/>
    <cellStyle name="40% - Accent5 3 4 4" xfId="18929" xr:uid="{61BDEEA1-8F50-4982-84F6-B2F6C769BF6A}"/>
    <cellStyle name="40% - Accent5 3 4 5" xfId="9648" xr:uid="{8BBC4DF8-7787-4FAF-89EF-637E602722B6}"/>
    <cellStyle name="40% - Accent5 3 5" xfId="1522" xr:uid="{00000000-0005-0000-0000-0000AF060000}"/>
    <cellStyle name="40% - Accent5 3 5 2" xfId="3752" xr:uid="{00000000-0005-0000-0000-0000B0060000}"/>
    <cellStyle name="40% - Accent5 3 5 2 2" xfId="7974" xr:uid="{00000000-0005-0000-0000-0000B1060000}"/>
    <cellStyle name="40% - Accent5 3 5 2 2 2" xfId="25704" xr:uid="{46DA88E9-7E36-481D-B625-0C4D277A757B}"/>
    <cellStyle name="40% - Accent5 3 5 2 2 3" xfId="16424" xr:uid="{416C70C9-9FF2-4E4B-941F-D69C89E60195}"/>
    <cellStyle name="40% - Accent5 3 5 2 3" xfId="21487" xr:uid="{DE34ADE4-236E-43BC-8087-B4A038E2E0BC}"/>
    <cellStyle name="40% - Accent5 3 5 2 4" xfId="12206" xr:uid="{257850A6-A457-4341-990D-05A28FE630A1}"/>
    <cellStyle name="40% - Accent5 3 5 3" xfId="5829" xr:uid="{00000000-0005-0000-0000-0000B2060000}"/>
    <cellStyle name="40% - Accent5 3 5 3 2" xfId="23559" xr:uid="{5AD2DDD0-816D-4094-9F6B-6C7BF832A0AE}"/>
    <cellStyle name="40% - Accent5 3 5 3 3" xfId="14279" xr:uid="{95285C99-DD8F-4B13-A597-B6CD3FF59C7A}"/>
    <cellStyle name="40% - Accent5 3 5 4" xfId="19342" xr:uid="{64383B85-C775-4EEC-A556-60C02578CAA1}"/>
    <cellStyle name="40% - Accent5 3 5 5" xfId="10061" xr:uid="{CD790AED-C456-46D1-97BD-E10DDA4438B8}"/>
    <cellStyle name="40% - Accent5 3 6" xfId="1936" xr:uid="{00000000-0005-0000-0000-0000B3060000}"/>
    <cellStyle name="40% - Accent5 3 6 2" xfId="4165" xr:uid="{00000000-0005-0000-0000-0000B4060000}"/>
    <cellStyle name="40% - Accent5 3 6 2 2" xfId="8387" xr:uid="{00000000-0005-0000-0000-0000B5060000}"/>
    <cellStyle name="40% - Accent5 3 6 2 2 2" xfId="26117" xr:uid="{1EFA83F1-9B9F-4D6E-9F2C-C6867AC0C066}"/>
    <cellStyle name="40% - Accent5 3 6 2 2 3" xfId="16837" xr:uid="{F49A6573-A3BF-4EDD-A2EE-00A296B7485B}"/>
    <cellStyle name="40% - Accent5 3 6 2 3" xfId="21900" xr:uid="{E246C4F9-280E-4E6E-B940-1FB7E8A64A46}"/>
    <cellStyle name="40% - Accent5 3 6 2 4" xfId="12619" xr:uid="{903A3050-0215-4CA0-8AD6-8C74710D9D7E}"/>
    <cellStyle name="40% - Accent5 3 6 3" xfId="6242" xr:uid="{00000000-0005-0000-0000-0000B6060000}"/>
    <cellStyle name="40% - Accent5 3 6 3 2" xfId="23972" xr:uid="{2F71ACFB-AFDD-4821-B7FC-149C00DAE6E4}"/>
    <cellStyle name="40% - Accent5 3 6 3 3" xfId="14692" xr:uid="{E6CF6D39-5F37-4EEB-BD88-587086629C58}"/>
    <cellStyle name="40% - Accent5 3 6 4" xfId="19755" xr:uid="{014409DC-539B-4035-8CE8-2C2DCA982807}"/>
    <cellStyle name="40% - Accent5 3 6 5" xfId="10474" xr:uid="{33977331-F25D-4337-ACD0-599CE8A63C42}"/>
    <cellStyle name="40% - Accent5 3 7" xfId="2349" xr:uid="{00000000-0005-0000-0000-0000B7060000}"/>
    <cellStyle name="40% - Accent5 3 7 2" xfId="6655" xr:uid="{00000000-0005-0000-0000-0000B8060000}"/>
    <cellStyle name="40% - Accent5 3 7 2 2" xfId="24385" xr:uid="{A92D1A72-967F-4126-B0B9-7B5D9CBB61B9}"/>
    <cellStyle name="40% - Accent5 3 7 2 3" xfId="15105" xr:uid="{BAC439E4-A8B1-49C6-AC31-6CBBB9C0EBC9}"/>
    <cellStyle name="40% - Accent5 3 7 3" xfId="20168" xr:uid="{A596523D-CE69-4480-93FA-913946504B9A}"/>
    <cellStyle name="40% - Accent5 3 7 4" xfId="10887" xr:uid="{ED6C5763-1879-49DC-AB33-332F87C5C58B}"/>
    <cellStyle name="40% - Accent5 3 8" xfId="4589" xr:uid="{00000000-0005-0000-0000-0000B9060000}"/>
    <cellStyle name="40% - Accent5 3 8 2" xfId="22319" xr:uid="{06D32245-2D1B-48DF-99BB-C27C0C7D6221}"/>
    <cellStyle name="40% - Accent5 3 8 3" xfId="13039" xr:uid="{3379B60A-C653-43B5-B0DA-CCB60DF575B9}"/>
    <cellStyle name="40% - Accent5 3 9" xfId="18102" xr:uid="{2F3AC44A-C807-4D98-85E5-EF305D43E31F}"/>
    <cellStyle name="40% - Accent5 4" xfId="88" xr:uid="{00000000-0005-0000-0000-0000BA060000}"/>
    <cellStyle name="40% - Accent5 4 10" xfId="8823" xr:uid="{9146EFEB-2D10-4E07-A395-71D8A3E921C8}"/>
    <cellStyle name="40% - Accent5 4 2" xfId="657" xr:uid="{00000000-0005-0000-0000-0000BB060000}"/>
    <cellStyle name="40% - Accent5 4 2 2" xfId="2928" xr:uid="{00000000-0005-0000-0000-0000BC060000}"/>
    <cellStyle name="40% - Accent5 4 2 2 2" xfId="7150" xr:uid="{00000000-0005-0000-0000-0000BD060000}"/>
    <cellStyle name="40% - Accent5 4 2 2 2 2" xfId="24880" xr:uid="{5F9AF618-A651-4DCA-B286-ECDB795A5CBC}"/>
    <cellStyle name="40% - Accent5 4 2 2 2 3" xfId="15600" xr:uid="{9CB1E238-086F-48D9-8F13-2582D76DBB06}"/>
    <cellStyle name="40% - Accent5 4 2 2 3" xfId="20663" xr:uid="{75625491-C7DB-4C6C-A9ED-BBA3FBF1A5E5}"/>
    <cellStyle name="40% - Accent5 4 2 2 4" xfId="11382" xr:uid="{AC2B989D-7ADA-442D-BB62-CD261A0F7847}"/>
    <cellStyle name="40% - Accent5 4 2 3" xfId="5005" xr:uid="{00000000-0005-0000-0000-0000BE060000}"/>
    <cellStyle name="40% - Accent5 4 2 3 2" xfId="22735" xr:uid="{9DCA32CB-76BF-4B50-A044-CDD3E85A6BB1}"/>
    <cellStyle name="40% - Accent5 4 2 3 3" xfId="13455" xr:uid="{90E1144A-9617-46F4-8C99-1CBA433A0FC0}"/>
    <cellStyle name="40% - Accent5 4 2 4" xfId="18518" xr:uid="{FA24B376-948F-43F4-8265-8D601637ED13}"/>
    <cellStyle name="40% - Accent5 4 2 5" xfId="17688" xr:uid="{41BF12CA-BA17-4173-BF39-E69A2EA76245}"/>
    <cellStyle name="40% - Accent5 4 2 6" xfId="9237" xr:uid="{18C12556-E4BD-429E-9792-C21458B9CF56}"/>
    <cellStyle name="40% - Accent5 4 3" xfId="1110" xr:uid="{00000000-0005-0000-0000-0000BF060000}"/>
    <cellStyle name="40% - Accent5 4 3 2" xfId="3341" xr:uid="{00000000-0005-0000-0000-0000C0060000}"/>
    <cellStyle name="40% - Accent5 4 3 2 2" xfId="7563" xr:uid="{00000000-0005-0000-0000-0000C1060000}"/>
    <cellStyle name="40% - Accent5 4 3 2 2 2" xfId="25293" xr:uid="{4543D81A-3032-4D91-9EC4-F70B944E8973}"/>
    <cellStyle name="40% - Accent5 4 3 2 2 3" xfId="16013" xr:uid="{AC4AD758-B7E3-4805-849E-A7857B510FEF}"/>
    <cellStyle name="40% - Accent5 4 3 2 3" xfId="21076" xr:uid="{BD76C6DB-D071-4127-BEAE-D514A530B05E}"/>
    <cellStyle name="40% - Accent5 4 3 2 4" xfId="11795" xr:uid="{0C07C6C7-1EB5-4E4D-9CCC-407946AC9319}"/>
    <cellStyle name="40% - Accent5 4 3 3" xfId="5418" xr:uid="{00000000-0005-0000-0000-0000C2060000}"/>
    <cellStyle name="40% - Accent5 4 3 3 2" xfId="23148" xr:uid="{7BAC27CE-6228-4AAD-A980-F7D5FCA73C49}"/>
    <cellStyle name="40% - Accent5 4 3 3 3" xfId="13868" xr:uid="{E1AD9C88-C496-470B-8C02-6A6597CB199D}"/>
    <cellStyle name="40% - Accent5 4 3 4" xfId="18931" xr:uid="{6060ABA6-D0EC-4F34-979E-4D16DB4CDF17}"/>
    <cellStyle name="40% - Accent5 4 3 5" xfId="9650" xr:uid="{6FE9A488-50FE-4A56-9877-AD9C87DA0929}"/>
    <cellStyle name="40% - Accent5 4 4" xfId="1524" xr:uid="{00000000-0005-0000-0000-0000C3060000}"/>
    <cellStyle name="40% - Accent5 4 4 2" xfId="3754" xr:uid="{00000000-0005-0000-0000-0000C4060000}"/>
    <cellStyle name="40% - Accent5 4 4 2 2" xfId="7976" xr:uid="{00000000-0005-0000-0000-0000C5060000}"/>
    <cellStyle name="40% - Accent5 4 4 2 2 2" xfId="25706" xr:uid="{37419833-EC61-4FD4-ADA6-57BFCD8158B5}"/>
    <cellStyle name="40% - Accent5 4 4 2 2 3" xfId="16426" xr:uid="{A5DE59AB-7302-47ED-A29D-16C07DFA4815}"/>
    <cellStyle name="40% - Accent5 4 4 2 3" xfId="21489" xr:uid="{A9CC62DA-2974-426E-8D67-B9296E94E56F}"/>
    <cellStyle name="40% - Accent5 4 4 2 4" xfId="12208" xr:uid="{DD4E763C-0AB0-43B0-9873-E2306A37F424}"/>
    <cellStyle name="40% - Accent5 4 4 3" xfId="5831" xr:uid="{00000000-0005-0000-0000-0000C6060000}"/>
    <cellStyle name="40% - Accent5 4 4 3 2" xfId="23561" xr:uid="{50510767-EBAF-44E0-BF3B-775DC193C2E5}"/>
    <cellStyle name="40% - Accent5 4 4 3 3" xfId="14281" xr:uid="{A8EEA9A9-1E0A-42B1-8A41-84C4A61CE675}"/>
    <cellStyle name="40% - Accent5 4 4 4" xfId="19344" xr:uid="{E5638200-B95C-45E5-A1D2-6CA48D616105}"/>
    <cellStyle name="40% - Accent5 4 4 5" xfId="10063" xr:uid="{7A72CAB6-5887-4C58-A6EB-31EA8A54424C}"/>
    <cellStyle name="40% - Accent5 4 5" xfId="1938" xr:uid="{00000000-0005-0000-0000-0000C7060000}"/>
    <cellStyle name="40% - Accent5 4 5 2" xfId="4167" xr:uid="{00000000-0005-0000-0000-0000C8060000}"/>
    <cellStyle name="40% - Accent5 4 5 2 2" xfId="8389" xr:uid="{00000000-0005-0000-0000-0000C9060000}"/>
    <cellStyle name="40% - Accent5 4 5 2 2 2" xfId="26119" xr:uid="{BAD3CC06-5B0A-4AC0-9069-1D3A0F16EFD1}"/>
    <cellStyle name="40% - Accent5 4 5 2 2 3" xfId="16839" xr:uid="{7DAB6388-E6DF-4F2C-8884-51C93720C504}"/>
    <cellStyle name="40% - Accent5 4 5 2 3" xfId="21902" xr:uid="{982E331F-1487-47CE-86DD-7524A6C0DD01}"/>
    <cellStyle name="40% - Accent5 4 5 2 4" xfId="12621" xr:uid="{8EA92523-F573-4A1D-830A-52EA9A4BB567}"/>
    <cellStyle name="40% - Accent5 4 5 3" xfId="6244" xr:uid="{00000000-0005-0000-0000-0000CA060000}"/>
    <cellStyle name="40% - Accent5 4 5 3 2" xfId="23974" xr:uid="{A5DA2470-AED5-45B2-98CD-AFA552A08481}"/>
    <cellStyle name="40% - Accent5 4 5 3 3" xfId="14694" xr:uid="{4D8D8EC8-0F6D-4EE2-8C9E-A024286C8557}"/>
    <cellStyle name="40% - Accent5 4 5 4" xfId="19757" xr:uid="{D2EAF67C-07FE-4BDB-BDA7-726FF10E9039}"/>
    <cellStyle name="40% - Accent5 4 5 5" xfId="10476" xr:uid="{093CB2E9-FB5F-4185-9D04-B46BD22EC407}"/>
    <cellStyle name="40% - Accent5 4 6" xfId="2351" xr:uid="{00000000-0005-0000-0000-0000CB060000}"/>
    <cellStyle name="40% - Accent5 4 6 2" xfId="6657" xr:uid="{00000000-0005-0000-0000-0000CC060000}"/>
    <cellStyle name="40% - Accent5 4 6 2 2" xfId="24387" xr:uid="{515CDFA3-1236-47C9-B0DA-7F2E3A0FFF34}"/>
    <cellStyle name="40% - Accent5 4 6 2 3" xfId="15107" xr:uid="{D8ABC83C-6204-456A-B0D4-D4529F0FF432}"/>
    <cellStyle name="40% - Accent5 4 6 3" xfId="20170" xr:uid="{3FB5952B-D880-4CCA-BB1E-B6477B8991D8}"/>
    <cellStyle name="40% - Accent5 4 6 4" xfId="10889" xr:uid="{4FDECD93-F94A-495C-9368-2E3B5B3B1A8E}"/>
    <cellStyle name="40% - Accent5 4 7" xfId="4591" xr:uid="{00000000-0005-0000-0000-0000CD060000}"/>
    <cellStyle name="40% - Accent5 4 7 2" xfId="22321" xr:uid="{2555B45B-09A5-4A2E-BA2A-F5E5B9EB0127}"/>
    <cellStyle name="40% - Accent5 4 7 3" xfId="13041" xr:uid="{D75B72DF-E90E-4157-BA24-36068600D984}"/>
    <cellStyle name="40% - Accent5 4 8" xfId="18104" xr:uid="{580ACAA5-F15C-45B1-9BA5-69BEC7A490BA}"/>
    <cellStyle name="40% - Accent5 4 9" xfId="17271" xr:uid="{CDAC6E42-4B95-4DE1-8D52-788508F56B14}"/>
    <cellStyle name="40% - Accent5 5" xfId="650" xr:uid="{00000000-0005-0000-0000-0000CE060000}"/>
    <cellStyle name="40% - Accent5 5 2" xfId="2921" xr:uid="{00000000-0005-0000-0000-0000CF060000}"/>
    <cellStyle name="40% - Accent5 5 2 2" xfId="7143" xr:uid="{00000000-0005-0000-0000-0000D0060000}"/>
    <cellStyle name="40% - Accent5 5 2 2 2" xfId="24873" xr:uid="{BC66CDF2-3709-479B-ADE9-BF8986F31AFA}"/>
    <cellStyle name="40% - Accent5 5 2 2 3" xfId="15593" xr:uid="{433B32C5-8255-4102-BD8B-D6D2D865AB1D}"/>
    <cellStyle name="40% - Accent5 5 2 3" xfId="20656" xr:uid="{922CAA1D-DE89-4F54-81B4-C9135B537080}"/>
    <cellStyle name="40% - Accent5 5 2 4" xfId="11375" xr:uid="{B7D37530-F0B5-4BF9-86A0-5AF36705B452}"/>
    <cellStyle name="40% - Accent5 5 3" xfId="4998" xr:uid="{00000000-0005-0000-0000-0000D1060000}"/>
    <cellStyle name="40% - Accent5 5 3 2" xfId="22728" xr:uid="{9C7B1750-D336-451F-AE75-0A4B3B2E0965}"/>
    <cellStyle name="40% - Accent5 5 3 3" xfId="13448" xr:uid="{6B1F89C7-404A-4F81-B456-42F5746DA9CE}"/>
    <cellStyle name="40% - Accent5 5 4" xfId="18511" xr:uid="{DF4FADFD-B636-4711-BFA3-7DFF8508C8E0}"/>
    <cellStyle name="40% - Accent5 5 5" xfId="17681" xr:uid="{D56EDA40-B61A-4351-9F97-7EBA67F368A4}"/>
    <cellStyle name="40% - Accent5 5 6" xfId="9230" xr:uid="{009B5ECB-D255-46E7-B35C-0AA66C84E729}"/>
    <cellStyle name="40% - Accent5 6" xfId="1103" xr:uid="{00000000-0005-0000-0000-0000D2060000}"/>
    <cellStyle name="40% - Accent5 6 2" xfId="3334" xr:uid="{00000000-0005-0000-0000-0000D3060000}"/>
    <cellStyle name="40% - Accent5 6 2 2" xfId="7556" xr:uid="{00000000-0005-0000-0000-0000D4060000}"/>
    <cellStyle name="40% - Accent5 6 2 2 2" xfId="25286" xr:uid="{984D5EA6-E206-45CB-81F3-F33F544A3968}"/>
    <cellStyle name="40% - Accent5 6 2 2 3" xfId="16006" xr:uid="{548F5828-CBE7-4B6B-9EAE-0805D2F15867}"/>
    <cellStyle name="40% - Accent5 6 2 3" xfId="21069" xr:uid="{AEE8114B-0A9C-45E6-B402-2444FE909656}"/>
    <cellStyle name="40% - Accent5 6 2 4" xfId="11788" xr:uid="{7E5633AA-22DA-419D-A467-225E22D96498}"/>
    <cellStyle name="40% - Accent5 6 3" xfId="5411" xr:uid="{00000000-0005-0000-0000-0000D5060000}"/>
    <cellStyle name="40% - Accent5 6 3 2" xfId="23141" xr:uid="{71F4BCEA-7788-4321-A265-0F04D34D20DB}"/>
    <cellStyle name="40% - Accent5 6 3 3" xfId="13861" xr:uid="{E716455B-E658-4E86-AE06-13F059863A2E}"/>
    <cellStyle name="40% - Accent5 6 4" xfId="18924" xr:uid="{DF11E4D1-ABDD-4A75-8F76-EE11C0143C8E}"/>
    <cellStyle name="40% - Accent5 6 5" xfId="9643" xr:uid="{56A94A22-6064-4D75-9752-ECC88514F0B6}"/>
    <cellStyle name="40% - Accent5 7" xfId="1517" xr:uid="{00000000-0005-0000-0000-0000D6060000}"/>
    <cellStyle name="40% - Accent5 7 2" xfId="3747" xr:uid="{00000000-0005-0000-0000-0000D7060000}"/>
    <cellStyle name="40% - Accent5 7 2 2" xfId="7969" xr:uid="{00000000-0005-0000-0000-0000D8060000}"/>
    <cellStyle name="40% - Accent5 7 2 2 2" xfId="25699" xr:uid="{A2432A2C-FE25-4E37-95C2-44D0A96A9FC0}"/>
    <cellStyle name="40% - Accent5 7 2 2 3" xfId="16419" xr:uid="{B4851C70-00B6-435E-8536-95D01F73699B}"/>
    <cellStyle name="40% - Accent5 7 2 3" xfId="21482" xr:uid="{07B8BC00-619E-439B-A66D-73B6384E1607}"/>
    <cellStyle name="40% - Accent5 7 2 4" xfId="12201" xr:uid="{C65644AC-78C8-4614-8F5E-6AA1813026DD}"/>
    <cellStyle name="40% - Accent5 7 3" xfId="5824" xr:uid="{00000000-0005-0000-0000-0000D9060000}"/>
    <cellStyle name="40% - Accent5 7 3 2" xfId="23554" xr:uid="{58DC7EE2-D38D-4088-A81E-79068B7643F0}"/>
    <cellStyle name="40% - Accent5 7 3 3" xfId="14274" xr:uid="{21D2C5E5-E73B-49D7-B210-59B64DB9B273}"/>
    <cellStyle name="40% - Accent5 7 4" xfId="19337" xr:uid="{9F92D3EA-014A-4B3D-8737-D5EEBBCDDBF8}"/>
    <cellStyle name="40% - Accent5 7 5" xfId="10056" xr:uid="{28412D25-642F-4C11-8E98-FEA16CE64091}"/>
    <cellStyle name="40% - Accent5 8" xfId="1931" xr:uid="{00000000-0005-0000-0000-0000DA060000}"/>
    <cellStyle name="40% - Accent5 8 2" xfId="4160" xr:uid="{00000000-0005-0000-0000-0000DB060000}"/>
    <cellStyle name="40% - Accent5 8 2 2" xfId="8382" xr:uid="{00000000-0005-0000-0000-0000DC060000}"/>
    <cellStyle name="40% - Accent5 8 2 2 2" xfId="26112" xr:uid="{1C0AA04B-394F-457D-85C0-9347E66062F3}"/>
    <cellStyle name="40% - Accent5 8 2 2 3" xfId="16832" xr:uid="{02CFE2A6-D640-43B2-A49B-54AE2076EC89}"/>
    <cellStyle name="40% - Accent5 8 2 3" xfId="21895" xr:uid="{1148FC3F-05E4-409B-AB80-2D4723BD635A}"/>
    <cellStyle name="40% - Accent5 8 2 4" xfId="12614" xr:uid="{7CCBFF6B-C233-4C63-968F-9DDDE686942E}"/>
    <cellStyle name="40% - Accent5 8 3" xfId="6237" xr:uid="{00000000-0005-0000-0000-0000DD060000}"/>
    <cellStyle name="40% - Accent5 8 3 2" xfId="23967" xr:uid="{3E5F08F8-2AC6-4C6D-B62E-A63B09362A3D}"/>
    <cellStyle name="40% - Accent5 8 3 3" xfId="14687" xr:uid="{28882005-5C26-4847-BBD9-0214A5B2B5EE}"/>
    <cellStyle name="40% - Accent5 8 4" xfId="19750" xr:uid="{C8AF14B0-6A3E-4493-AAFC-FE3918BC2A21}"/>
    <cellStyle name="40% - Accent5 8 5" xfId="10469" xr:uid="{0754FF5A-66D4-45D6-9780-E415CD730206}"/>
    <cellStyle name="40% - Accent5 9" xfId="2344" xr:uid="{00000000-0005-0000-0000-0000DE060000}"/>
    <cellStyle name="40% - Accent5 9 2" xfId="6650" xr:uid="{00000000-0005-0000-0000-0000DF060000}"/>
    <cellStyle name="40% - Accent5 9 2 2" xfId="24380" xr:uid="{BE32B3A7-E46B-48DC-AF81-D0F32072CA07}"/>
    <cellStyle name="40% - Accent5 9 2 3" xfId="15100" xr:uid="{12C57599-7CAA-48D7-93F8-9A8EF7BFAB14}"/>
    <cellStyle name="40% - Accent5 9 3" xfId="20163" xr:uid="{A5D3BB8D-27D3-4D40-9E2C-081698264DC5}"/>
    <cellStyle name="40% - Accent5 9 4" xfId="10882" xr:uid="{321ECD5F-8C96-4B7E-A741-12F20B6503EE}"/>
    <cellStyle name="40% - Accent6" xfId="89" builtinId="51" customBuiltin="1"/>
    <cellStyle name="40% - Accent6 10" xfId="4592" xr:uid="{00000000-0005-0000-0000-0000E1060000}"/>
    <cellStyle name="40% - Accent6 10 2" xfId="22322" xr:uid="{DCC453C6-5D5A-4828-A4EF-148605D1F9D1}"/>
    <cellStyle name="40% - Accent6 10 3" xfId="13042" xr:uid="{DDCF3643-F313-4AED-AF07-A5DA588F8359}"/>
    <cellStyle name="40% - Accent6 11" xfId="18105" xr:uid="{4685BAC1-51CD-4AD5-BC38-247CC4AB53FB}"/>
    <cellStyle name="40% - Accent6 12" xfId="17272" xr:uid="{05D90B6B-A9C0-4E3C-A016-409E8B04B88E}"/>
    <cellStyle name="40% - Accent6 13" xfId="8824" xr:uid="{5F36B4D5-7A76-4422-BDFB-5BB493E12150}"/>
    <cellStyle name="40% - Accent6 2" xfId="90" xr:uid="{00000000-0005-0000-0000-0000E2060000}"/>
    <cellStyle name="40% - Accent6 2 10" xfId="18106" xr:uid="{0485A27B-D5B9-4657-B6B8-E7DFB524E209}"/>
    <cellStyle name="40% - Accent6 2 11" xfId="17273" xr:uid="{64D98C6A-4FBF-46F8-9697-2C3CE25F3E0A}"/>
    <cellStyle name="40% - Accent6 2 12" xfId="8825" xr:uid="{EC9F14B4-2009-4FF3-BE9A-803693669ED0}"/>
    <cellStyle name="40% - Accent6 2 2" xfId="91" xr:uid="{00000000-0005-0000-0000-0000E3060000}"/>
    <cellStyle name="40% - Accent6 2 2 10" xfId="17274" xr:uid="{27005C9D-48A7-4027-903D-925F01E0ECE5}"/>
    <cellStyle name="40% - Accent6 2 2 11" xfId="8826" xr:uid="{19E234A3-A43B-448B-8BB0-85E4E5227974}"/>
    <cellStyle name="40% - Accent6 2 2 2" xfId="92" xr:uid="{00000000-0005-0000-0000-0000E4060000}"/>
    <cellStyle name="40% - Accent6 2 2 2 10" xfId="8827" xr:uid="{95EF273A-0973-471C-B2A9-7E1C0AE2B72F}"/>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24884" xr:uid="{257E020F-A4FC-46D4-8313-6FFF841F6331}"/>
    <cellStyle name="40% - Accent6 2 2 2 2 2 2 3" xfId="15604" xr:uid="{F138178D-453F-410E-8CC8-FF2E11CD1305}"/>
    <cellStyle name="40% - Accent6 2 2 2 2 2 3" xfId="20667" xr:uid="{F649EBE2-D4FD-4DDA-A3F6-A4A036354D69}"/>
    <cellStyle name="40% - Accent6 2 2 2 2 2 4" xfId="11386" xr:uid="{5308661F-FD1A-45A9-BBD4-083D846BB34A}"/>
    <cellStyle name="40% - Accent6 2 2 2 2 3" xfId="5009" xr:uid="{00000000-0005-0000-0000-0000E8060000}"/>
    <cellStyle name="40% - Accent6 2 2 2 2 3 2" xfId="22739" xr:uid="{93BC229A-191A-4431-AFC5-3A9CE2048DAE}"/>
    <cellStyle name="40% - Accent6 2 2 2 2 3 3" xfId="13459" xr:uid="{92DC5F3A-611A-47AA-914D-60DAB4C2430A}"/>
    <cellStyle name="40% - Accent6 2 2 2 2 4" xfId="18522" xr:uid="{BCCFF36D-7A72-47FD-9545-8A261560F9BF}"/>
    <cellStyle name="40% - Accent6 2 2 2 2 5" xfId="17692" xr:uid="{28DFB773-E99F-4EA3-AE49-1B79A17E7830}"/>
    <cellStyle name="40% - Accent6 2 2 2 2 6" xfId="9241" xr:uid="{C3C869FC-6DD1-4D4D-AF26-D55990E8067B}"/>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25297" xr:uid="{9598CC3D-EFF9-4D1A-83CB-97B3318426FD}"/>
    <cellStyle name="40% - Accent6 2 2 2 3 2 2 3" xfId="16017" xr:uid="{615F335F-C4A6-4579-9CF5-778947EC64EE}"/>
    <cellStyle name="40% - Accent6 2 2 2 3 2 3" xfId="21080" xr:uid="{D13BF0AE-B04C-49BB-B4E2-0FB3C71EF4EC}"/>
    <cellStyle name="40% - Accent6 2 2 2 3 2 4" xfId="11799" xr:uid="{244829D8-256A-43F1-B634-FF904CB17BF3}"/>
    <cellStyle name="40% - Accent6 2 2 2 3 3" xfId="5422" xr:uid="{00000000-0005-0000-0000-0000EC060000}"/>
    <cellStyle name="40% - Accent6 2 2 2 3 3 2" xfId="23152" xr:uid="{89BFA408-B57F-4DB6-BCF0-D42591560B57}"/>
    <cellStyle name="40% - Accent6 2 2 2 3 3 3" xfId="13872" xr:uid="{ECC7CC12-C35D-4251-81FF-061D1E6C122F}"/>
    <cellStyle name="40% - Accent6 2 2 2 3 4" xfId="18935" xr:uid="{D7556D98-C8B4-48D9-9ED6-DCBDAD3C67D2}"/>
    <cellStyle name="40% - Accent6 2 2 2 3 5" xfId="9654" xr:uid="{314577C0-F871-4475-B718-43031F5CB4A6}"/>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25710" xr:uid="{7823F80C-390D-4A49-B53B-D0DBD310B2AD}"/>
    <cellStyle name="40% - Accent6 2 2 2 4 2 2 3" xfId="16430" xr:uid="{77967DBE-5C52-475A-A883-D93E33A5C22A}"/>
    <cellStyle name="40% - Accent6 2 2 2 4 2 3" xfId="21493" xr:uid="{D3B140A0-2D5C-40C4-8C33-E5142DAE8E66}"/>
    <cellStyle name="40% - Accent6 2 2 2 4 2 4" xfId="12212" xr:uid="{01D88917-4F90-43AC-B184-C16175EE07EF}"/>
    <cellStyle name="40% - Accent6 2 2 2 4 3" xfId="5835" xr:uid="{00000000-0005-0000-0000-0000F0060000}"/>
    <cellStyle name="40% - Accent6 2 2 2 4 3 2" xfId="23565" xr:uid="{6387BFDD-BD53-43F7-9F58-2DE220C835F8}"/>
    <cellStyle name="40% - Accent6 2 2 2 4 3 3" xfId="14285" xr:uid="{8D5AD751-16E9-4A43-A8B3-F9A998F0B68E}"/>
    <cellStyle name="40% - Accent6 2 2 2 4 4" xfId="19348" xr:uid="{D05E6885-6917-48F9-8671-91588AF673DB}"/>
    <cellStyle name="40% - Accent6 2 2 2 4 5" xfId="10067" xr:uid="{640557B3-BA11-40DB-BBCF-99D7FC6B91BC}"/>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26123" xr:uid="{5916D4DF-FE8C-4459-853B-E2A8712EAB10}"/>
    <cellStyle name="40% - Accent6 2 2 2 5 2 2 3" xfId="16843" xr:uid="{328F06FE-AA8E-4C4E-8544-F4879A305DEA}"/>
    <cellStyle name="40% - Accent6 2 2 2 5 2 3" xfId="21906" xr:uid="{1F741A53-EEF2-4CB8-818A-BBF8F9BBCC50}"/>
    <cellStyle name="40% - Accent6 2 2 2 5 2 4" xfId="12625" xr:uid="{48EA1843-7EAC-4BB9-AD0C-AC5DE14DBDC8}"/>
    <cellStyle name="40% - Accent6 2 2 2 5 3" xfId="6248" xr:uid="{00000000-0005-0000-0000-0000F4060000}"/>
    <cellStyle name="40% - Accent6 2 2 2 5 3 2" xfId="23978" xr:uid="{D8D3FA29-13B5-4BCE-B66A-5D4711D0E3D0}"/>
    <cellStyle name="40% - Accent6 2 2 2 5 3 3" xfId="14698" xr:uid="{271AF8C9-D0E2-4470-8EAE-CDDEC59075EB}"/>
    <cellStyle name="40% - Accent6 2 2 2 5 4" xfId="19761" xr:uid="{AEA4CB28-FFE8-49E7-9B16-7661D9B76B35}"/>
    <cellStyle name="40% - Accent6 2 2 2 5 5" xfId="10480" xr:uid="{B2F8956C-649D-40A3-8299-33FB3879C8EA}"/>
    <cellStyle name="40% - Accent6 2 2 2 6" xfId="2355" xr:uid="{00000000-0005-0000-0000-0000F5060000}"/>
    <cellStyle name="40% - Accent6 2 2 2 6 2" xfId="6661" xr:uid="{00000000-0005-0000-0000-0000F6060000}"/>
    <cellStyle name="40% - Accent6 2 2 2 6 2 2" xfId="24391" xr:uid="{BD2F6AA2-911C-400D-A03B-7BB6ECB4EB03}"/>
    <cellStyle name="40% - Accent6 2 2 2 6 2 3" xfId="15111" xr:uid="{390F27CD-4591-47D8-80F4-2999FB03440B}"/>
    <cellStyle name="40% - Accent6 2 2 2 6 3" xfId="20174" xr:uid="{B0A37515-CBE2-4DF3-A0AB-EBBE8ADB3576}"/>
    <cellStyle name="40% - Accent6 2 2 2 6 4" xfId="10893" xr:uid="{30B9C0A2-32D9-411E-A5DA-7821599CCA4F}"/>
    <cellStyle name="40% - Accent6 2 2 2 7" xfId="4595" xr:uid="{00000000-0005-0000-0000-0000F7060000}"/>
    <cellStyle name="40% - Accent6 2 2 2 7 2" xfId="22325" xr:uid="{C804CDC4-4ADD-4153-B1E3-B54CE096E192}"/>
    <cellStyle name="40% - Accent6 2 2 2 7 3" xfId="13045" xr:uid="{A5F60935-7C65-4F8A-8F0A-D461D35C36B5}"/>
    <cellStyle name="40% - Accent6 2 2 2 8" xfId="18108" xr:uid="{923EAE82-30A7-41BF-A880-54E7764D294E}"/>
    <cellStyle name="40% - Accent6 2 2 2 9" xfId="17275" xr:uid="{2AD6B930-1D23-4812-9091-7C7A2E21DB74}"/>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24883" xr:uid="{729193C7-499D-4EA1-BF6D-2155A3177518}"/>
    <cellStyle name="40% - Accent6 2 2 3 2 2 3" xfId="15603" xr:uid="{29989526-385E-4A30-86D1-746059D9587E}"/>
    <cellStyle name="40% - Accent6 2 2 3 2 3" xfId="20666" xr:uid="{5367846E-FFAC-4785-A22B-7B5361D4A21A}"/>
    <cellStyle name="40% - Accent6 2 2 3 2 4" xfId="11385" xr:uid="{BE44E4CE-2C27-484F-BAF9-8F86E3FA58F6}"/>
    <cellStyle name="40% - Accent6 2 2 3 3" xfId="5008" xr:uid="{00000000-0005-0000-0000-0000FB060000}"/>
    <cellStyle name="40% - Accent6 2 2 3 3 2" xfId="22738" xr:uid="{06362E0F-E05A-4AE1-B9E7-40D4C8466A90}"/>
    <cellStyle name="40% - Accent6 2 2 3 3 3" xfId="13458" xr:uid="{AAAB4E29-0B68-4D08-9715-9E6553FFB8CA}"/>
    <cellStyle name="40% - Accent6 2 2 3 4" xfId="18521" xr:uid="{9867864E-4670-46BA-8AEB-22A32EA40FF5}"/>
    <cellStyle name="40% - Accent6 2 2 3 5" xfId="17691" xr:uid="{6BD91D12-C418-47C2-910F-967B261AF3E3}"/>
    <cellStyle name="40% - Accent6 2 2 3 6" xfId="9240" xr:uid="{644B09CA-E2D4-4DB5-BE3B-90E117EDD7C7}"/>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25296" xr:uid="{6687594A-EC26-4FC9-B139-3611F975EBE1}"/>
    <cellStyle name="40% - Accent6 2 2 4 2 2 3" xfId="16016" xr:uid="{090460FA-1396-4D04-8CD9-FA564788023D}"/>
    <cellStyle name="40% - Accent6 2 2 4 2 3" xfId="21079" xr:uid="{A73E570B-186F-432A-A20F-207A0F152BC3}"/>
    <cellStyle name="40% - Accent6 2 2 4 2 4" xfId="11798" xr:uid="{1B72ACDA-1045-47A4-B1CA-37D4FCD9B809}"/>
    <cellStyle name="40% - Accent6 2 2 4 3" xfId="5421" xr:uid="{00000000-0005-0000-0000-0000FF060000}"/>
    <cellStyle name="40% - Accent6 2 2 4 3 2" xfId="23151" xr:uid="{939CE947-2987-4C5F-BBF3-F184043BD8FF}"/>
    <cellStyle name="40% - Accent6 2 2 4 3 3" xfId="13871" xr:uid="{84AD763B-7F39-40CB-B119-D5235F4F6700}"/>
    <cellStyle name="40% - Accent6 2 2 4 4" xfId="18934" xr:uid="{9A3E6AAF-842A-45CA-A239-B3C2E459C1F4}"/>
    <cellStyle name="40% - Accent6 2 2 4 5" xfId="9653" xr:uid="{F0C9702B-7AA7-494D-98F9-96DA7F85456B}"/>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25709" xr:uid="{1E922C30-0CA9-427D-A015-E35AC0C9744C}"/>
    <cellStyle name="40% - Accent6 2 2 5 2 2 3" xfId="16429" xr:uid="{B811863D-684F-4501-9D0E-E433915B4879}"/>
    <cellStyle name="40% - Accent6 2 2 5 2 3" xfId="21492" xr:uid="{ED3CD2F8-5DA2-422C-81B1-5B766EC8E8B8}"/>
    <cellStyle name="40% - Accent6 2 2 5 2 4" xfId="12211" xr:uid="{99A8F21B-A357-483B-BCCB-85B9D21070C6}"/>
    <cellStyle name="40% - Accent6 2 2 5 3" xfId="5834" xr:uid="{00000000-0005-0000-0000-000003070000}"/>
    <cellStyle name="40% - Accent6 2 2 5 3 2" xfId="23564" xr:uid="{6BA7911E-1636-4164-8C85-0FC94451E79D}"/>
    <cellStyle name="40% - Accent6 2 2 5 3 3" xfId="14284" xr:uid="{E14319AD-B678-4555-8CC5-9502ECB2485B}"/>
    <cellStyle name="40% - Accent6 2 2 5 4" xfId="19347" xr:uid="{7649ADD7-6E36-4FFE-BCFA-6976C65BB984}"/>
    <cellStyle name="40% - Accent6 2 2 5 5" xfId="10066" xr:uid="{5AAA8955-CDFF-4698-BC46-7C730FC6D856}"/>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26122" xr:uid="{DBF8EFF4-2C93-41E2-89C6-09D910F74A23}"/>
    <cellStyle name="40% - Accent6 2 2 6 2 2 3" xfId="16842" xr:uid="{26BA0D5C-AC08-49B1-8718-CF055F47FF64}"/>
    <cellStyle name="40% - Accent6 2 2 6 2 3" xfId="21905" xr:uid="{4FA5AC11-10F5-4AE5-9805-31AB46E2764F}"/>
    <cellStyle name="40% - Accent6 2 2 6 2 4" xfId="12624" xr:uid="{A4DC7E1D-AAD4-4F9D-B1E2-81D4E9E1C10F}"/>
    <cellStyle name="40% - Accent6 2 2 6 3" xfId="6247" xr:uid="{00000000-0005-0000-0000-000007070000}"/>
    <cellStyle name="40% - Accent6 2 2 6 3 2" xfId="23977" xr:uid="{4A1FDD0C-77D0-42B4-8A56-4DA34D6A2BBC}"/>
    <cellStyle name="40% - Accent6 2 2 6 3 3" xfId="14697" xr:uid="{15EA375B-BBEF-4CBF-BF4D-769C72910122}"/>
    <cellStyle name="40% - Accent6 2 2 6 4" xfId="19760" xr:uid="{C1CBF38A-2D5F-4B6E-A1C9-1910A093CCD7}"/>
    <cellStyle name="40% - Accent6 2 2 6 5" xfId="10479" xr:uid="{73EE3D9B-02FA-4634-892E-9AF40B50C57A}"/>
    <cellStyle name="40% - Accent6 2 2 7" xfId="2354" xr:uid="{00000000-0005-0000-0000-000008070000}"/>
    <cellStyle name="40% - Accent6 2 2 7 2" xfId="6660" xr:uid="{00000000-0005-0000-0000-000009070000}"/>
    <cellStyle name="40% - Accent6 2 2 7 2 2" xfId="24390" xr:uid="{BC4EEC06-6914-49D8-BEAF-02F0ABCE1B7E}"/>
    <cellStyle name="40% - Accent6 2 2 7 2 3" xfId="15110" xr:uid="{A75F9322-DD62-452A-822B-02FA0D5412D2}"/>
    <cellStyle name="40% - Accent6 2 2 7 3" xfId="20173" xr:uid="{D029905B-80F0-4DD1-91FA-BA6BA189186F}"/>
    <cellStyle name="40% - Accent6 2 2 7 4" xfId="10892" xr:uid="{B7178E18-DD8B-4846-84EA-3A756D374C50}"/>
    <cellStyle name="40% - Accent6 2 2 8" xfId="4594" xr:uid="{00000000-0005-0000-0000-00000A070000}"/>
    <cellStyle name="40% - Accent6 2 2 8 2" xfId="22324" xr:uid="{24D5CDE2-C0D3-4604-AF11-E5FD34283634}"/>
    <cellStyle name="40% - Accent6 2 2 8 3" xfId="13044" xr:uid="{8DCABCB6-E45F-43F2-BE98-CB7799031B39}"/>
    <cellStyle name="40% - Accent6 2 2 9" xfId="18107" xr:uid="{A48EA865-B62D-4890-9B25-C933DA65EFFD}"/>
    <cellStyle name="40% - Accent6 2 3" xfId="93" xr:uid="{00000000-0005-0000-0000-00000B070000}"/>
    <cellStyle name="40% - Accent6 2 3 10" xfId="8828" xr:uid="{730BD80B-8238-4D30-BA51-64F88832615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24885" xr:uid="{DA0A4791-EDFC-461B-A59A-03B2CB348C62}"/>
    <cellStyle name="40% - Accent6 2 3 2 2 2 3" xfId="15605" xr:uid="{818EA5DD-1985-4C24-86A1-CFEFEC856BA2}"/>
    <cellStyle name="40% - Accent6 2 3 2 2 3" xfId="20668" xr:uid="{CD05A392-A385-4F5D-AB5F-8659789BB08F}"/>
    <cellStyle name="40% - Accent6 2 3 2 2 4" xfId="11387" xr:uid="{B36A3446-1B2B-40AD-81FA-0FA02161FCD0}"/>
    <cellStyle name="40% - Accent6 2 3 2 3" xfId="5010" xr:uid="{00000000-0005-0000-0000-00000F070000}"/>
    <cellStyle name="40% - Accent6 2 3 2 3 2" xfId="22740" xr:uid="{02CB8386-DD23-4F2C-8A29-19E205DFD1D5}"/>
    <cellStyle name="40% - Accent6 2 3 2 3 3" xfId="13460" xr:uid="{2F7C8E91-798C-474B-B148-663AB8D39980}"/>
    <cellStyle name="40% - Accent6 2 3 2 4" xfId="18523" xr:uid="{B42CEF97-90CE-4E08-A889-72DCA52F4D4D}"/>
    <cellStyle name="40% - Accent6 2 3 2 5" xfId="17693" xr:uid="{09F66DD1-79DD-4E25-8419-C3AC359A0524}"/>
    <cellStyle name="40% - Accent6 2 3 2 6" xfId="9242" xr:uid="{A15CF298-15EB-4579-B394-460F37585AEF}"/>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25298" xr:uid="{FB9D319C-5AEC-418E-9F93-6579F6DD8F7A}"/>
    <cellStyle name="40% - Accent6 2 3 3 2 2 3" xfId="16018" xr:uid="{084022ED-86A1-438B-BE1D-5466FCEF906C}"/>
    <cellStyle name="40% - Accent6 2 3 3 2 3" xfId="21081" xr:uid="{A420D43E-75B3-42BA-AEAC-C615FE0F5315}"/>
    <cellStyle name="40% - Accent6 2 3 3 2 4" xfId="11800" xr:uid="{3D7B340B-A1DA-4786-9710-5F287DA96EBF}"/>
    <cellStyle name="40% - Accent6 2 3 3 3" xfId="5423" xr:uid="{00000000-0005-0000-0000-000013070000}"/>
    <cellStyle name="40% - Accent6 2 3 3 3 2" xfId="23153" xr:uid="{AE96D762-E9AA-4EFC-9C56-96F640B5815B}"/>
    <cellStyle name="40% - Accent6 2 3 3 3 3" xfId="13873" xr:uid="{326B8CD4-CEE3-4138-984D-F0635AA438DF}"/>
    <cellStyle name="40% - Accent6 2 3 3 4" xfId="18936" xr:uid="{52DB963D-37DC-4FA2-882F-F5FAF0F7C0DC}"/>
    <cellStyle name="40% - Accent6 2 3 3 5" xfId="9655" xr:uid="{5B07D327-6FA8-4283-8749-E8036CABD31A}"/>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25711" xr:uid="{E8A9B685-A600-4A27-BD4A-1DF0C0D6A5DE}"/>
    <cellStyle name="40% - Accent6 2 3 4 2 2 3" xfId="16431" xr:uid="{EBD73028-7505-4ABD-96AF-018693A63A0A}"/>
    <cellStyle name="40% - Accent6 2 3 4 2 3" xfId="21494" xr:uid="{958D3C61-9BE6-482E-A35E-187E55B66054}"/>
    <cellStyle name="40% - Accent6 2 3 4 2 4" xfId="12213" xr:uid="{267041A7-CA8E-4EA7-8EC1-57C28D482B78}"/>
    <cellStyle name="40% - Accent6 2 3 4 3" xfId="5836" xr:uid="{00000000-0005-0000-0000-000017070000}"/>
    <cellStyle name="40% - Accent6 2 3 4 3 2" xfId="23566" xr:uid="{2E23ED29-ACE3-43E4-8A23-1C3061642A54}"/>
    <cellStyle name="40% - Accent6 2 3 4 3 3" xfId="14286" xr:uid="{4D7933AB-E040-4707-978D-A7017E61928D}"/>
    <cellStyle name="40% - Accent6 2 3 4 4" xfId="19349" xr:uid="{5A1F60DB-3F60-44C6-B2EA-D30C478DBF46}"/>
    <cellStyle name="40% - Accent6 2 3 4 5" xfId="10068" xr:uid="{FF297C90-6126-46CD-A17C-1F1D2CEFB283}"/>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26124" xr:uid="{D7DB6098-0D76-4E05-BFFA-042F8883858B}"/>
    <cellStyle name="40% - Accent6 2 3 5 2 2 3" xfId="16844" xr:uid="{9F6C83F0-108A-4C58-8D41-5A2CBA8F0B6C}"/>
    <cellStyle name="40% - Accent6 2 3 5 2 3" xfId="21907" xr:uid="{486A6FC8-15D2-4609-B2B7-F658EEA499E9}"/>
    <cellStyle name="40% - Accent6 2 3 5 2 4" xfId="12626" xr:uid="{F64CC2A0-14A5-4C3B-9E26-6BFC7DAF71FD}"/>
    <cellStyle name="40% - Accent6 2 3 5 3" xfId="6249" xr:uid="{00000000-0005-0000-0000-00001B070000}"/>
    <cellStyle name="40% - Accent6 2 3 5 3 2" xfId="23979" xr:uid="{7768C911-BED3-473A-A641-DCE996907BE7}"/>
    <cellStyle name="40% - Accent6 2 3 5 3 3" xfId="14699" xr:uid="{29750C41-19FE-423B-B8EE-897183EB1BB3}"/>
    <cellStyle name="40% - Accent6 2 3 5 4" xfId="19762" xr:uid="{D14D166E-EBD6-4C95-9129-48F7806BB000}"/>
    <cellStyle name="40% - Accent6 2 3 5 5" xfId="10481" xr:uid="{DCA5E884-802D-4064-8126-DA18418129DF}"/>
    <cellStyle name="40% - Accent6 2 3 6" xfId="2356" xr:uid="{00000000-0005-0000-0000-00001C070000}"/>
    <cellStyle name="40% - Accent6 2 3 6 2" xfId="6662" xr:uid="{00000000-0005-0000-0000-00001D070000}"/>
    <cellStyle name="40% - Accent6 2 3 6 2 2" xfId="24392" xr:uid="{53CF77B4-0C19-418F-AEA7-87F2F8CA3059}"/>
    <cellStyle name="40% - Accent6 2 3 6 2 3" xfId="15112" xr:uid="{97D0088E-0840-4D09-8855-20CC6C95F230}"/>
    <cellStyle name="40% - Accent6 2 3 6 3" xfId="20175" xr:uid="{F1CBFD87-B6A0-42AD-AB00-88CFC926E57C}"/>
    <cellStyle name="40% - Accent6 2 3 6 4" xfId="10894" xr:uid="{41B8CF5C-78B2-4E2C-8648-0C82A6DB05C6}"/>
    <cellStyle name="40% - Accent6 2 3 7" xfId="4596" xr:uid="{00000000-0005-0000-0000-00001E070000}"/>
    <cellStyle name="40% - Accent6 2 3 7 2" xfId="22326" xr:uid="{B8C439C6-C0C7-42D3-B818-03F68884AF13}"/>
    <cellStyle name="40% - Accent6 2 3 7 3" xfId="13046" xr:uid="{BF4F6F2C-F6B7-4B0D-9099-EF885861ECE5}"/>
    <cellStyle name="40% - Accent6 2 3 8" xfId="18109" xr:uid="{6E90B3CC-24A7-4E85-BA6E-1A6EF44997CB}"/>
    <cellStyle name="40% - Accent6 2 3 9" xfId="17276" xr:uid="{BF7A0EFD-2161-4FEE-9088-254E0DBB3073}"/>
    <cellStyle name="40% - Accent6 2 4" xfId="659" xr:uid="{00000000-0005-0000-0000-00001F070000}"/>
    <cellStyle name="40% - Accent6 2 4 2" xfId="2930" xr:uid="{00000000-0005-0000-0000-000020070000}"/>
    <cellStyle name="40% - Accent6 2 4 2 2" xfId="7152" xr:uid="{00000000-0005-0000-0000-000021070000}"/>
    <cellStyle name="40% - Accent6 2 4 2 2 2" xfId="24882" xr:uid="{C2FDEC81-3BC1-4B2A-9627-F8C46E20C426}"/>
    <cellStyle name="40% - Accent6 2 4 2 2 3" xfId="15602" xr:uid="{052465B9-15F3-4337-BCD5-496EC8B24A56}"/>
    <cellStyle name="40% - Accent6 2 4 2 3" xfId="20665" xr:uid="{E08541B3-F6F5-4AB5-8453-B56FF1394340}"/>
    <cellStyle name="40% - Accent6 2 4 2 4" xfId="11384" xr:uid="{2A40021B-60B6-405E-A559-31AA6C4CD2F9}"/>
    <cellStyle name="40% - Accent6 2 4 3" xfId="5007" xr:uid="{00000000-0005-0000-0000-000022070000}"/>
    <cellStyle name="40% - Accent6 2 4 3 2" xfId="22737" xr:uid="{06FFED8D-387D-4F92-8676-E74EBABA80DA}"/>
    <cellStyle name="40% - Accent6 2 4 3 3" xfId="13457" xr:uid="{7D649054-BA9E-461D-A56E-10F5D1641E55}"/>
    <cellStyle name="40% - Accent6 2 4 4" xfId="18520" xr:uid="{0D72E9C0-0014-4E99-93B2-0DAEE7F9BADB}"/>
    <cellStyle name="40% - Accent6 2 4 5" xfId="17690" xr:uid="{E9B1C861-4A8E-4D3B-A238-633EE2FF1031}"/>
    <cellStyle name="40% - Accent6 2 4 6" xfId="9239" xr:uid="{FCFCEBA2-B122-4439-94B8-DB4D1E30E0C1}"/>
    <cellStyle name="40% - Accent6 2 5" xfId="1112" xr:uid="{00000000-0005-0000-0000-000023070000}"/>
    <cellStyle name="40% - Accent6 2 5 2" xfId="3343" xr:uid="{00000000-0005-0000-0000-000024070000}"/>
    <cellStyle name="40% - Accent6 2 5 2 2" xfId="7565" xr:uid="{00000000-0005-0000-0000-000025070000}"/>
    <cellStyle name="40% - Accent6 2 5 2 2 2" xfId="25295" xr:uid="{1820FCDB-AB0C-4C75-B3B4-8D16E44C7E91}"/>
    <cellStyle name="40% - Accent6 2 5 2 2 3" xfId="16015" xr:uid="{F4D9E27B-DDAB-4C6D-840E-23B6A6A66C69}"/>
    <cellStyle name="40% - Accent6 2 5 2 3" xfId="21078" xr:uid="{999A0614-188B-4839-816D-136DD9C8F0DA}"/>
    <cellStyle name="40% - Accent6 2 5 2 4" xfId="11797" xr:uid="{742085B2-6104-40FB-B5EB-7475FE0A0208}"/>
    <cellStyle name="40% - Accent6 2 5 3" xfId="5420" xr:uid="{00000000-0005-0000-0000-000026070000}"/>
    <cellStyle name="40% - Accent6 2 5 3 2" xfId="23150" xr:uid="{110C2648-1ACB-41D8-B004-C29A3979BCFA}"/>
    <cellStyle name="40% - Accent6 2 5 3 3" xfId="13870" xr:uid="{10BEAD44-C760-4BDD-8B49-8EF69C35A5F6}"/>
    <cellStyle name="40% - Accent6 2 5 4" xfId="18933" xr:uid="{F685815F-24FC-45DA-82ED-26C7C222FC32}"/>
    <cellStyle name="40% - Accent6 2 5 5" xfId="9652" xr:uid="{55C08A52-0DA7-4358-8A3F-5D49781CB9DE}"/>
    <cellStyle name="40% - Accent6 2 6" xfId="1526" xr:uid="{00000000-0005-0000-0000-000027070000}"/>
    <cellStyle name="40% - Accent6 2 6 2" xfId="3756" xr:uid="{00000000-0005-0000-0000-000028070000}"/>
    <cellStyle name="40% - Accent6 2 6 2 2" xfId="7978" xr:uid="{00000000-0005-0000-0000-000029070000}"/>
    <cellStyle name="40% - Accent6 2 6 2 2 2" xfId="25708" xr:uid="{483F4C50-B1DE-41E7-B3FD-B79DB19654BD}"/>
    <cellStyle name="40% - Accent6 2 6 2 2 3" xfId="16428" xr:uid="{A2E9289C-5D22-465B-89EF-3359F9BF037B}"/>
    <cellStyle name="40% - Accent6 2 6 2 3" xfId="21491" xr:uid="{3BEA436B-D0A7-4E57-879F-FB2A8A4688FA}"/>
    <cellStyle name="40% - Accent6 2 6 2 4" xfId="12210" xr:uid="{A42DC740-DE39-4697-AF84-8EC616416B30}"/>
    <cellStyle name="40% - Accent6 2 6 3" xfId="5833" xr:uid="{00000000-0005-0000-0000-00002A070000}"/>
    <cellStyle name="40% - Accent6 2 6 3 2" xfId="23563" xr:uid="{AE918A3E-2568-4F06-B2A0-606E34722134}"/>
    <cellStyle name="40% - Accent6 2 6 3 3" xfId="14283" xr:uid="{2A3A27E5-2821-47C8-AD4F-0AE4ED833819}"/>
    <cellStyle name="40% - Accent6 2 6 4" xfId="19346" xr:uid="{7E0B9697-C54E-47C7-A36F-A779327300D5}"/>
    <cellStyle name="40% - Accent6 2 6 5" xfId="10065" xr:uid="{889CA4F4-FC3F-4AD2-89F4-100661BE4424}"/>
    <cellStyle name="40% - Accent6 2 7" xfId="1940" xr:uid="{00000000-0005-0000-0000-00002B070000}"/>
    <cellStyle name="40% - Accent6 2 7 2" xfId="4169" xr:uid="{00000000-0005-0000-0000-00002C070000}"/>
    <cellStyle name="40% - Accent6 2 7 2 2" xfId="8391" xr:uid="{00000000-0005-0000-0000-00002D070000}"/>
    <cellStyle name="40% - Accent6 2 7 2 2 2" xfId="26121" xr:uid="{F29F67ED-86E2-4087-97E2-5752DAFE33E5}"/>
    <cellStyle name="40% - Accent6 2 7 2 2 3" xfId="16841" xr:uid="{B454702F-E344-40F2-A07E-0498475A7C9C}"/>
    <cellStyle name="40% - Accent6 2 7 2 3" xfId="21904" xr:uid="{DE98DB23-D151-4A20-8DDD-12886C2DDD37}"/>
    <cellStyle name="40% - Accent6 2 7 2 4" xfId="12623" xr:uid="{B4E7A241-1D52-4E84-AD18-3FBEFA087AA1}"/>
    <cellStyle name="40% - Accent6 2 7 3" xfId="6246" xr:uid="{00000000-0005-0000-0000-00002E070000}"/>
    <cellStyle name="40% - Accent6 2 7 3 2" xfId="23976" xr:uid="{10410141-AABB-4284-9B9C-96F32834E5D3}"/>
    <cellStyle name="40% - Accent6 2 7 3 3" xfId="14696" xr:uid="{842F9EC2-AF48-4187-9F82-49EDE073DDA3}"/>
    <cellStyle name="40% - Accent6 2 7 4" xfId="19759" xr:uid="{14603173-77D5-43FA-8AC8-E4198224EDFB}"/>
    <cellStyle name="40% - Accent6 2 7 5" xfId="10478" xr:uid="{380B9CC2-2720-4F29-9803-9DA2F4EBA875}"/>
    <cellStyle name="40% - Accent6 2 8" xfId="2353" xr:uid="{00000000-0005-0000-0000-00002F070000}"/>
    <cellStyle name="40% - Accent6 2 8 2" xfId="6659" xr:uid="{00000000-0005-0000-0000-000030070000}"/>
    <cellStyle name="40% - Accent6 2 8 2 2" xfId="24389" xr:uid="{B0D6E73A-F243-44C7-A4B7-382E9A58EFA9}"/>
    <cellStyle name="40% - Accent6 2 8 2 3" xfId="15109" xr:uid="{361741A5-ED13-4311-828B-B4E0918765D2}"/>
    <cellStyle name="40% - Accent6 2 8 3" xfId="20172" xr:uid="{0A6A2D05-212D-4ACB-8E5D-FACAE185C14F}"/>
    <cellStyle name="40% - Accent6 2 8 4" xfId="10891" xr:uid="{FCA9D98A-90D8-4946-A8F0-022139054BD0}"/>
    <cellStyle name="40% - Accent6 2 9" xfId="4593" xr:uid="{00000000-0005-0000-0000-000031070000}"/>
    <cellStyle name="40% - Accent6 2 9 2" xfId="22323" xr:uid="{F8B1FEA7-1E98-4A17-83A3-124218CE0B3D}"/>
    <cellStyle name="40% - Accent6 2 9 3" xfId="13043" xr:uid="{CC54A0AD-FE48-428C-BFF0-67218011F4DB}"/>
    <cellStyle name="40% - Accent6 3" xfId="94" xr:uid="{00000000-0005-0000-0000-000032070000}"/>
    <cellStyle name="40% - Accent6 3 10" xfId="17277" xr:uid="{9FE8293A-E421-429A-A8E8-4F45B4479AFB}"/>
    <cellStyle name="40% - Accent6 3 11" xfId="8829" xr:uid="{F0BA6165-B888-4804-BC18-CA7390955E14}"/>
    <cellStyle name="40% - Accent6 3 2" xfId="95" xr:uid="{00000000-0005-0000-0000-000033070000}"/>
    <cellStyle name="40% - Accent6 3 2 10" xfId="8830" xr:uid="{154B5A7D-2F6E-4109-8B77-DD4916D29419}"/>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24887" xr:uid="{262D84A7-38CD-4771-99E9-278AC6C60503}"/>
    <cellStyle name="40% - Accent6 3 2 2 2 2 3" xfId="15607" xr:uid="{B51A4112-7DDB-4F68-AB84-4C9781041B89}"/>
    <cellStyle name="40% - Accent6 3 2 2 2 3" xfId="20670" xr:uid="{53828020-072F-4627-86B2-DF13328308D2}"/>
    <cellStyle name="40% - Accent6 3 2 2 2 4" xfId="11389" xr:uid="{6661873C-5276-41D3-827C-3D0653D32AE7}"/>
    <cellStyle name="40% - Accent6 3 2 2 3" xfId="5012" xr:uid="{00000000-0005-0000-0000-000037070000}"/>
    <cellStyle name="40% - Accent6 3 2 2 3 2" xfId="22742" xr:uid="{D21D98B1-69AE-402C-A21A-4D00D830A28A}"/>
    <cellStyle name="40% - Accent6 3 2 2 3 3" xfId="13462" xr:uid="{C10642B9-143A-47C0-877A-CC6CC078F350}"/>
    <cellStyle name="40% - Accent6 3 2 2 4" xfId="18525" xr:uid="{6E98F032-A178-42DE-9755-E38E21ED9F2D}"/>
    <cellStyle name="40% - Accent6 3 2 2 5" xfId="17695" xr:uid="{0966243A-D4AA-400B-8D49-9E849F003DE6}"/>
    <cellStyle name="40% - Accent6 3 2 2 6" xfId="9244" xr:uid="{F07B2BED-FEEE-4E01-AA1A-5DD1600759F2}"/>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25300" xr:uid="{CA888F21-C955-42A3-A279-1F2D14339200}"/>
    <cellStyle name="40% - Accent6 3 2 3 2 2 3" xfId="16020" xr:uid="{045AD04C-E4D1-47C6-BF6D-437314E6AC7D}"/>
    <cellStyle name="40% - Accent6 3 2 3 2 3" xfId="21083" xr:uid="{E6D7AFEE-DBD4-42B3-9276-1C2ABEB35671}"/>
    <cellStyle name="40% - Accent6 3 2 3 2 4" xfId="11802" xr:uid="{90B75D87-C52E-4558-96EF-7DDA9CEB4311}"/>
    <cellStyle name="40% - Accent6 3 2 3 3" xfId="5425" xr:uid="{00000000-0005-0000-0000-00003B070000}"/>
    <cellStyle name="40% - Accent6 3 2 3 3 2" xfId="23155" xr:uid="{755BB39E-EF84-4E01-AB7C-C60F62045059}"/>
    <cellStyle name="40% - Accent6 3 2 3 3 3" xfId="13875" xr:uid="{CE98DFF3-9DBF-4201-B6F8-D979DADB98B2}"/>
    <cellStyle name="40% - Accent6 3 2 3 4" xfId="18938" xr:uid="{BFC7923F-19A3-44B1-893B-04BE7F02E84B}"/>
    <cellStyle name="40% - Accent6 3 2 3 5" xfId="9657" xr:uid="{7034316E-11A3-49DE-A1FE-0958AECF193E}"/>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25713" xr:uid="{0BECCEDC-F25F-47A4-A33C-F48C00DC6ECB}"/>
    <cellStyle name="40% - Accent6 3 2 4 2 2 3" xfId="16433" xr:uid="{D4C5843C-2F92-4D83-9D73-A31B23F2C090}"/>
    <cellStyle name="40% - Accent6 3 2 4 2 3" xfId="21496" xr:uid="{AE109004-51BA-4156-A646-070396C96F98}"/>
    <cellStyle name="40% - Accent6 3 2 4 2 4" xfId="12215" xr:uid="{79330EE7-2989-4032-9F12-8BBF00B8900A}"/>
    <cellStyle name="40% - Accent6 3 2 4 3" xfId="5838" xr:uid="{00000000-0005-0000-0000-00003F070000}"/>
    <cellStyle name="40% - Accent6 3 2 4 3 2" xfId="23568" xr:uid="{37F0AB32-16CB-480F-AFB6-1123F51FE0A2}"/>
    <cellStyle name="40% - Accent6 3 2 4 3 3" xfId="14288" xr:uid="{B1BF616B-E1B8-4647-ABCC-366D4FAC3D74}"/>
    <cellStyle name="40% - Accent6 3 2 4 4" xfId="19351" xr:uid="{67BA6D38-9CF4-4447-AB39-47F94FDF1FEE}"/>
    <cellStyle name="40% - Accent6 3 2 4 5" xfId="10070" xr:uid="{6BE2BD3A-0C73-45D3-B063-E5027416C9F7}"/>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26126" xr:uid="{CB2A762B-4DC2-481E-840F-A4C8C8091EE8}"/>
    <cellStyle name="40% - Accent6 3 2 5 2 2 3" xfId="16846" xr:uid="{22D4DDDB-1ED9-4926-A0A7-25362378FDF5}"/>
    <cellStyle name="40% - Accent6 3 2 5 2 3" xfId="21909" xr:uid="{109A62B0-EFD3-454A-9074-CBE4E8276D52}"/>
    <cellStyle name="40% - Accent6 3 2 5 2 4" xfId="12628" xr:uid="{98C73B01-9459-48A8-BCEE-649A2DFE3967}"/>
    <cellStyle name="40% - Accent6 3 2 5 3" xfId="6251" xr:uid="{00000000-0005-0000-0000-000043070000}"/>
    <cellStyle name="40% - Accent6 3 2 5 3 2" xfId="23981" xr:uid="{0E34E1FB-DB79-424E-8C4F-2EFE0E134344}"/>
    <cellStyle name="40% - Accent6 3 2 5 3 3" xfId="14701" xr:uid="{C5ECC82F-CE4D-4A5D-BB22-1991CAA9E1CB}"/>
    <cellStyle name="40% - Accent6 3 2 5 4" xfId="19764" xr:uid="{CE582D3C-107B-4F78-BA5D-C32DC577D68B}"/>
    <cellStyle name="40% - Accent6 3 2 5 5" xfId="10483" xr:uid="{ED5BEFC0-BD59-4A4F-86CA-3894D7244250}"/>
    <cellStyle name="40% - Accent6 3 2 6" xfId="2358" xr:uid="{00000000-0005-0000-0000-000044070000}"/>
    <cellStyle name="40% - Accent6 3 2 6 2" xfId="6664" xr:uid="{00000000-0005-0000-0000-000045070000}"/>
    <cellStyle name="40% - Accent6 3 2 6 2 2" xfId="24394" xr:uid="{9E7E8353-2373-4A29-8AD4-20CE629C0D38}"/>
    <cellStyle name="40% - Accent6 3 2 6 2 3" xfId="15114" xr:uid="{A4ECED80-B95E-4DA6-B173-AC7D811920EE}"/>
    <cellStyle name="40% - Accent6 3 2 6 3" xfId="20177" xr:uid="{1319BC84-FC70-4464-B14B-3B5C6C9BE55C}"/>
    <cellStyle name="40% - Accent6 3 2 6 4" xfId="10896" xr:uid="{76C3F5B4-9FF6-4BBC-AAD7-B62632C5CA7D}"/>
    <cellStyle name="40% - Accent6 3 2 7" xfId="4598" xr:uid="{00000000-0005-0000-0000-000046070000}"/>
    <cellStyle name="40% - Accent6 3 2 7 2" xfId="22328" xr:uid="{B0BFD99D-347A-433E-A9F8-F17332773DB9}"/>
    <cellStyle name="40% - Accent6 3 2 7 3" xfId="13048" xr:uid="{51B0CD29-5D5D-4411-9855-AFB8BD9E7205}"/>
    <cellStyle name="40% - Accent6 3 2 8" xfId="18111" xr:uid="{1C239BE4-DC15-4CED-9BA7-85B4C4918EFD}"/>
    <cellStyle name="40% - Accent6 3 2 9" xfId="17278" xr:uid="{6FEDC9CC-1748-4E7D-8F03-E11426E9DEE4}"/>
    <cellStyle name="40% - Accent6 3 3" xfId="663" xr:uid="{00000000-0005-0000-0000-000047070000}"/>
    <cellStyle name="40% - Accent6 3 3 2" xfId="2934" xr:uid="{00000000-0005-0000-0000-000048070000}"/>
    <cellStyle name="40% - Accent6 3 3 2 2" xfId="7156" xr:uid="{00000000-0005-0000-0000-000049070000}"/>
    <cellStyle name="40% - Accent6 3 3 2 2 2" xfId="24886" xr:uid="{44212384-118C-4BF1-ADB8-C16FD2F7A27C}"/>
    <cellStyle name="40% - Accent6 3 3 2 2 3" xfId="15606" xr:uid="{49CDAFC0-23C5-490E-9EE4-610DAFF49C38}"/>
    <cellStyle name="40% - Accent6 3 3 2 3" xfId="20669" xr:uid="{DB8406A9-9B61-491C-AB8A-8D4935CEDAAE}"/>
    <cellStyle name="40% - Accent6 3 3 2 4" xfId="11388" xr:uid="{4E55DBC9-36DD-4B4E-BA76-5E3F655C693A}"/>
    <cellStyle name="40% - Accent6 3 3 3" xfId="5011" xr:uid="{00000000-0005-0000-0000-00004A070000}"/>
    <cellStyle name="40% - Accent6 3 3 3 2" xfId="22741" xr:uid="{55753A6B-F9B8-46EA-ABCF-3E918B72D560}"/>
    <cellStyle name="40% - Accent6 3 3 3 3" xfId="13461" xr:uid="{6870772F-44D5-4126-B196-69EE83DA7C58}"/>
    <cellStyle name="40% - Accent6 3 3 4" xfId="18524" xr:uid="{1DA5C5F3-8830-4737-9CA8-BC6F34C48492}"/>
    <cellStyle name="40% - Accent6 3 3 5" xfId="17694" xr:uid="{60DE3D65-B202-405B-8007-32C7E8614875}"/>
    <cellStyle name="40% - Accent6 3 3 6" xfId="9243" xr:uid="{2E0911C7-7A6B-4F8C-BD29-BCC85E15BF81}"/>
    <cellStyle name="40% - Accent6 3 4" xfId="1116" xr:uid="{00000000-0005-0000-0000-00004B070000}"/>
    <cellStyle name="40% - Accent6 3 4 2" xfId="3347" xr:uid="{00000000-0005-0000-0000-00004C070000}"/>
    <cellStyle name="40% - Accent6 3 4 2 2" xfId="7569" xr:uid="{00000000-0005-0000-0000-00004D070000}"/>
    <cellStyle name="40% - Accent6 3 4 2 2 2" xfId="25299" xr:uid="{DDB2A115-C6EB-43B4-BC69-8D0349FB8881}"/>
    <cellStyle name="40% - Accent6 3 4 2 2 3" xfId="16019" xr:uid="{2355B8A1-AC28-4F2F-A70D-547E4E91D902}"/>
    <cellStyle name="40% - Accent6 3 4 2 3" xfId="21082" xr:uid="{D4718C18-A301-4161-9909-8151AF2216E6}"/>
    <cellStyle name="40% - Accent6 3 4 2 4" xfId="11801" xr:uid="{72E09B8E-AF0E-40B0-A1B8-99DEBCAE0B82}"/>
    <cellStyle name="40% - Accent6 3 4 3" xfId="5424" xr:uid="{00000000-0005-0000-0000-00004E070000}"/>
    <cellStyle name="40% - Accent6 3 4 3 2" xfId="23154" xr:uid="{C87D20D6-0F54-45CC-A8C7-6337427B14B2}"/>
    <cellStyle name="40% - Accent6 3 4 3 3" xfId="13874" xr:uid="{4E914FCD-A2CE-4C21-A7DB-639C5A4D8142}"/>
    <cellStyle name="40% - Accent6 3 4 4" xfId="18937" xr:uid="{BD687086-E485-4B2D-A331-92C0371CA152}"/>
    <cellStyle name="40% - Accent6 3 4 5" xfId="9656" xr:uid="{15FC286C-A824-4D18-9816-074CFA5751C6}"/>
    <cellStyle name="40% - Accent6 3 5" xfId="1530" xr:uid="{00000000-0005-0000-0000-00004F070000}"/>
    <cellStyle name="40% - Accent6 3 5 2" xfId="3760" xr:uid="{00000000-0005-0000-0000-000050070000}"/>
    <cellStyle name="40% - Accent6 3 5 2 2" xfId="7982" xr:uid="{00000000-0005-0000-0000-000051070000}"/>
    <cellStyle name="40% - Accent6 3 5 2 2 2" xfId="25712" xr:uid="{215F0AA0-BE85-4BB7-83E0-232CEFF41693}"/>
    <cellStyle name="40% - Accent6 3 5 2 2 3" xfId="16432" xr:uid="{316D1385-E236-47B9-BD6A-E30ABF352126}"/>
    <cellStyle name="40% - Accent6 3 5 2 3" xfId="21495" xr:uid="{00C96396-4175-40AC-B927-1B17F79A6EB6}"/>
    <cellStyle name="40% - Accent6 3 5 2 4" xfId="12214" xr:uid="{7B87762E-23D6-48E0-9F1E-CA781ABF87FA}"/>
    <cellStyle name="40% - Accent6 3 5 3" xfId="5837" xr:uid="{00000000-0005-0000-0000-000052070000}"/>
    <cellStyle name="40% - Accent6 3 5 3 2" xfId="23567" xr:uid="{E03A4645-F354-4567-8159-87BE084FD79A}"/>
    <cellStyle name="40% - Accent6 3 5 3 3" xfId="14287" xr:uid="{5DA851E2-68FB-4141-824A-F5CCF116F482}"/>
    <cellStyle name="40% - Accent6 3 5 4" xfId="19350" xr:uid="{E65C5E12-26AA-4B73-BA33-DA4763B09956}"/>
    <cellStyle name="40% - Accent6 3 5 5" xfId="10069" xr:uid="{E586511A-1158-4D5D-8448-76A33DED1A32}"/>
    <cellStyle name="40% - Accent6 3 6" xfId="1944" xr:uid="{00000000-0005-0000-0000-000053070000}"/>
    <cellStyle name="40% - Accent6 3 6 2" xfId="4173" xr:uid="{00000000-0005-0000-0000-000054070000}"/>
    <cellStyle name="40% - Accent6 3 6 2 2" xfId="8395" xr:uid="{00000000-0005-0000-0000-000055070000}"/>
    <cellStyle name="40% - Accent6 3 6 2 2 2" xfId="26125" xr:uid="{10F82A6F-D5B3-4DCA-BCCD-B007A24E98DD}"/>
    <cellStyle name="40% - Accent6 3 6 2 2 3" xfId="16845" xr:uid="{A068B509-7A9F-4E2D-89CF-EC8B3B1E8DC3}"/>
    <cellStyle name="40% - Accent6 3 6 2 3" xfId="21908" xr:uid="{CCF24F52-0ECD-412B-8779-05C0FFC13770}"/>
    <cellStyle name="40% - Accent6 3 6 2 4" xfId="12627" xr:uid="{2AB2F53E-2224-4CAA-964E-87DF36DFD380}"/>
    <cellStyle name="40% - Accent6 3 6 3" xfId="6250" xr:uid="{00000000-0005-0000-0000-000056070000}"/>
    <cellStyle name="40% - Accent6 3 6 3 2" xfId="23980" xr:uid="{D3F44FF8-4447-402F-871A-D1B13BAF4F52}"/>
    <cellStyle name="40% - Accent6 3 6 3 3" xfId="14700" xr:uid="{741D1D49-BD7C-4028-A075-DDCAAEF95ACD}"/>
    <cellStyle name="40% - Accent6 3 6 4" xfId="19763" xr:uid="{770C74E4-C908-400B-9D19-3353E5373A97}"/>
    <cellStyle name="40% - Accent6 3 6 5" xfId="10482" xr:uid="{0BD874B3-76E1-41AF-835D-C993F513FEE7}"/>
    <cellStyle name="40% - Accent6 3 7" xfId="2357" xr:uid="{00000000-0005-0000-0000-000057070000}"/>
    <cellStyle name="40% - Accent6 3 7 2" xfId="6663" xr:uid="{00000000-0005-0000-0000-000058070000}"/>
    <cellStyle name="40% - Accent6 3 7 2 2" xfId="24393" xr:uid="{F1AE97F7-1E37-4F22-8BF3-05BDB07EC14B}"/>
    <cellStyle name="40% - Accent6 3 7 2 3" xfId="15113" xr:uid="{15CECCDE-ABF1-49DD-8C8B-4ADA59EEAFBB}"/>
    <cellStyle name="40% - Accent6 3 7 3" xfId="20176" xr:uid="{65BFEE5E-ECA8-40B0-A337-578DC125DE75}"/>
    <cellStyle name="40% - Accent6 3 7 4" xfId="10895" xr:uid="{360C2113-E7E7-4C92-A76C-0E6FFEC9050F}"/>
    <cellStyle name="40% - Accent6 3 8" xfId="4597" xr:uid="{00000000-0005-0000-0000-000059070000}"/>
    <cellStyle name="40% - Accent6 3 8 2" xfId="22327" xr:uid="{F93387ED-B7EA-45FE-8E2F-AE9D94D035C7}"/>
    <cellStyle name="40% - Accent6 3 8 3" xfId="13047" xr:uid="{7E28CA2E-B9AD-43F3-82BF-12C851A37C9A}"/>
    <cellStyle name="40% - Accent6 3 9" xfId="18110" xr:uid="{CD1BCBF2-CCC5-4118-AE14-BA18A9B6D264}"/>
    <cellStyle name="40% - Accent6 4" xfId="96" xr:uid="{00000000-0005-0000-0000-00005A070000}"/>
    <cellStyle name="40% - Accent6 4 10" xfId="8831" xr:uid="{46D52891-3FEB-48FA-B8AE-73333D2118C6}"/>
    <cellStyle name="40% - Accent6 4 2" xfId="665" xr:uid="{00000000-0005-0000-0000-00005B070000}"/>
    <cellStyle name="40% - Accent6 4 2 2" xfId="2936" xr:uid="{00000000-0005-0000-0000-00005C070000}"/>
    <cellStyle name="40% - Accent6 4 2 2 2" xfId="7158" xr:uid="{00000000-0005-0000-0000-00005D070000}"/>
    <cellStyle name="40% - Accent6 4 2 2 2 2" xfId="24888" xr:uid="{7B3880FD-CFDF-499B-AB73-91A89EB67E34}"/>
    <cellStyle name="40% - Accent6 4 2 2 2 3" xfId="15608" xr:uid="{49ECC404-F31E-44D6-BBBB-3F695DFAADE6}"/>
    <cellStyle name="40% - Accent6 4 2 2 3" xfId="20671" xr:uid="{F363456A-0D05-425F-AF6B-44647C959982}"/>
    <cellStyle name="40% - Accent6 4 2 2 4" xfId="11390" xr:uid="{80FDE996-71EE-48A1-8E2F-04983406CA49}"/>
    <cellStyle name="40% - Accent6 4 2 3" xfId="5013" xr:uid="{00000000-0005-0000-0000-00005E070000}"/>
    <cellStyle name="40% - Accent6 4 2 3 2" xfId="22743" xr:uid="{11AF91D7-6869-4136-BFD4-89ECC9C18A89}"/>
    <cellStyle name="40% - Accent6 4 2 3 3" xfId="13463" xr:uid="{D66EA96A-D57B-4077-8D48-93B3C62789B5}"/>
    <cellStyle name="40% - Accent6 4 2 4" xfId="18526" xr:uid="{D0C9196E-B830-469A-A07B-C86136E1A596}"/>
    <cellStyle name="40% - Accent6 4 2 5" xfId="17696" xr:uid="{8243DA8C-10DE-45C4-AEB8-02E1DC27DA0E}"/>
    <cellStyle name="40% - Accent6 4 2 6" xfId="9245" xr:uid="{71F501FE-6F7D-42F6-AFF2-EE59983CFB85}"/>
    <cellStyle name="40% - Accent6 4 3" xfId="1118" xr:uid="{00000000-0005-0000-0000-00005F070000}"/>
    <cellStyle name="40% - Accent6 4 3 2" xfId="3349" xr:uid="{00000000-0005-0000-0000-000060070000}"/>
    <cellStyle name="40% - Accent6 4 3 2 2" xfId="7571" xr:uid="{00000000-0005-0000-0000-000061070000}"/>
    <cellStyle name="40% - Accent6 4 3 2 2 2" xfId="25301" xr:uid="{DC945C54-E588-4242-9852-EFCDB22FEF7F}"/>
    <cellStyle name="40% - Accent6 4 3 2 2 3" xfId="16021" xr:uid="{35EAADDA-E7BF-4706-AD35-3D51E65EA7B1}"/>
    <cellStyle name="40% - Accent6 4 3 2 3" xfId="21084" xr:uid="{DD7E3F8F-E17B-4B09-ADD9-6636B55019C9}"/>
    <cellStyle name="40% - Accent6 4 3 2 4" xfId="11803" xr:uid="{3BE6FCC4-F029-4841-A356-104B3AE4313C}"/>
    <cellStyle name="40% - Accent6 4 3 3" xfId="5426" xr:uid="{00000000-0005-0000-0000-000062070000}"/>
    <cellStyle name="40% - Accent6 4 3 3 2" xfId="23156" xr:uid="{07E71CE6-EDE6-40EF-AF2F-431F4D645BF4}"/>
    <cellStyle name="40% - Accent6 4 3 3 3" xfId="13876" xr:uid="{490693A9-B0E2-40D3-9CF7-6D710D309DF9}"/>
    <cellStyle name="40% - Accent6 4 3 4" xfId="18939" xr:uid="{83C504B5-EC26-4850-ABFF-5052E18F00CD}"/>
    <cellStyle name="40% - Accent6 4 3 5" xfId="9658" xr:uid="{C2F39098-EF3F-4825-A92E-CFC18EA9EBC7}"/>
    <cellStyle name="40% - Accent6 4 4" xfId="1532" xr:uid="{00000000-0005-0000-0000-000063070000}"/>
    <cellStyle name="40% - Accent6 4 4 2" xfId="3762" xr:uid="{00000000-0005-0000-0000-000064070000}"/>
    <cellStyle name="40% - Accent6 4 4 2 2" xfId="7984" xr:uid="{00000000-0005-0000-0000-000065070000}"/>
    <cellStyle name="40% - Accent6 4 4 2 2 2" xfId="25714" xr:uid="{F62F61A5-C654-40C0-B444-8992C5422211}"/>
    <cellStyle name="40% - Accent6 4 4 2 2 3" xfId="16434" xr:uid="{2C4222FC-60DF-4855-9798-F222EFB7834B}"/>
    <cellStyle name="40% - Accent6 4 4 2 3" xfId="21497" xr:uid="{887CA172-82EB-4A3C-B2D6-FE9E180A3108}"/>
    <cellStyle name="40% - Accent6 4 4 2 4" xfId="12216" xr:uid="{56EB0CF2-42C6-4B3A-9B43-A3B30793BFDD}"/>
    <cellStyle name="40% - Accent6 4 4 3" xfId="5839" xr:uid="{00000000-0005-0000-0000-000066070000}"/>
    <cellStyle name="40% - Accent6 4 4 3 2" xfId="23569" xr:uid="{07453632-0C64-413A-B61D-372FBA354D37}"/>
    <cellStyle name="40% - Accent6 4 4 3 3" xfId="14289" xr:uid="{7F763DA5-E552-4D93-AA23-31A3ABBD04C2}"/>
    <cellStyle name="40% - Accent6 4 4 4" xfId="19352" xr:uid="{04192C05-4C97-4520-B833-FF0B320AA8DA}"/>
    <cellStyle name="40% - Accent6 4 4 5" xfId="10071" xr:uid="{A60D7CDB-42C7-4401-B4BF-B25903DE4A88}"/>
    <cellStyle name="40% - Accent6 4 5" xfId="1946" xr:uid="{00000000-0005-0000-0000-000067070000}"/>
    <cellStyle name="40% - Accent6 4 5 2" xfId="4175" xr:uid="{00000000-0005-0000-0000-000068070000}"/>
    <cellStyle name="40% - Accent6 4 5 2 2" xfId="8397" xr:uid="{00000000-0005-0000-0000-000069070000}"/>
    <cellStyle name="40% - Accent6 4 5 2 2 2" xfId="26127" xr:uid="{6998085C-E72D-4BA2-A732-DC5E530457E4}"/>
    <cellStyle name="40% - Accent6 4 5 2 2 3" xfId="16847" xr:uid="{A850CC9E-272E-40F8-A433-CB6668BA2DCE}"/>
    <cellStyle name="40% - Accent6 4 5 2 3" xfId="21910" xr:uid="{EACD458A-A650-407C-920C-184561517DE8}"/>
    <cellStyle name="40% - Accent6 4 5 2 4" xfId="12629" xr:uid="{B4DF997E-613D-4236-B133-5E0374EDBAD5}"/>
    <cellStyle name="40% - Accent6 4 5 3" xfId="6252" xr:uid="{00000000-0005-0000-0000-00006A070000}"/>
    <cellStyle name="40% - Accent6 4 5 3 2" xfId="23982" xr:uid="{71D28D29-5932-47F3-95AA-7751AA5A3DB9}"/>
    <cellStyle name="40% - Accent6 4 5 3 3" xfId="14702" xr:uid="{A993B4CD-C18C-4A59-B57B-E9AEA26F4BB2}"/>
    <cellStyle name="40% - Accent6 4 5 4" xfId="19765" xr:uid="{164991A9-7E65-48AD-B2DA-92756FDBB15A}"/>
    <cellStyle name="40% - Accent6 4 5 5" xfId="10484" xr:uid="{03D6B6C9-3519-42F4-9B25-9CB9CDED9844}"/>
    <cellStyle name="40% - Accent6 4 6" xfId="2359" xr:uid="{00000000-0005-0000-0000-00006B070000}"/>
    <cellStyle name="40% - Accent6 4 6 2" xfId="6665" xr:uid="{00000000-0005-0000-0000-00006C070000}"/>
    <cellStyle name="40% - Accent6 4 6 2 2" xfId="24395" xr:uid="{5285A1F8-4F4D-4AD2-98E8-A9164AEAF292}"/>
    <cellStyle name="40% - Accent6 4 6 2 3" xfId="15115" xr:uid="{C0F37F0A-6E54-44D4-8FA0-A51902AB07F7}"/>
    <cellStyle name="40% - Accent6 4 6 3" xfId="20178" xr:uid="{430DC465-ECDD-481A-9D21-1A083669F91D}"/>
    <cellStyle name="40% - Accent6 4 6 4" xfId="10897" xr:uid="{B8F4AA1C-E688-41DD-86EE-729CC6F15CD5}"/>
    <cellStyle name="40% - Accent6 4 7" xfId="4599" xr:uid="{00000000-0005-0000-0000-00006D070000}"/>
    <cellStyle name="40% - Accent6 4 7 2" xfId="22329" xr:uid="{0DBBE6E8-C479-412F-85A6-A582FF3C700C}"/>
    <cellStyle name="40% - Accent6 4 7 3" xfId="13049" xr:uid="{D7449EB9-EBCE-44A3-9631-E9837BCCBCA3}"/>
    <cellStyle name="40% - Accent6 4 8" xfId="18112" xr:uid="{658BA349-279E-4B40-B6BE-8868A0C511E1}"/>
    <cellStyle name="40% - Accent6 4 9" xfId="17279" xr:uid="{9511E86E-BDD6-4C79-BAC6-0473E14EA098}"/>
    <cellStyle name="40% - Accent6 5" xfId="658" xr:uid="{00000000-0005-0000-0000-00006E070000}"/>
    <cellStyle name="40% - Accent6 5 2" xfId="2929" xr:uid="{00000000-0005-0000-0000-00006F070000}"/>
    <cellStyle name="40% - Accent6 5 2 2" xfId="7151" xr:uid="{00000000-0005-0000-0000-000070070000}"/>
    <cellStyle name="40% - Accent6 5 2 2 2" xfId="24881" xr:uid="{DDD81B15-E832-423B-873C-BC180A9EB671}"/>
    <cellStyle name="40% - Accent6 5 2 2 3" xfId="15601" xr:uid="{3C1CD40D-7A69-4187-80DB-3306B785AD47}"/>
    <cellStyle name="40% - Accent6 5 2 3" xfId="20664" xr:uid="{2F23807C-1B94-4773-A03B-E05387C18CD8}"/>
    <cellStyle name="40% - Accent6 5 2 4" xfId="11383" xr:uid="{E243E13B-7527-42DA-88B6-1B434D634B7D}"/>
    <cellStyle name="40% - Accent6 5 3" xfId="5006" xr:uid="{00000000-0005-0000-0000-000071070000}"/>
    <cellStyle name="40% - Accent6 5 3 2" xfId="22736" xr:uid="{D8D45B4E-6338-4296-B6A8-ABAF40BAEB7B}"/>
    <cellStyle name="40% - Accent6 5 3 3" xfId="13456" xr:uid="{783663B8-5027-40F5-827D-A1B05290FDFD}"/>
    <cellStyle name="40% - Accent6 5 4" xfId="18519" xr:uid="{F17D0984-5224-4844-8D6A-9BD4EC4E13E0}"/>
    <cellStyle name="40% - Accent6 5 5" xfId="17689" xr:uid="{9D8A4E00-FE78-49B9-8D52-520A7BE87DA6}"/>
    <cellStyle name="40% - Accent6 5 6" xfId="9238" xr:uid="{E1A1F2B3-0180-4872-9006-E795A975D886}"/>
    <cellStyle name="40% - Accent6 6" xfId="1111" xr:uid="{00000000-0005-0000-0000-000072070000}"/>
    <cellStyle name="40% - Accent6 6 2" xfId="3342" xr:uid="{00000000-0005-0000-0000-000073070000}"/>
    <cellStyle name="40% - Accent6 6 2 2" xfId="7564" xr:uid="{00000000-0005-0000-0000-000074070000}"/>
    <cellStyle name="40% - Accent6 6 2 2 2" xfId="25294" xr:uid="{370E89D4-CE24-49E3-AA2E-EA44829A98D2}"/>
    <cellStyle name="40% - Accent6 6 2 2 3" xfId="16014" xr:uid="{BD65DC85-FA5B-4472-A8D6-21C9B4405DF6}"/>
    <cellStyle name="40% - Accent6 6 2 3" xfId="21077" xr:uid="{3214C5E0-BEC8-4B57-A0F2-905B8D338542}"/>
    <cellStyle name="40% - Accent6 6 2 4" xfId="11796" xr:uid="{04F484D1-50BC-41E6-B510-9AC688E03B15}"/>
    <cellStyle name="40% - Accent6 6 3" xfId="5419" xr:uid="{00000000-0005-0000-0000-000075070000}"/>
    <cellStyle name="40% - Accent6 6 3 2" xfId="23149" xr:uid="{C7FDAB2E-4746-4B6A-BF60-125E05B61540}"/>
    <cellStyle name="40% - Accent6 6 3 3" xfId="13869" xr:uid="{1AB66BE6-F974-4857-B1A3-7D4B5C2A41E3}"/>
    <cellStyle name="40% - Accent6 6 4" xfId="18932" xr:uid="{66D8E42B-6CDD-4E85-B869-9FC85D42FC3F}"/>
    <cellStyle name="40% - Accent6 6 5" xfId="9651" xr:uid="{748B8B16-F8C0-403B-93E6-F83DE2935DEE}"/>
    <cellStyle name="40% - Accent6 7" xfId="1525" xr:uid="{00000000-0005-0000-0000-000076070000}"/>
    <cellStyle name="40% - Accent6 7 2" xfId="3755" xr:uid="{00000000-0005-0000-0000-000077070000}"/>
    <cellStyle name="40% - Accent6 7 2 2" xfId="7977" xr:uid="{00000000-0005-0000-0000-000078070000}"/>
    <cellStyle name="40% - Accent6 7 2 2 2" xfId="25707" xr:uid="{3C8FF8B9-1B05-484A-ADD8-CBFA490B692B}"/>
    <cellStyle name="40% - Accent6 7 2 2 3" xfId="16427" xr:uid="{7A1ADC6C-A5B5-4AD9-A8F4-7B027BA362B0}"/>
    <cellStyle name="40% - Accent6 7 2 3" xfId="21490" xr:uid="{98422137-08CA-4D9C-B4B6-26774C6222F1}"/>
    <cellStyle name="40% - Accent6 7 2 4" xfId="12209" xr:uid="{95E6B633-62C2-4747-BC25-EED772DE6CA4}"/>
    <cellStyle name="40% - Accent6 7 3" xfId="5832" xr:uid="{00000000-0005-0000-0000-000079070000}"/>
    <cellStyle name="40% - Accent6 7 3 2" xfId="23562" xr:uid="{37B22B48-6D5A-4B2C-BEAF-E2ACE34428B9}"/>
    <cellStyle name="40% - Accent6 7 3 3" xfId="14282" xr:uid="{9CF792A6-0A92-4827-9CEC-95FC4B6B776A}"/>
    <cellStyle name="40% - Accent6 7 4" xfId="19345" xr:uid="{1C82DB05-2D14-4F11-9CA4-037D351E76B4}"/>
    <cellStyle name="40% - Accent6 7 5" xfId="10064" xr:uid="{240B7DF5-63F2-47C7-B242-AB5B9A66F7DD}"/>
    <cellStyle name="40% - Accent6 8" xfId="1939" xr:uid="{00000000-0005-0000-0000-00007A070000}"/>
    <cellStyle name="40% - Accent6 8 2" xfId="4168" xr:uid="{00000000-0005-0000-0000-00007B070000}"/>
    <cellStyle name="40% - Accent6 8 2 2" xfId="8390" xr:uid="{00000000-0005-0000-0000-00007C070000}"/>
    <cellStyle name="40% - Accent6 8 2 2 2" xfId="26120" xr:uid="{316392A6-6D4C-4CB0-A9A6-14DB2913BB99}"/>
    <cellStyle name="40% - Accent6 8 2 2 3" xfId="16840" xr:uid="{3F0A92AF-227A-4096-9E11-F90C5A325C5A}"/>
    <cellStyle name="40% - Accent6 8 2 3" xfId="21903" xr:uid="{DBCDF4C9-6325-4194-BCEA-4A0F3F9768C3}"/>
    <cellStyle name="40% - Accent6 8 2 4" xfId="12622" xr:uid="{45935162-A823-4BCF-89FF-DD7CA7ED17DB}"/>
    <cellStyle name="40% - Accent6 8 3" xfId="6245" xr:uid="{00000000-0005-0000-0000-00007D070000}"/>
    <cellStyle name="40% - Accent6 8 3 2" xfId="23975" xr:uid="{7FADF0CD-6EBA-4EE9-9EC5-6CAFC4649163}"/>
    <cellStyle name="40% - Accent6 8 3 3" xfId="14695" xr:uid="{4E68A41B-C0B6-4DFB-9EC3-DA226441E338}"/>
    <cellStyle name="40% - Accent6 8 4" xfId="19758" xr:uid="{003F927F-BEE0-480C-B015-D9A670B549F2}"/>
    <cellStyle name="40% - Accent6 8 5" xfId="10477" xr:uid="{26E5C978-B2D5-42EF-828B-15C68CA94167}"/>
    <cellStyle name="40% - Accent6 9" xfId="2352" xr:uid="{00000000-0005-0000-0000-00007E070000}"/>
    <cellStyle name="40% - Accent6 9 2" xfId="6658" xr:uid="{00000000-0005-0000-0000-00007F070000}"/>
    <cellStyle name="40% - Accent6 9 2 2" xfId="24388" xr:uid="{8FC269D9-763F-4EB9-AF8E-C63ADF5D8231}"/>
    <cellStyle name="40% - Accent6 9 2 3" xfId="15108" xr:uid="{59D4C7A3-DBDA-4E98-B555-62C96A695D11}"/>
    <cellStyle name="40% - Accent6 9 3" xfId="20171" xr:uid="{78647F0C-4F59-42B3-BE93-77D91EA7A999}"/>
    <cellStyle name="40% - Accent6 9 4" xfId="10890" xr:uid="{81FDEB5C-F0FF-494E-BC14-63080776BF97}"/>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24713" xr:uid="{65280A92-8F74-491D-B34D-6F83A7332671}"/>
    <cellStyle name="Comma 4 2 2 2 10 2 3" xfId="15433" xr:uid="{422229A0-06D9-4FC3-8BD8-D0188EA508A2}"/>
    <cellStyle name="Comma 4 2 2 2 10 3" xfId="20496" xr:uid="{52D61E00-4088-4446-B3A3-3B31940AC78B}"/>
    <cellStyle name="Comma 4 2 2 2 10 4" xfId="11215" xr:uid="{3BEE74F8-5773-4E13-BB70-B1F99FA0AB68}"/>
    <cellStyle name="Comma 4 2 2 2 11" xfId="4600" xr:uid="{00000000-0005-0000-0000-0000A3070000}"/>
    <cellStyle name="Comma 4 2 2 2 11 2" xfId="22330" xr:uid="{3915F81E-D478-4BC3-A871-AC26E9EE296E}"/>
    <cellStyle name="Comma 4 2 2 2 11 3" xfId="13050" xr:uid="{17E78568-16D6-4A7A-B758-C41E9A6AE375}"/>
    <cellStyle name="Comma 4 2 2 2 12" xfId="18113" xr:uid="{B3B57529-E7F9-4E9E-B523-0DBE729FE422}"/>
    <cellStyle name="Comma 4 2 2 2 13" xfId="17280" xr:uid="{D606BCEC-84AF-4CB4-8F50-3F85890C7BD0}"/>
    <cellStyle name="Comma 4 2 2 2 14" xfId="8832" xr:uid="{C104C8F1-3D0C-4A39-AC41-C832B4E80F30}"/>
    <cellStyle name="Comma 4 2 2 2 2" xfId="129" xr:uid="{00000000-0005-0000-0000-0000A4070000}"/>
    <cellStyle name="Comma 4 2 2 2 2 10" xfId="4601" xr:uid="{00000000-0005-0000-0000-0000A5070000}"/>
    <cellStyle name="Comma 4 2 2 2 2 10 2" xfId="22331" xr:uid="{94ED4791-CCD8-49C1-B0EB-27C1B44C4379}"/>
    <cellStyle name="Comma 4 2 2 2 2 10 3" xfId="13051" xr:uid="{B4CEC603-40D2-4E89-8C00-2F47755EA80B}"/>
    <cellStyle name="Comma 4 2 2 2 2 11" xfId="18114" xr:uid="{969E66EE-FD90-4A10-A323-56F4AC63CFDF}"/>
    <cellStyle name="Comma 4 2 2 2 2 12" xfId="17281" xr:uid="{9DEE1DF7-4AAD-443C-94C9-B557F7AE608F}"/>
    <cellStyle name="Comma 4 2 2 2 2 13" xfId="8833" xr:uid="{30980338-DD10-4AFC-863D-FCC9DEB366C9}"/>
    <cellStyle name="Comma 4 2 2 2 2 2" xfId="130" xr:uid="{00000000-0005-0000-0000-0000A6070000}"/>
    <cellStyle name="Comma 4 2 2 2 2 2 10" xfId="18115" xr:uid="{AC0BD37F-5964-4D9F-BC24-0598C1B1ADD9}"/>
    <cellStyle name="Comma 4 2 2 2 2 2 11" xfId="17282" xr:uid="{C3775B4D-152E-487D-9075-EC411FB0BFFA}"/>
    <cellStyle name="Comma 4 2 2 2 2 2 12" xfId="8834" xr:uid="{B5D40530-DF96-46FA-9C12-BAEDF83BD68D}"/>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24891" xr:uid="{13C02C64-AC32-4944-AAAD-DD3DD2EE1C27}"/>
    <cellStyle name="Comma 4 2 2 2 2 2 2 2 2 3" xfId="15611" xr:uid="{AC8AF5AD-62AD-479F-A346-62DFDF8C8F66}"/>
    <cellStyle name="Comma 4 2 2 2 2 2 2 2 3" xfId="20674" xr:uid="{502E729D-89B6-4CB0-BDF2-E2F792708286}"/>
    <cellStyle name="Comma 4 2 2 2 2 2 2 2 4" xfId="11393" xr:uid="{328A585F-9E9D-49C2-B6EF-4C7FA8982A0E}"/>
    <cellStyle name="Comma 4 2 2 2 2 2 2 3" xfId="5016" xr:uid="{00000000-0005-0000-0000-0000AA070000}"/>
    <cellStyle name="Comma 4 2 2 2 2 2 2 3 2" xfId="22746" xr:uid="{D6A18CA2-19DE-45E3-8C45-DD3377A502F8}"/>
    <cellStyle name="Comma 4 2 2 2 2 2 2 3 3" xfId="13466" xr:uid="{91E42AEF-6F75-4C73-A980-7C88FF57238A}"/>
    <cellStyle name="Comma 4 2 2 2 2 2 2 4" xfId="18529" xr:uid="{382462A7-EA6E-43F5-BAF2-2021C4FB6AD8}"/>
    <cellStyle name="Comma 4 2 2 2 2 2 2 5" xfId="17699" xr:uid="{D914DBCB-481F-415C-9DD4-D8A65B6D9F4A}"/>
    <cellStyle name="Comma 4 2 2 2 2 2 2 6" xfId="9248" xr:uid="{68F17203-A67F-4025-9DA9-90C9820D7131}"/>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25304" xr:uid="{9D3392F8-93C4-442E-AE6D-A818A2B2F13D}"/>
    <cellStyle name="Comma 4 2 2 2 2 2 3 2 2 3" xfId="16024" xr:uid="{7EC9A8A8-843E-4847-86B1-B24EA5D7D074}"/>
    <cellStyle name="Comma 4 2 2 2 2 2 3 2 3" xfId="21087" xr:uid="{D42CCCAF-3FAF-4EAE-B0BD-CEF1E4BC2896}"/>
    <cellStyle name="Comma 4 2 2 2 2 2 3 2 4" xfId="11806" xr:uid="{C4071E0B-383E-4B31-8504-BB0406E28EE1}"/>
    <cellStyle name="Comma 4 2 2 2 2 2 3 3" xfId="5429" xr:uid="{00000000-0005-0000-0000-0000AE070000}"/>
    <cellStyle name="Comma 4 2 2 2 2 2 3 3 2" xfId="23159" xr:uid="{447D0FEB-D16A-4A5A-A1B2-28E883261E5F}"/>
    <cellStyle name="Comma 4 2 2 2 2 2 3 3 3" xfId="13879" xr:uid="{3B3CBDB5-A09F-4E58-98F1-5EFD935CD7CD}"/>
    <cellStyle name="Comma 4 2 2 2 2 2 3 4" xfId="18942" xr:uid="{17CC8004-852E-4B1B-A25E-56BDA83CCCFE}"/>
    <cellStyle name="Comma 4 2 2 2 2 2 3 5" xfId="9661" xr:uid="{A7772772-9DA4-455D-AB04-063DD3B6C4CC}"/>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25717" xr:uid="{59550B45-DC3D-4A82-A35C-D7FD4E3EFC46}"/>
    <cellStyle name="Comma 4 2 2 2 2 2 4 2 2 3" xfId="16437" xr:uid="{FBA6D212-34BF-454F-B8AB-48B411E83E69}"/>
    <cellStyle name="Comma 4 2 2 2 2 2 4 2 3" xfId="21500" xr:uid="{39178B28-B73D-41B9-B7DF-BBB73C5ABB96}"/>
    <cellStyle name="Comma 4 2 2 2 2 2 4 2 4" xfId="12219" xr:uid="{0E159BEF-8907-4D47-BC96-52496134B89C}"/>
    <cellStyle name="Comma 4 2 2 2 2 2 4 3" xfId="5842" xr:uid="{00000000-0005-0000-0000-0000B2070000}"/>
    <cellStyle name="Comma 4 2 2 2 2 2 4 3 2" xfId="23572" xr:uid="{129569B5-8A2B-46B7-9A1A-B7FF4567797F}"/>
    <cellStyle name="Comma 4 2 2 2 2 2 4 3 3" xfId="14292" xr:uid="{D29B5915-8769-4393-8285-B323DDF979F9}"/>
    <cellStyle name="Comma 4 2 2 2 2 2 4 4" xfId="19355" xr:uid="{A8A6D735-6D18-4691-92AA-1159F47E251E}"/>
    <cellStyle name="Comma 4 2 2 2 2 2 4 5" xfId="10074" xr:uid="{88C19455-41C1-4ECB-935B-446AED77D5EE}"/>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26130" xr:uid="{F00B93A3-B846-49E0-9D17-8EE39CCFA5C7}"/>
    <cellStyle name="Comma 4 2 2 2 2 2 5 2 2 3" xfId="16850" xr:uid="{6D8C4837-554F-4A34-A261-0E5806D94CCE}"/>
    <cellStyle name="Comma 4 2 2 2 2 2 5 2 3" xfId="21913" xr:uid="{72700C0A-FD16-4AE1-91D9-A881AC8D3962}"/>
    <cellStyle name="Comma 4 2 2 2 2 2 5 2 4" xfId="12632" xr:uid="{E6E4167C-453F-48FD-B472-125953D951A2}"/>
    <cellStyle name="Comma 4 2 2 2 2 2 5 3" xfId="6255" xr:uid="{00000000-0005-0000-0000-0000B6070000}"/>
    <cellStyle name="Comma 4 2 2 2 2 2 5 3 2" xfId="23985" xr:uid="{FF27F926-678C-4B6A-B8DF-EC703784743E}"/>
    <cellStyle name="Comma 4 2 2 2 2 2 5 3 3" xfId="14705" xr:uid="{2B5FFEC9-0637-4478-B69A-E94E4B3BAF8F}"/>
    <cellStyle name="Comma 4 2 2 2 2 2 5 4" xfId="19768" xr:uid="{3ED25B7E-A0EF-4167-A247-3C02600F0C79}"/>
    <cellStyle name="Comma 4 2 2 2 2 2 5 5" xfId="10487" xr:uid="{29BDC6EF-DFE9-4EB0-AA00-F43E382F4164}"/>
    <cellStyle name="Comma 4 2 2 2 2 2 6" xfId="2384" xr:uid="{00000000-0005-0000-0000-0000B7070000}"/>
    <cellStyle name="Comma 4 2 2 2 2 2 6 2" xfId="6668" xr:uid="{00000000-0005-0000-0000-0000B8070000}"/>
    <cellStyle name="Comma 4 2 2 2 2 2 6 2 2" xfId="24398" xr:uid="{4CD952F1-FBC7-443F-A09D-07D2399C732F}"/>
    <cellStyle name="Comma 4 2 2 2 2 2 6 2 3" xfId="15118" xr:uid="{497F54B9-7AD3-444F-A58B-C364B4A849CC}"/>
    <cellStyle name="Comma 4 2 2 2 2 2 6 3" xfId="20181" xr:uid="{3F80430E-D6A4-4CD1-BFA4-C380C1653F95}"/>
    <cellStyle name="Comma 4 2 2 2 2 2 6 4" xfId="10900" xr:uid="{DA5A5DAA-ED63-4961-A641-4E0C130263F8}"/>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24715" xr:uid="{BDA49A4A-8436-413D-9F6E-E8004FCF72B6}"/>
    <cellStyle name="Comma 4 2 2 2 2 2 8 2 3" xfId="15435" xr:uid="{4B311295-688D-49EE-A1A1-BE0D09D8DEC3}"/>
    <cellStyle name="Comma 4 2 2 2 2 2 8 3" xfId="20498" xr:uid="{1FE715AB-A46B-453F-9A2C-E169896D1D08}"/>
    <cellStyle name="Comma 4 2 2 2 2 2 8 4" xfId="11217" xr:uid="{5291D1E1-0DC8-4B9A-BA4B-5A2A09961937}"/>
    <cellStyle name="Comma 4 2 2 2 2 2 9" xfId="4602" xr:uid="{00000000-0005-0000-0000-0000BC070000}"/>
    <cellStyle name="Comma 4 2 2 2 2 2 9 2" xfId="22332" xr:uid="{75B2BDB2-5A40-4E9C-9957-3205C98B238B}"/>
    <cellStyle name="Comma 4 2 2 2 2 2 9 3" xfId="13052" xr:uid="{95301FA1-D704-4660-A9CE-A857B39CDD12}"/>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24890" xr:uid="{C506F9B9-5EC7-4D31-A241-D0905646757A}"/>
    <cellStyle name="Comma 4 2 2 2 2 3 2 2 3" xfId="15610" xr:uid="{C1ADF259-6DEB-40A3-8A77-937476D0F68C}"/>
    <cellStyle name="Comma 4 2 2 2 2 3 2 3" xfId="20673" xr:uid="{214F2723-76DF-433A-8D4B-7FABF6648D77}"/>
    <cellStyle name="Comma 4 2 2 2 2 3 2 4" xfId="11392" xr:uid="{40AD99D4-13B6-46A1-BDBB-0532565CC899}"/>
    <cellStyle name="Comma 4 2 2 2 2 3 3" xfId="5015" xr:uid="{00000000-0005-0000-0000-0000C0070000}"/>
    <cellStyle name="Comma 4 2 2 2 2 3 3 2" xfId="22745" xr:uid="{92BFA5D7-7F85-44BF-A32D-46D206E9ABDD}"/>
    <cellStyle name="Comma 4 2 2 2 2 3 3 3" xfId="13465" xr:uid="{6A542428-9632-441B-AFB1-752401B97EB7}"/>
    <cellStyle name="Comma 4 2 2 2 2 3 4" xfId="18528" xr:uid="{1CA0A1E0-8F1D-4D3B-A156-005692DC3016}"/>
    <cellStyle name="Comma 4 2 2 2 2 3 5" xfId="17698" xr:uid="{E04CAAA7-3DD3-4DBA-A6AA-8F141C5E36E0}"/>
    <cellStyle name="Comma 4 2 2 2 2 3 6" xfId="9247" xr:uid="{B8C2F224-CD98-4E44-9137-D877FA834BA0}"/>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25303" xr:uid="{37C86A99-12D5-45FF-8300-DA6DE9DA8FE9}"/>
    <cellStyle name="Comma 4 2 2 2 2 4 2 2 3" xfId="16023" xr:uid="{5F4AF1DB-8E92-487E-8ABA-BC1C88EDD251}"/>
    <cellStyle name="Comma 4 2 2 2 2 4 2 3" xfId="21086" xr:uid="{3D105080-FE5D-4DB1-A02F-6482BC556827}"/>
    <cellStyle name="Comma 4 2 2 2 2 4 2 4" xfId="11805" xr:uid="{8EA66906-C867-4212-8E1E-1A6C4BD8A286}"/>
    <cellStyle name="Comma 4 2 2 2 2 4 3" xfId="5428" xr:uid="{00000000-0005-0000-0000-0000C4070000}"/>
    <cellStyle name="Comma 4 2 2 2 2 4 3 2" xfId="23158" xr:uid="{94604FAD-BF0B-4B2A-B01B-5A4F863A46AD}"/>
    <cellStyle name="Comma 4 2 2 2 2 4 3 3" xfId="13878" xr:uid="{B26DC265-C1EC-42C1-B4AF-07ABE878D3EA}"/>
    <cellStyle name="Comma 4 2 2 2 2 4 4" xfId="18941" xr:uid="{44182434-D161-4FD6-AE16-EA90E896EF10}"/>
    <cellStyle name="Comma 4 2 2 2 2 4 5" xfId="9660" xr:uid="{0DCAFF38-6841-420F-88FB-2DF5F2F2C1DE}"/>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25716" xr:uid="{D0856B53-4948-4E1D-984B-46D462746DEE}"/>
    <cellStyle name="Comma 4 2 2 2 2 5 2 2 3" xfId="16436" xr:uid="{A51B373D-7897-4054-B1E2-8CC78C9182D4}"/>
    <cellStyle name="Comma 4 2 2 2 2 5 2 3" xfId="21499" xr:uid="{CC451BA5-AEC2-44D4-9E24-10AE84EFA82C}"/>
    <cellStyle name="Comma 4 2 2 2 2 5 2 4" xfId="12218" xr:uid="{1CE8A406-D215-4D6A-990C-05B69EDF648C}"/>
    <cellStyle name="Comma 4 2 2 2 2 5 3" xfId="5841" xr:uid="{00000000-0005-0000-0000-0000C8070000}"/>
    <cellStyle name="Comma 4 2 2 2 2 5 3 2" xfId="23571" xr:uid="{CBBE4EB2-A826-4D70-90E7-DE316A16B77D}"/>
    <cellStyle name="Comma 4 2 2 2 2 5 3 3" xfId="14291" xr:uid="{777A29FE-EAC9-4666-9058-ED0C07AAB729}"/>
    <cellStyle name="Comma 4 2 2 2 2 5 4" xfId="19354" xr:uid="{74004B41-FB9C-4AB7-93F2-BBFA9A5744FD}"/>
    <cellStyle name="Comma 4 2 2 2 2 5 5" xfId="10073" xr:uid="{EEF029BB-1E4B-41A6-B4F2-0BE28E7DC4AA}"/>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26129" xr:uid="{1B0640F6-45CD-4EBD-B0F3-936FA4BFD5FD}"/>
    <cellStyle name="Comma 4 2 2 2 2 6 2 2 3" xfId="16849" xr:uid="{68726CE2-B921-46F2-869D-8A81850D163A}"/>
    <cellStyle name="Comma 4 2 2 2 2 6 2 3" xfId="21912" xr:uid="{542BA769-C547-490B-B01E-DEF7E3FB951F}"/>
    <cellStyle name="Comma 4 2 2 2 2 6 2 4" xfId="12631" xr:uid="{3098374B-E6CD-4A6C-B236-876A6D1FD2E1}"/>
    <cellStyle name="Comma 4 2 2 2 2 6 3" xfId="6254" xr:uid="{00000000-0005-0000-0000-0000CC070000}"/>
    <cellStyle name="Comma 4 2 2 2 2 6 3 2" xfId="23984" xr:uid="{B1240E14-4E7E-48A3-BEFA-1A925EFDC284}"/>
    <cellStyle name="Comma 4 2 2 2 2 6 3 3" xfId="14704" xr:uid="{3F998BBD-0705-46C1-BA1F-62FE8D4ABE59}"/>
    <cellStyle name="Comma 4 2 2 2 2 6 4" xfId="19767" xr:uid="{9B9AEC95-6F89-4434-9F15-156B74E51F34}"/>
    <cellStyle name="Comma 4 2 2 2 2 6 5" xfId="10486" xr:uid="{BADE8579-B625-43CB-905F-4187FD0305FC}"/>
    <cellStyle name="Comma 4 2 2 2 2 7" xfId="2383" xr:uid="{00000000-0005-0000-0000-0000CD070000}"/>
    <cellStyle name="Comma 4 2 2 2 2 7 2" xfId="6667" xr:uid="{00000000-0005-0000-0000-0000CE070000}"/>
    <cellStyle name="Comma 4 2 2 2 2 7 2 2" xfId="24397" xr:uid="{CD4469AD-23E3-44D6-9E7E-6D1EBCA3CD41}"/>
    <cellStyle name="Comma 4 2 2 2 2 7 2 3" xfId="15117" xr:uid="{546D0B37-0E96-4C9B-9D92-A80771BF9DEE}"/>
    <cellStyle name="Comma 4 2 2 2 2 7 3" xfId="20180" xr:uid="{25918C02-421D-42BC-8F3D-72806CC6DAFA}"/>
    <cellStyle name="Comma 4 2 2 2 2 7 4" xfId="10899" xr:uid="{489E84AF-4F99-493B-9B41-516C6A6F5E5A}"/>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24714" xr:uid="{39B72040-1B47-4AFF-80D4-7D6975507562}"/>
    <cellStyle name="Comma 4 2 2 2 2 9 2 3" xfId="15434" xr:uid="{B99D31DC-A10A-41F0-A83F-C68938D673D3}"/>
    <cellStyle name="Comma 4 2 2 2 2 9 3" xfId="20497" xr:uid="{B9136DFF-1E16-47C9-B250-E52EA3519A81}"/>
    <cellStyle name="Comma 4 2 2 2 2 9 4" xfId="11216" xr:uid="{6C66D146-112B-4F9A-9AC8-FEC836F5D766}"/>
    <cellStyle name="Comma 4 2 2 2 3" xfId="131" xr:uid="{00000000-0005-0000-0000-0000D2070000}"/>
    <cellStyle name="Comma 4 2 2 2 3 10" xfId="18116" xr:uid="{C54D083A-A7E6-48B4-B619-642589BEE4B3}"/>
    <cellStyle name="Comma 4 2 2 2 3 11" xfId="17283" xr:uid="{C322AF03-ECA2-4294-A283-A539EF2D8D7F}"/>
    <cellStyle name="Comma 4 2 2 2 3 12" xfId="8835" xr:uid="{DACAD385-CF56-475B-8410-77609665A9DF}"/>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24892" xr:uid="{C953FF0D-40E0-492A-ADA9-208DED27C0F1}"/>
    <cellStyle name="Comma 4 2 2 2 3 2 2 2 3" xfId="15612" xr:uid="{FE54076D-50A7-4878-954B-832D91DD98AE}"/>
    <cellStyle name="Comma 4 2 2 2 3 2 2 3" xfId="20675" xr:uid="{2B3B2030-0367-4159-A455-319CFBA1FF49}"/>
    <cellStyle name="Comma 4 2 2 2 3 2 2 4" xfId="11394" xr:uid="{C609CBAC-D82E-4C1B-871C-A003A341CA86}"/>
    <cellStyle name="Comma 4 2 2 2 3 2 3" xfId="5017" xr:uid="{00000000-0005-0000-0000-0000D6070000}"/>
    <cellStyle name="Comma 4 2 2 2 3 2 3 2" xfId="22747" xr:uid="{765078F3-8078-47CB-A14C-3AA021FC002A}"/>
    <cellStyle name="Comma 4 2 2 2 3 2 3 3" xfId="13467" xr:uid="{77C072D4-4B6F-4117-A7F0-6A2D330B6257}"/>
    <cellStyle name="Comma 4 2 2 2 3 2 4" xfId="18530" xr:uid="{64C63F31-B489-4A81-A4C9-D53469CE0DBA}"/>
    <cellStyle name="Comma 4 2 2 2 3 2 5" xfId="17700" xr:uid="{8745B64A-A1C4-4237-8F01-F19E18A713D9}"/>
    <cellStyle name="Comma 4 2 2 2 3 2 6" xfId="9249" xr:uid="{2920B59A-A6EE-4675-91E2-2C16D8EC6106}"/>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25305" xr:uid="{F525CB27-3A9A-4ECB-8386-D15AC620A0E8}"/>
    <cellStyle name="Comma 4 2 2 2 3 3 2 2 3" xfId="16025" xr:uid="{B7C847B2-B010-408C-9FB1-DEE704C03198}"/>
    <cellStyle name="Comma 4 2 2 2 3 3 2 3" xfId="21088" xr:uid="{765A4978-6189-4E18-82F4-6C23DD039A6E}"/>
    <cellStyle name="Comma 4 2 2 2 3 3 2 4" xfId="11807" xr:uid="{E094E905-C0AC-4EB2-803E-7642A2836B8B}"/>
    <cellStyle name="Comma 4 2 2 2 3 3 3" xfId="5430" xr:uid="{00000000-0005-0000-0000-0000DA070000}"/>
    <cellStyle name="Comma 4 2 2 2 3 3 3 2" xfId="23160" xr:uid="{B16A3880-BED9-426E-9A48-0AEED3082DE3}"/>
    <cellStyle name="Comma 4 2 2 2 3 3 3 3" xfId="13880" xr:uid="{BE093C23-EC4B-4C86-8184-C1E6D1CEF601}"/>
    <cellStyle name="Comma 4 2 2 2 3 3 4" xfId="18943" xr:uid="{C5C73B19-D20C-41D3-BF3E-334B04B95970}"/>
    <cellStyle name="Comma 4 2 2 2 3 3 5" xfId="9662" xr:uid="{7B361443-0C10-44D5-815B-E341FEBFA191}"/>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25718" xr:uid="{0C6C63F5-2F0C-46A4-9D01-E0271B7D3A45}"/>
    <cellStyle name="Comma 4 2 2 2 3 4 2 2 3" xfId="16438" xr:uid="{D98B3A9D-A498-44CD-A2B2-9B444348ABC6}"/>
    <cellStyle name="Comma 4 2 2 2 3 4 2 3" xfId="21501" xr:uid="{1CD2C28C-B8CA-4440-A4BA-DDA873C15409}"/>
    <cellStyle name="Comma 4 2 2 2 3 4 2 4" xfId="12220" xr:uid="{D3408CF3-676B-4FE7-B35E-987A9A209AF2}"/>
    <cellStyle name="Comma 4 2 2 2 3 4 3" xfId="5843" xr:uid="{00000000-0005-0000-0000-0000DE070000}"/>
    <cellStyle name="Comma 4 2 2 2 3 4 3 2" xfId="23573" xr:uid="{08A9C75F-8217-46BF-A2CC-57D620F0DAC8}"/>
    <cellStyle name="Comma 4 2 2 2 3 4 3 3" xfId="14293" xr:uid="{4759F901-103D-4DD4-81F0-52BFC076FB26}"/>
    <cellStyle name="Comma 4 2 2 2 3 4 4" xfId="19356" xr:uid="{41851729-29D9-40CE-A2A6-F242550E96CD}"/>
    <cellStyle name="Comma 4 2 2 2 3 4 5" xfId="10075" xr:uid="{60463092-9057-4EB3-BE87-CA127AD91249}"/>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26131" xr:uid="{CE35A610-7C74-4384-A6B5-C3EAE120EF23}"/>
    <cellStyle name="Comma 4 2 2 2 3 5 2 2 3" xfId="16851" xr:uid="{2DAE786B-D31F-47F7-BECB-A7F573E49E04}"/>
    <cellStyle name="Comma 4 2 2 2 3 5 2 3" xfId="21914" xr:uid="{ECE37158-CD7B-4746-8243-BF60C5B6FA4F}"/>
    <cellStyle name="Comma 4 2 2 2 3 5 2 4" xfId="12633" xr:uid="{797E164C-98F3-4CBC-9697-7C175E951B8B}"/>
    <cellStyle name="Comma 4 2 2 2 3 5 3" xfId="6256" xr:uid="{00000000-0005-0000-0000-0000E2070000}"/>
    <cellStyle name="Comma 4 2 2 2 3 5 3 2" xfId="23986" xr:uid="{CEC246A5-210E-4B5E-BD6F-30299C2DA822}"/>
    <cellStyle name="Comma 4 2 2 2 3 5 3 3" xfId="14706" xr:uid="{8157A7B9-7C5A-4E66-A6F3-50444A72C0C6}"/>
    <cellStyle name="Comma 4 2 2 2 3 5 4" xfId="19769" xr:uid="{26EC800D-0699-467E-BD2B-3148F11F94AB}"/>
    <cellStyle name="Comma 4 2 2 2 3 5 5" xfId="10488" xr:uid="{CA54CF19-DF2C-4320-AD89-5D3D4167FBA8}"/>
    <cellStyle name="Comma 4 2 2 2 3 6" xfId="2385" xr:uid="{00000000-0005-0000-0000-0000E3070000}"/>
    <cellStyle name="Comma 4 2 2 2 3 6 2" xfId="6669" xr:uid="{00000000-0005-0000-0000-0000E4070000}"/>
    <cellStyle name="Comma 4 2 2 2 3 6 2 2" xfId="24399" xr:uid="{830124E1-53AA-4C4C-8967-3805A14D7EF9}"/>
    <cellStyle name="Comma 4 2 2 2 3 6 2 3" xfId="15119" xr:uid="{FDDC1EC7-08B0-4091-9DC9-2FD7581B57CD}"/>
    <cellStyle name="Comma 4 2 2 2 3 6 3" xfId="20182" xr:uid="{D188983F-854E-4A23-8980-C2261525CB7B}"/>
    <cellStyle name="Comma 4 2 2 2 3 6 4" xfId="10901" xr:uid="{28CF00E6-398D-4D7F-83C8-9D7EA01DA363}"/>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24716" xr:uid="{7B9F7D48-F500-4868-BCDE-867480FE3A73}"/>
    <cellStyle name="Comma 4 2 2 2 3 8 2 3" xfId="15436" xr:uid="{63B68145-C3B6-4835-AECC-C127D8F429F8}"/>
    <cellStyle name="Comma 4 2 2 2 3 8 3" xfId="20499" xr:uid="{6418077B-B172-4C3F-AA05-A55492D01A7E}"/>
    <cellStyle name="Comma 4 2 2 2 3 8 4" xfId="11218" xr:uid="{BC256762-47F2-4553-995A-9C20388766BB}"/>
    <cellStyle name="Comma 4 2 2 2 3 9" xfId="4603" xr:uid="{00000000-0005-0000-0000-0000E8070000}"/>
    <cellStyle name="Comma 4 2 2 2 3 9 2" xfId="22333" xr:uid="{9372043F-6392-4B73-923C-9E9E6FEE5106}"/>
    <cellStyle name="Comma 4 2 2 2 3 9 3" xfId="13053" xr:uid="{FA19FAE0-4D86-40CE-8365-F3B230EB2E5E}"/>
    <cellStyle name="Comma 4 2 2 2 4" xfId="666" xr:uid="{00000000-0005-0000-0000-0000E9070000}"/>
    <cellStyle name="Comma 4 2 2 2 4 2" xfId="2937" xr:uid="{00000000-0005-0000-0000-0000EA070000}"/>
    <cellStyle name="Comma 4 2 2 2 4 2 2" xfId="7159" xr:uid="{00000000-0005-0000-0000-0000EB070000}"/>
    <cellStyle name="Comma 4 2 2 2 4 2 2 2" xfId="24889" xr:uid="{1CD5B74F-E856-489D-964B-B54D3DF31846}"/>
    <cellStyle name="Comma 4 2 2 2 4 2 2 3" xfId="15609" xr:uid="{4958980F-F79D-4495-A809-E9B9ABE3150A}"/>
    <cellStyle name="Comma 4 2 2 2 4 2 3" xfId="20672" xr:uid="{0B40433B-D6B2-494E-8997-13BE2C3E687A}"/>
    <cellStyle name="Comma 4 2 2 2 4 2 4" xfId="11391" xr:uid="{0101B43C-DEE7-4FAE-99D1-618258D4DF89}"/>
    <cellStyle name="Comma 4 2 2 2 4 3" xfId="5014" xr:uid="{00000000-0005-0000-0000-0000EC070000}"/>
    <cellStyle name="Comma 4 2 2 2 4 3 2" xfId="22744" xr:uid="{448C5E32-96BF-42CF-820D-1161258B65F4}"/>
    <cellStyle name="Comma 4 2 2 2 4 3 3" xfId="13464" xr:uid="{E6391404-A826-4B86-96EF-F85198272294}"/>
    <cellStyle name="Comma 4 2 2 2 4 4" xfId="18527" xr:uid="{31EB27B1-65ED-42FC-A267-7D734D455005}"/>
    <cellStyle name="Comma 4 2 2 2 4 5" xfId="17697" xr:uid="{64412BFD-6D9A-4B56-862E-D9107A352A5D}"/>
    <cellStyle name="Comma 4 2 2 2 4 6" xfId="9246" xr:uid="{31826C75-B257-4E7B-9BA0-FAA43653FD30}"/>
    <cellStyle name="Comma 4 2 2 2 5" xfId="1119" xr:uid="{00000000-0005-0000-0000-0000ED070000}"/>
    <cellStyle name="Comma 4 2 2 2 5 2" xfId="3350" xr:uid="{00000000-0005-0000-0000-0000EE070000}"/>
    <cellStyle name="Comma 4 2 2 2 5 2 2" xfId="7572" xr:uid="{00000000-0005-0000-0000-0000EF070000}"/>
    <cellStyle name="Comma 4 2 2 2 5 2 2 2" xfId="25302" xr:uid="{C387F0BD-E4E9-4A8C-AE04-85C97497FB4A}"/>
    <cellStyle name="Comma 4 2 2 2 5 2 2 3" xfId="16022" xr:uid="{9079091D-D1E8-4E51-BC17-DBAAC01501F3}"/>
    <cellStyle name="Comma 4 2 2 2 5 2 3" xfId="21085" xr:uid="{4B640B16-29BF-4764-8EB6-485D61097327}"/>
    <cellStyle name="Comma 4 2 2 2 5 2 4" xfId="11804" xr:uid="{7AD1125C-3507-4DE7-A74A-27EC0CA44914}"/>
    <cellStyle name="Comma 4 2 2 2 5 3" xfId="5427" xr:uid="{00000000-0005-0000-0000-0000F0070000}"/>
    <cellStyle name="Comma 4 2 2 2 5 3 2" xfId="23157" xr:uid="{E355E9D1-BC4C-42C1-A68D-2B38DD66E1FB}"/>
    <cellStyle name="Comma 4 2 2 2 5 3 3" xfId="13877" xr:uid="{61AECD1A-E020-42F8-9664-32C53DE02422}"/>
    <cellStyle name="Comma 4 2 2 2 5 4" xfId="18940" xr:uid="{3B312DB9-3F47-4A9A-9C8D-0D09903C252E}"/>
    <cellStyle name="Comma 4 2 2 2 5 5" xfId="9659" xr:uid="{8F944535-2A58-4955-A28F-566D02685B5B}"/>
    <cellStyle name="Comma 4 2 2 2 6" xfId="1533" xr:uid="{00000000-0005-0000-0000-0000F1070000}"/>
    <cellStyle name="Comma 4 2 2 2 6 2" xfId="3763" xr:uid="{00000000-0005-0000-0000-0000F2070000}"/>
    <cellStyle name="Comma 4 2 2 2 6 2 2" xfId="7985" xr:uid="{00000000-0005-0000-0000-0000F3070000}"/>
    <cellStyle name="Comma 4 2 2 2 6 2 2 2" xfId="25715" xr:uid="{B8FDF208-10CD-4467-BF01-33571683A183}"/>
    <cellStyle name="Comma 4 2 2 2 6 2 2 3" xfId="16435" xr:uid="{62D27998-2DFF-4422-8F30-7EC67886291B}"/>
    <cellStyle name="Comma 4 2 2 2 6 2 3" xfId="21498" xr:uid="{2DF82F1D-9B55-481B-81EF-F5A99DB12E9C}"/>
    <cellStyle name="Comma 4 2 2 2 6 2 4" xfId="12217" xr:uid="{CE53261B-709B-400A-AB76-528328CDCDC4}"/>
    <cellStyle name="Comma 4 2 2 2 6 3" xfId="5840" xr:uid="{00000000-0005-0000-0000-0000F4070000}"/>
    <cellStyle name="Comma 4 2 2 2 6 3 2" xfId="23570" xr:uid="{BE0CC2F9-6122-4377-98A1-A2352EEA6B9D}"/>
    <cellStyle name="Comma 4 2 2 2 6 3 3" xfId="14290" xr:uid="{967F1912-FFE7-47D1-95C3-570F95666809}"/>
    <cellStyle name="Comma 4 2 2 2 6 4" xfId="19353" xr:uid="{F9EBEBDA-AD21-44B1-BCC0-BF1A360D966F}"/>
    <cellStyle name="Comma 4 2 2 2 6 5" xfId="10072" xr:uid="{B06C41E5-D7B7-4859-AF0B-7CA458F70345}"/>
    <cellStyle name="Comma 4 2 2 2 7" xfId="1947" xr:uid="{00000000-0005-0000-0000-0000F5070000}"/>
    <cellStyle name="Comma 4 2 2 2 7 2" xfId="4176" xr:uid="{00000000-0005-0000-0000-0000F6070000}"/>
    <cellStyle name="Comma 4 2 2 2 7 2 2" xfId="8398" xr:uid="{00000000-0005-0000-0000-0000F7070000}"/>
    <cellStyle name="Comma 4 2 2 2 7 2 2 2" xfId="26128" xr:uid="{D3FE94E0-4053-4513-944D-C4AF3904A88B}"/>
    <cellStyle name="Comma 4 2 2 2 7 2 2 3" xfId="16848" xr:uid="{44E0F6F5-5C08-4CA6-A803-584120723BA3}"/>
    <cellStyle name="Comma 4 2 2 2 7 2 3" xfId="21911" xr:uid="{11DF4587-C233-4881-B69C-8BB833502194}"/>
    <cellStyle name="Comma 4 2 2 2 7 2 4" xfId="12630" xr:uid="{0AEAA24E-F1FB-4DE4-821B-C717ADB8C461}"/>
    <cellStyle name="Comma 4 2 2 2 7 3" xfId="6253" xr:uid="{00000000-0005-0000-0000-0000F8070000}"/>
    <cellStyle name="Comma 4 2 2 2 7 3 2" xfId="23983" xr:uid="{12C6CDD6-80A5-4353-8D17-A320FD110EF3}"/>
    <cellStyle name="Comma 4 2 2 2 7 3 3" xfId="14703" xr:uid="{9C3E3C0A-EA05-4A29-85F8-7317D28BA4D1}"/>
    <cellStyle name="Comma 4 2 2 2 7 4" xfId="19766" xr:uid="{CAD8833A-7D7A-40D2-A328-4EFFD7F6D64F}"/>
    <cellStyle name="Comma 4 2 2 2 7 5" xfId="10485" xr:uid="{F8C6D6CF-71F7-4831-BCA7-D7E050C3821A}"/>
    <cellStyle name="Comma 4 2 2 2 8" xfId="2382" xr:uid="{00000000-0005-0000-0000-0000F9070000}"/>
    <cellStyle name="Comma 4 2 2 2 8 2" xfId="6666" xr:uid="{00000000-0005-0000-0000-0000FA070000}"/>
    <cellStyle name="Comma 4 2 2 2 8 2 2" xfId="24396" xr:uid="{A9BA258C-9A10-48EE-BA31-552B9C42AD5A}"/>
    <cellStyle name="Comma 4 2 2 2 8 2 3" xfId="15116" xr:uid="{D27AF95D-56C7-44E6-9505-1DDF006E2302}"/>
    <cellStyle name="Comma 4 2 2 2 8 3" xfId="20179" xr:uid="{1EB41F8B-C8B4-41EC-BF1F-DDBEC3413BC5}"/>
    <cellStyle name="Comma 4 2 2 2 8 4" xfId="10898" xr:uid="{1E4D6216-9D6B-43E0-AAC9-266A9178DED9}"/>
    <cellStyle name="Comma 4 2 2 2 9" xfId="2381" xr:uid="{00000000-0005-0000-0000-0000FB070000}"/>
    <cellStyle name="Comma 4 2 2 3" xfId="132" xr:uid="{00000000-0005-0000-0000-0000FC070000}"/>
    <cellStyle name="Comma 4 2 2 3 10" xfId="4604" xr:uid="{00000000-0005-0000-0000-0000FD070000}"/>
    <cellStyle name="Comma 4 2 2 3 10 2" xfId="22334" xr:uid="{055F981E-5CBF-40A5-9336-02F6591FEB3D}"/>
    <cellStyle name="Comma 4 2 2 3 10 3" xfId="13054" xr:uid="{79A26764-AE66-4081-A9C1-9B30ED757627}"/>
    <cellStyle name="Comma 4 2 2 3 11" xfId="18117" xr:uid="{68021097-1026-493E-A56E-07FC8D331D13}"/>
    <cellStyle name="Comma 4 2 2 3 12" xfId="17284" xr:uid="{0E770A51-566A-4690-9840-C80E6B7EE943}"/>
    <cellStyle name="Comma 4 2 2 3 13" xfId="8836" xr:uid="{BE56879F-E09A-45D4-8841-1657A61E4CBC}"/>
    <cellStyle name="Comma 4 2 2 3 2" xfId="133" xr:uid="{00000000-0005-0000-0000-0000FE070000}"/>
    <cellStyle name="Comma 4 2 2 3 2 10" xfId="18118" xr:uid="{D52D8BFF-9661-434C-B1DE-8D642C94C8BA}"/>
    <cellStyle name="Comma 4 2 2 3 2 11" xfId="17285" xr:uid="{494060C1-3423-41E8-9FE4-B736FBD621B2}"/>
    <cellStyle name="Comma 4 2 2 3 2 12" xfId="8837" xr:uid="{E5E6235A-61AC-4B4F-9C02-F1EECC95B175}"/>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24894" xr:uid="{A509780B-2E22-427B-90E2-8A2BF0B49C2A}"/>
    <cellStyle name="Comma 4 2 2 3 2 2 2 2 3" xfId="15614" xr:uid="{C88E91E9-97AF-49CE-819F-A71071906C45}"/>
    <cellStyle name="Comma 4 2 2 3 2 2 2 3" xfId="20677" xr:uid="{534831DC-7884-44AB-9F01-AD47ACE234BC}"/>
    <cellStyle name="Comma 4 2 2 3 2 2 2 4" xfId="11396" xr:uid="{6270E1A7-4275-40D1-991F-4688B10884AB}"/>
    <cellStyle name="Comma 4 2 2 3 2 2 3" xfId="5019" xr:uid="{00000000-0005-0000-0000-000002080000}"/>
    <cellStyle name="Comma 4 2 2 3 2 2 3 2" xfId="22749" xr:uid="{77A60324-EB0A-4B1E-AA01-A05314926C3B}"/>
    <cellStyle name="Comma 4 2 2 3 2 2 3 3" xfId="13469" xr:uid="{EFC14AE1-0C36-492F-92CE-B3B1C139B105}"/>
    <cellStyle name="Comma 4 2 2 3 2 2 4" xfId="18532" xr:uid="{DDCA1565-18FA-4F21-91EC-A65FD9C3F8BC}"/>
    <cellStyle name="Comma 4 2 2 3 2 2 5" xfId="17702" xr:uid="{8B652315-4763-4426-9366-86C3C56D5AD3}"/>
    <cellStyle name="Comma 4 2 2 3 2 2 6" xfId="9251" xr:uid="{CC243DFF-EE07-4C4B-BAF1-5DDB31EF53AD}"/>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25307" xr:uid="{FDBD17DD-1490-4622-B0B7-849BB4CB29CA}"/>
    <cellStyle name="Comma 4 2 2 3 2 3 2 2 3" xfId="16027" xr:uid="{2C39BEF1-4090-4B2D-9A24-859A13B15A06}"/>
    <cellStyle name="Comma 4 2 2 3 2 3 2 3" xfId="21090" xr:uid="{56B850F6-6F85-44A5-9FC4-9A38FB976545}"/>
    <cellStyle name="Comma 4 2 2 3 2 3 2 4" xfId="11809" xr:uid="{0E2E3153-7A36-486C-9320-E1871B8ACE08}"/>
    <cellStyle name="Comma 4 2 2 3 2 3 3" xfId="5432" xr:uid="{00000000-0005-0000-0000-000006080000}"/>
    <cellStyle name="Comma 4 2 2 3 2 3 3 2" xfId="23162" xr:uid="{496FA969-BE06-4950-BEEF-3D5D1739C8DA}"/>
    <cellStyle name="Comma 4 2 2 3 2 3 3 3" xfId="13882" xr:uid="{329C4B64-50B1-44F8-B8CA-BA146E0EFDB6}"/>
    <cellStyle name="Comma 4 2 2 3 2 3 4" xfId="18945" xr:uid="{A8E372B2-0862-453C-B346-35AB317E7529}"/>
    <cellStyle name="Comma 4 2 2 3 2 3 5" xfId="9664" xr:uid="{FA53DABD-FB50-49B4-BC6F-AFDB1B7D4FCB}"/>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25720" xr:uid="{DD9C51BB-DE42-47F7-BF68-76B4A5E3F6F4}"/>
    <cellStyle name="Comma 4 2 2 3 2 4 2 2 3" xfId="16440" xr:uid="{45E16E13-3170-4725-8AA2-30466A345C0B}"/>
    <cellStyle name="Comma 4 2 2 3 2 4 2 3" xfId="21503" xr:uid="{A14E791E-33E7-437E-9420-272213903BE9}"/>
    <cellStyle name="Comma 4 2 2 3 2 4 2 4" xfId="12222" xr:uid="{F0F7959B-DEA8-42A0-8E6C-BB19DD029326}"/>
    <cellStyle name="Comma 4 2 2 3 2 4 3" xfId="5845" xr:uid="{00000000-0005-0000-0000-00000A080000}"/>
    <cellStyle name="Comma 4 2 2 3 2 4 3 2" xfId="23575" xr:uid="{4775DED6-996D-427D-8A9C-E9854A68AF3D}"/>
    <cellStyle name="Comma 4 2 2 3 2 4 3 3" xfId="14295" xr:uid="{3F1B1377-287D-4790-A7AF-667EE07EE019}"/>
    <cellStyle name="Comma 4 2 2 3 2 4 4" xfId="19358" xr:uid="{B50D7347-AEFF-4DB7-BFB0-B794D3BF034D}"/>
    <cellStyle name="Comma 4 2 2 3 2 4 5" xfId="10077" xr:uid="{36363394-BC8D-4AD3-B2BE-919264F51349}"/>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26133" xr:uid="{B4246FC3-23F2-4EE5-B8E6-4A885405EAC5}"/>
    <cellStyle name="Comma 4 2 2 3 2 5 2 2 3" xfId="16853" xr:uid="{EFC41D45-F501-436B-BE77-9E9CE00EF626}"/>
    <cellStyle name="Comma 4 2 2 3 2 5 2 3" xfId="21916" xr:uid="{237A9664-DE2F-4B16-A4FD-868A9DEB586A}"/>
    <cellStyle name="Comma 4 2 2 3 2 5 2 4" xfId="12635" xr:uid="{A43DA138-8B45-4F8D-B18F-008B08F922D8}"/>
    <cellStyle name="Comma 4 2 2 3 2 5 3" xfId="6258" xr:uid="{00000000-0005-0000-0000-00000E080000}"/>
    <cellStyle name="Comma 4 2 2 3 2 5 3 2" xfId="23988" xr:uid="{9AD1A44F-C428-4BA4-BBDB-649CBD282BEC}"/>
    <cellStyle name="Comma 4 2 2 3 2 5 3 3" xfId="14708" xr:uid="{19D44491-FF1B-4805-A307-4B7E310216DF}"/>
    <cellStyle name="Comma 4 2 2 3 2 5 4" xfId="19771" xr:uid="{9D68DA04-5F66-41AD-AC93-CC1BC9AE2D8C}"/>
    <cellStyle name="Comma 4 2 2 3 2 5 5" xfId="10490" xr:uid="{E46406A1-8C47-4888-B95E-39F8D855021A}"/>
    <cellStyle name="Comma 4 2 2 3 2 6" xfId="2387" xr:uid="{00000000-0005-0000-0000-00000F080000}"/>
    <cellStyle name="Comma 4 2 2 3 2 6 2" xfId="6671" xr:uid="{00000000-0005-0000-0000-000010080000}"/>
    <cellStyle name="Comma 4 2 2 3 2 6 2 2" xfId="24401" xr:uid="{C1875B50-57B7-485C-AA12-E0D019B53ABB}"/>
    <cellStyle name="Comma 4 2 2 3 2 6 2 3" xfId="15121" xr:uid="{1E274222-DD94-4A6D-9B68-5B1B1AC28BBD}"/>
    <cellStyle name="Comma 4 2 2 3 2 6 3" xfId="20184" xr:uid="{A00F38F9-36C6-4303-B768-A9468877CADC}"/>
    <cellStyle name="Comma 4 2 2 3 2 6 4" xfId="10903" xr:uid="{13EAD297-130A-4127-8B01-474093091687}"/>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24718" xr:uid="{D84EFEEE-056E-445D-877F-4D7A6894938C}"/>
    <cellStyle name="Comma 4 2 2 3 2 8 2 3" xfId="15438" xr:uid="{68BC6D75-1B99-48BA-98EC-DEDF226F2B9C}"/>
    <cellStyle name="Comma 4 2 2 3 2 8 3" xfId="20501" xr:uid="{89B8FF59-DC47-4FAE-B8F8-6A367AF3B560}"/>
    <cellStyle name="Comma 4 2 2 3 2 8 4" xfId="11220" xr:uid="{4CF3D685-8285-4D32-814E-0D0AE200670A}"/>
    <cellStyle name="Comma 4 2 2 3 2 9" xfId="4605" xr:uid="{00000000-0005-0000-0000-000014080000}"/>
    <cellStyle name="Comma 4 2 2 3 2 9 2" xfId="22335" xr:uid="{D5C21FBC-98AC-454E-A006-EC0EF5C37A49}"/>
    <cellStyle name="Comma 4 2 2 3 2 9 3" xfId="13055" xr:uid="{4FA40869-09B7-40BF-8C6C-BDDDC7745ECE}"/>
    <cellStyle name="Comma 4 2 2 3 3" xfId="670" xr:uid="{00000000-0005-0000-0000-000015080000}"/>
    <cellStyle name="Comma 4 2 2 3 3 2" xfId="2941" xr:uid="{00000000-0005-0000-0000-000016080000}"/>
    <cellStyle name="Comma 4 2 2 3 3 2 2" xfId="7163" xr:uid="{00000000-0005-0000-0000-000017080000}"/>
    <cellStyle name="Comma 4 2 2 3 3 2 2 2" xfId="24893" xr:uid="{B03B82B0-D1BA-4B2E-96D2-4F9F35A874FC}"/>
    <cellStyle name="Comma 4 2 2 3 3 2 2 3" xfId="15613" xr:uid="{A6547900-DB81-44BE-85E5-17CEA2FDB25A}"/>
    <cellStyle name="Comma 4 2 2 3 3 2 3" xfId="20676" xr:uid="{D5AFF018-520E-4BAB-BBD8-A856515E5DC2}"/>
    <cellStyle name="Comma 4 2 2 3 3 2 4" xfId="11395" xr:uid="{98997BB8-86AC-4B96-A179-5CBD628572DB}"/>
    <cellStyle name="Comma 4 2 2 3 3 3" xfId="5018" xr:uid="{00000000-0005-0000-0000-000018080000}"/>
    <cellStyle name="Comma 4 2 2 3 3 3 2" xfId="22748" xr:uid="{A2D4D497-63E1-4A9E-A471-F0D5B078B1F6}"/>
    <cellStyle name="Comma 4 2 2 3 3 3 3" xfId="13468" xr:uid="{EC73C117-A4A0-471C-9FBB-161D10A238EE}"/>
    <cellStyle name="Comma 4 2 2 3 3 4" xfId="18531" xr:uid="{C1BEEFB5-45BC-4B94-BB99-54141DE69905}"/>
    <cellStyle name="Comma 4 2 2 3 3 5" xfId="17701" xr:uid="{2B263C76-EDFB-471F-AF54-3084F9F249B8}"/>
    <cellStyle name="Comma 4 2 2 3 3 6" xfId="9250" xr:uid="{195C1586-EC88-4CF9-933E-2B5F72E06277}"/>
    <cellStyle name="Comma 4 2 2 3 4" xfId="1123" xr:uid="{00000000-0005-0000-0000-000019080000}"/>
    <cellStyle name="Comma 4 2 2 3 4 2" xfId="3354" xr:uid="{00000000-0005-0000-0000-00001A080000}"/>
    <cellStyle name="Comma 4 2 2 3 4 2 2" xfId="7576" xr:uid="{00000000-0005-0000-0000-00001B080000}"/>
    <cellStyle name="Comma 4 2 2 3 4 2 2 2" xfId="25306" xr:uid="{499C5A6D-356A-452B-9747-A8F3F28CF9A1}"/>
    <cellStyle name="Comma 4 2 2 3 4 2 2 3" xfId="16026" xr:uid="{C16A2C0A-9EE6-45FD-9C2D-975FC09B108A}"/>
    <cellStyle name="Comma 4 2 2 3 4 2 3" xfId="21089" xr:uid="{5979E7FB-267E-4002-BE4B-A175288B564E}"/>
    <cellStyle name="Comma 4 2 2 3 4 2 4" xfId="11808" xr:uid="{279BD90C-AB7F-4C74-B9BB-3C12BEB64110}"/>
    <cellStyle name="Comma 4 2 2 3 4 3" xfId="5431" xr:uid="{00000000-0005-0000-0000-00001C080000}"/>
    <cellStyle name="Comma 4 2 2 3 4 3 2" xfId="23161" xr:uid="{0A883DD9-E5CF-4171-AE1D-0968A0CEA564}"/>
    <cellStyle name="Comma 4 2 2 3 4 3 3" xfId="13881" xr:uid="{C101D759-4E99-44CB-B830-591D36447286}"/>
    <cellStyle name="Comma 4 2 2 3 4 4" xfId="18944" xr:uid="{CAE65AF0-C45A-4419-B91E-2DFFAEFEC0AB}"/>
    <cellStyle name="Comma 4 2 2 3 4 5" xfId="9663" xr:uid="{18ED1A9D-F07A-4942-B0A3-C74A3D5E5E8F}"/>
    <cellStyle name="Comma 4 2 2 3 5" xfId="1537" xr:uid="{00000000-0005-0000-0000-00001D080000}"/>
    <cellStyle name="Comma 4 2 2 3 5 2" xfId="3767" xr:uid="{00000000-0005-0000-0000-00001E080000}"/>
    <cellStyle name="Comma 4 2 2 3 5 2 2" xfId="7989" xr:uid="{00000000-0005-0000-0000-00001F080000}"/>
    <cellStyle name="Comma 4 2 2 3 5 2 2 2" xfId="25719" xr:uid="{1C22DC25-9E25-422B-9746-91C024276F9C}"/>
    <cellStyle name="Comma 4 2 2 3 5 2 2 3" xfId="16439" xr:uid="{5DE2B2A7-9833-4FEE-84D2-BE151BA9623F}"/>
    <cellStyle name="Comma 4 2 2 3 5 2 3" xfId="21502" xr:uid="{1CA18B47-FA7C-4B25-BD92-EB166E6015A7}"/>
    <cellStyle name="Comma 4 2 2 3 5 2 4" xfId="12221" xr:uid="{7BEFF080-DD96-4236-BEDF-9FFDB425399D}"/>
    <cellStyle name="Comma 4 2 2 3 5 3" xfId="5844" xr:uid="{00000000-0005-0000-0000-000020080000}"/>
    <cellStyle name="Comma 4 2 2 3 5 3 2" xfId="23574" xr:uid="{87D74561-A8EC-4B87-9592-5DA2A693BA50}"/>
    <cellStyle name="Comma 4 2 2 3 5 3 3" xfId="14294" xr:uid="{1F8D14FA-B870-4BD0-AE82-4EC56A085C22}"/>
    <cellStyle name="Comma 4 2 2 3 5 4" xfId="19357" xr:uid="{EDDEB03C-8585-4D7C-B81C-37A316A95D10}"/>
    <cellStyle name="Comma 4 2 2 3 5 5" xfId="10076" xr:uid="{8218DA60-7312-4B23-ABC0-9DBA8D2A4131}"/>
    <cellStyle name="Comma 4 2 2 3 6" xfId="1951" xr:uid="{00000000-0005-0000-0000-000021080000}"/>
    <cellStyle name="Comma 4 2 2 3 6 2" xfId="4180" xr:uid="{00000000-0005-0000-0000-000022080000}"/>
    <cellStyle name="Comma 4 2 2 3 6 2 2" xfId="8402" xr:uid="{00000000-0005-0000-0000-000023080000}"/>
    <cellStyle name="Comma 4 2 2 3 6 2 2 2" xfId="26132" xr:uid="{C8121F55-E7AF-479A-90C2-7E5DF1AA17F7}"/>
    <cellStyle name="Comma 4 2 2 3 6 2 2 3" xfId="16852" xr:uid="{D907C43C-0531-414B-B34F-59524A216E55}"/>
    <cellStyle name="Comma 4 2 2 3 6 2 3" xfId="21915" xr:uid="{D2C9F6D5-A289-4E2B-B2E0-2438A825B3A2}"/>
    <cellStyle name="Comma 4 2 2 3 6 2 4" xfId="12634" xr:uid="{7361E193-E1B5-4456-ACF9-FD1320F26B29}"/>
    <cellStyle name="Comma 4 2 2 3 6 3" xfId="6257" xr:uid="{00000000-0005-0000-0000-000024080000}"/>
    <cellStyle name="Comma 4 2 2 3 6 3 2" xfId="23987" xr:uid="{BE482524-F22D-4663-AC7B-F902654093C5}"/>
    <cellStyle name="Comma 4 2 2 3 6 3 3" xfId="14707" xr:uid="{47929F5D-E3D1-4760-AF42-7931B7C67FEE}"/>
    <cellStyle name="Comma 4 2 2 3 6 4" xfId="19770" xr:uid="{F01467DD-AF6F-4757-B3D6-C8695E4E2EFB}"/>
    <cellStyle name="Comma 4 2 2 3 6 5" xfId="10489" xr:uid="{1EAD91ED-CF07-45DF-9F40-4FCFB3915B61}"/>
    <cellStyle name="Comma 4 2 2 3 7" xfId="2386" xr:uid="{00000000-0005-0000-0000-000025080000}"/>
    <cellStyle name="Comma 4 2 2 3 7 2" xfId="6670" xr:uid="{00000000-0005-0000-0000-000026080000}"/>
    <cellStyle name="Comma 4 2 2 3 7 2 2" xfId="24400" xr:uid="{E5F0B080-E18A-4CBF-AB82-75D968862249}"/>
    <cellStyle name="Comma 4 2 2 3 7 2 3" xfId="15120" xr:uid="{5BFA393D-AC5F-49A2-BE05-17677DDB20F0}"/>
    <cellStyle name="Comma 4 2 2 3 7 3" xfId="20183" xr:uid="{1E9151CD-08F7-4AC9-AFCB-8DC0DA710272}"/>
    <cellStyle name="Comma 4 2 2 3 7 4" xfId="10902" xr:uid="{A99F2D12-AC9B-4BC4-9CA3-0E5EDB5CEFD5}"/>
    <cellStyle name="Comma 4 2 2 3 8" xfId="2377" xr:uid="{00000000-0005-0000-0000-000027080000}"/>
    <cellStyle name="Comma 4 2 2 3 9" xfId="2764" xr:uid="{00000000-0005-0000-0000-000028080000}"/>
    <cellStyle name="Comma 4 2 2 3 9 2" xfId="6987" xr:uid="{00000000-0005-0000-0000-000029080000}"/>
    <cellStyle name="Comma 4 2 2 3 9 2 2" xfId="24717" xr:uid="{F4CE2F28-4E3D-4C7F-8315-867A6CD182A4}"/>
    <cellStyle name="Comma 4 2 2 3 9 2 3" xfId="15437" xr:uid="{80856AA9-EAB0-47CD-BFD2-8C5ED5B1F841}"/>
    <cellStyle name="Comma 4 2 2 3 9 3" xfId="20500" xr:uid="{DCCC8A47-5E0C-49DD-9380-045C9F2C473D}"/>
    <cellStyle name="Comma 4 2 2 3 9 4" xfId="11219" xr:uid="{88461E41-1DFC-4FCB-9730-61EBA837371D}"/>
    <cellStyle name="Comma 4 2 2 4" xfId="134" xr:uid="{00000000-0005-0000-0000-00002A080000}"/>
    <cellStyle name="Comma 4 2 2 4 10" xfId="18119" xr:uid="{939C5173-1C63-42C6-B2F5-9C27E260713F}"/>
    <cellStyle name="Comma 4 2 2 4 11" xfId="17286" xr:uid="{501F01B1-3333-4688-BE09-4C92BD35E42E}"/>
    <cellStyle name="Comma 4 2 2 4 12" xfId="8838" xr:uid="{8931130F-42DA-4EBF-8759-D49E9A8291D2}"/>
    <cellStyle name="Comma 4 2 2 4 2" xfId="672" xr:uid="{00000000-0005-0000-0000-00002B080000}"/>
    <cellStyle name="Comma 4 2 2 4 2 2" xfId="2943" xr:uid="{00000000-0005-0000-0000-00002C080000}"/>
    <cellStyle name="Comma 4 2 2 4 2 2 2" xfId="7165" xr:uid="{00000000-0005-0000-0000-00002D080000}"/>
    <cellStyle name="Comma 4 2 2 4 2 2 2 2" xfId="24895" xr:uid="{B10898BD-B020-4A60-92A2-A438E1958F99}"/>
    <cellStyle name="Comma 4 2 2 4 2 2 2 3" xfId="15615" xr:uid="{AC117A57-2900-45C0-85CD-11E6DCD7363A}"/>
    <cellStyle name="Comma 4 2 2 4 2 2 3" xfId="20678" xr:uid="{B88C9514-1273-4B98-A3F9-5A7809B49BF8}"/>
    <cellStyle name="Comma 4 2 2 4 2 2 4" xfId="11397" xr:uid="{E3FC3469-37FE-4E37-815A-CD5CADD8DCB9}"/>
    <cellStyle name="Comma 4 2 2 4 2 3" xfId="5020" xr:uid="{00000000-0005-0000-0000-00002E080000}"/>
    <cellStyle name="Comma 4 2 2 4 2 3 2" xfId="22750" xr:uid="{269C5F5F-C42B-4169-A095-8738B43BC5D9}"/>
    <cellStyle name="Comma 4 2 2 4 2 3 3" xfId="13470" xr:uid="{ED6C031B-273D-49CE-A9BC-B8C439C0C2E3}"/>
    <cellStyle name="Comma 4 2 2 4 2 4" xfId="18533" xr:uid="{169F3CC8-F58F-4797-8A1B-B29B855D9868}"/>
    <cellStyle name="Comma 4 2 2 4 2 5" xfId="17703" xr:uid="{AD25BD0C-6867-494D-98A4-7E9411CDF9F6}"/>
    <cellStyle name="Comma 4 2 2 4 2 6" xfId="9252" xr:uid="{EFCBDF40-2D33-499A-B477-CCE161C6C3E2}"/>
    <cellStyle name="Comma 4 2 2 4 3" xfId="1125" xr:uid="{00000000-0005-0000-0000-00002F080000}"/>
    <cellStyle name="Comma 4 2 2 4 3 2" xfId="3356" xr:uid="{00000000-0005-0000-0000-000030080000}"/>
    <cellStyle name="Comma 4 2 2 4 3 2 2" xfId="7578" xr:uid="{00000000-0005-0000-0000-000031080000}"/>
    <cellStyle name="Comma 4 2 2 4 3 2 2 2" xfId="25308" xr:uid="{91550619-7166-443D-89A8-5ABD5D9FB402}"/>
    <cellStyle name="Comma 4 2 2 4 3 2 2 3" xfId="16028" xr:uid="{2A42EA60-521B-4BC0-81CE-6210F27FBA4B}"/>
    <cellStyle name="Comma 4 2 2 4 3 2 3" xfId="21091" xr:uid="{E5AAFFB2-A48B-490C-8ADE-9DFCD211061C}"/>
    <cellStyle name="Comma 4 2 2 4 3 2 4" xfId="11810" xr:uid="{74AC8FCB-D712-4B3B-B77D-9C3D8F85DB20}"/>
    <cellStyle name="Comma 4 2 2 4 3 3" xfId="5433" xr:uid="{00000000-0005-0000-0000-000032080000}"/>
    <cellStyle name="Comma 4 2 2 4 3 3 2" xfId="23163" xr:uid="{BCC87773-875A-4F80-8D02-EA1A51FF7205}"/>
    <cellStyle name="Comma 4 2 2 4 3 3 3" xfId="13883" xr:uid="{7E66254A-9653-4841-A940-420D6941F9A7}"/>
    <cellStyle name="Comma 4 2 2 4 3 4" xfId="18946" xr:uid="{5E72C277-BB30-4BC4-B767-FD9F1077D558}"/>
    <cellStyle name="Comma 4 2 2 4 3 5" xfId="9665" xr:uid="{F783D53D-B5B3-4FEA-95AF-A8A1D28377DA}"/>
    <cellStyle name="Comma 4 2 2 4 4" xfId="1539" xr:uid="{00000000-0005-0000-0000-000033080000}"/>
    <cellStyle name="Comma 4 2 2 4 4 2" xfId="3769" xr:uid="{00000000-0005-0000-0000-000034080000}"/>
    <cellStyle name="Comma 4 2 2 4 4 2 2" xfId="7991" xr:uid="{00000000-0005-0000-0000-000035080000}"/>
    <cellStyle name="Comma 4 2 2 4 4 2 2 2" xfId="25721" xr:uid="{716AD0ED-D41D-4FE0-AC96-621EC28EDBA3}"/>
    <cellStyle name="Comma 4 2 2 4 4 2 2 3" xfId="16441" xr:uid="{6DA74345-69CB-4E0A-817A-AB1640390D5B}"/>
    <cellStyle name="Comma 4 2 2 4 4 2 3" xfId="21504" xr:uid="{557AB0E4-EF1A-4CE4-BF8F-B743EC6119CC}"/>
    <cellStyle name="Comma 4 2 2 4 4 2 4" xfId="12223" xr:uid="{4010D39A-F5B3-4028-9FD3-A967A19D8723}"/>
    <cellStyle name="Comma 4 2 2 4 4 3" xfId="5846" xr:uid="{00000000-0005-0000-0000-000036080000}"/>
    <cellStyle name="Comma 4 2 2 4 4 3 2" xfId="23576" xr:uid="{66C32425-186C-49DB-8900-95301A62139D}"/>
    <cellStyle name="Comma 4 2 2 4 4 3 3" xfId="14296" xr:uid="{4DCA561C-E437-471C-B589-4B9968406BAA}"/>
    <cellStyle name="Comma 4 2 2 4 4 4" xfId="19359" xr:uid="{E3EA9AAC-18B1-43ED-B947-3FCA41BDE51A}"/>
    <cellStyle name="Comma 4 2 2 4 4 5" xfId="10078" xr:uid="{39FC9D24-7E6D-44A8-936D-753E8C77E849}"/>
    <cellStyle name="Comma 4 2 2 4 5" xfId="1953" xr:uid="{00000000-0005-0000-0000-000037080000}"/>
    <cellStyle name="Comma 4 2 2 4 5 2" xfId="4182" xr:uid="{00000000-0005-0000-0000-000038080000}"/>
    <cellStyle name="Comma 4 2 2 4 5 2 2" xfId="8404" xr:uid="{00000000-0005-0000-0000-000039080000}"/>
    <cellStyle name="Comma 4 2 2 4 5 2 2 2" xfId="26134" xr:uid="{9FC4A4A1-4925-459E-B688-8A34A935E80D}"/>
    <cellStyle name="Comma 4 2 2 4 5 2 2 3" xfId="16854" xr:uid="{861CFF45-9A61-4897-B408-B17FE5A8314B}"/>
    <cellStyle name="Comma 4 2 2 4 5 2 3" xfId="21917" xr:uid="{4E7DF66B-D04F-4127-B5EB-F397BE978EAB}"/>
    <cellStyle name="Comma 4 2 2 4 5 2 4" xfId="12636" xr:uid="{910A0A2B-FF53-46BA-A09B-D5FFD57987F7}"/>
    <cellStyle name="Comma 4 2 2 4 5 3" xfId="6259" xr:uid="{00000000-0005-0000-0000-00003A080000}"/>
    <cellStyle name="Comma 4 2 2 4 5 3 2" xfId="23989" xr:uid="{0C563E1C-9D27-4EC7-8CF2-96AD0164CFF9}"/>
    <cellStyle name="Comma 4 2 2 4 5 3 3" xfId="14709" xr:uid="{D93B53B4-688F-4751-BE09-B8D295C66AAB}"/>
    <cellStyle name="Comma 4 2 2 4 5 4" xfId="19772" xr:uid="{7D6A2165-57C2-42DF-90E4-2EA922384C13}"/>
    <cellStyle name="Comma 4 2 2 4 5 5" xfId="10491" xr:uid="{81D91F8B-3FA6-42FF-BC73-C7730DFDF42C}"/>
    <cellStyle name="Comma 4 2 2 4 6" xfId="2388" xr:uid="{00000000-0005-0000-0000-00003B080000}"/>
    <cellStyle name="Comma 4 2 2 4 6 2" xfId="6672" xr:uid="{00000000-0005-0000-0000-00003C080000}"/>
    <cellStyle name="Comma 4 2 2 4 6 2 2" xfId="24402" xr:uid="{88F74EDA-87D5-4449-9D29-F431471B642F}"/>
    <cellStyle name="Comma 4 2 2 4 6 2 3" xfId="15122" xr:uid="{42945818-3B00-458D-AF41-7805E7442024}"/>
    <cellStyle name="Comma 4 2 2 4 6 3" xfId="20185" xr:uid="{451F8363-792A-4163-8FE5-A7CFF8FCBD33}"/>
    <cellStyle name="Comma 4 2 2 4 6 4" xfId="10904" xr:uid="{57E01FDD-A917-4C51-BFC7-593A0D231B0A}"/>
    <cellStyle name="Comma 4 2 2 4 7" xfId="2375" xr:uid="{00000000-0005-0000-0000-00003D080000}"/>
    <cellStyle name="Comma 4 2 2 4 8" xfId="2766" xr:uid="{00000000-0005-0000-0000-00003E080000}"/>
    <cellStyle name="Comma 4 2 2 4 8 2" xfId="6989" xr:uid="{00000000-0005-0000-0000-00003F080000}"/>
    <cellStyle name="Comma 4 2 2 4 8 2 2" xfId="24719" xr:uid="{BE7EF4AD-8B7C-4403-9B0A-6E932F87BF40}"/>
    <cellStyle name="Comma 4 2 2 4 8 2 3" xfId="15439" xr:uid="{16087CFA-A0F4-4EA8-A594-6981C1201C76}"/>
    <cellStyle name="Comma 4 2 2 4 8 3" xfId="20502" xr:uid="{1712E913-201E-4A70-BD6E-48F372F2EBC9}"/>
    <cellStyle name="Comma 4 2 2 4 8 4" xfId="11221" xr:uid="{93EC4727-95AE-4604-AF11-E73D3A763C9C}"/>
    <cellStyle name="Comma 4 2 2 4 9" xfId="4606" xr:uid="{00000000-0005-0000-0000-000040080000}"/>
    <cellStyle name="Comma 4 2 2 4 9 2" xfId="22336" xr:uid="{1B4CAA20-61EE-411D-A1E1-9DACBC0D89D7}"/>
    <cellStyle name="Comma 4 2 2 4 9 3" xfId="13056" xr:uid="{3B1A1804-D11D-4B75-8319-A750F9BEF1F8}"/>
    <cellStyle name="Comma 4 2 2 5" xfId="135" xr:uid="{00000000-0005-0000-0000-000041080000}"/>
    <cellStyle name="Comma 4 2 2 5 10" xfId="18120" xr:uid="{DFC6DD84-8C17-4E81-B49C-67221F85FD6E}"/>
    <cellStyle name="Comma 4 2 2 5 11" xfId="17287" xr:uid="{21BF2CC9-C8DA-40CA-9252-66D86A692D50}"/>
    <cellStyle name="Comma 4 2 2 5 12" xfId="8839" xr:uid="{383553CF-2702-435F-BB32-DA7557FF12B9}"/>
    <cellStyle name="Comma 4 2 2 5 2" xfId="673" xr:uid="{00000000-0005-0000-0000-000042080000}"/>
    <cellStyle name="Comma 4 2 2 5 2 2" xfId="2944" xr:uid="{00000000-0005-0000-0000-000043080000}"/>
    <cellStyle name="Comma 4 2 2 5 2 2 2" xfId="7166" xr:uid="{00000000-0005-0000-0000-000044080000}"/>
    <cellStyle name="Comma 4 2 2 5 2 2 2 2" xfId="24896" xr:uid="{514BA4BD-B74B-47D7-95B0-DEC068163B76}"/>
    <cellStyle name="Comma 4 2 2 5 2 2 2 3" xfId="15616" xr:uid="{D8D6BCE0-286A-4CB4-9F1E-C0B4F4C32115}"/>
    <cellStyle name="Comma 4 2 2 5 2 2 3" xfId="20679" xr:uid="{C100AE1C-D96B-4ED1-A3A4-A45D69177023}"/>
    <cellStyle name="Comma 4 2 2 5 2 2 4" xfId="11398" xr:uid="{266D212A-1B80-4907-BF8F-71957EDFD412}"/>
    <cellStyle name="Comma 4 2 2 5 2 3" xfId="5021" xr:uid="{00000000-0005-0000-0000-000045080000}"/>
    <cellStyle name="Comma 4 2 2 5 2 3 2" xfId="22751" xr:uid="{CBC6ADDE-050C-4FDD-8589-74EFE1449C00}"/>
    <cellStyle name="Comma 4 2 2 5 2 3 3" xfId="13471" xr:uid="{C2AC21F4-D024-4738-BCBB-A729E365AF93}"/>
    <cellStyle name="Comma 4 2 2 5 2 4" xfId="18534" xr:uid="{CC92A75C-0710-4F97-BA77-4268238A53AA}"/>
    <cellStyle name="Comma 4 2 2 5 2 5" xfId="17704" xr:uid="{6FF59CB2-DA18-47FB-B387-9045EE039AE0}"/>
    <cellStyle name="Comma 4 2 2 5 2 6" xfId="9253" xr:uid="{94F3C3CD-B40A-4EFA-8424-6A238A3708F5}"/>
    <cellStyle name="Comma 4 2 2 5 3" xfId="1126" xr:uid="{00000000-0005-0000-0000-000046080000}"/>
    <cellStyle name="Comma 4 2 2 5 3 2" xfId="3357" xr:uid="{00000000-0005-0000-0000-000047080000}"/>
    <cellStyle name="Comma 4 2 2 5 3 2 2" xfId="7579" xr:uid="{00000000-0005-0000-0000-000048080000}"/>
    <cellStyle name="Comma 4 2 2 5 3 2 2 2" xfId="25309" xr:uid="{8FC6A86F-8B03-4699-BFEF-E4F74B0D42FD}"/>
    <cellStyle name="Comma 4 2 2 5 3 2 2 3" xfId="16029" xr:uid="{A840AA88-B560-46B5-BE9F-802B6D145F50}"/>
    <cellStyle name="Comma 4 2 2 5 3 2 3" xfId="21092" xr:uid="{3462AC78-FC59-49C5-97B7-D080C2FE1779}"/>
    <cellStyle name="Comma 4 2 2 5 3 2 4" xfId="11811" xr:uid="{C561BEB0-0B50-49D1-912F-594BAC3070DB}"/>
    <cellStyle name="Comma 4 2 2 5 3 3" xfId="5434" xr:uid="{00000000-0005-0000-0000-000049080000}"/>
    <cellStyle name="Comma 4 2 2 5 3 3 2" xfId="23164" xr:uid="{FC86B761-3D71-4E6E-9CFD-9C0FA40501D5}"/>
    <cellStyle name="Comma 4 2 2 5 3 3 3" xfId="13884" xr:uid="{078B0E2B-06E9-4FF7-BDAF-06FFE66E13AD}"/>
    <cellStyle name="Comma 4 2 2 5 3 4" xfId="18947" xr:uid="{81B6F0B9-3F6B-40C1-B99D-12C0B825743C}"/>
    <cellStyle name="Comma 4 2 2 5 3 5" xfId="9666" xr:uid="{9A940002-7E68-45F3-8BDC-B254D2A7CF60}"/>
    <cellStyle name="Comma 4 2 2 5 4" xfId="1540" xr:uid="{00000000-0005-0000-0000-00004A080000}"/>
    <cellStyle name="Comma 4 2 2 5 4 2" xfId="3770" xr:uid="{00000000-0005-0000-0000-00004B080000}"/>
    <cellStyle name="Comma 4 2 2 5 4 2 2" xfId="7992" xr:uid="{00000000-0005-0000-0000-00004C080000}"/>
    <cellStyle name="Comma 4 2 2 5 4 2 2 2" xfId="25722" xr:uid="{EC68F2F0-4A8E-41B2-B15E-C238B16FC476}"/>
    <cellStyle name="Comma 4 2 2 5 4 2 2 3" xfId="16442" xr:uid="{ED8A2F35-3D9D-4FD0-8C8C-47B410F1E152}"/>
    <cellStyle name="Comma 4 2 2 5 4 2 3" xfId="21505" xr:uid="{7F3B011B-F123-43D0-82A3-0D6FEAB1ABB5}"/>
    <cellStyle name="Comma 4 2 2 5 4 2 4" xfId="12224" xr:uid="{88FBFAC4-F0EE-4C3C-BF65-E0FF6E871379}"/>
    <cellStyle name="Comma 4 2 2 5 4 3" xfId="5847" xr:uid="{00000000-0005-0000-0000-00004D080000}"/>
    <cellStyle name="Comma 4 2 2 5 4 3 2" xfId="23577" xr:uid="{6EDF89D7-6141-4F1A-B201-A197D437EE2E}"/>
    <cellStyle name="Comma 4 2 2 5 4 3 3" xfId="14297" xr:uid="{7EC16C00-D176-4E63-8822-65FC9A40579E}"/>
    <cellStyle name="Comma 4 2 2 5 4 4" xfId="19360" xr:uid="{9C27075C-69DA-44E2-8DA9-AA136F2E8F0A}"/>
    <cellStyle name="Comma 4 2 2 5 4 5" xfId="10079" xr:uid="{A71F0DEB-1696-408D-BCFF-6003BDBEC303}"/>
    <cellStyle name="Comma 4 2 2 5 5" xfId="1954" xr:uid="{00000000-0005-0000-0000-00004E080000}"/>
    <cellStyle name="Comma 4 2 2 5 5 2" xfId="4183" xr:uid="{00000000-0005-0000-0000-00004F080000}"/>
    <cellStyle name="Comma 4 2 2 5 5 2 2" xfId="8405" xr:uid="{00000000-0005-0000-0000-000050080000}"/>
    <cellStyle name="Comma 4 2 2 5 5 2 2 2" xfId="26135" xr:uid="{6E90A536-AEC7-4440-8E39-C32E29CBDD88}"/>
    <cellStyle name="Comma 4 2 2 5 5 2 2 3" xfId="16855" xr:uid="{93740221-9AD1-464F-A325-BD3387B80918}"/>
    <cellStyle name="Comma 4 2 2 5 5 2 3" xfId="21918" xr:uid="{ECC3C0B3-7CA3-42F3-8211-FC586A01BC67}"/>
    <cellStyle name="Comma 4 2 2 5 5 2 4" xfId="12637" xr:uid="{0C3DF7C3-B7C4-4002-8EE0-A86C8737C3E6}"/>
    <cellStyle name="Comma 4 2 2 5 5 3" xfId="6260" xr:uid="{00000000-0005-0000-0000-000051080000}"/>
    <cellStyle name="Comma 4 2 2 5 5 3 2" xfId="23990" xr:uid="{DEDC72B8-78F8-44D1-98D7-EB6FF1DD03C1}"/>
    <cellStyle name="Comma 4 2 2 5 5 3 3" xfId="14710" xr:uid="{C8C09D8D-E4CE-4B44-BCB2-46C9FEBFA7BC}"/>
    <cellStyle name="Comma 4 2 2 5 5 4" xfId="19773" xr:uid="{120EDF5B-6939-4991-8B1D-8AEB99CC33FD}"/>
    <cellStyle name="Comma 4 2 2 5 5 5" xfId="10492" xr:uid="{17BB2830-DEFC-4D3E-A8B1-3B4F37896C2B}"/>
    <cellStyle name="Comma 4 2 2 5 6" xfId="2389" xr:uid="{00000000-0005-0000-0000-000052080000}"/>
    <cellStyle name="Comma 4 2 2 5 6 2" xfId="6673" xr:uid="{00000000-0005-0000-0000-000053080000}"/>
    <cellStyle name="Comma 4 2 2 5 6 2 2" xfId="24403" xr:uid="{468F8A9A-58DA-4012-A5ED-0AF3C61C8E96}"/>
    <cellStyle name="Comma 4 2 2 5 6 2 3" xfId="15123" xr:uid="{DB9B7636-80F1-4A9B-941A-E80788EFBF08}"/>
    <cellStyle name="Comma 4 2 2 5 6 3" xfId="20186" xr:uid="{9079F2DE-7A59-4FA5-A21B-1A5ED22BFAA5}"/>
    <cellStyle name="Comma 4 2 2 5 6 4" xfId="10905" xr:uid="{AB986B98-18E0-48A1-B0EF-4BE3A2E043EF}"/>
    <cellStyle name="Comma 4 2 2 5 7" xfId="2374" xr:uid="{00000000-0005-0000-0000-000054080000}"/>
    <cellStyle name="Comma 4 2 2 5 8" xfId="2767" xr:uid="{00000000-0005-0000-0000-000055080000}"/>
    <cellStyle name="Comma 4 2 2 5 8 2" xfId="6990" xr:uid="{00000000-0005-0000-0000-000056080000}"/>
    <cellStyle name="Comma 4 2 2 5 8 2 2" xfId="24720" xr:uid="{3F647C5A-3E90-4171-B10B-804B6E14322B}"/>
    <cellStyle name="Comma 4 2 2 5 8 2 3" xfId="15440" xr:uid="{DAE0C5A9-4EC6-4E3A-9C75-C4392924572A}"/>
    <cellStyle name="Comma 4 2 2 5 8 3" xfId="20503" xr:uid="{719A4078-EC04-44E7-8627-9CB79ACD59BD}"/>
    <cellStyle name="Comma 4 2 2 5 8 4" xfId="11222" xr:uid="{D128AD72-71D9-420B-900D-E6C1D56013F8}"/>
    <cellStyle name="Comma 4 2 2 5 9" xfId="4607" xr:uid="{00000000-0005-0000-0000-000057080000}"/>
    <cellStyle name="Comma 4 2 2 5 9 2" xfId="22337" xr:uid="{3AA6DFA0-151B-4524-8B3F-D4D309A09024}"/>
    <cellStyle name="Comma 4 2 2 5 9 3" xfId="13057" xr:uid="{371FD1BF-91C7-4B7D-84B3-CDA97560E29C}"/>
    <cellStyle name="Comma 4 2 3" xfId="136" xr:uid="{00000000-0005-0000-0000-000058080000}"/>
    <cellStyle name="Comma 4 2 3 10" xfId="2768" xr:uid="{00000000-0005-0000-0000-000059080000}"/>
    <cellStyle name="Comma 4 2 3 10 2" xfId="6991" xr:uid="{00000000-0005-0000-0000-00005A080000}"/>
    <cellStyle name="Comma 4 2 3 10 2 2" xfId="24721" xr:uid="{EAD65981-FCC4-42D4-845E-A273FBFD45A4}"/>
    <cellStyle name="Comma 4 2 3 10 2 3" xfId="15441" xr:uid="{E59D613B-309F-4BCF-9361-7A0CD6BB2A5D}"/>
    <cellStyle name="Comma 4 2 3 10 3" xfId="20504" xr:uid="{C1260E25-B05B-44DA-8005-1966AB2ACD2E}"/>
    <cellStyle name="Comma 4 2 3 10 4" xfId="11223" xr:uid="{4B87FEEC-FD84-49DE-A737-0E273B0BD19C}"/>
    <cellStyle name="Comma 4 2 3 11" xfId="4608" xr:uid="{00000000-0005-0000-0000-00005B080000}"/>
    <cellStyle name="Comma 4 2 3 11 2" xfId="22338" xr:uid="{ECF130AC-F35F-4D1C-A75E-B6950033D892}"/>
    <cellStyle name="Comma 4 2 3 11 3" xfId="13058" xr:uid="{B18ED750-E18F-4ECD-92D6-198C2CA0AAB0}"/>
    <cellStyle name="Comma 4 2 3 12" xfId="18121" xr:uid="{8AC19EC5-AAF3-4F1F-9503-4A7CB2537F14}"/>
    <cellStyle name="Comma 4 2 3 13" xfId="17288" xr:uid="{F174BC0F-68C5-4730-928B-F79D821F3E96}"/>
    <cellStyle name="Comma 4 2 3 14" xfId="8840" xr:uid="{CF2DA0F1-21F6-4587-BAC2-F43128F9325E}"/>
    <cellStyle name="Comma 4 2 3 2" xfId="137" xr:uid="{00000000-0005-0000-0000-00005C080000}"/>
    <cellStyle name="Comma 4 2 3 2 10" xfId="4609" xr:uid="{00000000-0005-0000-0000-00005D080000}"/>
    <cellStyle name="Comma 4 2 3 2 10 2" xfId="22339" xr:uid="{C67A9FA2-4F8E-4406-9CBA-FAF0BC756045}"/>
    <cellStyle name="Comma 4 2 3 2 10 3" xfId="13059" xr:uid="{6F4B1114-71D1-46F4-ABBE-651D5ACB1972}"/>
    <cellStyle name="Comma 4 2 3 2 11" xfId="18122" xr:uid="{47F5CD95-BEDA-4D8B-BCAE-A49023457752}"/>
    <cellStyle name="Comma 4 2 3 2 12" xfId="17289" xr:uid="{92AF5718-5D6C-4884-9487-F2E8B23A5EE4}"/>
    <cellStyle name="Comma 4 2 3 2 13" xfId="8841" xr:uid="{788091A8-BA63-46AD-AC4E-242BDA2AE402}"/>
    <cellStyle name="Comma 4 2 3 2 2" xfId="138" xr:uid="{00000000-0005-0000-0000-00005E080000}"/>
    <cellStyle name="Comma 4 2 3 2 2 10" xfId="18123" xr:uid="{3D93839F-873A-4902-A1BF-9C959D3BC938}"/>
    <cellStyle name="Comma 4 2 3 2 2 11" xfId="17290" xr:uid="{50C4F460-07A0-4333-A6DE-E057806C7740}"/>
    <cellStyle name="Comma 4 2 3 2 2 12" xfId="8842" xr:uid="{4C76210F-C1EB-40E7-A7EB-34A678F937DD}"/>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24899" xr:uid="{787D6428-BDB4-45BD-B84C-898C1D3B6AC4}"/>
    <cellStyle name="Comma 4 2 3 2 2 2 2 2 3" xfId="15619" xr:uid="{B5B11137-5BFB-4BFB-84BD-6851772C1C9E}"/>
    <cellStyle name="Comma 4 2 3 2 2 2 2 3" xfId="20682" xr:uid="{AC471742-01B1-4492-BEB6-DC568E878D4E}"/>
    <cellStyle name="Comma 4 2 3 2 2 2 2 4" xfId="11401" xr:uid="{D2A9B981-1F9E-4DCA-B900-CE01978ACBF6}"/>
    <cellStyle name="Comma 4 2 3 2 2 2 3" xfId="5024" xr:uid="{00000000-0005-0000-0000-000062080000}"/>
    <cellStyle name="Comma 4 2 3 2 2 2 3 2" xfId="22754" xr:uid="{8E762276-C18D-40FF-8A8D-92C5826E1591}"/>
    <cellStyle name="Comma 4 2 3 2 2 2 3 3" xfId="13474" xr:uid="{A2BC3643-4F52-43E1-ACB7-A69B2C67AE7D}"/>
    <cellStyle name="Comma 4 2 3 2 2 2 4" xfId="18537" xr:uid="{62B4B455-7C7A-4832-A820-46FE18C55203}"/>
    <cellStyle name="Comma 4 2 3 2 2 2 5" xfId="17707" xr:uid="{B564072A-BABF-4F87-BAD7-AA369299FE33}"/>
    <cellStyle name="Comma 4 2 3 2 2 2 6" xfId="9256" xr:uid="{22FDF49D-2BCF-4CC3-87E8-4BC314814278}"/>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25312" xr:uid="{0A8D3175-61B5-4B08-89DD-2BA9111487C5}"/>
    <cellStyle name="Comma 4 2 3 2 2 3 2 2 3" xfId="16032" xr:uid="{1C44C960-D0B3-4309-B63F-AF116364A036}"/>
    <cellStyle name="Comma 4 2 3 2 2 3 2 3" xfId="21095" xr:uid="{985C7921-4EE8-425C-AF86-4FF879923C4A}"/>
    <cellStyle name="Comma 4 2 3 2 2 3 2 4" xfId="11814" xr:uid="{1432DA60-F241-4B90-8C2B-4D9CC413E5E4}"/>
    <cellStyle name="Comma 4 2 3 2 2 3 3" xfId="5437" xr:uid="{00000000-0005-0000-0000-000066080000}"/>
    <cellStyle name="Comma 4 2 3 2 2 3 3 2" xfId="23167" xr:uid="{23FA8110-EE5F-4D93-AF18-CCB2D50233CC}"/>
    <cellStyle name="Comma 4 2 3 2 2 3 3 3" xfId="13887" xr:uid="{1894B1D0-B8A7-40C6-AA29-76237AC97276}"/>
    <cellStyle name="Comma 4 2 3 2 2 3 4" xfId="18950" xr:uid="{BFCE0AC6-373E-4881-81FC-F0F8E5AAB83D}"/>
    <cellStyle name="Comma 4 2 3 2 2 3 5" xfId="9669" xr:uid="{570314A7-DFF2-4B5F-9328-70E8C800FAA0}"/>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25725" xr:uid="{0B072B5D-B8D8-4FE2-BD71-02DEF9CB49A8}"/>
    <cellStyle name="Comma 4 2 3 2 2 4 2 2 3" xfId="16445" xr:uid="{D5586FC4-A005-4633-9133-312ADB55F457}"/>
    <cellStyle name="Comma 4 2 3 2 2 4 2 3" xfId="21508" xr:uid="{F7448B6B-2DD5-4002-A3D4-D8D49A3C8505}"/>
    <cellStyle name="Comma 4 2 3 2 2 4 2 4" xfId="12227" xr:uid="{931E48C7-3655-4538-A9DF-AA8F46E42975}"/>
    <cellStyle name="Comma 4 2 3 2 2 4 3" xfId="5850" xr:uid="{00000000-0005-0000-0000-00006A080000}"/>
    <cellStyle name="Comma 4 2 3 2 2 4 3 2" xfId="23580" xr:uid="{2B3A8953-4895-4CA7-85CB-85C96505249D}"/>
    <cellStyle name="Comma 4 2 3 2 2 4 3 3" xfId="14300" xr:uid="{2202526C-D217-4318-9D87-59F7507F0404}"/>
    <cellStyle name="Comma 4 2 3 2 2 4 4" xfId="19363" xr:uid="{1CEA591E-F1D5-4D36-9398-99C31207F63B}"/>
    <cellStyle name="Comma 4 2 3 2 2 4 5" xfId="10082" xr:uid="{C5143E7F-F11E-4FF1-A36B-151C593904BB}"/>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26138" xr:uid="{EBF8769D-C590-4C2F-B0C2-2C90E9B5BD46}"/>
    <cellStyle name="Comma 4 2 3 2 2 5 2 2 3" xfId="16858" xr:uid="{F746217E-A062-4AFA-A1D9-0132F70D5C09}"/>
    <cellStyle name="Comma 4 2 3 2 2 5 2 3" xfId="21921" xr:uid="{578F9940-795C-41F7-A2B3-11E600859B78}"/>
    <cellStyle name="Comma 4 2 3 2 2 5 2 4" xfId="12640" xr:uid="{61630DEA-1E58-4A6F-A475-F97B7BEB3156}"/>
    <cellStyle name="Comma 4 2 3 2 2 5 3" xfId="6263" xr:uid="{00000000-0005-0000-0000-00006E080000}"/>
    <cellStyle name="Comma 4 2 3 2 2 5 3 2" xfId="23993" xr:uid="{A57C253E-197A-4E5D-ABE6-FCF7ACCE92AC}"/>
    <cellStyle name="Comma 4 2 3 2 2 5 3 3" xfId="14713" xr:uid="{D330AC85-C5F4-4D79-8B05-606435180EE0}"/>
    <cellStyle name="Comma 4 2 3 2 2 5 4" xfId="19776" xr:uid="{FED13C39-9A4B-465D-80B6-18BECDBDDE0A}"/>
    <cellStyle name="Comma 4 2 3 2 2 5 5" xfId="10495" xr:uid="{E743F0A5-5127-4077-881D-EB78AE75394D}"/>
    <cellStyle name="Comma 4 2 3 2 2 6" xfId="2392" xr:uid="{00000000-0005-0000-0000-00006F080000}"/>
    <cellStyle name="Comma 4 2 3 2 2 6 2" xfId="6676" xr:uid="{00000000-0005-0000-0000-000070080000}"/>
    <cellStyle name="Comma 4 2 3 2 2 6 2 2" xfId="24406" xr:uid="{2939394C-392B-422B-8163-374E55A267CF}"/>
    <cellStyle name="Comma 4 2 3 2 2 6 2 3" xfId="15126" xr:uid="{46464668-B559-4C42-9F51-9556147CA3FA}"/>
    <cellStyle name="Comma 4 2 3 2 2 6 3" xfId="20189" xr:uid="{677F9EFF-6D27-4D17-805E-E23E95A7DF18}"/>
    <cellStyle name="Comma 4 2 3 2 2 6 4" xfId="10908" xr:uid="{D6D85BFF-F711-4C6B-8C5D-DDC777A45360}"/>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24723" xr:uid="{D75A6A92-989A-487F-84C5-8E56FE8A654A}"/>
    <cellStyle name="Comma 4 2 3 2 2 8 2 3" xfId="15443" xr:uid="{A26FD904-6783-4878-ABA3-53A232FF840B}"/>
    <cellStyle name="Comma 4 2 3 2 2 8 3" xfId="20506" xr:uid="{F53DE7BD-269E-4D8B-9447-D952E48B3A0C}"/>
    <cellStyle name="Comma 4 2 3 2 2 8 4" xfId="11225" xr:uid="{EBA95F4E-8BD0-4BC9-9AC8-244B211FB9C6}"/>
    <cellStyle name="Comma 4 2 3 2 2 9" xfId="4610" xr:uid="{00000000-0005-0000-0000-000074080000}"/>
    <cellStyle name="Comma 4 2 3 2 2 9 2" xfId="22340" xr:uid="{6818AFDF-472B-4AC1-A951-5B963EFF7403}"/>
    <cellStyle name="Comma 4 2 3 2 2 9 3" xfId="13060" xr:uid="{5FF508E2-B34E-47FD-A9EF-5E4A52AF4C60}"/>
    <cellStyle name="Comma 4 2 3 2 3" xfId="675" xr:uid="{00000000-0005-0000-0000-000075080000}"/>
    <cellStyle name="Comma 4 2 3 2 3 2" xfId="2946" xr:uid="{00000000-0005-0000-0000-000076080000}"/>
    <cellStyle name="Comma 4 2 3 2 3 2 2" xfId="7168" xr:uid="{00000000-0005-0000-0000-000077080000}"/>
    <cellStyle name="Comma 4 2 3 2 3 2 2 2" xfId="24898" xr:uid="{CEF4B160-C759-46BE-806B-8A055CC86EFA}"/>
    <cellStyle name="Comma 4 2 3 2 3 2 2 3" xfId="15618" xr:uid="{7A87BF4A-2C7C-4D79-9A3E-1FAA23A77054}"/>
    <cellStyle name="Comma 4 2 3 2 3 2 3" xfId="20681" xr:uid="{47C5323A-8B5A-401E-998E-FA368683E0D9}"/>
    <cellStyle name="Comma 4 2 3 2 3 2 4" xfId="11400" xr:uid="{85326CE2-70EA-4CD5-8143-D836F1827773}"/>
    <cellStyle name="Comma 4 2 3 2 3 3" xfId="5023" xr:uid="{00000000-0005-0000-0000-000078080000}"/>
    <cellStyle name="Comma 4 2 3 2 3 3 2" xfId="22753" xr:uid="{6F3BA1A3-2623-4C42-A76D-14D5F7F4D66B}"/>
    <cellStyle name="Comma 4 2 3 2 3 3 3" xfId="13473" xr:uid="{F80BF2BB-6C8C-49CE-A053-57FD16128512}"/>
    <cellStyle name="Comma 4 2 3 2 3 4" xfId="18536" xr:uid="{9D12FFD2-E655-4CE9-9124-9578D9C94936}"/>
    <cellStyle name="Comma 4 2 3 2 3 5" xfId="17706" xr:uid="{D501B436-E784-4932-A084-AD51B42B6D09}"/>
    <cellStyle name="Comma 4 2 3 2 3 6" xfId="9255" xr:uid="{2CA77336-8266-4CEB-9250-E8F64FF6954A}"/>
    <cellStyle name="Comma 4 2 3 2 4" xfId="1128" xr:uid="{00000000-0005-0000-0000-000079080000}"/>
    <cellStyle name="Comma 4 2 3 2 4 2" xfId="3359" xr:uid="{00000000-0005-0000-0000-00007A080000}"/>
    <cellStyle name="Comma 4 2 3 2 4 2 2" xfId="7581" xr:uid="{00000000-0005-0000-0000-00007B080000}"/>
    <cellStyle name="Comma 4 2 3 2 4 2 2 2" xfId="25311" xr:uid="{43A81E54-6A4B-4E67-80A5-AFA2AC083F6D}"/>
    <cellStyle name="Comma 4 2 3 2 4 2 2 3" xfId="16031" xr:uid="{9A79220A-6855-4742-860B-712B252D392B}"/>
    <cellStyle name="Comma 4 2 3 2 4 2 3" xfId="21094" xr:uid="{B970C033-5E22-4B07-AC6B-7A562B9C0B6D}"/>
    <cellStyle name="Comma 4 2 3 2 4 2 4" xfId="11813" xr:uid="{65355D00-3992-4281-80C3-5C85BB5754A8}"/>
    <cellStyle name="Comma 4 2 3 2 4 3" xfId="5436" xr:uid="{00000000-0005-0000-0000-00007C080000}"/>
    <cellStyle name="Comma 4 2 3 2 4 3 2" xfId="23166" xr:uid="{D95B2430-C291-42E6-B58B-5472387CA60D}"/>
    <cellStyle name="Comma 4 2 3 2 4 3 3" xfId="13886" xr:uid="{70F9F81A-1B93-4CF3-9017-2DF7AC02DCFD}"/>
    <cellStyle name="Comma 4 2 3 2 4 4" xfId="18949" xr:uid="{E596BE27-CC8E-4E04-8DA4-452D96F6C669}"/>
    <cellStyle name="Comma 4 2 3 2 4 5" xfId="9668" xr:uid="{71F40DDA-46A1-45FF-9C6B-9EA887A7CBA9}"/>
    <cellStyle name="Comma 4 2 3 2 5" xfId="1542" xr:uid="{00000000-0005-0000-0000-00007D080000}"/>
    <cellStyle name="Comma 4 2 3 2 5 2" xfId="3772" xr:uid="{00000000-0005-0000-0000-00007E080000}"/>
    <cellStyle name="Comma 4 2 3 2 5 2 2" xfId="7994" xr:uid="{00000000-0005-0000-0000-00007F080000}"/>
    <cellStyle name="Comma 4 2 3 2 5 2 2 2" xfId="25724" xr:uid="{13993309-ED9B-433D-92EB-DAA9F239DE89}"/>
    <cellStyle name="Comma 4 2 3 2 5 2 2 3" xfId="16444" xr:uid="{8857931A-FA48-478D-94D9-D81A5D2C97BD}"/>
    <cellStyle name="Comma 4 2 3 2 5 2 3" xfId="21507" xr:uid="{A6B48208-6C17-4A5A-A2D8-879E3EF706B4}"/>
    <cellStyle name="Comma 4 2 3 2 5 2 4" xfId="12226" xr:uid="{5544DB2D-D608-49B7-95F8-AAAFC2F98178}"/>
    <cellStyle name="Comma 4 2 3 2 5 3" xfId="5849" xr:uid="{00000000-0005-0000-0000-000080080000}"/>
    <cellStyle name="Comma 4 2 3 2 5 3 2" xfId="23579" xr:uid="{937C5887-FC22-4ED9-9C04-B54927046E0C}"/>
    <cellStyle name="Comma 4 2 3 2 5 3 3" xfId="14299" xr:uid="{1629CEE1-52BB-431A-9F45-5572C7104D8C}"/>
    <cellStyle name="Comma 4 2 3 2 5 4" xfId="19362" xr:uid="{61825CAA-DF2B-4872-993E-C4EAC91F97FD}"/>
    <cellStyle name="Comma 4 2 3 2 5 5" xfId="10081" xr:uid="{076EB0BC-CE3E-4D94-AF77-45FC3B6BC33C}"/>
    <cellStyle name="Comma 4 2 3 2 6" xfId="1956" xr:uid="{00000000-0005-0000-0000-000081080000}"/>
    <cellStyle name="Comma 4 2 3 2 6 2" xfId="4185" xr:uid="{00000000-0005-0000-0000-000082080000}"/>
    <cellStyle name="Comma 4 2 3 2 6 2 2" xfId="8407" xr:uid="{00000000-0005-0000-0000-000083080000}"/>
    <cellStyle name="Comma 4 2 3 2 6 2 2 2" xfId="26137" xr:uid="{CA938119-3D54-4471-ACBE-4C932AD1322E}"/>
    <cellStyle name="Comma 4 2 3 2 6 2 2 3" xfId="16857" xr:uid="{87D15DB9-B7AE-4605-9545-B0382A916B99}"/>
    <cellStyle name="Comma 4 2 3 2 6 2 3" xfId="21920" xr:uid="{2840FF0A-A886-4B79-B965-B500047A734C}"/>
    <cellStyle name="Comma 4 2 3 2 6 2 4" xfId="12639" xr:uid="{46E40664-F184-441C-8071-CC0818C68908}"/>
    <cellStyle name="Comma 4 2 3 2 6 3" xfId="6262" xr:uid="{00000000-0005-0000-0000-000084080000}"/>
    <cellStyle name="Comma 4 2 3 2 6 3 2" xfId="23992" xr:uid="{9E054649-2E5E-4573-B895-51004C5BC7DE}"/>
    <cellStyle name="Comma 4 2 3 2 6 3 3" xfId="14712" xr:uid="{56244860-D5A9-4F94-B9EF-1CFA1CD60FD6}"/>
    <cellStyle name="Comma 4 2 3 2 6 4" xfId="19775" xr:uid="{F07E3EA9-2E23-410C-A9E0-925764D240CA}"/>
    <cellStyle name="Comma 4 2 3 2 6 5" xfId="10494" xr:uid="{4885B903-338B-4255-9EF4-060D7DC25DCC}"/>
    <cellStyle name="Comma 4 2 3 2 7" xfId="2391" xr:uid="{00000000-0005-0000-0000-000085080000}"/>
    <cellStyle name="Comma 4 2 3 2 7 2" xfId="6675" xr:uid="{00000000-0005-0000-0000-000086080000}"/>
    <cellStyle name="Comma 4 2 3 2 7 2 2" xfId="24405" xr:uid="{1B339BC9-2411-4F92-A399-32830CECA958}"/>
    <cellStyle name="Comma 4 2 3 2 7 2 3" xfId="15125" xr:uid="{B7912027-E2DA-4756-AC99-20DAF81F1931}"/>
    <cellStyle name="Comma 4 2 3 2 7 3" xfId="20188" xr:uid="{BB174152-FEA0-4521-BA52-099B9C2C72C0}"/>
    <cellStyle name="Comma 4 2 3 2 7 4" xfId="10907" xr:uid="{4CA5A7B9-6BD0-4491-B19C-C1125C4BCECD}"/>
    <cellStyle name="Comma 4 2 3 2 8" xfId="2372" xr:uid="{00000000-0005-0000-0000-000087080000}"/>
    <cellStyle name="Comma 4 2 3 2 9" xfId="2769" xr:uid="{00000000-0005-0000-0000-000088080000}"/>
    <cellStyle name="Comma 4 2 3 2 9 2" xfId="6992" xr:uid="{00000000-0005-0000-0000-000089080000}"/>
    <cellStyle name="Comma 4 2 3 2 9 2 2" xfId="24722" xr:uid="{E4E7EF0A-6744-4B87-96B7-2F2D55A8BC4C}"/>
    <cellStyle name="Comma 4 2 3 2 9 2 3" xfId="15442" xr:uid="{4DE63345-89D6-462B-A0B8-FA1F6E3B3048}"/>
    <cellStyle name="Comma 4 2 3 2 9 3" xfId="20505" xr:uid="{7880C95D-06E7-40B9-84DD-85F3B560C924}"/>
    <cellStyle name="Comma 4 2 3 2 9 4" xfId="11224" xr:uid="{3E711635-FEFA-4FD6-AE9D-9EC5E45B4476}"/>
    <cellStyle name="Comma 4 2 3 3" xfId="139" xr:uid="{00000000-0005-0000-0000-00008A080000}"/>
    <cellStyle name="Comma 4 2 3 3 10" xfId="18124" xr:uid="{85F517ED-B9FF-4315-9F6A-30CC2DEBD271}"/>
    <cellStyle name="Comma 4 2 3 3 11" xfId="17291" xr:uid="{40DF6F8E-540F-4DD3-AD3B-937D0FB61C06}"/>
    <cellStyle name="Comma 4 2 3 3 12" xfId="8843" xr:uid="{27006724-B4BE-4979-ACA9-F01FAB633CB7}"/>
    <cellStyle name="Comma 4 2 3 3 2" xfId="677" xr:uid="{00000000-0005-0000-0000-00008B080000}"/>
    <cellStyle name="Comma 4 2 3 3 2 2" xfId="2948" xr:uid="{00000000-0005-0000-0000-00008C080000}"/>
    <cellStyle name="Comma 4 2 3 3 2 2 2" xfId="7170" xr:uid="{00000000-0005-0000-0000-00008D080000}"/>
    <cellStyle name="Comma 4 2 3 3 2 2 2 2" xfId="24900" xr:uid="{2DA3DD1C-E873-4518-9835-B80EC4F2932C}"/>
    <cellStyle name="Comma 4 2 3 3 2 2 2 3" xfId="15620" xr:uid="{5637A764-28EE-4A02-8072-968C11F4154D}"/>
    <cellStyle name="Comma 4 2 3 3 2 2 3" xfId="20683" xr:uid="{DE5626D8-9DE2-40A0-86CC-A7F1F68B3E60}"/>
    <cellStyle name="Comma 4 2 3 3 2 2 4" xfId="11402" xr:uid="{0F1BAC8A-6A43-482D-A22D-640C769E7571}"/>
    <cellStyle name="Comma 4 2 3 3 2 3" xfId="5025" xr:uid="{00000000-0005-0000-0000-00008E080000}"/>
    <cellStyle name="Comma 4 2 3 3 2 3 2" xfId="22755" xr:uid="{4D2B2AF2-39B5-4559-851A-961F6CA8429A}"/>
    <cellStyle name="Comma 4 2 3 3 2 3 3" xfId="13475" xr:uid="{15BC4B1B-2C06-48D1-9408-92AC2CF6B687}"/>
    <cellStyle name="Comma 4 2 3 3 2 4" xfId="18538" xr:uid="{747F8757-E390-492E-B1AC-4EA0B7CB9990}"/>
    <cellStyle name="Comma 4 2 3 3 2 5" xfId="17708" xr:uid="{3F89D5C5-A32B-4A52-A76B-647F4A2DEEB6}"/>
    <cellStyle name="Comma 4 2 3 3 2 6" xfId="9257" xr:uid="{E8AF1878-B6DE-40C4-8E88-6C41B45DE096}"/>
    <cellStyle name="Comma 4 2 3 3 3" xfId="1130" xr:uid="{00000000-0005-0000-0000-00008F080000}"/>
    <cellStyle name="Comma 4 2 3 3 3 2" xfId="3361" xr:uid="{00000000-0005-0000-0000-000090080000}"/>
    <cellStyle name="Comma 4 2 3 3 3 2 2" xfId="7583" xr:uid="{00000000-0005-0000-0000-000091080000}"/>
    <cellStyle name="Comma 4 2 3 3 3 2 2 2" xfId="25313" xr:uid="{95CBED14-A33E-4257-ABBD-6D6440C7908D}"/>
    <cellStyle name="Comma 4 2 3 3 3 2 2 3" xfId="16033" xr:uid="{4154C0E2-6A3E-402F-8854-9D5054D57A1F}"/>
    <cellStyle name="Comma 4 2 3 3 3 2 3" xfId="21096" xr:uid="{1BA64D64-F0E2-4B8E-843B-AC30C62449BC}"/>
    <cellStyle name="Comma 4 2 3 3 3 2 4" xfId="11815" xr:uid="{721EF18B-4A41-4CF9-9F2B-7465FFE635F0}"/>
    <cellStyle name="Comma 4 2 3 3 3 3" xfId="5438" xr:uid="{00000000-0005-0000-0000-000092080000}"/>
    <cellStyle name="Comma 4 2 3 3 3 3 2" xfId="23168" xr:uid="{8799DB20-0FB1-4098-8236-5D7BB748B663}"/>
    <cellStyle name="Comma 4 2 3 3 3 3 3" xfId="13888" xr:uid="{47026058-A526-41D6-8F29-2DB177B38428}"/>
    <cellStyle name="Comma 4 2 3 3 3 4" xfId="18951" xr:uid="{80CF748F-13BD-477C-9353-9284ACDCD3B4}"/>
    <cellStyle name="Comma 4 2 3 3 3 5" xfId="9670" xr:uid="{DFCB36F1-0A35-41EC-82E0-D7DE40D3ED83}"/>
    <cellStyle name="Comma 4 2 3 3 4" xfId="1544" xr:uid="{00000000-0005-0000-0000-000093080000}"/>
    <cellStyle name="Comma 4 2 3 3 4 2" xfId="3774" xr:uid="{00000000-0005-0000-0000-000094080000}"/>
    <cellStyle name="Comma 4 2 3 3 4 2 2" xfId="7996" xr:uid="{00000000-0005-0000-0000-000095080000}"/>
    <cellStyle name="Comma 4 2 3 3 4 2 2 2" xfId="25726" xr:uid="{520F1EF7-694B-4049-8F3D-F66A41D7F3A1}"/>
    <cellStyle name="Comma 4 2 3 3 4 2 2 3" xfId="16446" xr:uid="{B15633DF-3351-4E55-8F34-A07A6632FDCB}"/>
    <cellStyle name="Comma 4 2 3 3 4 2 3" xfId="21509" xr:uid="{5F806F94-719A-44E9-90E5-9B484FB522AF}"/>
    <cellStyle name="Comma 4 2 3 3 4 2 4" xfId="12228" xr:uid="{F0FE50F4-2159-4EB4-B32A-E1A1444BB5B1}"/>
    <cellStyle name="Comma 4 2 3 3 4 3" xfId="5851" xr:uid="{00000000-0005-0000-0000-000096080000}"/>
    <cellStyle name="Comma 4 2 3 3 4 3 2" xfId="23581" xr:uid="{F2496898-122B-4E10-9878-CFE92240949F}"/>
    <cellStyle name="Comma 4 2 3 3 4 3 3" xfId="14301" xr:uid="{7D674C9A-CF64-47C6-9D0A-8E9853E7D789}"/>
    <cellStyle name="Comma 4 2 3 3 4 4" xfId="19364" xr:uid="{7EF772DD-C680-4D93-B775-B77D101BE4C0}"/>
    <cellStyle name="Comma 4 2 3 3 4 5" xfId="10083" xr:uid="{A9A9C319-210C-41FA-B651-1C36CF055EF6}"/>
    <cellStyle name="Comma 4 2 3 3 5" xfId="1958" xr:uid="{00000000-0005-0000-0000-000097080000}"/>
    <cellStyle name="Comma 4 2 3 3 5 2" xfId="4187" xr:uid="{00000000-0005-0000-0000-000098080000}"/>
    <cellStyle name="Comma 4 2 3 3 5 2 2" xfId="8409" xr:uid="{00000000-0005-0000-0000-000099080000}"/>
    <cellStyle name="Comma 4 2 3 3 5 2 2 2" xfId="26139" xr:uid="{C6027765-9FFD-432F-8ECE-D3508A4CC13A}"/>
    <cellStyle name="Comma 4 2 3 3 5 2 2 3" xfId="16859" xr:uid="{EEF260DC-6EB9-4673-9AA6-72F3A9DC63CE}"/>
    <cellStyle name="Comma 4 2 3 3 5 2 3" xfId="21922" xr:uid="{79422DC0-DC0F-4F26-923C-F942972D74B2}"/>
    <cellStyle name="Comma 4 2 3 3 5 2 4" xfId="12641" xr:uid="{42365BFC-F299-4B0A-AAC7-CBF60E83A85C}"/>
    <cellStyle name="Comma 4 2 3 3 5 3" xfId="6264" xr:uid="{00000000-0005-0000-0000-00009A080000}"/>
    <cellStyle name="Comma 4 2 3 3 5 3 2" xfId="23994" xr:uid="{6B9F9DC1-3ADC-4ED4-9502-02D7592CB8DF}"/>
    <cellStyle name="Comma 4 2 3 3 5 3 3" xfId="14714" xr:uid="{C3CB9028-4D2D-4383-B251-34D8BDF614BA}"/>
    <cellStyle name="Comma 4 2 3 3 5 4" xfId="19777" xr:uid="{73B18319-B6E0-4650-BEE4-4C49BC277B77}"/>
    <cellStyle name="Comma 4 2 3 3 5 5" xfId="10496" xr:uid="{59CBD975-42D5-4AA6-B505-F98B8E9F296C}"/>
    <cellStyle name="Comma 4 2 3 3 6" xfId="2393" xr:uid="{00000000-0005-0000-0000-00009B080000}"/>
    <cellStyle name="Comma 4 2 3 3 6 2" xfId="6677" xr:uid="{00000000-0005-0000-0000-00009C080000}"/>
    <cellStyle name="Comma 4 2 3 3 6 2 2" xfId="24407" xr:uid="{5480C2B5-9C18-4084-A576-A8BE85FDA774}"/>
    <cellStyle name="Comma 4 2 3 3 6 2 3" xfId="15127" xr:uid="{E11FDD83-4E45-4935-9E25-16B7D530C871}"/>
    <cellStyle name="Comma 4 2 3 3 6 3" xfId="20190" xr:uid="{49822EF8-DDDE-4BB7-8AA8-2473AAF70057}"/>
    <cellStyle name="Comma 4 2 3 3 6 4" xfId="10909" xr:uid="{1BB7B5A5-5A55-4CFC-B79D-8F96091304FE}"/>
    <cellStyle name="Comma 4 2 3 3 7" xfId="2370" xr:uid="{00000000-0005-0000-0000-00009D080000}"/>
    <cellStyle name="Comma 4 2 3 3 8" xfId="2771" xr:uid="{00000000-0005-0000-0000-00009E080000}"/>
    <cellStyle name="Comma 4 2 3 3 8 2" xfId="6994" xr:uid="{00000000-0005-0000-0000-00009F080000}"/>
    <cellStyle name="Comma 4 2 3 3 8 2 2" xfId="24724" xr:uid="{FD2C84E0-8320-4212-AC2D-3B0E332E97AA}"/>
    <cellStyle name="Comma 4 2 3 3 8 2 3" xfId="15444" xr:uid="{8AE0B838-8DB8-45CE-9313-F6693FCD3219}"/>
    <cellStyle name="Comma 4 2 3 3 8 3" xfId="20507" xr:uid="{C936F09F-D1E4-44CD-B1C8-D9F214C35343}"/>
    <cellStyle name="Comma 4 2 3 3 8 4" xfId="11226" xr:uid="{DC26EC63-9089-4419-AFAC-94DB01A270F8}"/>
    <cellStyle name="Comma 4 2 3 3 9" xfId="4611" xr:uid="{00000000-0005-0000-0000-0000A0080000}"/>
    <cellStyle name="Comma 4 2 3 3 9 2" xfId="22341" xr:uid="{83454AF5-013A-44DA-A43A-D5A5DC381CC6}"/>
    <cellStyle name="Comma 4 2 3 3 9 3" xfId="13061" xr:uid="{D04294D8-43BE-41D4-902C-495C4CE68380}"/>
    <cellStyle name="Comma 4 2 3 4" xfId="674" xr:uid="{00000000-0005-0000-0000-0000A1080000}"/>
    <cellStyle name="Comma 4 2 3 4 2" xfId="2945" xr:uid="{00000000-0005-0000-0000-0000A2080000}"/>
    <cellStyle name="Comma 4 2 3 4 2 2" xfId="7167" xr:uid="{00000000-0005-0000-0000-0000A3080000}"/>
    <cellStyle name="Comma 4 2 3 4 2 2 2" xfId="24897" xr:uid="{B40C91DF-E0C5-4F40-9FD6-7B6D518C1810}"/>
    <cellStyle name="Comma 4 2 3 4 2 2 3" xfId="15617" xr:uid="{AC2C3138-6A59-47A8-87B7-F19F315E84E5}"/>
    <cellStyle name="Comma 4 2 3 4 2 3" xfId="20680" xr:uid="{E6645F69-BD7B-42BB-8778-904B49EF1876}"/>
    <cellStyle name="Comma 4 2 3 4 2 4" xfId="11399" xr:uid="{5093B780-FFA9-4978-9C82-B8ABF4057C9E}"/>
    <cellStyle name="Comma 4 2 3 4 3" xfId="5022" xr:uid="{00000000-0005-0000-0000-0000A4080000}"/>
    <cellStyle name="Comma 4 2 3 4 3 2" xfId="22752" xr:uid="{46098DD1-5031-4D1F-A117-5A10E9F4F161}"/>
    <cellStyle name="Comma 4 2 3 4 3 3" xfId="13472" xr:uid="{9A3D3F33-B767-4EFC-9ACA-00D82195352C}"/>
    <cellStyle name="Comma 4 2 3 4 4" xfId="18535" xr:uid="{FD23FD66-1EBF-4259-9CDF-63584B02A088}"/>
    <cellStyle name="Comma 4 2 3 4 5" xfId="17705" xr:uid="{1A289FD5-75B1-46A9-B14F-19368FF03A1E}"/>
    <cellStyle name="Comma 4 2 3 4 6" xfId="9254" xr:uid="{450E9BAB-0BE2-4F79-BD79-476A14D02D57}"/>
    <cellStyle name="Comma 4 2 3 5" xfId="1127" xr:uid="{00000000-0005-0000-0000-0000A5080000}"/>
    <cellStyle name="Comma 4 2 3 5 2" xfId="3358" xr:uid="{00000000-0005-0000-0000-0000A6080000}"/>
    <cellStyle name="Comma 4 2 3 5 2 2" xfId="7580" xr:uid="{00000000-0005-0000-0000-0000A7080000}"/>
    <cellStyle name="Comma 4 2 3 5 2 2 2" xfId="25310" xr:uid="{1A6FA9BF-DF5A-43D9-AAC0-67FCCDE568D6}"/>
    <cellStyle name="Comma 4 2 3 5 2 2 3" xfId="16030" xr:uid="{DCD44049-01C9-4432-BC48-EA1D3F05CCE7}"/>
    <cellStyle name="Comma 4 2 3 5 2 3" xfId="21093" xr:uid="{B78C132A-90FB-44C3-948C-06BBEBF7BCCB}"/>
    <cellStyle name="Comma 4 2 3 5 2 4" xfId="11812" xr:uid="{98AFEB52-3032-4843-B870-F4FA40916963}"/>
    <cellStyle name="Comma 4 2 3 5 3" xfId="5435" xr:uid="{00000000-0005-0000-0000-0000A8080000}"/>
    <cellStyle name="Comma 4 2 3 5 3 2" xfId="23165" xr:uid="{379147D0-D1DE-4220-AE03-DB69E8B560CE}"/>
    <cellStyle name="Comma 4 2 3 5 3 3" xfId="13885" xr:uid="{21780559-BEDF-4E30-A358-6278255D070C}"/>
    <cellStyle name="Comma 4 2 3 5 4" xfId="18948" xr:uid="{62D3748D-7825-4E80-B9F1-5CDBEB113456}"/>
    <cellStyle name="Comma 4 2 3 5 5" xfId="9667" xr:uid="{08EC0863-90B6-4CA9-8A63-7D5101913B84}"/>
    <cellStyle name="Comma 4 2 3 6" xfId="1541" xr:uid="{00000000-0005-0000-0000-0000A9080000}"/>
    <cellStyle name="Comma 4 2 3 6 2" xfId="3771" xr:uid="{00000000-0005-0000-0000-0000AA080000}"/>
    <cellStyle name="Comma 4 2 3 6 2 2" xfId="7993" xr:uid="{00000000-0005-0000-0000-0000AB080000}"/>
    <cellStyle name="Comma 4 2 3 6 2 2 2" xfId="25723" xr:uid="{AD59A8C7-D7F9-4EA0-9CCC-50883DCFE917}"/>
    <cellStyle name="Comma 4 2 3 6 2 2 3" xfId="16443" xr:uid="{3BC602DB-40D8-4752-970E-58F5AC15D32A}"/>
    <cellStyle name="Comma 4 2 3 6 2 3" xfId="21506" xr:uid="{C22A0CD6-E8CC-48B7-8932-F0AB27DAB19A}"/>
    <cellStyle name="Comma 4 2 3 6 2 4" xfId="12225" xr:uid="{FF270B05-DA8B-4013-8CD9-1165FCB33A8C}"/>
    <cellStyle name="Comma 4 2 3 6 3" xfId="5848" xr:uid="{00000000-0005-0000-0000-0000AC080000}"/>
    <cellStyle name="Comma 4 2 3 6 3 2" xfId="23578" xr:uid="{00BC78DD-6543-4801-89D3-BDDF61B30945}"/>
    <cellStyle name="Comma 4 2 3 6 3 3" xfId="14298" xr:uid="{8A26A736-4B6B-4A1B-987D-6C7F645BE97A}"/>
    <cellStyle name="Comma 4 2 3 6 4" xfId="19361" xr:uid="{08218198-5AF2-4DB9-8240-3E450CF37E09}"/>
    <cellStyle name="Comma 4 2 3 6 5" xfId="10080" xr:uid="{51CEB8BA-583C-4E36-A67F-84FB74D3FB47}"/>
    <cellStyle name="Comma 4 2 3 7" xfId="1955" xr:uid="{00000000-0005-0000-0000-0000AD080000}"/>
    <cellStyle name="Comma 4 2 3 7 2" xfId="4184" xr:uid="{00000000-0005-0000-0000-0000AE080000}"/>
    <cellStyle name="Comma 4 2 3 7 2 2" xfId="8406" xr:uid="{00000000-0005-0000-0000-0000AF080000}"/>
    <cellStyle name="Comma 4 2 3 7 2 2 2" xfId="26136" xr:uid="{F6CF9B80-6771-4702-949D-DBE4323DF277}"/>
    <cellStyle name="Comma 4 2 3 7 2 2 3" xfId="16856" xr:uid="{2543BE04-2820-4C36-9751-723BB392DEC0}"/>
    <cellStyle name="Comma 4 2 3 7 2 3" xfId="21919" xr:uid="{DE671087-9400-4E68-BB88-51C71A0969BD}"/>
    <cellStyle name="Comma 4 2 3 7 2 4" xfId="12638" xr:uid="{25F842BA-3CDE-4512-BED2-7F0166BE8E1F}"/>
    <cellStyle name="Comma 4 2 3 7 3" xfId="6261" xr:uid="{00000000-0005-0000-0000-0000B0080000}"/>
    <cellStyle name="Comma 4 2 3 7 3 2" xfId="23991" xr:uid="{92304E09-84AF-4F6C-94DE-AF6D24F276A7}"/>
    <cellStyle name="Comma 4 2 3 7 3 3" xfId="14711" xr:uid="{239F2524-297A-4273-8D55-7CAA57EEE417}"/>
    <cellStyle name="Comma 4 2 3 7 4" xfId="19774" xr:uid="{52EC1276-ABCA-443A-8C1A-10D3397ACE8B}"/>
    <cellStyle name="Comma 4 2 3 7 5" xfId="10493" xr:uid="{1C6B5AB5-EF4E-458A-97D5-D1BE69DD09AB}"/>
    <cellStyle name="Comma 4 2 3 8" xfId="2390" xr:uid="{00000000-0005-0000-0000-0000B1080000}"/>
    <cellStyle name="Comma 4 2 3 8 2" xfId="6674" xr:uid="{00000000-0005-0000-0000-0000B2080000}"/>
    <cellStyle name="Comma 4 2 3 8 2 2" xfId="24404" xr:uid="{CB968384-861C-4F6B-A618-000720BC0485}"/>
    <cellStyle name="Comma 4 2 3 8 2 3" xfId="15124" xr:uid="{00E71556-B575-4092-92A6-DC42E337AFE1}"/>
    <cellStyle name="Comma 4 2 3 8 3" xfId="20187" xr:uid="{089343C5-F2AA-4A55-928C-8A169EC8FFA3}"/>
    <cellStyle name="Comma 4 2 3 8 4" xfId="10906" xr:uid="{C492B17E-6A7C-4221-9FB6-91DFA42E7C76}"/>
    <cellStyle name="Comma 4 2 3 9" xfId="2373" xr:uid="{00000000-0005-0000-0000-0000B3080000}"/>
    <cellStyle name="Comma 4 2 4" xfId="140" xr:uid="{00000000-0005-0000-0000-0000B4080000}"/>
    <cellStyle name="Comma 4 2 4 10" xfId="4612" xr:uid="{00000000-0005-0000-0000-0000B5080000}"/>
    <cellStyle name="Comma 4 2 4 10 2" xfId="22342" xr:uid="{4457709D-3A4F-498F-A21D-3EE97D4F350B}"/>
    <cellStyle name="Comma 4 2 4 10 3" xfId="13062" xr:uid="{570939CC-8D51-4A6E-87B7-06202479A1C5}"/>
    <cellStyle name="Comma 4 2 4 11" xfId="18125" xr:uid="{CFF12F6A-D34D-4CF4-9457-3478EFA6B7B6}"/>
    <cellStyle name="Comma 4 2 4 12" xfId="17292" xr:uid="{51307D75-EE8F-4E50-81CC-DEA2EF640A66}"/>
    <cellStyle name="Comma 4 2 4 13" xfId="8844" xr:uid="{A5EF70E5-5B20-4DCE-9079-8201524075D8}"/>
    <cellStyle name="Comma 4 2 4 2" xfId="141" xr:uid="{00000000-0005-0000-0000-0000B6080000}"/>
    <cellStyle name="Comma 4 2 4 2 10" xfId="18126" xr:uid="{D61DF4F7-9DCB-45E1-AE3B-CBE47C44D2A3}"/>
    <cellStyle name="Comma 4 2 4 2 11" xfId="17293" xr:uid="{D375C13D-DDDF-483B-9E2B-E8B1E2DF8C28}"/>
    <cellStyle name="Comma 4 2 4 2 12" xfId="8845" xr:uid="{1F96A36F-C14C-405A-87DD-8390F70A6772}"/>
    <cellStyle name="Comma 4 2 4 2 2" xfId="679" xr:uid="{00000000-0005-0000-0000-0000B7080000}"/>
    <cellStyle name="Comma 4 2 4 2 2 2" xfId="2950" xr:uid="{00000000-0005-0000-0000-0000B8080000}"/>
    <cellStyle name="Comma 4 2 4 2 2 2 2" xfId="7172" xr:uid="{00000000-0005-0000-0000-0000B9080000}"/>
    <cellStyle name="Comma 4 2 4 2 2 2 2 2" xfId="24902" xr:uid="{9ACAAD05-ED5A-4281-AEE3-E0B3E8894A87}"/>
    <cellStyle name="Comma 4 2 4 2 2 2 2 3" xfId="15622" xr:uid="{97758D17-5FA3-4922-BEED-5B59684D96F0}"/>
    <cellStyle name="Comma 4 2 4 2 2 2 3" xfId="20685" xr:uid="{09D3078D-2D35-45B7-8BB2-784DDB31CF0C}"/>
    <cellStyle name="Comma 4 2 4 2 2 2 4" xfId="11404" xr:uid="{CC1F7D17-058A-4588-A998-41B450F90E9D}"/>
    <cellStyle name="Comma 4 2 4 2 2 3" xfId="5027" xr:uid="{00000000-0005-0000-0000-0000BA080000}"/>
    <cellStyle name="Comma 4 2 4 2 2 3 2" xfId="22757" xr:uid="{7901CF1A-D9C9-4B80-9624-EB856C66FC13}"/>
    <cellStyle name="Comma 4 2 4 2 2 3 3" xfId="13477" xr:uid="{DE5F074A-6E37-4AAB-AA34-1C668FD3C3B6}"/>
    <cellStyle name="Comma 4 2 4 2 2 4" xfId="18540" xr:uid="{60905A5D-2908-4EE5-A0CB-17896503DE64}"/>
    <cellStyle name="Comma 4 2 4 2 2 5" xfId="17710" xr:uid="{E74EF9F5-FEC9-4A0E-B164-83DC1B861E2B}"/>
    <cellStyle name="Comma 4 2 4 2 2 6" xfId="9259" xr:uid="{B11A36BE-39A5-41C5-AE64-42F3D1FE4F3F}"/>
    <cellStyle name="Comma 4 2 4 2 3" xfId="1132" xr:uid="{00000000-0005-0000-0000-0000BB080000}"/>
    <cellStyle name="Comma 4 2 4 2 3 2" xfId="3363" xr:uid="{00000000-0005-0000-0000-0000BC080000}"/>
    <cellStyle name="Comma 4 2 4 2 3 2 2" xfId="7585" xr:uid="{00000000-0005-0000-0000-0000BD080000}"/>
    <cellStyle name="Comma 4 2 4 2 3 2 2 2" xfId="25315" xr:uid="{5CB43080-2DF5-4FAB-BE9D-7C29DEEF92B1}"/>
    <cellStyle name="Comma 4 2 4 2 3 2 2 3" xfId="16035" xr:uid="{E600185E-4F14-4400-960E-9D8020385787}"/>
    <cellStyle name="Comma 4 2 4 2 3 2 3" xfId="21098" xr:uid="{5A820D9D-2CF2-4896-AECF-E92AF3D5D289}"/>
    <cellStyle name="Comma 4 2 4 2 3 2 4" xfId="11817" xr:uid="{293C5D2F-95C3-451B-BB3D-1E48CBE170D3}"/>
    <cellStyle name="Comma 4 2 4 2 3 3" xfId="5440" xr:uid="{00000000-0005-0000-0000-0000BE080000}"/>
    <cellStyle name="Comma 4 2 4 2 3 3 2" xfId="23170" xr:uid="{1B7C43F5-F330-44DA-BA89-48B93F95600C}"/>
    <cellStyle name="Comma 4 2 4 2 3 3 3" xfId="13890" xr:uid="{3BC3B0F2-E449-4B91-B7A2-DDFFA51D17ED}"/>
    <cellStyle name="Comma 4 2 4 2 3 4" xfId="18953" xr:uid="{0E5E7787-45A4-4EB7-B650-A62A42DD3AB2}"/>
    <cellStyle name="Comma 4 2 4 2 3 5" xfId="9672" xr:uid="{41D91676-1518-4C9A-A9D0-F220D4E8FCB0}"/>
    <cellStyle name="Comma 4 2 4 2 4" xfId="1546" xr:uid="{00000000-0005-0000-0000-0000BF080000}"/>
    <cellStyle name="Comma 4 2 4 2 4 2" xfId="3776" xr:uid="{00000000-0005-0000-0000-0000C0080000}"/>
    <cellStyle name="Comma 4 2 4 2 4 2 2" xfId="7998" xr:uid="{00000000-0005-0000-0000-0000C1080000}"/>
    <cellStyle name="Comma 4 2 4 2 4 2 2 2" xfId="25728" xr:uid="{FB1B38BE-2952-4479-94EF-1087A980B4C0}"/>
    <cellStyle name="Comma 4 2 4 2 4 2 2 3" xfId="16448" xr:uid="{34B17806-B533-423F-BD66-CBA5A6C63700}"/>
    <cellStyle name="Comma 4 2 4 2 4 2 3" xfId="21511" xr:uid="{E99C32F0-1281-421C-893F-3D5A69C3B652}"/>
    <cellStyle name="Comma 4 2 4 2 4 2 4" xfId="12230" xr:uid="{FC282F91-D0DE-46EE-B877-64E12E0E1A38}"/>
    <cellStyle name="Comma 4 2 4 2 4 3" xfId="5853" xr:uid="{00000000-0005-0000-0000-0000C2080000}"/>
    <cellStyle name="Comma 4 2 4 2 4 3 2" xfId="23583" xr:uid="{D51D0969-9202-4109-8273-47BF35015910}"/>
    <cellStyle name="Comma 4 2 4 2 4 3 3" xfId="14303" xr:uid="{B1DFEBFD-A0D0-42D0-9515-E3CC7D6004BF}"/>
    <cellStyle name="Comma 4 2 4 2 4 4" xfId="19366" xr:uid="{29351406-DB43-43FB-92B8-F498968F15DD}"/>
    <cellStyle name="Comma 4 2 4 2 4 5" xfId="10085" xr:uid="{31F51D02-D39A-469B-8801-0AFFD393F379}"/>
    <cellStyle name="Comma 4 2 4 2 5" xfId="1960" xr:uid="{00000000-0005-0000-0000-0000C3080000}"/>
    <cellStyle name="Comma 4 2 4 2 5 2" xfId="4189" xr:uid="{00000000-0005-0000-0000-0000C4080000}"/>
    <cellStyle name="Comma 4 2 4 2 5 2 2" xfId="8411" xr:uid="{00000000-0005-0000-0000-0000C5080000}"/>
    <cellStyle name="Comma 4 2 4 2 5 2 2 2" xfId="26141" xr:uid="{516AFC0E-446C-4F49-98A3-682FC4B88952}"/>
    <cellStyle name="Comma 4 2 4 2 5 2 2 3" xfId="16861" xr:uid="{348F5924-5E4E-4F70-8F82-65EAC48F739F}"/>
    <cellStyle name="Comma 4 2 4 2 5 2 3" xfId="21924" xr:uid="{92ACDD01-6CB0-46F3-9C46-B50C75FF963D}"/>
    <cellStyle name="Comma 4 2 4 2 5 2 4" xfId="12643" xr:uid="{379A51DA-AA47-4211-BA77-231C8B4C2695}"/>
    <cellStyle name="Comma 4 2 4 2 5 3" xfId="6266" xr:uid="{00000000-0005-0000-0000-0000C6080000}"/>
    <cellStyle name="Comma 4 2 4 2 5 3 2" xfId="23996" xr:uid="{A7ED3C1A-EAAC-450F-8FE4-3316B06646F6}"/>
    <cellStyle name="Comma 4 2 4 2 5 3 3" xfId="14716" xr:uid="{325397DD-FB55-4E1F-AC42-85BE9E44C15A}"/>
    <cellStyle name="Comma 4 2 4 2 5 4" xfId="19779" xr:uid="{9F26DFEB-E577-4E9A-911F-E0CE466E7564}"/>
    <cellStyle name="Comma 4 2 4 2 5 5" xfId="10498" xr:uid="{597EE214-D3E6-4CFA-A8C7-1F5C3A71AFC6}"/>
    <cellStyle name="Comma 4 2 4 2 6" xfId="2395" xr:uid="{00000000-0005-0000-0000-0000C7080000}"/>
    <cellStyle name="Comma 4 2 4 2 6 2" xfId="6679" xr:uid="{00000000-0005-0000-0000-0000C8080000}"/>
    <cellStyle name="Comma 4 2 4 2 6 2 2" xfId="24409" xr:uid="{EE1BFBFD-C36C-433D-ABD9-998ABCD353DB}"/>
    <cellStyle name="Comma 4 2 4 2 6 2 3" xfId="15129" xr:uid="{78C07ADC-BBB1-4092-B02E-19AC9C548C9F}"/>
    <cellStyle name="Comma 4 2 4 2 6 3" xfId="20192" xr:uid="{BEBDAB5E-478C-441D-8915-13B83B0E9C1F}"/>
    <cellStyle name="Comma 4 2 4 2 6 4" xfId="10911" xr:uid="{83B6843D-E12A-480F-9BF9-5D9F9EE792D9}"/>
    <cellStyle name="Comma 4 2 4 2 7" xfId="2368" xr:uid="{00000000-0005-0000-0000-0000C9080000}"/>
    <cellStyle name="Comma 4 2 4 2 8" xfId="2773" xr:uid="{00000000-0005-0000-0000-0000CA080000}"/>
    <cellStyle name="Comma 4 2 4 2 8 2" xfId="6996" xr:uid="{00000000-0005-0000-0000-0000CB080000}"/>
    <cellStyle name="Comma 4 2 4 2 8 2 2" xfId="24726" xr:uid="{07999BCE-CDAE-41C6-8D1B-3F377BCCD4FF}"/>
    <cellStyle name="Comma 4 2 4 2 8 2 3" xfId="15446" xr:uid="{CC275D48-FE4A-4A4F-8A3B-8BFD94BFA876}"/>
    <cellStyle name="Comma 4 2 4 2 8 3" xfId="20509" xr:uid="{EF482101-64FD-4EC4-8011-10A4FC48546D}"/>
    <cellStyle name="Comma 4 2 4 2 8 4" xfId="11228" xr:uid="{1E8DEC05-12DA-46F4-93F3-9E996AE7441B}"/>
    <cellStyle name="Comma 4 2 4 2 9" xfId="4613" xr:uid="{00000000-0005-0000-0000-0000CC080000}"/>
    <cellStyle name="Comma 4 2 4 2 9 2" xfId="22343" xr:uid="{C141A666-F7F2-4173-8808-4EFE9210D357}"/>
    <cellStyle name="Comma 4 2 4 2 9 3" xfId="13063" xr:uid="{82243915-C1EA-4452-8CAF-438181D554C2}"/>
    <cellStyle name="Comma 4 2 4 3" xfId="678" xr:uid="{00000000-0005-0000-0000-0000CD080000}"/>
    <cellStyle name="Comma 4 2 4 3 2" xfId="2949" xr:uid="{00000000-0005-0000-0000-0000CE080000}"/>
    <cellStyle name="Comma 4 2 4 3 2 2" xfId="7171" xr:uid="{00000000-0005-0000-0000-0000CF080000}"/>
    <cellStyle name="Comma 4 2 4 3 2 2 2" xfId="24901" xr:uid="{75FB4ED1-E81A-4C60-990B-E92B8CE89AB1}"/>
    <cellStyle name="Comma 4 2 4 3 2 2 3" xfId="15621" xr:uid="{D4C556E1-3F30-46D9-AE26-134820EE6FD1}"/>
    <cellStyle name="Comma 4 2 4 3 2 3" xfId="20684" xr:uid="{958E14C4-62BA-4C04-A896-6FF1AC2E1D8D}"/>
    <cellStyle name="Comma 4 2 4 3 2 4" xfId="11403" xr:uid="{BF7D0EC2-9212-4A9F-84CF-465A0CC12EEE}"/>
    <cellStyle name="Comma 4 2 4 3 3" xfId="5026" xr:uid="{00000000-0005-0000-0000-0000D0080000}"/>
    <cellStyle name="Comma 4 2 4 3 3 2" xfId="22756" xr:uid="{6A39F160-4519-497E-8FCF-AB2BB4F0D4F3}"/>
    <cellStyle name="Comma 4 2 4 3 3 3" xfId="13476" xr:uid="{E350A2E3-D7EF-446A-BAC1-685845745EB4}"/>
    <cellStyle name="Comma 4 2 4 3 4" xfId="18539" xr:uid="{2F7D2D3D-9009-4206-BF45-10672E4421EA}"/>
    <cellStyle name="Comma 4 2 4 3 5" xfId="17709" xr:uid="{D57C8609-86DD-4067-BAA8-4DCDE8A7652C}"/>
    <cellStyle name="Comma 4 2 4 3 6" xfId="9258" xr:uid="{4D7F15DC-C324-4FAB-AD55-1E85483D2057}"/>
    <cellStyle name="Comma 4 2 4 4" xfId="1131" xr:uid="{00000000-0005-0000-0000-0000D1080000}"/>
    <cellStyle name="Comma 4 2 4 4 2" xfId="3362" xr:uid="{00000000-0005-0000-0000-0000D2080000}"/>
    <cellStyle name="Comma 4 2 4 4 2 2" xfId="7584" xr:uid="{00000000-0005-0000-0000-0000D3080000}"/>
    <cellStyle name="Comma 4 2 4 4 2 2 2" xfId="25314" xr:uid="{E55CE16D-31F0-4E3A-82D0-C7238FAB8A5B}"/>
    <cellStyle name="Comma 4 2 4 4 2 2 3" xfId="16034" xr:uid="{AB02A8D4-B6BE-4430-A3EF-2186C82646EF}"/>
    <cellStyle name="Comma 4 2 4 4 2 3" xfId="21097" xr:uid="{DB81A5BD-3182-443F-A8FF-B17E09FEB67A}"/>
    <cellStyle name="Comma 4 2 4 4 2 4" xfId="11816" xr:uid="{13E6A6FA-D093-40BF-909A-1F156D310C55}"/>
    <cellStyle name="Comma 4 2 4 4 3" xfId="5439" xr:uid="{00000000-0005-0000-0000-0000D4080000}"/>
    <cellStyle name="Comma 4 2 4 4 3 2" xfId="23169" xr:uid="{0345FDE0-BB46-4EDD-BFB5-A95967ABD73A}"/>
    <cellStyle name="Comma 4 2 4 4 3 3" xfId="13889" xr:uid="{469533AD-47E7-4FEA-A661-5C144C82EFC3}"/>
    <cellStyle name="Comma 4 2 4 4 4" xfId="18952" xr:uid="{D115361D-9646-40B1-9D01-3350BD320D07}"/>
    <cellStyle name="Comma 4 2 4 4 5" xfId="9671" xr:uid="{B4E599C0-E4F2-40E1-9049-54C6F548DEFE}"/>
    <cellStyle name="Comma 4 2 4 5" xfId="1545" xr:uid="{00000000-0005-0000-0000-0000D5080000}"/>
    <cellStyle name="Comma 4 2 4 5 2" xfId="3775" xr:uid="{00000000-0005-0000-0000-0000D6080000}"/>
    <cellStyle name="Comma 4 2 4 5 2 2" xfId="7997" xr:uid="{00000000-0005-0000-0000-0000D7080000}"/>
    <cellStyle name="Comma 4 2 4 5 2 2 2" xfId="25727" xr:uid="{21A17DA8-131C-4C90-9DB8-75003E40E95A}"/>
    <cellStyle name="Comma 4 2 4 5 2 2 3" xfId="16447" xr:uid="{1BC0BC7F-35AD-4A95-B973-F6EA36831558}"/>
    <cellStyle name="Comma 4 2 4 5 2 3" xfId="21510" xr:uid="{081743EF-A508-4733-A72F-26A1C92A79F8}"/>
    <cellStyle name="Comma 4 2 4 5 2 4" xfId="12229" xr:uid="{18D7D0B5-1091-41C8-AE70-165580ACF7F9}"/>
    <cellStyle name="Comma 4 2 4 5 3" xfId="5852" xr:uid="{00000000-0005-0000-0000-0000D8080000}"/>
    <cellStyle name="Comma 4 2 4 5 3 2" xfId="23582" xr:uid="{2FD556A1-DFA7-4061-A980-1C5FD391EB75}"/>
    <cellStyle name="Comma 4 2 4 5 3 3" xfId="14302" xr:uid="{02CF62A2-C678-43E4-8898-A1A71D0552FD}"/>
    <cellStyle name="Comma 4 2 4 5 4" xfId="19365" xr:uid="{7238D008-6ACB-43E1-8370-78656CE856E8}"/>
    <cellStyle name="Comma 4 2 4 5 5" xfId="10084" xr:uid="{4033DA23-CB3B-4271-964F-B59073FA9E47}"/>
    <cellStyle name="Comma 4 2 4 6" xfId="1959" xr:uid="{00000000-0005-0000-0000-0000D9080000}"/>
    <cellStyle name="Comma 4 2 4 6 2" xfId="4188" xr:uid="{00000000-0005-0000-0000-0000DA080000}"/>
    <cellStyle name="Comma 4 2 4 6 2 2" xfId="8410" xr:uid="{00000000-0005-0000-0000-0000DB080000}"/>
    <cellStyle name="Comma 4 2 4 6 2 2 2" xfId="26140" xr:uid="{A5ED8D15-E241-4B14-8317-78D6474A0CE7}"/>
    <cellStyle name="Comma 4 2 4 6 2 2 3" xfId="16860" xr:uid="{E907F65C-49A3-419A-A874-970DE44325E2}"/>
    <cellStyle name="Comma 4 2 4 6 2 3" xfId="21923" xr:uid="{D755038D-6C13-439D-A69D-66058135B662}"/>
    <cellStyle name="Comma 4 2 4 6 2 4" xfId="12642" xr:uid="{AC7B4ED0-959E-4FC8-AFCA-70981BA25D16}"/>
    <cellStyle name="Comma 4 2 4 6 3" xfId="6265" xr:uid="{00000000-0005-0000-0000-0000DC080000}"/>
    <cellStyle name="Comma 4 2 4 6 3 2" xfId="23995" xr:uid="{91258C42-9BB2-42DB-99E6-6087EF0F8051}"/>
    <cellStyle name="Comma 4 2 4 6 3 3" xfId="14715" xr:uid="{56380F33-7DB3-4773-91E4-54C9A7F509BF}"/>
    <cellStyle name="Comma 4 2 4 6 4" xfId="19778" xr:uid="{12265478-46C3-47CC-8FD9-B94D6507CB28}"/>
    <cellStyle name="Comma 4 2 4 6 5" xfId="10497" xr:uid="{4CEBC0D7-169A-4CDD-8300-16D77A3F2D27}"/>
    <cellStyle name="Comma 4 2 4 7" xfId="2394" xr:uid="{00000000-0005-0000-0000-0000DD080000}"/>
    <cellStyle name="Comma 4 2 4 7 2" xfId="6678" xr:uid="{00000000-0005-0000-0000-0000DE080000}"/>
    <cellStyle name="Comma 4 2 4 7 2 2" xfId="24408" xr:uid="{81ACE5B6-C329-42D1-9918-C0C58B99E91B}"/>
    <cellStyle name="Comma 4 2 4 7 2 3" xfId="15128" xr:uid="{09A5FACC-780A-4915-BBCB-51C9E8DD9456}"/>
    <cellStyle name="Comma 4 2 4 7 3" xfId="20191" xr:uid="{29AD1D53-129B-4629-B825-A7CCD5E3B7EE}"/>
    <cellStyle name="Comma 4 2 4 7 4" xfId="10910" xr:uid="{1CE70AA8-CDD4-4A89-9602-A60D2EE52772}"/>
    <cellStyle name="Comma 4 2 4 8" xfId="2369" xr:uid="{00000000-0005-0000-0000-0000DF080000}"/>
    <cellStyle name="Comma 4 2 4 9" xfId="2772" xr:uid="{00000000-0005-0000-0000-0000E0080000}"/>
    <cellStyle name="Comma 4 2 4 9 2" xfId="6995" xr:uid="{00000000-0005-0000-0000-0000E1080000}"/>
    <cellStyle name="Comma 4 2 4 9 2 2" xfId="24725" xr:uid="{A74FB144-B896-4022-A4D2-D9F5FA12F0F9}"/>
    <cellStyle name="Comma 4 2 4 9 2 3" xfId="15445" xr:uid="{D137B9EC-C43D-4660-95E9-323886B07EF6}"/>
    <cellStyle name="Comma 4 2 4 9 3" xfId="20508" xr:uid="{3BEEF043-F8C7-4F66-91E1-E351B97F08A6}"/>
    <cellStyle name="Comma 4 2 4 9 4" xfId="11227" xr:uid="{B382093F-D67C-49EA-8498-10838D258B17}"/>
    <cellStyle name="Comma 4 2 5" xfId="142" xr:uid="{00000000-0005-0000-0000-0000E2080000}"/>
    <cellStyle name="Comma 4 2 5 10" xfId="18127" xr:uid="{E6040D61-4229-4D23-BC16-AD9195E85EFA}"/>
    <cellStyle name="Comma 4 2 5 11" xfId="17294" xr:uid="{3F29171A-2DD0-472C-B2D9-89882B81E830}"/>
    <cellStyle name="Comma 4 2 5 12" xfId="8846" xr:uid="{68385B12-3B7B-4587-9572-78EF994A2E76}"/>
    <cellStyle name="Comma 4 2 5 2" xfId="680" xr:uid="{00000000-0005-0000-0000-0000E3080000}"/>
    <cellStyle name="Comma 4 2 5 2 2" xfId="2951" xr:uid="{00000000-0005-0000-0000-0000E4080000}"/>
    <cellStyle name="Comma 4 2 5 2 2 2" xfId="7173" xr:uid="{00000000-0005-0000-0000-0000E5080000}"/>
    <cellStyle name="Comma 4 2 5 2 2 2 2" xfId="24903" xr:uid="{B9548814-0DB7-4544-B7B5-F965AC92C625}"/>
    <cellStyle name="Comma 4 2 5 2 2 2 3" xfId="15623" xr:uid="{2E240F05-F2D1-41E0-9BB9-62514842DAB1}"/>
    <cellStyle name="Comma 4 2 5 2 2 3" xfId="20686" xr:uid="{23AB67D2-BA3C-4C22-841B-7AB3ED010318}"/>
    <cellStyle name="Comma 4 2 5 2 2 4" xfId="11405" xr:uid="{C4403E9F-115C-4AB3-855C-CF6DC77160EC}"/>
    <cellStyle name="Comma 4 2 5 2 3" xfId="5028" xr:uid="{00000000-0005-0000-0000-0000E6080000}"/>
    <cellStyle name="Comma 4 2 5 2 3 2" xfId="22758" xr:uid="{2D134109-0EB5-47D5-8D65-04E1BCB38963}"/>
    <cellStyle name="Comma 4 2 5 2 3 3" xfId="13478" xr:uid="{D7045390-D9A3-407B-864F-E00BE6D87466}"/>
    <cellStyle name="Comma 4 2 5 2 4" xfId="18541" xr:uid="{ABF9FCC0-8542-4B8E-B313-C32356D56F60}"/>
    <cellStyle name="Comma 4 2 5 2 5" xfId="17711" xr:uid="{345FB00E-F623-41E6-982B-1E1780689B95}"/>
    <cellStyle name="Comma 4 2 5 2 6" xfId="9260" xr:uid="{76AAD207-450D-4F17-A820-73B0BDBBF6E4}"/>
    <cellStyle name="Comma 4 2 5 3" xfId="1133" xr:uid="{00000000-0005-0000-0000-0000E7080000}"/>
    <cellStyle name="Comma 4 2 5 3 2" xfId="3364" xr:uid="{00000000-0005-0000-0000-0000E8080000}"/>
    <cellStyle name="Comma 4 2 5 3 2 2" xfId="7586" xr:uid="{00000000-0005-0000-0000-0000E9080000}"/>
    <cellStyle name="Comma 4 2 5 3 2 2 2" xfId="25316" xr:uid="{C4B1D09D-F508-4947-9EC0-BFDE95F72B97}"/>
    <cellStyle name="Comma 4 2 5 3 2 2 3" xfId="16036" xr:uid="{A6BD31E5-0296-41F5-8E93-0287A8F1969C}"/>
    <cellStyle name="Comma 4 2 5 3 2 3" xfId="21099" xr:uid="{CA763F9A-8B35-4923-A100-A418CB9EDEDE}"/>
    <cellStyle name="Comma 4 2 5 3 2 4" xfId="11818" xr:uid="{854DA795-5D07-4AE4-81AE-96EFEED5663E}"/>
    <cellStyle name="Comma 4 2 5 3 3" xfId="5441" xr:uid="{00000000-0005-0000-0000-0000EA080000}"/>
    <cellStyle name="Comma 4 2 5 3 3 2" xfId="23171" xr:uid="{A28C0E49-24C4-4EFC-A95C-CAAA1AE04CEF}"/>
    <cellStyle name="Comma 4 2 5 3 3 3" xfId="13891" xr:uid="{00B77257-A794-4A4B-B41A-0A8EAE524992}"/>
    <cellStyle name="Comma 4 2 5 3 4" xfId="18954" xr:uid="{FEFF3C34-9F64-4706-AD71-BA3E50D714FA}"/>
    <cellStyle name="Comma 4 2 5 3 5" xfId="9673" xr:uid="{37039FEE-B3A3-4A62-BD08-59D5C8FF186E}"/>
    <cellStyle name="Comma 4 2 5 4" xfId="1547" xr:uid="{00000000-0005-0000-0000-0000EB080000}"/>
    <cellStyle name="Comma 4 2 5 4 2" xfId="3777" xr:uid="{00000000-0005-0000-0000-0000EC080000}"/>
    <cellStyle name="Comma 4 2 5 4 2 2" xfId="7999" xr:uid="{00000000-0005-0000-0000-0000ED080000}"/>
    <cellStyle name="Comma 4 2 5 4 2 2 2" xfId="25729" xr:uid="{F9597562-473F-4041-AE35-85373F648D03}"/>
    <cellStyle name="Comma 4 2 5 4 2 2 3" xfId="16449" xr:uid="{896C8D4A-2A4E-457F-AA29-502F9A207DB5}"/>
    <cellStyle name="Comma 4 2 5 4 2 3" xfId="21512" xr:uid="{A80B86B2-DD88-4D42-985E-A13B5A19D0EA}"/>
    <cellStyle name="Comma 4 2 5 4 2 4" xfId="12231" xr:uid="{E6D15008-FB67-4EEA-845F-30F6D9CC9787}"/>
    <cellStyle name="Comma 4 2 5 4 3" xfId="5854" xr:uid="{00000000-0005-0000-0000-0000EE080000}"/>
    <cellStyle name="Comma 4 2 5 4 3 2" xfId="23584" xr:uid="{19DFC380-E71B-4943-B987-D57B55C62817}"/>
    <cellStyle name="Comma 4 2 5 4 3 3" xfId="14304" xr:uid="{EC5EE803-E460-4C2C-BCA0-6C398840345E}"/>
    <cellStyle name="Comma 4 2 5 4 4" xfId="19367" xr:uid="{6E62DA58-6FBC-40D9-A9D9-630FB2D5E31F}"/>
    <cellStyle name="Comma 4 2 5 4 5" xfId="10086" xr:uid="{04D8A7CF-6F0A-48A7-B111-EEB339DD38BD}"/>
    <cellStyle name="Comma 4 2 5 5" xfId="1961" xr:uid="{00000000-0005-0000-0000-0000EF080000}"/>
    <cellStyle name="Comma 4 2 5 5 2" xfId="4190" xr:uid="{00000000-0005-0000-0000-0000F0080000}"/>
    <cellStyle name="Comma 4 2 5 5 2 2" xfId="8412" xr:uid="{00000000-0005-0000-0000-0000F1080000}"/>
    <cellStyle name="Comma 4 2 5 5 2 2 2" xfId="26142" xr:uid="{5E82D13F-E94D-44FB-83A4-F450FCB2A09A}"/>
    <cellStyle name="Comma 4 2 5 5 2 2 3" xfId="16862" xr:uid="{76991C1D-804B-46F8-90B3-16981E8AF1EF}"/>
    <cellStyle name="Comma 4 2 5 5 2 3" xfId="21925" xr:uid="{8572C81F-D533-4D36-AA0F-F35826A595EF}"/>
    <cellStyle name="Comma 4 2 5 5 2 4" xfId="12644" xr:uid="{CDA486CC-6308-455D-9759-3DA973CE1333}"/>
    <cellStyle name="Comma 4 2 5 5 3" xfId="6267" xr:uid="{00000000-0005-0000-0000-0000F2080000}"/>
    <cellStyle name="Comma 4 2 5 5 3 2" xfId="23997" xr:uid="{E11EC3EE-44B2-475A-8697-B20DABD6D83F}"/>
    <cellStyle name="Comma 4 2 5 5 3 3" xfId="14717" xr:uid="{5E020FB5-5C57-444C-B2F4-0480A9D1DC9B}"/>
    <cellStyle name="Comma 4 2 5 5 4" xfId="19780" xr:uid="{A292C809-336A-4F51-9022-4139861B89B1}"/>
    <cellStyle name="Comma 4 2 5 5 5" xfId="10499" xr:uid="{933D90CE-8FB5-4555-9FAB-64C0CA5875A6}"/>
    <cellStyle name="Comma 4 2 5 6" xfId="2396" xr:uid="{00000000-0005-0000-0000-0000F3080000}"/>
    <cellStyle name="Comma 4 2 5 6 2" xfId="6680" xr:uid="{00000000-0005-0000-0000-0000F4080000}"/>
    <cellStyle name="Comma 4 2 5 6 2 2" xfId="24410" xr:uid="{387D10D7-1868-487D-9B9B-F635665354A6}"/>
    <cellStyle name="Comma 4 2 5 6 2 3" xfId="15130" xr:uid="{C1B1CBBA-6310-481E-BA5B-33A3B5900CB6}"/>
    <cellStyle name="Comma 4 2 5 6 3" xfId="20193" xr:uid="{DB2E0AA6-F052-43D8-AFD8-DAC042816978}"/>
    <cellStyle name="Comma 4 2 5 6 4" xfId="10912" xr:uid="{3A4A8D0A-D09E-4575-8093-7ECF261187E2}"/>
    <cellStyle name="Comma 4 2 5 7" xfId="2367" xr:uid="{00000000-0005-0000-0000-0000F5080000}"/>
    <cellStyle name="Comma 4 2 5 8" xfId="2774" xr:uid="{00000000-0005-0000-0000-0000F6080000}"/>
    <cellStyle name="Comma 4 2 5 8 2" xfId="6997" xr:uid="{00000000-0005-0000-0000-0000F7080000}"/>
    <cellStyle name="Comma 4 2 5 8 2 2" xfId="24727" xr:uid="{C52D75A3-ECF6-4F08-BCA4-D5026270B287}"/>
    <cellStyle name="Comma 4 2 5 8 2 3" xfId="15447" xr:uid="{584016BD-2AAE-4301-8AE4-456443C305C1}"/>
    <cellStyle name="Comma 4 2 5 8 3" xfId="20510" xr:uid="{78A8E025-27E1-40D0-9044-18D78B8DA285}"/>
    <cellStyle name="Comma 4 2 5 8 4" xfId="11229" xr:uid="{D1C778DB-8789-4E2D-A0DC-1C28F72F8D7D}"/>
    <cellStyle name="Comma 4 2 5 9" xfId="4614" xr:uid="{00000000-0005-0000-0000-0000F8080000}"/>
    <cellStyle name="Comma 4 2 5 9 2" xfId="22344" xr:uid="{DD94FD3A-EEFB-4BE5-9A10-579DB80DB08E}"/>
    <cellStyle name="Comma 4 2 5 9 3" xfId="13064" xr:uid="{88780F3B-F9EB-4481-BAF5-0B9CDE808A32}"/>
    <cellStyle name="Comma 4 2 6" xfId="143" xr:uid="{00000000-0005-0000-0000-0000F9080000}"/>
    <cellStyle name="Comma 4 2 6 10" xfId="18128" xr:uid="{21AFBFF2-54D3-47B7-8099-9248C2269812}"/>
    <cellStyle name="Comma 4 2 6 11" xfId="17295" xr:uid="{090FE4A9-5CE0-4198-B5AE-C8252C9A6FC6}"/>
    <cellStyle name="Comma 4 2 6 12" xfId="8847" xr:uid="{D1B88A7C-4044-4760-96B4-9FF34B7AA8CD}"/>
    <cellStyle name="Comma 4 2 6 2" xfId="681" xr:uid="{00000000-0005-0000-0000-0000FA080000}"/>
    <cellStyle name="Comma 4 2 6 2 2" xfId="2952" xr:uid="{00000000-0005-0000-0000-0000FB080000}"/>
    <cellStyle name="Comma 4 2 6 2 2 2" xfId="7174" xr:uid="{00000000-0005-0000-0000-0000FC080000}"/>
    <cellStyle name="Comma 4 2 6 2 2 2 2" xfId="24904" xr:uid="{FCC29135-11ED-46DE-9351-B35C378DB11F}"/>
    <cellStyle name="Comma 4 2 6 2 2 2 3" xfId="15624" xr:uid="{FA9D83A3-E23C-411E-B350-7F03C9158A24}"/>
    <cellStyle name="Comma 4 2 6 2 2 3" xfId="20687" xr:uid="{3F93C13B-2738-4029-B97A-488092EA7828}"/>
    <cellStyle name="Comma 4 2 6 2 2 4" xfId="11406" xr:uid="{4F5715F6-CC2E-491C-A5B0-30695E545155}"/>
    <cellStyle name="Comma 4 2 6 2 3" xfId="5029" xr:uid="{00000000-0005-0000-0000-0000FD080000}"/>
    <cellStyle name="Comma 4 2 6 2 3 2" xfId="22759" xr:uid="{2DD5FA18-24C1-4DAA-96DC-82CA9BA7025F}"/>
    <cellStyle name="Comma 4 2 6 2 3 3" xfId="13479" xr:uid="{4BB2E5F3-458E-4E77-B021-41C21930B437}"/>
    <cellStyle name="Comma 4 2 6 2 4" xfId="18542" xr:uid="{30FC2344-5D3A-4FE7-B1D7-F4FDCC284C86}"/>
    <cellStyle name="Comma 4 2 6 2 5" xfId="17712" xr:uid="{402AB810-4D99-4CFA-83BB-130A18297A3F}"/>
    <cellStyle name="Comma 4 2 6 2 6" xfId="9261" xr:uid="{B3AF42B2-7D96-4695-8600-BB8DC6FA284E}"/>
    <cellStyle name="Comma 4 2 6 3" xfId="1134" xr:uid="{00000000-0005-0000-0000-0000FE080000}"/>
    <cellStyle name="Comma 4 2 6 3 2" xfId="3365" xr:uid="{00000000-0005-0000-0000-0000FF080000}"/>
    <cellStyle name="Comma 4 2 6 3 2 2" xfId="7587" xr:uid="{00000000-0005-0000-0000-000000090000}"/>
    <cellStyle name="Comma 4 2 6 3 2 2 2" xfId="25317" xr:uid="{107B529B-FB96-44C6-B060-D89AE8B51787}"/>
    <cellStyle name="Comma 4 2 6 3 2 2 3" xfId="16037" xr:uid="{145F81CD-DEF4-4EEB-B5B3-0ACD233BF18F}"/>
    <cellStyle name="Comma 4 2 6 3 2 3" xfId="21100" xr:uid="{61C489FF-6A9B-49CF-8E24-B862C01E2014}"/>
    <cellStyle name="Comma 4 2 6 3 2 4" xfId="11819" xr:uid="{FBA71C45-6C59-4847-8436-14F6C294C094}"/>
    <cellStyle name="Comma 4 2 6 3 3" xfId="5442" xr:uid="{00000000-0005-0000-0000-000001090000}"/>
    <cellStyle name="Comma 4 2 6 3 3 2" xfId="23172" xr:uid="{7F7D4489-19D4-4EFE-8498-1587BA3A1672}"/>
    <cellStyle name="Comma 4 2 6 3 3 3" xfId="13892" xr:uid="{4C8036C3-75A7-474E-96D6-F75BB5221F86}"/>
    <cellStyle name="Comma 4 2 6 3 4" xfId="18955" xr:uid="{A15D6283-660C-403B-ADC8-85D03D9B8CA5}"/>
    <cellStyle name="Comma 4 2 6 3 5" xfId="9674" xr:uid="{37CCA58D-68C4-48D0-8BEB-7D18CB5089AA}"/>
    <cellStyle name="Comma 4 2 6 4" xfId="1548" xr:uid="{00000000-0005-0000-0000-000002090000}"/>
    <cellStyle name="Comma 4 2 6 4 2" xfId="3778" xr:uid="{00000000-0005-0000-0000-000003090000}"/>
    <cellStyle name="Comma 4 2 6 4 2 2" xfId="8000" xr:uid="{00000000-0005-0000-0000-000004090000}"/>
    <cellStyle name="Comma 4 2 6 4 2 2 2" xfId="25730" xr:uid="{47497833-351B-4A1A-9E30-931167AD6EBD}"/>
    <cellStyle name="Comma 4 2 6 4 2 2 3" xfId="16450" xr:uid="{1997FD6A-F9C0-479D-98A8-CF6A129DB367}"/>
    <cellStyle name="Comma 4 2 6 4 2 3" xfId="21513" xr:uid="{C48E0356-0F33-4A96-BE79-B22E3E78A536}"/>
    <cellStyle name="Comma 4 2 6 4 2 4" xfId="12232" xr:uid="{9122F4A7-2241-442C-9C0C-FDC6700311C7}"/>
    <cellStyle name="Comma 4 2 6 4 3" xfId="5855" xr:uid="{00000000-0005-0000-0000-000005090000}"/>
    <cellStyle name="Comma 4 2 6 4 3 2" xfId="23585" xr:uid="{7B5C9133-24B9-4C3D-829D-1087D55E0B5B}"/>
    <cellStyle name="Comma 4 2 6 4 3 3" xfId="14305" xr:uid="{B67A67B4-EC99-4F92-A7C1-DFBA60A5245B}"/>
    <cellStyle name="Comma 4 2 6 4 4" xfId="19368" xr:uid="{01B8EC27-A5CE-4B16-A8E4-133867AC93AB}"/>
    <cellStyle name="Comma 4 2 6 4 5" xfId="10087" xr:uid="{BA5711A7-BB69-4890-9390-E240911DFBBE}"/>
    <cellStyle name="Comma 4 2 6 5" xfId="1962" xr:uid="{00000000-0005-0000-0000-000006090000}"/>
    <cellStyle name="Comma 4 2 6 5 2" xfId="4191" xr:uid="{00000000-0005-0000-0000-000007090000}"/>
    <cellStyle name="Comma 4 2 6 5 2 2" xfId="8413" xr:uid="{00000000-0005-0000-0000-000008090000}"/>
    <cellStyle name="Comma 4 2 6 5 2 2 2" xfId="26143" xr:uid="{147FFDF0-A731-4167-92D0-9866CC45EF62}"/>
    <cellStyle name="Comma 4 2 6 5 2 2 3" xfId="16863" xr:uid="{A6065FC1-E15A-40FC-A817-0B36EFF47FC6}"/>
    <cellStyle name="Comma 4 2 6 5 2 3" xfId="21926" xr:uid="{240847AC-A40F-4DD8-B915-6D4B712D0791}"/>
    <cellStyle name="Comma 4 2 6 5 2 4" xfId="12645" xr:uid="{6E2D37E3-6E22-4694-B58A-7C32AF082F1D}"/>
    <cellStyle name="Comma 4 2 6 5 3" xfId="6268" xr:uid="{00000000-0005-0000-0000-000009090000}"/>
    <cellStyle name="Comma 4 2 6 5 3 2" xfId="23998" xr:uid="{F444E8CF-523F-4D3E-9839-E3D4D01D3204}"/>
    <cellStyle name="Comma 4 2 6 5 3 3" xfId="14718" xr:uid="{C4875574-7FB8-4BEB-A761-6FB441398373}"/>
    <cellStyle name="Comma 4 2 6 5 4" xfId="19781" xr:uid="{21F72C41-4BD7-4170-9654-1E757999F1CF}"/>
    <cellStyle name="Comma 4 2 6 5 5" xfId="10500" xr:uid="{6C72075D-0C3B-40BD-AD37-F95A635E32D8}"/>
    <cellStyle name="Comma 4 2 6 6" xfId="2397" xr:uid="{00000000-0005-0000-0000-00000A090000}"/>
    <cellStyle name="Comma 4 2 6 6 2" xfId="6681" xr:uid="{00000000-0005-0000-0000-00000B090000}"/>
    <cellStyle name="Comma 4 2 6 6 2 2" xfId="24411" xr:uid="{D64A5056-06DB-4EB4-9716-FECCA60942BC}"/>
    <cellStyle name="Comma 4 2 6 6 2 3" xfId="15131" xr:uid="{BEEAD4F9-617C-428A-AF41-BDA36BD40EA5}"/>
    <cellStyle name="Comma 4 2 6 6 3" xfId="20194" xr:uid="{77AFDCE7-3CD9-4A6A-9A20-95FB7F60AEDC}"/>
    <cellStyle name="Comma 4 2 6 6 4" xfId="10913" xr:uid="{4AB6986A-C72D-4515-8DA1-CDA09436FF5F}"/>
    <cellStyle name="Comma 4 2 6 7" xfId="2366" xr:uid="{00000000-0005-0000-0000-00000C090000}"/>
    <cellStyle name="Comma 4 2 6 8" xfId="2775" xr:uid="{00000000-0005-0000-0000-00000D090000}"/>
    <cellStyle name="Comma 4 2 6 8 2" xfId="6998" xr:uid="{00000000-0005-0000-0000-00000E090000}"/>
    <cellStyle name="Comma 4 2 6 8 2 2" xfId="24728" xr:uid="{9CFBE511-BF9D-4D5F-96AD-416C06FA7FCF}"/>
    <cellStyle name="Comma 4 2 6 8 2 3" xfId="15448" xr:uid="{71520407-0AF0-4038-9D90-8FD2C44F1504}"/>
    <cellStyle name="Comma 4 2 6 8 3" xfId="20511" xr:uid="{164CA143-ED84-4DB0-BEF8-B18FD51758FF}"/>
    <cellStyle name="Comma 4 2 6 8 4" xfId="11230" xr:uid="{DAF75956-0ABD-4B87-9CE9-BEE6936C921C}"/>
    <cellStyle name="Comma 4 2 6 9" xfId="4615" xr:uid="{00000000-0005-0000-0000-00000F090000}"/>
    <cellStyle name="Comma 4 2 6 9 2" xfId="22345" xr:uid="{F8CC36B5-140F-494D-9D2B-4F6FA605A0F8}"/>
    <cellStyle name="Comma 4 2 6 9 3" xfId="13065" xr:uid="{BA1EC9FB-D15D-462A-B1DB-6CA1E261AB4A}"/>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24729" xr:uid="{E74A54F4-B233-4DE1-90EB-0C13D0AC6097}"/>
    <cellStyle name="Comma 4 3 2 10 2 3" xfId="15449" xr:uid="{D364DC70-FE4F-47FC-921F-19D9B0C2B291}"/>
    <cellStyle name="Comma 4 3 2 10 3" xfId="20512" xr:uid="{2C56F574-0322-4D46-8944-CFCD16D0537B}"/>
    <cellStyle name="Comma 4 3 2 10 4" xfId="11231" xr:uid="{8F7C9282-88D5-464C-91DC-2C43497E2BAF}"/>
    <cellStyle name="Comma 4 3 2 11" xfId="4616" xr:uid="{00000000-0005-0000-0000-000014090000}"/>
    <cellStyle name="Comma 4 3 2 11 2" xfId="22346" xr:uid="{2410EA30-EF47-4465-A7C9-EAD9C2AF90C5}"/>
    <cellStyle name="Comma 4 3 2 11 3" xfId="13066" xr:uid="{C7127296-5D79-4ABD-872F-52320EC3ADD9}"/>
    <cellStyle name="Comma 4 3 2 12" xfId="18129" xr:uid="{0EEC72BA-8750-4EAC-86ED-0B733965A0BA}"/>
    <cellStyle name="Comma 4 3 2 13" xfId="17296" xr:uid="{7D99889E-0F7E-43B2-9091-76A18AB3A442}"/>
    <cellStyle name="Comma 4 3 2 14" xfId="8848" xr:uid="{73135C53-0DD5-448C-8A7D-D926DB1B545F}"/>
    <cellStyle name="Comma 4 3 2 2" xfId="146" xr:uid="{00000000-0005-0000-0000-000015090000}"/>
    <cellStyle name="Comma 4 3 2 2 10" xfId="4617" xr:uid="{00000000-0005-0000-0000-000016090000}"/>
    <cellStyle name="Comma 4 3 2 2 10 2" xfId="22347" xr:uid="{7624DCF7-BF21-4AB0-813E-A8D6034692B0}"/>
    <cellStyle name="Comma 4 3 2 2 10 3" xfId="13067" xr:uid="{E8F845EC-6EAC-404B-8022-2271CB9C057D}"/>
    <cellStyle name="Comma 4 3 2 2 11" xfId="18130" xr:uid="{570E3477-001D-450A-AE91-91C9CECE9BBD}"/>
    <cellStyle name="Comma 4 3 2 2 12" xfId="17297" xr:uid="{C20F0517-FFA2-4529-B59A-BD8C68FC0136}"/>
    <cellStyle name="Comma 4 3 2 2 13" xfId="8849" xr:uid="{087544A8-E183-4324-AC84-7DAB4A8E7474}"/>
    <cellStyle name="Comma 4 3 2 2 2" xfId="147" xr:uid="{00000000-0005-0000-0000-000017090000}"/>
    <cellStyle name="Comma 4 3 2 2 2 10" xfId="18131" xr:uid="{C5E6A275-3BA3-4DA2-B8D1-2CC7B8D9E6DD}"/>
    <cellStyle name="Comma 4 3 2 2 2 11" xfId="17298" xr:uid="{D841C55F-B035-4BDF-8EA0-A67928091630}"/>
    <cellStyle name="Comma 4 3 2 2 2 12" xfId="8850" xr:uid="{876322F8-C10A-452E-8677-B4C451ACB6AC}"/>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24907" xr:uid="{4B2DD720-7456-4651-A5D2-43F6440F1CBE}"/>
    <cellStyle name="Comma 4 3 2 2 2 2 2 2 3" xfId="15627" xr:uid="{27F72858-F8A4-4CD4-B043-4EA41A921ED8}"/>
    <cellStyle name="Comma 4 3 2 2 2 2 2 3" xfId="20690" xr:uid="{6597D8B9-FF66-4333-A158-28677897568B}"/>
    <cellStyle name="Comma 4 3 2 2 2 2 2 4" xfId="11409" xr:uid="{DBFE39D7-037B-4F72-9113-29F8B69C03EF}"/>
    <cellStyle name="Comma 4 3 2 2 2 2 3" xfId="5032" xr:uid="{00000000-0005-0000-0000-00001B090000}"/>
    <cellStyle name="Comma 4 3 2 2 2 2 3 2" xfId="22762" xr:uid="{DCAD9123-518F-4A1E-BC75-B676BFD82E69}"/>
    <cellStyle name="Comma 4 3 2 2 2 2 3 3" xfId="13482" xr:uid="{5CD0D2F7-6676-4574-BD28-7120AE55CA20}"/>
    <cellStyle name="Comma 4 3 2 2 2 2 4" xfId="18545" xr:uid="{8F995715-3050-41A6-8F59-00FE1A75C67C}"/>
    <cellStyle name="Comma 4 3 2 2 2 2 5" xfId="17715" xr:uid="{E76B66A4-56CA-4BFA-A568-3E80894DF0C6}"/>
    <cellStyle name="Comma 4 3 2 2 2 2 6" xfId="9264" xr:uid="{5B26EF23-022F-4483-AA98-251B0871A15C}"/>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25320" xr:uid="{CCF3A761-E92F-4330-B7BF-DDD1D70A03AD}"/>
    <cellStyle name="Comma 4 3 2 2 2 3 2 2 3" xfId="16040" xr:uid="{D8058516-F628-4726-AAAA-BAC0EDF324D4}"/>
    <cellStyle name="Comma 4 3 2 2 2 3 2 3" xfId="21103" xr:uid="{1246CA3E-7C88-4BA0-9C7B-05BC78816F69}"/>
    <cellStyle name="Comma 4 3 2 2 2 3 2 4" xfId="11822" xr:uid="{CE0B2F98-7A1C-42AB-9271-0E74626F586D}"/>
    <cellStyle name="Comma 4 3 2 2 2 3 3" xfId="5445" xr:uid="{00000000-0005-0000-0000-00001F090000}"/>
    <cellStyle name="Comma 4 3 2 2 2 3 3 2" xfId="23175" xr:uid="{5659D48E-4611-4723-96C6-146194E95AAD}"/>
    <cellStyle name="Comma 4 3 2 2 2 3 3 3" xfId="13895" xr:uid="{1D27BCD6-81CD-41E9-93CD-E79357172E8F}"/>
    <cellStyle name="Comma 4 3 2 2 2 3 4" xfId="18958" xr:uid="{BCC1BDA7-591B-474B-9B27-C997ACFED2B1}"/>
    <cellStyle name="Comma 4 3 2 2 2 3 5" xfId="9677" xr:uid="{A583C666-6287-4EF9-862F-D035E183EC3D}"/>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25733" xr:uid="{9A125D2A-A883-4225-8315-7C36F68AA881}"/>
    <cellStyle name="Comma 4 3 2 2 2 4 2 2 3" xfId="16453" xr:uid="{0BC99D56-511E-48AF-A308-905C1A3EC8B1}"/>
    <cellStyle name="Comma 4 3 2 2 2 4 2 3" xfId="21516" xr:uid="{65909628-0800-4007-A9AF-EB8AFEE2832D}"/>
    <cellStyle name="Comma 4 3 2 2 2 4 2 4" xfId="12235" xr:uid="{11728B65-DD28-4653-8127-D771D3B33F56}"/>
    <cellStyle name="Comma 4 3 2 2 2 4 3" xfId="5858" xr:uid="{00000000-0005-0000-0000-000023090000}"/>
    <cellStyle name="Comma 4 3 2 2 2 4 3 2" xfId="23588" xr:uid="{4DC92880-49C3-4FEF-82E1-F730FE30A850}"/>
    <cellStyle name="Comma 4 3 2 2 2 4 3 3" xfId="14308" xr:uid="{41A0E6BC-7470-4F2D-BD06-D4BA73CFF781}"/>
    <cellStyle name="Comma 4 3 2 2 2 4 4" xfId="19371" xr:uid="{74DC82BF-5EA1-46B2-B59E-3C59CBE08EDF}"/>
    <cellStyle name="Comma 4 3 2 2 2 4 5" xfId="10090" xr:uid="{5AC03779-8252-465F-A7AF-CDB487F653D4}"/>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26146" xr:uid="{778A24B6-7809-43CC-9E4C-6E522E16EBAD}"/>
    <cellStyle name="Comma 4 3 2 2 2 5 2 2 3" xfId="16866" xr:uid="{3B3088A3-D313-488F-A32C-E24257F0BF24}"/>
    <cellStyle name="Comma 4 3 2 2 2 5 2 3" xfId="21929" xr:uid="{F7096B2D-5636-45B4-BFAA-6F56410D8695}"/>
    <cellStyle name="Comma 4 3 2 2 2 5 2 4" xfId="12648" xr:uid="{3385A068-D3A8-4E89-88E1-9810B5365C99}"/>
    <cellStyle name="Comma 4 3 2 2 2 5 3" xfId="6271" xr:uid="{00000000-0005-0000-0000-000027090000}"/>
    <cellStyle name="Comma 4 3 2 2 2 5 3 2" xfId="24001" xr:uid="{209E2AE6-AAFA-4AA9-9DEE-099529DC58DD}"/>
    <cellStyle name="Comma 4 3 2 2 2 5 3 3" xfId="14721" xr:uid="{C1A24928-2CCA-4176-9BE8-E054209EF156}"/>
    <cellStyle name="Comma 4 3 2 2 2 5 4" xfId="19784" xr:uid="{DE3825A4-7921-4FB8-89F0-9B02B2F8B627}"/>
    <cellStyle name="Comma 4 3 2 2 2 5 5" xfId="10503" xr:uid="{885A0DF5-7598-4316-987C-3583FD299C8B}"/>
    <cellStyle name="Comma 4 3 2 2 2 6" xfId="2400" xr:uid="{00000000-0005-0000-0000-000028090000}"/>
    <cellStyle name="Comma 4 3 2 2 2 6 2" xfId="6684" xr:uid="{00000000-0005-0000-0000-000029090000}"/>
    <cellStyle name="Comma 4 3 2 2 2 6 2 2" xfId="24414" xr:uid="{56C36358-43CC-42AC-9022-C97B1F03BC5F}"/>
    <cellStyle name="Comma 4 3 2 2 2 6 2 3" xfId="15134" xr:uid="{7FD3E73F-493C-461F-897F-72CBED8745BE}"/>
    <cellStyle name="Comma 4 3 2 2 2 6 3" xfId="20197" xr:uid="{17CE60C3-DF44-4F40-ABE5-8AECB9D41A7D}"/>
    <cellStyle name="Comma 4 3 2 2 2 6 4" xfId="10916" xr:uid="{CA319FA2-79E3-4AF0-AB50-123FD0AADBC4}"/>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24731" xr:uid="{BA29D49D-6222-47DF-87BA-CC637B78F708}"/>
    <cellStyle name="Comma 4 3 2 2 2 8 2 3" xfId="15451" xr:uid="{70A81448-0290-4AD0-B155-F73584E8237C}"/>
    <cellStyle name="Comma 4 3 2 2 2 8 3" xfId="20514" xr:uid="{68E7F2BE-400A-4ED7-A42F-3F27F84B4EAB}"/>
    <cellStyle name="Comma 4 3 2 2 2 8 4" xfId="11233" xr:uid="{26343433-1333-43F1-9DAC-2705B1A70199}"/>
    <cellStyle name="Comma 4 3 2 2 2 9" xfId="4618" xr:uid="{00000000-0005-0000-0000-00002D090000}"/>
    <cellStyle name="Comma 4 3 2 2 2 9 2" xfId="22348" xr:uid="{8106399C-2292-489C-B275-C6414237E39C}"/>
    <cellStyle name="Comma 4 3 2 2 2 9 3" xfId="13068" xr:uid="{225B50D7-EB92-4453-9930-848BABB757EE}"/>
    <cellStyle name="Comma 4 3 2 2 3" xfId="683" xr:uid="{00000000-0005-0000-0000-00002E090000}"/>
    <cellStyle name="Comma 4 3 2 2 3 2" xfId="2954" xr:uid="{00000000-0005-0000-0000-00002F090000}"/>
    <cellStyle name="Comma 4 3 2 2 3 2 2" xfId="7176" xr:uid="{00000000-0005-0000-0000-000030090000}"/>
    <cellStyle name="Comma 4 3 2 2 3 2 2 2" xfId="24906" xr:uid="{48F9C441-CDA1-4F77-BAFA-4A8830342663}"/>
    <cellStyle name="Comma 4 3 2 2 3 2 2 3" xfId="15626" xr:uid="{C4520D2F-B998-4DCF-9758-7956D57AECD6}"/>
    <cellStyle name="Comma 4 3 2 2 3 2 3" xfId="20689" xr:uid="{FC642B5D-DA97-49EA-B85E-9A6A2DAE540B}"/>
    <cellStyle name="Comma 4 3 2 2 3 2 4" xfId="11408" xr:uid="{A7BBA073-68F2-4988-A8A1-31A527CE129C}"/>
    <cellStyle name="Comma 4 3 2 2 3 3" xfId="5031" xr:uid="{00000000-0005-0000-0000-000031090000}"/>
    <cellStyle name="Comma 4 3 2 2 3 3 2" xfId="22761" xr:uid="{6DC0DD69-C92C-4B5D-8140-EEBC219C88D0}"/>
    <cellStyle name="Comma 4 3 2 2 3 3 3" xfId="13481" xr:uid="{D62AD8F0-4571-4B3E-BEE9-909DFCA25E51}"/>
    <cellStyle name="Comma 4 3 2 2 3 4" xfId="18544" xr:uid="{36D6EC46-60CC-4F66-B100-48AA3E4D7009}"/>
    <cellStyle name="Comma 4 3 2 2 3 5" xfId="17714" xr:uid="{3B675608-9509-4DAF-85B6-68180B85EF92}"/>
    <cellStyle name="Comma 4 3 2 2 3 6" xfId="9263" xr:uid="{62164F62-DD10-47AF-A8D0-FC4F927FA516}"/>
    <cellStyle name="Comma 4 3 2 2 4" xfId="1136" xr:uid="{00000000-0005-0000-0000-000032090000}"/>
    <cellStyle name="Comma 4 3 2 2 4 2" xfId="3367" xr:uid="{00000000-0005-0000-0000-000033090000}"/>
    <cellStyle name="Comma 4 3 2 2 4 2 2" xfId="7589" xr:uid="{00000000-0005-0000-0000-000034090000}"/>
    <cellStyle name="Comma 4 3 2 2 4 2 2 2" xfId="25319" xr:uid="{E5729845-42FD-4A60-B0E2-EBF1E869CAB6}"/>
    <cellStyle name="Comma 4 3 2 2 4 2 2 3" xfId="16039" xr:uid="{E1D14B50-1E78-4409-9E21-93442CCA3556}"/>
    <cellStyle name="Comma 4 3 2 2 4 2 3" xfId="21102" xr:uid="{AF75D0DA-DEBA-4D5A-931D-9D0FB8D33C74}"/>
    <cellStyle name="Comma 4 3 2 2 4 2 4" xfId="11821" xr:uid="{7B6C3BAD-D00C-4F91-B073-1A8C3629BFD0}"/>
    <cellStyle name="Comma 4 3 2 2 4 3" xfId="5444" xr:uid="{00000000-0005-0000-0000-000035090000}"/>
    <cellStyle name="Comma 4 3 2 2 4 3 2" xfId="23174" xr:uid="{F1AC605B-04D3-45E9-B916-865ADF791B39}"/>
    <cellStyle name="Comma 4 3 2 2 4 3 3" xfId="13894" xr:uid="{BAF5ACC1-DFD1-4640-B7A8-73FAAA96D62E}"/>
    <cellStyle name="Comma 4 3 2 2 4 4" xfId="18957" xr:uid="{C7BBCACB-3089-42B0-BA17-724EEACFB467}"/>
    <cellStyle name="Comma 4 3 2 2 4 5" xfId="9676" xr:uid="{AFB7EAD1-2B56-4558-8B3B-1833792DA762}"/>
    <cellStyle name="Comma 4 3 2 2 5" xfId="1550" xr:uid="{00000000-0005-0000-0000-000036090000}"/>
    <cellStyle name="Comma 4 3 2 2 5 2" xfId="3780" xr:uid="{00000000-0005-0000-0000-000037090000}"/>
    <cellStyle name="Comma 4 3 2 2 5 2 2" xfId="8002" xr:uid="{00000000-0005-0000-0000-000038090000}"/>
    <cellStyle name="Comma 4 3 2 2 5 2 2 2" xfId="25732" xr:uid="{B3F7E24A-4361-4487-8D30-42A67250766D}"/>
    <cellStyle name="Comma 4 3 2 2 5 2 2 3" xfId="16452" xr:uid="{6BB72DAA-45FB-4D73-BE1C-0D33A2D66A90}"/>
    <cellStyle name="Comma 4 3 2 2 5 2 3" xfId="21515" xr:uid="{FE2060D5-58DE-456C-ACA8-D2D8F531AC57}"/>
    <cellStyle name="Comma 4 3 2 2 5 2 4" xfId="12234" xr:uid="{45C54BB8-D0FC-44C7-952C-3A19B3F86A92}"/>
    <cellStyle name="Comma 4 3 2 2 5 3" xfId="5857" xr:uid="{00000000-0005-0000-0000-000039090000}"/>
    <cellStyle name="Comma 4 3 2 2 5 3 2" xfId="23587" xr:uid="{D8D423A9-9A2A-42DC-8AAA-5C5C3415059E}"/>
    <cellStyle name="Comma 4 3 2 2 5 3 3" xfId="14307" xr:uid="{2FD5F8A1-44D6-4BED-BDAC-BE42EB60993B}"/>
    <cellStyle name="Comma 4 3 2 2 5 4" xfId="19370" xr:uid="{E1BE5E13-F8F4-48E4-9E17-CFDCEA215EEE}"/>
    <cellStyle name="Comma 4 3 2 2 5 5" xfId="10089" xr:uid="{0A479652-407C-4A9F-9ADA-B6ED1AC12C89}"/>
    <cellStyle name="Comma 4 3 2 2 6" xfId="1964" xr:uid="{00000000-0005-0000-0000-00003A090000}"/>
    <cellStyle name="Comma 4 3 2 2 6 2" xfId="4193" xr:uid="{00000000-0005-0000-0000-00003B090000}"/>
    <cellStyle name="Comma 4 3 2 2 6 2 2" xfId="8415" xr:uid="{00000000-0005-0000-0000-00003C090000}"/>
    <cellStyle name="Comma 4 3 2 2 6 2 2 2" xfId="26145" xr:uid="{7C32FC30-F77A-4D3D-8314-F74C61FE67C9}"/>
    <cellStyle name="Comma 4 3 2 2 6 2 2 3" xfId="16865" xr:uid="{56D341FE-31AB-4925-A245-34557DC788D8}"/>
    <cellStyle name="Comma 4 3 2 2 6 2 3" xfId="21928" xr:uid="{2BE2AA6C-71C4-4C7D-9617-B4B444ED845A}"/>
    <cellStyle name="Comma 4 3 2 2 6 2 4" xfId="12647" xr:uid="{6B6F279C-CBCB-4629-9923-386BF6211DE8}"/>
    <cellStyle name="Comma 4 3 2 2 6 3" xfId="6270" xr:uid="{00000000-0005-0000-0000-00003D090000}"/>
    <cellStyle name="Comma 4 3 2 2 6 3 2" xfId="24000" xr:uid="{FAF27AA4-5C2B-4B2E-BDC3-D965B1832384}"/>
    <cellStyle name="Comma 4 3 2 2 6 3 3" xfId="14720" xr:uid="{05C6922F-47BE-4E25-B7BD-15289CBB0D0F}"/>
    <cellStyle name="Comma 4 3 2 2 6 4" xfId="19783" xr:uid="{81998109-A166-4939-A9CA-977AC7B1BA1E}"/>
    <cellStyle name="Comma 4 3 2 2 6 5" xfId="10502" xr:uid="{A99954B9-1968-4352-9F81-F924CAF0B77D}"/>
    <cellStyle name="Comma 4 3 2 2 7" xfId="2399" xr:uid="{00000000-0005-0000-0000-00003E090000}"/>
    <cellStyle name="Comma 4 3 2 2 7 2" xfId="6683" xr:uid="{00000000-0005-0000-0000-00003F090000}"/>
    <cellStyle name="Comma 4 3 2 2 7 2 2" xfId="24413" xr:uid="{DF191623-6CCF-4FB7-88B0-29A389F3C772}"/>
    <cellStyle name="Comma 4 3 2 2 7 2 3" xfId="15133" xr:uid="{10C41611-E115-4C0C-A91F-AA61C107B30F}"/>
    <cellStyle name="Comma 4 3 2 2 7 3" xfId="20196" xr:uid="{F6615FAF-2B01-45A3-A72F-36D61E6BF5AB}"/>
    <cellStyle name="Comma 4 3 2 2 7 4" xfId="10915" xr:uid="{655741D0-3A1F-4D1A-B398-8B82355E89D3}"/>
    <cellStyle name="Comma 4 3 2 2 8" xfId="2364" xr:uid="{00000000-0005-0000-0000-000040090000}"/>
    <cellStyle name="Comma 4 3 2 2 9" xfId="2777" xr:uid="{00000000-0005-0000-0000-000041090000}"/>
    <cellStyle name="Comma 4 3 2 2 9 2" xfId="7000" xr:uid="{00000000-0005-0000-0000-000042090000}"/>
    <cellStyle name="Comma 4 3 2 2 9 2 2" xfId="24730" xr:uid="{8D040443-028E-4F33-B68D-F41A3E040141}"/>
    <cellStyle name="Comma 4 3 2 2 9 2 3" xfId="15450" xr:uid="{3519AEBB-24A5-4CBB-A1DB-A42313AD2CCC}"/>
    <cellStyle name="Comma 4 3 2 2 9 3" xfId="20513" xr:uid="{2A831C25-B668-44AD-B343-669CCACE12FA}"/>
    <cellStyle name="Comma 4 3 2 2 9 4" xfId="11232" xr:uid="{42AECC80-6FD4-4A34-90E3-5D876D55845D}"/>
    <cellStyle name="Comma 4 3 2 3" xfId="148" xr:uid="{00000000-0005-0000-0000-000043090000}"/>
    <cellStyle name="Comma 4 3 2 3 10" xfId="18132" xr:uid="{39B53203-44AD-4950-98C1-E82AEF377776}"/>
    <cellStyle name="Comma 4 3 2 3 11" xfId="17299" xr:uid="{CA0F55F5-6E68-4A0E-8F34-AB0BE14CA980}"/>
    <cellStyle name="Comma 4 3 2 3 12" xfId="8851" xr:uid="{A02E0458-5907-490D-B714-14191D03ED42}"/>
    <cellStyle name="Comma 4 3 2 3 2" xfId="685" xr:uid="{00000000-0005-0000-0000-000044090000}"/>
    <cellStyle name="Comma 4 3 2 3 2 2" xfId="2956" xr:uid="{00000000-0005-0000-0000-000045090000}"/>
    <cellStyle name="Comma 4 3 2 3 2 2 2" xfId="7178" xr:uid="{00000000-0005-0000-0000-000046090000}"/>
    <cellStyle name="Comma 4 3 2 3 2 2 2 2" xfId="24908" xr:uid="{A1F9829D-FD36-44A7-9F99-E0702939AB71}"/>
    <cellStyle name="Comma 4 3 2 3 2 2 2 3" xfId="15628" xr:uid="{A857FB11-F1C9-4E12-823A-3E7F4142263E}"/>
    <cellStyle name="Comma 4 3 2 3 2 2 3" xfId="20691" xr:uid="{8BDD1EA3-9EFE-4B4A-B478-07D032FAE95B}"/>
    <cellStyle name="Comma 4 3 2 3 2 2 4" xfId="11410" xr:uid="{2BE4D171-A051-44B4-AE97-CE94A1B730EF}"/>
    <cellStyle name="Comma 4 3 2 3 2 3" xfId="5033" xr:uid="{00000000-0005-0000-0000-000047090000}"/>
    <cellStyle name="Comma 4 3 2 3 2 3 2" xfId="22763" xr:uid="{E6E409F2-53F8-4BDB-B633-14C80CEB26AD}"/>
    <cellStyle name="Comma 4 3 2 3 2 3 3" xfId="13483" xr:uid="{EF446053-4EDC-4222-89D6-E4D5D3AC7377}"/>
    <cellStyle name="Comma 4 3 2 3 2 4" xfId="18546" xr:uid="{BB39FA73-4559-4337-A168-DC6C9AAC5FBC}"/>
    <cellStyle name="Comma 4 3 2 3 2 5" xfId="17716" xr:uid="{A622D0B3-9EA4-42CC-9E0E-910FABAF469B}"/>
    <cellStyle name="Comma 4 3 2 3 2 6" xfId="9265" xr:uid="{BAF2BB1B-6DF8-41AB-803C-7744ED70EA80}"/>
    <cellStyle name="Comma 4 3 2 3 3" xfId="1138" xr:uid="{00000000-0005-0000-0000-000048090000}"/>
    <cellStyle name="Comma 4 3 2 3 3 2" xfId="3369" xr:uid="{00000000-0005-0000-0000-000049090000}"/>
    <cellStyle name="Comma 4 3 2 3 3 2 2" xfId="7591" xr:uid="{00000000-0005-0000-0000-00004A090000}"/>
    <cellStyle name="Comma 4 3 2 3 3 2 2 2" xfId="25321" xr:uid="{8587CD94-2DB5-426E-B08C-F5E239FC15EE}"/>
    <cellStyle name="Comma 4 3 2 3 3 2 2 3" xfId="16041" xr:uid="{72DED648-3520-4DE4-BE97-DDB4C5639293}"/>
    <cellStyle name="Comma 4 3 2 3 3 2 3" xfId="21104" xr:uid="{FAEB6A3F-D743-4DEB-A5C6-916BBDFDDA4F}"/>
    <cellStyle name="Comma 4 3 2 3 3 2 4" xfId="11823" xr:uid="{8F4AF740-0ED8-4D8F-BF6A-1B1A91234DA1}"/>
    <cellStyle name="Comma 4 3 2 3 3 3" xfId="5446" xr:uid="{00000000-0005-0000-0000-00004B090000}"/>
    <cellStyle name="Comma 4 3 2 3 3 3 2" xfId="23176" xr:uid="{35960CF5-B3EE-4057-B40D-0282F06289FE}"/>
    <cellStyle name="Comma 4 3 2 3 3 3 3" xfId="13896" xr:uid="{3BE8479D-EB16-48C3-BCF7-A5A32B3CA965}"/>
    <cellStyle name="Comma 4 3 2 3 3 4" xfId="18959" xr:uid="{8E9D983B-5746-4300-8774-20D6C621E918}"/>
    <cellStyle name="Comma 4 3 2 3 3 5" xfId="9678" xr:uid="{0A369066-3F82-4075-8901-FDEF1BE80F8D}"/>
    <cellStyle name="Comma 4 3 2 3 4" xfId="1552" xr:uid="{00000000-0005-0000-0000-00004C090000}"/>
    <cellStyle name="Comma 4 3 2 3 4 2" xfId="3782" xr:uid="{00000000-0005-0000-0000-00004D090000}"/>
    <cellStyle name="Comma 4 3 2 3 4 2 2" xfId="8004" xr:uid="{00000000-0005-0000-0000-00004E090000}"/>
    <cellStyle name="Comma 4 3 2 3 4 2 2 2" xfId="25734" xr:uid="{8C102438-0E71-468D-98B2-02941E7F12B4}"/>
    <cellStyle name="Comma 4 3 2 3 4 2 2 3" xfId="16454" xr:uid="{C956F9EA-0CBF-485F-BB20-DF60BEBC85C7}"/>
    <cellStyle name="Comma 4 3 2 3 4 2 3" xfId="21517" xr:uid="{77F182DF-42BC-4CE2-A975-62EB22545F5A}"/>
    <cellStyle name="Comma 4 3 2 3 4 2 4" xfId="12236" xr:uid="{DFED32D3-8F2E-4B81-9B09-C2DA0CFA7755}"/>
    <cellStyle name="Comma 4 3 2 3 4 3" xfId="5859" xr:uid="{00000000-0005-0000-0000-00004F090000}"/>
    <cellStyle name="Comma 4 3 2 3 4 3 2" xfId="23589" xr:uid="{629F6D19-7612-4AEF-8664-DDD2B12A5C4D}"/>
    <cellStyle name="Comma 4 3 2 3 4 3 3" xfId="14309" xr:uid="{FB84C579-A76F-4D42-ADD3-E0E954697FD5}"/>
    <cellStyle name="Comma 4 3 2 3 4 4" xfId="19372" xr:uid="{8D58BA4C-8EE9-42A4-AE21-B7F879A78B2D}"/>
    <cellStyle name="Comma 4 3 2 3 4 5" xfId="10091" xr:uid="{F8DD8F6B-BFC1-4886-A35D-24E1A0727053}"/>
    <cellStyle name="Comma 4 3 2 3 5" xfId="1966" xr:uid="{00000000-0005-0000-0000-000050090000}"/>
    <cellStyle name="Comma 4 3 2 3 5 2" xfId="4195" xr:uid="{00000000-0005-0000-0000-000051090000}"/>
    <cellStyle name="Comma 4 3 2 3 5 2 2" xfId="8417" xr:uid="{00000000-0005-0000-0000-000052090000}"/>
    <cellStyle name="Comma 4 3 2 3 5 2 2 2" xfId="26147" xr:uid="{BE7D3C3C-39A4-436E-80A5-295F16D85FAA}"/>
    <cellStyle name="Comma 4 3 2 3 5 2 2 3" xfId="16867" xr:uid="{81873BEA-2EB8-412F-86C3-64DDB23D2195}"/>
    <cellStyle name="Comma 4 3 2 3 5 2 3" xfId="21930" xr:uid="{B9908606-5B90-4E51-8A6B-C87E25D6B83A}"/>
    <cellStyle name="Comma 4 3 2 3 5 2 4" xfId="12649" xr:uid="{7F243619-E782-4345-A4DD-BF1CC9B20216}"/>
    <cellStyle name="Comma 4 3 2 3 5 3" xfId="6272" xr:uid="{00000000-0005-0000-0000-000053090000}"/>
    <cellStyle name="Comma 4 3 2 3 5 3 2" xfId="24002" xr:uid="{1C975158-0F1F-459D-ABFC-F98DED881164}"/>
    <cellStyle name="Comma 4 3 2 3 5 3 3" xfId="14722" xr:uid="{6B38B411-5144-4FCB-84ED-5AE612127900}"/>
    <cellStyle name="Comma 4 3 2 3 5 4" xfId="19785" xr:uid="{8A30D04B-F1CF-4BE0-A4FC-ED153BE4AA19}"/>
    <cellStyle name="Comma 4 3 2 3 5 5" xfId="10504" xr:uid="{6C77F30F-EDBB-4053-BA73-9C51858E2640}"/>
    <cellStyle name="Comma 4 3 2 3 6" xfId="2401" xr:uid="{00000000-0005-0000-0000-000054090000}"/>
    <cellStyle name="Comma 4 3 2 3 6 2" xfId="6685" xr:uid="{00000000-0005-0000-0000-000055090000}"/>
    <cellStyle name="Comma 4 3 2 3 6 2 2" xfId="24415" xr:uid="{99C43CEA-12D3-4C09-B913-BE305D9F8831}"/>
    <cellStyle name="Comma 4 3 2 3 6 2 3" xfId="15135" xr:uid="{5BDE303D-E597-427B-9756-22F43FAEEDD0}"/>
    <cellStyle name="Comma 4 3 2 3 6 3" xfId="20198" xr:uid="{9C32023E-7984-420D-A273-844746628791}"/>
    <cellStyle name="Comma 4 3 2 3 6 4" xfId="10917" xr:uid="{B24D4750-07F6-4C71-9010-CF9AB4D71A50}"/>
    <cellStyle name="Comma 4 3 2 3 7" xfId="2362" xr:uid="{00000000-0005-0000-0000-000056090000}"/>
    <cellStyle name="Comma 4 3 2 3 8" xfId="2779" xr:uid="{00000000-0005-0000-0000-000057090000}"/>
    <cellStyle name="Comma 4 3 2 3 8 2" xfId="7002" xr:uid="{00000000-0005-0000-0000-000058090000}"/>
    <cellStyle name="Comma 4 3 2 3 8 2 2" xfId="24732" xr:uid="{61A0D5FD-228D-4B2C-8B76-A7AD709490EF}"/>
    <cellStyle name="Comma 4 3 2 3 8 2 3" xfId="15452" xr:uid="{9AED0597-A100-4BA5-96E2-47A2557CFF00}"/>
    <cellStyle name="Comma 4 3 2 3 8 3" xfId="20515" xr:uid="{070F2F7B-171F-497C-854E-168C5E3E50B1}"/>
    <cellStyle name="Comma 4 3 2 3 8 4" xfId="11234" xr:uid="{2E1BD3B1-8DD9-4686-B341-65A9CE410ADA}"/>
    <cellStyle name="Comma 4 3 2 3 9" xfId="4619" xr:uid="{00000000-0005-0000-0000-000059090000}"/>
    <cellStyle name="Comma 4 3 2 3 9 2" xfId="22349" xr:uid="{998F7219-6DE7-4ED3-9AD9-5338A13F742D}"/>
    <cellStyle name="Comma 4 3 2 3 9 3" xfId="13069" xr:uid="{820AFD36-1D11-4FCB-8A8A-059E060F99A6}"/>
    <cellStyle name="Comma 4 3 2 4" xfId="682" xr:uid="{00000000-0005-0000-0000-00005A090000}"/>
    <cellStyle name="Comma 4 3 2 4 2" xfId="2953" xr:uid="{00000000-0005-0000-0000-00005B090000}"/>
    <cellStyle name="Comma 4 3 2 4 2 2" xfId="7175" xr:uid="{00000000-0005-0000-0000-00005C090000}"/>
    <cellStyle name="Comma 4 3 2 4 2 2 2" xfId="24905" xr:uid="{912B6FB7-06C0-464A-8179-8188A886F761}"/>
    <cellStyle name="Comma 4 3 2 4 2 2 3" xfId="15625" xr:uid="{CF5ADEB1-59C2-47E6-AD61-F93BAA7C4AF6}"/>
    <cellStyle name="Comma 4 3 2 4 2 3" xfId="20688" xr:uid="{CC299BB4-6513-4AC9-ACE8-039CBFD5742C}"/>
    <cellStyle name="Comma 4 3 2 4 2 4" xfId="11407" xr:uid="{4A9F8C10-F9D1-4988-81D7-5BEF329EA936}"/>
    <cellStyle name="Comma 4 3 2 4 3" xfId="5030" xr:uid="{00000000-0005-0000-0000-00005D090000}"/>
    <cellStyle name="Comma 4 3 2 4 3 2" xfId="22760" xr:uid="{760CFA00-3DCC-42DE-8739-9D337B9A25F2}"/>
    <cellStyle name="Comma 4 3 2 4 3 3" xfId="13480" xr:uid="{113F74E0-0F65-4A92-8F78-EDBBC080D3BA}"/>
    <cellStyle name="Comma 4 3 2 4 4" xfId="18543" xr:uid="{19735DD2-EE50-4240-948E-241E76D475F2}"/>
    <cellStyle name="Comma 4 3 2 4 5" xfId="17713" xr:uid="{9B392B0C-BDA2-423A-B593-76E311D697EF}"/>
    <cellStyle name="Comma 4 3 2 4 6" xfId="9262" xr:uid="{E7C2FEFB-AD12-4097-8E67-EF722478AB72}"/>
    <cellStyle name="Comma 4 3 2 5" xfId="1135" xr:uid="{00000000-0005-0000-0000-00005E090000}"/>
    <cellStyle name="Comma 4 3 2 5 2" xfId="3366" xr:uid="{00000000-0005-0000-0000-00005F090000}"/>
    <cellStyle name="Comma 4 3 2 5 2 2" xfId="7588" xr:uid="{00000000-0005-0000-0000-000060090000}"/>
    <cellStyle name="Comma 4 3 2 5 2 2 2" xfId="25318" xr:uid="{3FEECD5E-4CC6-44B7-85AD-CDF70C30846A}"/>
    <cellStyle name="Comma 4 3 2 5 2 2 3" xfId="16038" xr:uid="{4ADE3383-9B60-48AF-98B2-7F627BD4CD09}"/>
    <cellStyle name="Comma 4 3 2 5 2 3" xfId="21101" xr:uid="{3F14DF20-63D9-4FCB-A419-736A871328B2}"/>
    <cellStyle name="Comma 4 3 2 5 2 4" xfId="11820" xr:uid="{C45D8AA9-A5B9-4D52-B288-B45E71AEBF2F}"/>
    <cellStyle name="Comma 4 3 2 5 3" xfId="5443" xr:uid="{00000000-0005-0000-0000-000061090000}"/>
    <cellStyle name="Comma 4 3 2 5 3 2" xfId="23173" xr:uid="{84BF7D1E-91FE-49A1-8144-ED65F79466A2}"/>
    <cellStyle name="Comma 4 3 2 5 3 3" xfId="13893" xr:uid="{1053A6DF-655E-4A3C-82F6-BFFC3F87BE39}"/>
    <cellStyle name="Comma 4 3 2 5 4" xfId="18956" xr:uid="{0CA660C3-D55E-4D5E-92CB-A5501FD527ED}"/>
    <cellStyle name="Comma 4 3 2 5 5" xfId="9675" xr:uid="{F785F25E-1033-4613-88C3-BD91438CCD37}"/>
    <cellStyle name="Comma 4 3 2 6" xfId="1549" xr:uid="{00000000-0005-0000-0000-000062090000}"/>
    <cellStyle name="Comma 4 3 2 6 2" xfId="3779" xr:uid="{00000000-0005-0000-0000-000063090000}"/>
    <cellStyle name="Comma 4 3 2 6 2 2" xfId="8001" xr:uid="{00000000-0005-0000-0000-000064090000}"/>
    <cellStyle name="Comma 4 3 2 6 2 2 2" xfId="25731" xr:uid="{3467CEFC-2A4E-4EC8-A90A-2B2B03790FA6}"/>
    <cellStyle name="Comma 4 3 2 6 2 2 3" xfId="16451" xr:uid="{B1998201-347D-4E94-803C-5DD1EF0F925D}"/>
    <cellStyle name="Comma 4 3 2 6 2 3" xfId="21514" xr:uid="{5B30F6FA-EEBD-4CD8-8FB0-C9B35B913A6B}"/>
    <cellStyle name="Comma 4 3 2 6 2 4" xfId="12233" xr:uid="{5BE3A073-F61C-4BCD-9DA7-C619EF0C7469}"/>
    <cellStyle name="Comma 4 3 2 6 3" xfId="5856" xr:uid="{00000000-0005-0000-0000-000065090000}"/>
    <cellStyle name="Comma 4 3 2 6 3 2" xfId="23586" xr:uid="{232D16CD-EA2C-402E-958C-396E7AEC7CD2}"/>
    <cellStyle name="Comma 4 3 2 6 3 3" xfId="14306" xr:uid="{43FE4C59-FC9B-4DE8-9C25-4EFCB471EA2A}"/>
    <cellStyle name="Comma 4 3 2 6 4" xfId="19369" xr:uid="{ACB01F1A-6C91-472A-ACC2-7A3C9AE66136}"/>
    <cellStyle name="Comma 4 3 2 6 5" xfId="10088" xr:uid="{6CC8C8E2-DCCE-4C27-8DE4-7A55BCAB9636}"/>
    <cellStyle name="Comma 4 3 2 7" xfId="1963" xr:uid="{00000000-0005-0000-0000-000066090000}"/>
    <cellStyle name="Comma 4 3 2 7 2" xfId="4192" xr:uid="{00000000-0005-0000-0000-000067090000}"/>
    <cellStyle name="Comma 4 3 2 7 2 2" xfId="8414" xr:uid="{00000000-0005-0000-0000-000068090000}"/>
    <cellStyle name="Comma 4 3 2 7 2 2 2" xfId="26144" xr:uid="{228F5633-F46B-4B37-868F-D81EDA7913C5}"/>
    <cellStyle name="Comma 4 3 2 7 2 2 3" xfId="16864" xr:uid="{B42094AE-4795-4122-8B5C-EE7B23FED308}"/>
    <cellStyle name="Comma 4 3 2 7 2 3" xfId="21927" xr:uid="{353ACAA2-9282-4659-B12E-E5AD25E4882D}"/>
    <cellStyle name="Comma 4 3 2 7 2 4" xfId="12646" xr:uid="{F5CA9E59-F215-46A5-AA46-48BFC138DE04}"/>
    <cellStyle name="Comma 4 3 2 7 3" xfId="6269" xr:uid="{00000000-0005-0000-0000-000069090000}"/>
    <cellStyle name="Comma 4 3 2 7 3 2" xfId="23999" xr:uid="{FC6A198C-F0F3-472B-B682-FC7137A43350}"/>
    <cellStyle name="Comma 4 3 2 7 3 3" xfId="14719" xr:uid="{86D49BB0-0D6C-41D4-ABD7-751849077D77}"/>
    <cellStyle name="Comma 4 3 2 7 4" xfId="19782" xr:uid="{71D34435-C9C1-4AFD-81DE-1875F268BB9E}"/>
    <cellStyle name="Comma 4 3 2 7 5" xfId="10501" xr:uid="{EE73D29D-FE13-4F15-AB21-645C667F0140}"/>
    <cellStyle name="Comma 4 3 2 8" xfId="2398" xr:uid="{00000000-0005-0000-0000-00006A090000}"/>
    <cellStyle name="Comma 4 3 2 8 2" xfId="6682" xr:uid="{00000000-0005-0000-0000-00006B090000}"/>
    <cellStyle name="Comma 4 3 2 8 2 2" xfId="24412" xr:uid="{0A5A85B2-E5A7-4AF5-BEB2-E975FA2CE5D9}"/>
    <cellStyle name="Comma 4 3 2 8 2 3" xfId="15132" xr:uid="{8EFAA55A-5CE1-4AD1-853D-97454B38AC0C}"/>
    <cellStyle name="Comma 4 3 2 8 3" xfId="20195" xr:uid="{B132D0D2-1209-489D-8D5D-AAC880E647BE}"/>
    <cellStyle name="Comma 4 3 2 8 4" xfId="10914" xr:uid="{768F25B6-B2F0-4F10-BCA1-418B8F3C4FB6}"/>
    <cellStyle name="Comma 4 3 2 9" xfId="2365" xr:uid="{00000000-0005-0000-0000-00006C090000}"/>
    <cellStyle name="Comma 4 3 3" xfId="149" xr:uid="{00000000-0005-0000-0000-00006D090000}"/>
    <cellStyle name="Comma 4 3 3 10" xfId="4620" xr:uid="{00000000-0005-0000-0000-00006E090000}"/>
    <cellStyle name="Comma 4 3 3 10 2" xfId="22350" xr:uid="{16DFE7CD-BA3A-49E5-A1D8-EFC04086E33E}"/>
    <cellStyle name="Comma 4 3 3 10 3" xfId="13070" xr:uid="{9CAC7C8D-5BCF-4C0D-B585-DC0B67B3DE72}"/>
    <cellStyle name="Comma 4 3 3 11" xfId="18133" xr:uid="{36419631-5518-4FC7-9894-14F91C1812C7}"/>
    <cellStyle name="Comma 4 3 3 12" xfId="17300" xr:uid="{DE165E94-AA3F-4C53-B677-FA3B9ECFD254}"/>
    <cellStyle name="Comma 4 3 3 13" xfId="8852" xr:uid="{661EAA43-024E-4584-ADCA-349AAB4BE525}"/>
    <cellStyle name="Comma 4 3 3 2" xfId="150" xr:uid="{00000000-0005-0000-0000-00006F090000}"/>
    <cellStyle name="Comma 4 3 3 2 10" xfId="18134" xr:uid="{BF5FD5B9-1A44-427B-84E4-7FCE416329B9}"/>
    <cellStyle name="Comma 4 3 3 2 11" xfId="17301" xr:uid="{79C18DEE-A4F8-44ED-8AB8-DB0BBAE70D1A}"/>
    <cellStyle name="Comma 4 3 3 2 12" xfId="8853" xr:uid="{2B0B8958-A4F1-438B-9DAE-38CA6594FD71}"/>
    <cellStyle name="Comma 4 3 3 2 2" xfId="687" xr:uid="{00000000-0005-0000-0000-000070090000}"/>
    <cellStyle name="Comma 4 3 3 2 2 2" xfId="2958" xr:uid="{00000000-0005-0000-0000-000071090000}"/>
    <cellStyle name="Comma 4 3 3 2 2 2 2" xfId="7180" xr:uid="{00000000-0005-0000-0000-000072090000}"/>
    <cellStyle name="Comma 4 3 3 2 2 2 2 2" xfId="24910" xr:uid="{4ED2D82A-6025-4F0B-A38C-1B6988253FBC}"/>
    <cellStyle name="Comma 4 3 3 2 2 2 2 3" xfId="15630" xr:uid="{CA2080EC-410A-48FE-9EAA-D910DE158A14}"/>
    <cellStyle name="Comma 4 3 3 2 2 2 3" xfId="20693" xr:uid="{CF6FD89B-DE83-4546-BF6B-2A0EEB0E383C}"/>
    <cellStyle name="Comma 4 3 3 2 2 2 4" xfId="11412" xr:uid="{5980990F-EE61-4B1B-91B2-1422B4D23F6A}"/>
    <cellStyle name="Comma 4 3 3 2 2 3" xfId="5035" xr:uid="{00000000-0005-0000-0000-000073090000}"/>
    <cellStyle name="Comma 4 3 3 2 2 3 2" xfId="22765" xr:uid="{34639DD3-83C6-4C8C-9395-760A0EA1983D}"/>
    <cellStyle name="Comma 4 3 3 2 2 3 3" xfId="13485" xr:uid="{86F237C3-E907-4CD7-9065-252C3C569E2A}"/>
    <cellStyle name="Comma 4 3 3 2 2 4" xfId="18548" xr:uid="{806406A0-8E4B-4D6B-B632-9E37721CE852}"/>
    <cellStyle name="Comma 4 3 3 2 2 5" xfId="17718" xr:uid="{4A3AB1BE-B588-45FF-AAB5-37CB3E857D8D}"/>
    <cellStyle name="Comma 4 3 3 2 2 6" xfId="9267" xr:uid="{0F2C305B-733D-4D85-A5C7-66BE2B88B62E}"/>
    <cellStyle name="Comma 4 3 3 2 3" xfId="1140" xr:uid="{00000000-0005-0000-0000-000074090000}"/>
    <cellStyle name="Comma 4 3 3 2 3 2" xfId="3371" xr:uid="{00000000-0005-0000-0000-000075090000}"/>
    <cellStyle name="Comma 4 3 3 2 3 2 2" xfId="7593" xr:uid="{00000000-0005-0000-0000-000076090000}"/>
    <cellStyle name="Comma 4 3 3 2 3 2 2 2" xfId="25323" xr:uid="{1464DCCB-F201-4112-AAF8-EB0B881A69D7}"/>
    <cellStyle name="Comma 4 3 3 2 3 2 2 3" xfId="16043" xr:uid="{AD39A653-0FB6-4FD2-ADB6-8FE6866D0983}"/>
    <cellStyle name="Comma 4 3 3 2 3 2 3" xfId="21106" xr:uid="{6245AF13-889B-4AF2-8D0E-CC70A3BAC941}"/>
    <cellStyle name="Comma 4 3 3 2 3 2 4" xfId="11825" xr:uid="{61145D00-2495-4624-94F7-067CA7FD621F}"/>
    <cellStyle name="Comma 4 3 3 2 3 3" xfId="5448" xr:uid="{00000000-0005-0000-0000-000077090000}"/>
    <cellStyle name="Comma 4 3 3 2 3 3 2" xfId="23178" xr:uid="{E49B1A63-159B-4743-91DD-7793B7E98F6B}"/>
    <cellStyle name="Comma 4 3 3 2 3 3 3" xfId="13898" xr:uid="{28761ECC-62AC-4F79-8F6C-F7D5AE59116B}"/>
    <cellStyle name="Comma 4 3 3 2 3 4" xfId="18961" xr:uid="{1764A2D1-4DC3-4FB7-9C2C-93AAEB50C29B}"/>
    <cellStyle name="Comma 4 3 3 2 3 5" xfId="9680" xr:uid="{37CCF72B-6FE1-4C72-AD73-0E297B9A051C}"/>
    <cellStyle name="Comma 4 3 3 2 4" xfId="1554" xr:uid="{00000000-0005-0000-0000-000078090000}"/>
    <cellStyle name="Comma 4 3 3 2 4 2" xfId="3784" xr:uid="{00000000-0005-0000-0000-000079090000}"/>
    <cellStyle name="Comma 4 3 3 2 4 2 2" xfId="8006" xr:uid="{00000000-0005-0000-0000-00007A090000}"/>
    <cellStyle name="Comma 4 3 3 2 4 2 2 2" xfId="25736" xr:uid="{DB884D7F-7F9E-407A-87E7-4D7A0699C4F1}"/>
    <cellStyle name="Comma 4 3 3 2 4 2 2 3" xfId="16456" xr:uid="{4DD65532-9364-40BB-9912-27658CFF4AF3}"/>
    <cellStyle name="Comma 4 3 3 2 4 2 3" xfId="21519" xr:uid="{2844F359-3C86-48E7-8DFE-5A537BA98C28}"/>
    <cellStyle name="Comma 4 3 3 2 4 2 4" xfId="12238" xr:uid="{B80E27F6-8388-47A0-BD8B-13747ACE0D26}"/>
    <cellStyle name="Comma 4 3 3 2 4 3" xfId="5861" xr:uid="{00000000-0005-0000-0000-00007B090000}"/>
    <cellStyle name="Comma 4 3 3 2 4 3 2" xfId="23591" xr:uid="{E9A38982-2A05-41BB-9FAE-C1B6B8B4AAF4}"/>
    <cellStyle name="Comma 4 3 3 2 4 3 3" xfId="14311" xr:uid="{2FA9E509-D6CF-49F7-9C28-D4F9C89C4E27}"/>
    <cellStyle name="Comma 4 3 3 2 4 4" xfId="19374" xr:uid="{99E8BE4D-E1BE-417A-BF9E-5A97BE378C0D}"/>
    <cellStyle name="Comma 4 3 3 2 4 5" xfId="10093" xr:uid="{04FAEAB3-8311-439C-9509-625D5B448D0D}"/>
    <cellStyle name="Comma 4 3 3 2 5" xfId="1968" xr:uid="{00000000-0005-0000-0000-00007C090000}"/>
    <cellStyle name="Comma 4 3 3 2 5 2" xfId="4197" xr:uid="{00000000-0005-0000-0000-00007D090000}"/>
    <cellStyle name="Comma 4 3 3 2 5 2 2" xfId="8419" xr:uid="{00000000-0005-0000-0000-00007E090000}"/>
    <cellStyle name="Comma 4 3 3 2 5 2 2 2" xfId="26149" xr:uid="{3E0BE097-6E5D-4B28-9172-72CCFB5364B4}"/>
    <cellStyle name="Comma 4 3 3 2 5 2 2 3" xfId="16869" xr:uid="{26FEFDE7-587E-4CD6-AFD6-3D7841E95D6C}"/>
    <cellStyle name="Comma 4 3 3 2 5 2 3" xfId="21932" xr:uid="{06948B7E-0C84-4E04-A177-F82340E09F13}"/>
    <cellStyle name="Comma 4 3 3 2 5 2 4" xfId="12651" xr:uid="{06B3E9DF-E4DA-44C0-AFBF-B945966FC36B}"/>
    <cellStyle name="Comma 4 3 3 2 5 3" xfId="6274" xr:uid="{00000000-0005-0000-0000-00007F090000}"/>
    <cellStyle name="Comma 4 3 3 2 5 3 2" xfId="24004" xr:uid="{7A68CED3-5EF1-47E0-B5D0-14BD824E2046}"/>
    <cellStyle name="Comma 4 3 3 2 5 3 3" xfId="14724" xr:uid="{65C7A522-D7AC-4E07-A120-E5FD2D238873}"/>
    <cellStyle name="Comma 4 3 3 2 5 4" xfId="19787" xr:uid="{4AC85966-7CB9-41A2-8695-3BC5B90D4FE6}"/>
    <cellStyle name="Comma 4 3 3 2 5 5" xfId="10506" xr:uid="{9D9E2819-EC8B-4EDA-9E06-75BF880D5DA8}"/>
    <cellStyle name="Comma 4 3 3 2 6" xfId="2403" xr:uid="{00000000-0005-0000-0000-000080090000}"/>
    <cellStyle name="Comma 4 3 3 2 6 2" xfId="6687" xr:uid="{00000000-0005-0000-0000-000081090000}"/>
    <cellStyle name="Comma 4 3 3 2 6 2 2" xfId="24417" xr:uid="{4A719567-1C90-4DB2-97B8-2CE3B26813E8}"/>
    <cellStyle name="Comma 4 3 3 2 6 2 3" xfId="15137" xr:uid="{CE2F4FE4-C2D3-4B6F-BACE-6B4B1421B82F}"/>
    <cellStyle name="Comma 4 3 3 2 6 3" xfId="20200" xr:uid="{B0C501FD-C798-4DC2-ACAA-3B925141E8A4}"/>
    <cellStyle name="Comma 4 3 3 2 6 4" xfId="10919" xr:uid="{0BCDE756-C23B-43C7-B0BD-899392C0024D}"/>
    <cellStyle name="Comma 4 3 3 2 7" xfId="2360" xr:uid="{00000000-0005-0000-0000-000082090000}"/>
    <cellStyle name="Comma 4 3 3 2 8" xfId="2781" xr:uid="{00000000-0005-0000-0000-000083090000}"/>
    <cellStyle name="Comma 4 3 3 2 8 2" xfId="7004" xr:uid="{00000000-0005-0000-0000-000084090000}"/>
    <cellStyle name="Comma 4 3 3 2 8 2 2" xfId="24734" xr:uid="{0A39484C-2E99-43C9-B80A-6411E6B16B1A}"/>
    <cellStyle name="Comma 4 3 3 2 8 2 3" xfId="15454" xr:uid="{22E04B2E-D079-4E91-A50A-544257A67055}"/>
    <cellStyle name="Comma 4 3 3 2 8 3" xfId="20517" xr:uid="{A3B1D447-5BB0-4C53-9BCC-96D3CDE5122D}"/>
    <cellStyle name="Comma 4 3 3 2 8 4" xfId="11236" xr:uid="{7FEDCED4-6391-455F-B8CA-0D8B23C95DCD}"/>
    <cellStyle name="Comma 4 3 3 2 9" xfId="4621" xr:uid="{00000000-0005-0000-0000-000085090000}"/>
    <cellStyle name="Comma 4 3 3 2 9 2" xfId="22351" xr:uid="{15EF12DA-FD37-4047-B3F3-8D08ED61C677}"/>
    <cellStyle name="Comma 4 3 3 2 9 3" xfId="13071" xr:uid="{2E146440-E988-4EC6-BA40-3D4CE5A9C3AF}"/>
    <cellStyle name="Comma 4 3 3 3" xfId="686" xr:uid="{00000000-0005-0000-0000-000086090000}"/>
    <cellStyle name="Comma 4 3 3 3 2" xfId="2957" xr:uid="{00000000-0005-0000-0000-000087090000}"/>
    <cellStyle name="Comma 4 3 3 3 2 2" xfId="7179" xr:uid="{00000000-0005-0000-0000-000088090000}"/>
    <cellStyle name="Comma 4 3 3 3 2 2 2" xfId="24909" xr:uid="{A624854B-9B4D-410E-83F6-E6EB1335C39F}"/>
    <cellStyle name="Comma 4 3 3 3 2 2 3" xfId="15629" xr:uid="{15AC19EC-D2FC-4B76-AD16-0E37DDD509E7}"/>
    <cellStyle name="Comma 4 3 3 3 2 3" xfId="20692" xr:uid="{C9EA6984-A4AB-4946-8643-266198870720}"/>
    <cellStyle name="Comma 4 3 3 3 2 4" xfId="11411" xr:uid="{DD0308B0-2074-4BF5-AC46-397573CD0FAA}"/>
    <cellStyle name="Comma 4 3 3 3 3" xfId="5034" xr:uid="{00000000-0005-0000-0000-000089090000}"/>
    <cellStyle name="Comma 4 3 3 3 3 2" xfId="22764" xr:uid="{9B8E2186-5034-462F-88FC-9A499B338405}"/>
    <cellStyle name="Comma 4 3 3 3 3 3" xfId="13484" xr:uid="{F3F3DDE6-ADA8-40C4-9C3B-D76A5A97BE67}"/>
    <cellStyle name="Comma 4 3 3 3 4" xfId="18547" xr:uid="{E2BE5AAC-16A1-497F-AD0F-3F7A5C20C945}"/>
    <cellStyle name="Comma 4 3 3 3 5" xfId="17717" xr:uid="{98BA7F9A-A37E-4B4D-B66F-4A9E2FE97FF1}"/>
    <cellStyle name="Comma 4 3 3 3 6" xfId="9266" xr:uid="{F45EA440-25DB-411B-B751-F565F2EA3245}"/>
    <cellStyle name="Comma 4 3 3 4" xfId="1139" xr:uid="{00000000-0005-0000-0000-00008A090000}"/>
    <cellStyle name="Comma 4 3 3 4 2" xfId="3370" xr:uid="{00000000-0005-0000-0000-00008B090000}"/>
    <cellStyle name="Comma 4 3 3 4 2 2" xfId="7592" xr:uid="{00000000-0005-0000-0000-00008C090000}"/>
    <cellStyle name="Comma 4 3 3 4 2 2 2" xfId="25322" xr:uid="{4F382A93-7725-49EA-A3A3-B4936BA1EC07}"/>
    <cellStyle name="Comma 4 3 3 4 2 2 3" xfId="16042" xr:uid="{24548D26-2410-4D93-836E-8E73CD729AB7}"/>
    <cellStyle name="Comma 4 3 3 4 2 3" xfId="21105" xr:uid="{FEE26504-E27A-4BC4-AED3-5B6A2E283729}"/>
    <cellStyle name="Comma 4 3 3 4 2 4" xfId="11824" xr:uid="{FAAD10FF-E9F0-4092-B5DB-11FF8579E1CF}"/>
    <cellStyle name="Comma 4 3 3 4 3" xfId="5447" xr:uid="{00000000-0005-0000-0000-00008D090000}"/>
    <cellStyle name="Comma 4 3 3 4 3 2" xfId="23177" xr:uid="{34DA06E7-A474-43B3-9256-7FA5BE8830B3}"/>
    <cellStyle name="Comma 4 3 3 4 3 3" xfId="13897" xr:uid="{86D83982-5584-42DE-84C8-2147757418DB}"/>
    <cellStyle name="Comma 4 3 3 4 4" xfId="18960" xr:uid="{8BA2C5C9-73D2-48E3-B202-F7D4DDD76B45}"/>
    <cellStyle name="Comma 4 3 3 4 5" xfId="9679" xr:uid="{1D4E8434-5EF9-4E30-AF91-B15FE59A3C44}"/>
    <cellStyle name="Comma 4 3 3 5" xfId="1553" xr:uid="{00000000-0005-0000-0000-00008E090000}"/>
    <cellStyle name="Comma 4 3 3 5 2" xfId="3783" xr:uid="{00000000-0005-0000-0000-00008F090000}"/>
    <cellStyle name="Comma 4 3 3 5 2 2" xfId="8005" xr:uid="{00000000-0005-0000-0000-000090090000}"/>
    <cellStyle name="Comma 4 3 3 5 2 2 2" xfId="25735" xr:uid="{83DABFBD-8021-4B91-A372-1715AC828300}"/>
    <cellStyle name="Comma 4 3 3 5 2 2 3" xfId="16455" xr:uid="{89D03413-A6F9-4590-98C4-572323C52578}"/>
    <cellStyle name="Comma 4 3 3 5 2 3" xfId="21518" xr:uid="{654E6EC8-F759-46B7-A9DE-2B7C0481F1FA}"/>
    <cellStyle name="Comma 4 3 3 5 2 4" xfId="12237" xr:uid="{9DC32D9C-3B46-4A83-A831-68B5A93F2059}"/>
    <cellStyle name="Comma 4 3 3 5 3" xfId="5860" xr:uid="{00000000-0005-0000-0000-000091090000}"/>
    <cellStyle name="Comma 4 3 3 5 3 2" xfId="23590" xr:uid="{6079FD1B-2763-4E16-8B13-6115B5D79B73}"/>
    <cellStyle name="Comma 4 3 3 5 3 3" xfId="14310" xr:uid="{23F484A0-4D65-4E12-BDEF-BF9AB445B5C8}"/>
    <cellStyle name="Comma 4 3 3 5 4" xfId="19373" xr:uid="{A01B23E9-6104-4952-B9F9-CF96FD2853F1}"/>
    <cellStyle name="Comma 4 3 3 5 5" xfId="10092" xr:uid="{DA56591E-866A-40E7-97A5-4E127CA840CF}"/>
    <cellStyle name="Comma 4 3 3 6" xfId="1967" xr:uid="{00000000-0005-0000-0000-000092090000}"/>
    <cellStyle name="Comma 4 3 3 6 2" xfId="4196" xr:uid="{00000000-0005-0000-0000-000093090000}"/>
    <cellStyle name="Comma 4 3 3 6 2 2" xfId="8418" xr:uid="{00000000-0005-0000-0000-000094090000}"/>
    <cellStyle name="Comma 4 3 3 6 2 2 2" xfId="26148" xr:uid="{6FDF6FE8-418E-41F6-99E8-8E6D290A4DED}"/>
    <cellStyle name="Comma 4 3 3 6 2 2 3" xfId="16868" xr:uid="{5F6ABC9B-A805-4E3C-96E2-7A15053A8EF9}"/>
    <cellStyle name="Comma 4 3 3 6 2 3" xfId="21931" xr:uid="{D337012E-5974-4990-8CF5-9C2A9063E1AB}"/>
    <cellStyle name="Comma 4 3 3 6 2 4" xfId="12650" xr:uid="{A2259439-CAEE-40CF-A0F0-71773C28B483}"/>
    <cellStyle name="Comma 4 3 3 6 3" xfId="6273" xr:uid="{00000000-0005-0000-0000-000095090000}"/>
    <cellStyle name="Comma 4 3 3 6 3 2" xfId="24003" xr:uid="{EA722C6B-C483-436D-867F-C1784B4D4DE2}"/>
    <cellStyle name="Comma 4 3 3 6 3 3" xfId="14723" xr:uid="{C19AC016-FF53-42F4-B3EF-D1B2AED15C30}"/>
    <cellStyle name="Comma 4 3 3 6 4" xfId="19786" xr:uid="{F0D46335-774D-4798-8E69-2DC604B42BAF}"/>
    <cellStyle name="Comma 4 3 3 6 5" xfId="10505" xr:uid="{372C528B-7C30-41EB-AF01-40EA74CCDC26}"/>
    <cellStyle name="Comma 4 3 3 7" xfId="2402" xr:uid="{00000000-0005-0000-0000-000096090000}"/>
    <cellStyle name="Comma 4 3 3 7 2" xfId="6686" xr:uid="{00000000-0005-0000-0000-000097090000}"/>
    <cellStyle name="Comma 4 3 3 7 2 2" xfId="24416" xr:uid="{E3EB8A6F-20C3-4121-A87D-B2F5E7F62E66}"/>
    <cellStyle name="Comma 4 3 3 7 2 3" xfId="15136" xr:uid="{06F17236-C3F4-4E5E-932E-48F18EEB9535}"/>
    <cellStyle name="Comma 4 3 3 7 3" xfId="20199" xr:uid="{69F10DA0-304D-428D-B504-03FFD2673007}"/>
    <cellStyle name="Comma 4 3 3 7 4" xfId="10918" xr:uid="{38176C9C-E24A-4E95-99B4-55C4D2F221C8}"/>
    <cellStyle name="Comma 4 3 3 8" xfId="2361" xr:uid="{00000000-0005-0000-0000-000098090000}"/>
    <cellStyle name="Comma 4 3 3 9" xfId="2780" xr:uid="{00000000-0005-0000-0000-000099090000}"/>
    <cellStyle name="Comma 4 3 3 9 2" xfId="7003" xr:uid="{00000000-0005-0000-0000-00009A090000}"/>
    <cellStyle name="Comma 4 3 3 9 2 2" xfId="24733" xr:uid="{E3291F74-241C-4114-BDA8-C7D0C4ADC151}"/>
    <cellStyle name="Comma 4 3 3 9 2 3" xfId="15453" xr:uid="{3288BACC-74D8-4E20-9D73-461B362E6E9C}"/>
    <cellStyle name="Comma 4 3 3 9 3" xfId="20516" xr:uid="{9BE33C71-F5B3-4CF2-9B1B-CFD97CA8ECDF}"/>
    <cellStyle name="Comma 4 3 3 9 4" xfId="11235" xr:uid="{B96409B3-BC51-43DA-B7B6-A6FB82761A9B}"/>
    <cellStyle name="Comma 4 3 4" xfId="151" xr:uid="{00000000-0005-0000-0000-00009B090000}"/>
    <cellStyle name="Comma 4 3 4 10" xfId="18135" xr:uid="{2F1F1161-4447-4D53-8E6F-E6C6F29E32C3}"/>
    <cellStyle name="Comma 4 3 4 11" xfId="17302" xr:uid="{78933299-8582-421E-BD64-B01A424ECBC7}"/>
    <cellStyle name="Comma 4 3 4 12" xfId="8854" xr:uid="{672CB156-372E-43EC-A72A-6D967CC0B5CB}"/>
    <cellStyle name="Comma 4 3 4 2" xfId="688" xr:uid="{00000000-0005-0000-0000-00009C090000}"/>
    <cellStyle name="Comma 4 3 4 2 2" xfId="2959" xr:uid="{00000000-0005-0000-0000-00009D090000}"/>
    <cellStyle name="Comma 4 3 4 2 2 2" xfId="7181" xr:uid="{00000000-0005-0000-0000-00009E090000}"/>
    <cellStyle name="Comma 4 3 4 2 2 2 2" xfId="24911" xr:uid="{A5BDBB42-EC8E-4942-9420-C2E38D485293}"/>
    <cellStyle name="Comma 4 3 4 2 2 2 3" xfId="15631" xr:uid="{D7D96F0D-7764-4B5A-AC4A-0F69686D7E65}"/>
    <cellStyle name="Comma 4 3 4 2 2 3" xfId="20694" xr:uid="{C0B0351D-6F57-446B-86D3-C3F435440816}"/>
    <cellStyle name="Comma 4 3 4 2 2 4" xfId="11413" xr:uid="{CB617824-28AA-4262-B701-4FDA315BBA52}"/>
    <cellStyle name="Comma 4 3 4 2 3" xfId="5036" xr:uid="{00000000-0005-0000-0000-00009F090000}"/>
    <cellStyle name="Comma 4 3 4 2 3 2" xfId="22766" xr:uid="{7CA6C47B-0DC2-4197-B3E5-8FE6C241C446}"/>
    <cellStyle name="Comma 4 3 4 2 3 3" xfId="13486" xr:uid="{6F6913E4-5DEE-49EC-8468-F902EDB49DB1}"/>
    <cellStyle name="Comma 4 3 4 2 4" xfId="18549" xr:uid="{17ADC90E-74A3-4305-843B-53AF1180784D}"/>
    <cellStyle name="Comma 4 3 4 2 5" xfId="17719" xr:uid="{4398C35B-51CA-453E-8B9E-96902A2FA11C}"/>
    <cellStyle name="Comma 4 3 4 2 6" xfId="9268" xr:uid="{40961460-B784-4F38-9AC3-A75EE10606C9}"/>
    <cellStyle name="Comma 4 3 4 3" xfId="1141" xr:uid="{00000000-0005-0000-0000-0000A0090000}"/>
    <cellStyle name="Comma 4 3 4 3 2" xfId="3372" xr:uid="{00000000-0005-0000-0000-0000A1090000}"/>
    <cellStyle name="Comma 4 3 4 3 2 2" xfId="7594" xr:uid="{00000000-0005-0000-0000-0000A2090000}"/>
    <cellStyle name="Comma 4 3 4 3 2 2 2" xfId="25324" xr:uid="{1E0E6370-BFF7-4F52-AC54-B6839B60DB16}"/>
    <cellStyle name="Comma 4 3 4 3 2 2 3" xfId="16044" xr:uid="{70393641-2753-425A-8320-D330117608BB}"/>
    <cellStyle name="Comma 4 3 4 3 2 3" xfId="21107" xr:uid="{1FF91D89-5482-453C-8F25-8B1B3BF917AA}"/>
    <cellStyle name="Comma 4 3 4 3 2 4" xfId="11826" xr:uid="{FEE1D0C0-CD9F-4222-91E2-26C2C4EA1017}"/>
    <cellStyle name="Comma 4 3 4 3 3" xfId="5449" xr:uid="{00000000-0005-0000-0000-0000A3090000}"/>
    <cellStyle name="Comma 4 3 4 3 3 2" xfId="23179" xr:uid="{B9113E3F-7993-4D34-93F9-C75E894A9EFF}"/>
    <cellStyle name="Comma 4 3 4 3 3 3" xfId="13899" xr:uid="{C6ABE508-1B3C-4BDD-A728-1DF5A41C4EFD}"/>
    <cellStyle name="Comma 4 3 4 3 4" xfId="18962" xr:uid="{8D39EB7A-4849-462A-8AEC-BD07CA66F000}"/>
    <cellStyle name="Comma 4 3 4 3 5" xfId="9681" xr:uid="{95188D30-0165-4AF1-9619-615C17B5BC18}"/>
    <cellStyle name="Comma 4 3 4 4" xfId="1555" xr:uid="{00000000-0005-0000-0000-0000A4090000}"/>
    <cellStyle name="Comma 4 3 4 4 2" xfId="3785" xr:uid="{00000000-0005-0000-0000-0000A5090000}"/>
    <cellStyle name="Comma 4 3 4 4 2 2" xfId="8007" xr:uid="{00000000-0005-0000-0000-0000A6090000}"/>
    <cellStyle name="Comma 4 3 4 4 2 2 2" xfId="25737" xr:uid="{A369820E-41ED-46E8-B96E-0B466D699174}"/>
    <cellStyle name="Comma 4 3 4 4 2 2 3" xfId="16457" xr:uid="{775A86B1-0FF7-459A-B5CC-CA435A960432}"/>
    <cellStyle name="Comma 4 3 4 4 2 3" xfId="21520" xr:uid="{31B89476-6258-49BA-9F9A-4CADBEBBD9D4}"/>
    <cellStyle name="Comma 4 3 4 4 2 4" xfId="12239" xr:uid="{43ADBC6E-3728-455E-B01D-0B1050B9262B}"/>
    <cellStyle name="Comma 4 3 4 4 3" xfId="5862" xr:uid="{00000000-0005-0000-0000-0000A7090000}"/>
    <cellStyle name="Comma 4 3 4 4 3 2" xfId="23592" xr:uid="{9363D604-CC65-472E-9A06-9FF10CAED628}"/>
    <cellStyle name="Comma 4 3 4 4 3 3" xfId="14312" xr:uid="{7AF52D55-C7E6-4524-B91F-FCD92891C638}"/>
    <cellStyle name="Comma 4 3 4 4 4" xfId="19375" xr:uid="{D72E0431-4422-4BB0-8147-2E1759ADE9A9}"/>
    <cellStyle name="Comma 4 3 4 4 5" xfId="10094" xr:uid="{98360229-0E80-480A-9904-780FAEE9394F}"/>
    <cellStyle name="Comma 4 3 4 5" xfId="1969" xr:uid="{00000000-0005-0000-0000-0000A8090000}"/>
    <cellStyle name="Comma 4 3 4 5 2" xfId="4198" xr:uid="{00000000-0005-0000-0000-0000A9090000}"/>
    <cellStyle name="Comma 4 3 4 5 2 2" xfId="8420" xr:uid="{00000000-0005-0000-0000-0000AA090000}"/>
    <cellStyle name="Comma 4 3 4 5 2 2 2" xfId="26150" xr:uid="{5F66B18E-FEBF-4497-97FE-90FF2CF8766D}"/>
    <cellStyle name="Comma 4 3 4 5 2 2 3" xfId="16870" xr:uid="{B991EE4A-09F4-4055-902E-7AE6C40B2430}"/>
    <cellStyle name="Comma 4 3 4 5 2 3" xfId="21933" xr:uid="{655B3D41-0246-474A-B7D3-F9C415102A5D}"/>
    <cellStyle name="Comma 4 3 4 5 2 4" xfId="12652" xr:uid="{E40053EF-9333-4716-A604-FDB44E790FAE}"/>
    <cellStyle name="Comma 4 3 4 5 3" xfId="6275" xr:uid="{00000000-0005-0000-0000-0000AB090000}"/>
    <cellStyle name="Comma 4 3 4 5 3 2" xfId="24005" xr:uid="{BAAA35E9-0319-48BB-9353-4C4883779873}"/>
    <cellStyle name="Comma 4 3 4 5 3 3" xfId="14725" xr:uid="{70C79686-35C6-4FAF-8838-E6EE96418537}"/>
    <cellStyle name="Comma 4 3 4 5 4" xfId="19788" xr:uid="{4D6C178F-9BAC-47F9-ACB3-598CE2C4BA38}"/>
    <cellStyle name="Comma 4 3 4 5 5" xfId="10507" xr:uid="{D9D91355-3E49-43F0-ABB7-0C632B4A7E87}"/>
    <cellStyle name="Comma 4 3 4 6" xfId="2404" xr:uid="{00000000-0005-0000-0000-0000AC090000}"/>
    <cellStyle name="Comma 4 3 4 6 2" xfId="6688" xr:uid="{00000000-0005-0000-0000-0000AD090000}"/>
    <cellStyle name="Comma 4 3 4 6 2 2" xfId="24418" xr:uid="{05725158-35AF-4CB3-808D-77728F163EEC}"/>
    <cellStyle name="Comma 4 3 4 6 2 3" xfId="15138" xr:uid="{6B25AB05-A40D-4E93-8C50-4DF294F5C8CE}"/>
    <cellStyle name="Comma 4 3 4 6 3" xfId="20201" xr:uid="{77EEC0A6-00AF-4618-BF99-38D87227341B}"/>
    <cellStyle name="Comma 4 3 4 6 4" xfId="10920" xr:uid="{2CCCA0DC-68B1-4180-B7D2-FBF8A3BAC5FE}"/>
    <cellStyle name="Comma 4 3 4 7" xfId="2700" xr:uid="{00000000-0005-0000-0000-0000AE090000}"/>
    <cellStyle name="Comma 4 3 4 8" xfId="2782" xr:uid="{00000000-0005-0000-0000-0000AF090000}"/>
    <cellStyle name="Comma 4 3 4 8 2" xfId="7005" xr:uid="{00000000-0005-0000-0000-0000B0090000}"/>
    <cellStyle name="Comma 4 3 4 8 2 2" xfId="24735" xr:uid="{6FCA2A6A-F7B0-402A-838A-064F637EA8B6}"/>
    <cellStyle name="Comma 4 3 4 8 2 3" xfId="15455" xr:uid="{79F589ED-1636-4D3C-A2DF-8CCDC916C8BD}"/>
    <cellStyle name="Comma 4 3 4 8 3" xfId="20518" xr:uid="{1AAA2BAD-1AEF-403C-B86D-0CA9E5B7E29D}"/>
    <cellStyle name="Comma 4 3 4 8 4" xfId="11237" xr:uid="{A9828D7E-4D74-4A6C-BF3B-EAB7BD1038ED}"/>
    <cellStyle name="Comma 4 3 4 9" xfId="4622" xr:uid="{00000000-0005-0000-0000-0000B1090000}"/>
    <cellStyle name="Comma 4 3 4 9 2" xfId="22352" xr:uid="{F9E58BC9-661F-41D3-AFFE-530DED919E2D}"/>
    <cellStyle name="Comma 4 3 4 9 3" xfId="13072" xr:uid="{1BE7342F-7568-4FCD-AC00-96E5F82C81AE}"/>
    <cellStyle name="Comma 4 3 5" xfId="152" xr:uid="{00000000-0005-0000-0000-0000B2090000}"/>
    <cellStyle name="Comma 4 3 5 10" xfId="18136" xr:uid="{D899D355-25CE-492F-B14C-877A630EA71D}"/>
    <cellStyle name="Comma 4 3 5 11" xfId="17303" xr:uid="{23519D72-AB77-46E7-8990-372956BA81DA}"/>
    <cellStyle name="Comma 4 3 5 12" xfId="8855" xr:uid="{E7DF594B-D928-4D73-8A40-14C6AE86463D}"/>
    <cellStyle name="Comma 4 3 5 2" xfId="689" xr:uid="{00000000-0005-0000-0000-0000B3090000}"/>
    <cellStyle name="Comma 4 3 5 2 2" xfId="2960" xr:uid="{00000000-0005-0000-0000-0000B4090000}"/>
    <cellStyle name="Comma 4 3 5 2 2 2" xfId="7182" xr:uid="{00000000-0005-0000-0000-0000B5090000}"/>
    <cellStyle name="Comma 4 3 5 2 2 2 2" xfId="24912" xr:uid="{17B11204-C0E9-438C-80A7-C0749A271A2D}"/>
    <cellStyle name="Comma 4 3 5 2 2 2 3" xfId="15632" xr:uid="{1447E1A7-0959-40C3-AE68-4BC1A2D898A9}"/>
    <cellStyle name="Comma 4 3 5 2 2 3" xfId="20695" xr:uid="{FAFB6A8B-1C89-4496-BCAC-54D8C1FF375D}"/>
    <cellStyle name="Comma 4 3 5 2 2 4" xfId="11414" xr:uid="{5D4B9B5A-54A6-43CC-9481-C689C44E8B88}"/>
    <cellStyle name="Comma 4 3 5 2 3" xfId="5037" xr:uid="{00000000-0005-0000-0000-0000B6090000}"/>
    <cellStyle name="Comma 4 3 5 2 3 2" xfId="22767" xr:uid="{60C094D2-EE61-4A07-A20B-CA842EA680F5}"/>
    <cellStyle name="Comma 4 3 5 2 3 3" xfId="13487" xr:uid="{32B2B9E8-E1DA-4E2B-95D4-F62D3BAD14E2}"/>
    <cellStyle name="Comma 4 3 5 2 4" xfId="18550" xr:uid="{C1EC735D-00AB-4417-9BA9-594AAF4EA076}"/>
    <cellStyle name="Comma 4 3 5 2 5" xfId="17720" xr:uid="{2011380C-B0CC-4BF2-8E9B-B4A83A43FD16}"/>
    <cellStyle name="Comma 4 3 5 2 6" xfId="9269" xr:uid="{8923164F-8665-4562-8A5D-DCF163E69EF6}"/>
    <cellStyle name="Comma 4 3 5 3" xfId="1142" xr:uid="{00000000-0005-0000-0000-0000B7090000}"/>
    <cellStyle name="Comma 4 3 5 3 2" xfId="3373" xr:uid="{00000000-0005-0000-0000-0000B8090000}"/>
    <cellStyle name="Comma 4 3 5 3 2 2" xfId="7595" xr:uid="{00000000-0005-0000-0000-0000B9090000}"/>
    <cellStyle name="Comma 4 3 5 3 2 2 2" xfId="25325" xr:uid="{81FC7BA2-4156-4894-BACB-12BF8E27FFAD}"/>
    <cellStyle name="Comma 4 3 5 3 2 2 3" xfId="16045" xr:uid="{A2AF62F0-D2AF-4472-BAB3-A8C725C98FDB}"/>
    <cellStyle name="Comma 4 3 5 3 2 3" xfId="21108" xr:uid="{55AB3288-73F3-4DF0-A819-90A207A39F24}"/>
    <cellStyle name="Comma 4 3 5 3 2 4" xfId="11827" xr:uid="{5EF20587-0FB7-4BEE-A652-F87014C34D36}"/>
    <cellStyle name="Comma 4 3 5 3 3" xfId="5450" xr:uid="{00000000-0005-0000-0000-0000BA090000}"/>
    <cellStyle name="Comma 4 3 5 3 3 2" xfId="23180" xr:uid="{924A7DC6-F8C1-46C6-AFD1-3F196BF4D87E}"/>
    <cellStyle name="Comma 4 3 5 3 3 3" xfId="13900" xr:uid="{627E2583-D2CE-428C-AA6B-CA6A33106831}"/>
    <cellStyle name="Comma 4 3 5 3 4" xfId="18963" xr:uid="{5C098E53-ED89-4530-A580-F50DE3535118}"/>
    <cellStyle name="Comma 4 3 5 3 5" xfId="9682" xr:uid="{89FD832D-D9F7-48DB-9FBC-4A64BE3BC025}"/>
    <cellStyle name="Comma 4 3 5 4" xfId="1556" xr:uid="{00000000-0005-0000-0000-0000BB090000}"/>
    <cellStyle name="Comma 4 3 5 4 2" xfId="3786" xr:uid="{00000000-0005-0000-0000-0000BC090000}"/>
    <cellStyle name="Comma 4 3 5 4 2 2" xfId="8008" xr:uid="{00000000-0005-0000-0000-0000BD090000}"/>
    <cellStyle name="Comma 4 3 5 4 2 2 2" xfId="25738" xr:uid="{B02825E2-0130-42C3-8B3A-DA447A531642}"/>
    <cellStyle name="Comma 4 3 5 4 2 2 3" xfId="16458" xr:uid="{8126488B-4B91-4EDD-BD8C-B06C9E881AC7}"/>
    <cellStyle name="Comma 4 3 5 4 2 3" xfId="21521" xr:uid="{22A07531-8CAA-4E22-9960-F33E69C8C53D}"/>
    <cellStyle name="Comma 4 3 5 4 2 4" xfId="12240" xr:uid="{2266419E-0CD0-410D-B9A4-796DC3D2BB73}"/>
    <cellStyle name="Comma 4 3 5 4 3" xfId="5863" xr:uid="{00000000-0005-0000-0000-0000BE090000}"/>
    <cellStyle name="Comma 4 3 5 4 3 2" xfId="23593" xr:uid="{0444FB38-72C3-4036-93CF-BB100A5CD9E0}"/>
    <cellStyle name="Comma 4 3 5 4 3 3" xfId="14313" xr:uid="{2AEE03EF-07C0-41C2-B552-2D3862168741}"/>
    <cellStyle name="Comma 4 3 5 4 4" xfId="19376" xr:uid="{760772BE-F688-45BE-A6A2-CE5F9C3E0AF6}"/>
    <cellStyle name="Comma 4 3 5 4 5" xfId="10095" xr:uid="{8FB81E91-20F0-4012-8695-DCA71EEA79B2}"/>
    <cellStyle name="Comma 4 3 5 5" xfId="1970" xr:uid="{00000000-0005-0000-0000-0000BF090000}"/>
    <cellStyle name="Comma 4 3 5 5 2" xfId="4199" xr:uid="{00000000-0005-0000-0000-0000C0090000}"/>
    <cellStyle name="Comma 4 3 5 5 2 2" xfId="8421" xr:uid="{00000000-0005-0000-0000-0000C1090000}"/>
    <cellStyle name="Comma 4 3 5 5 2 2 2" xfId="26151" xr:uid="{C302370E-F786-4652-8261-55F85CD33426}"/>
    <cellStyle name="Comma 4 3 5 5 2 2 3" xfId="16871" xr:uid="{1A2DEBAE-6D0B-44CD-9D1E-941B74B0D39B}"/>
    <cellStyle name="Comma 4 3 5 5 2 3" xfId="21934" xr:uid="{CD182253-ADEA-428B-A97D-7F3CAFB71299}"/>
    <cellStyle name="Comma 4 3 5 5 2 4" xfId="12653" xr:uid="{4DC83C55-EAE5-40AC-9955-8CA8A28961A5}"/>
    <cellStyle name="Comma 4 3 5 5 3" xfId="6276" xr:uid="{00000000-0005-0000-0000-0000C2090000}"/>
    <cellStyle name="Comma 4 3 5 5 3 2" xfId="24006" xr:uid="{4B566DCC-1EAD-4DFE-BF90-0E4ED8BAF7CC}"/>
    <cellStyle name="Comma 4 3 5 5 3 3" xfId="14726" xr:uid="{23085251-0D14-48EA-A8F6-461B82DBE94D}"/>
    <cellStyle name="Comma 4 3 5 5 4" xfId="19789" xr:uid="{ABA554FE-6DFC-49C6-8B47-C6930C305FFD}"/>
    <cellStyle name="Comma 4 3 5 5 5" xfId="10508" xr:uid="{1EFD4D18-DCDF-4DB0-8BE5-50A2E45B6D1D}"/>
    <cellStyle name="Comma 4 3 5 6" xfId="2405" xr:uid="{00000000-0005-0000-0000-0000C3090000}"/>
    <cellStyle name="Comma 4 3 5 6 2" xfId="6689" xr:uid="{00000000-0005-0000-0000-0000C4090000}"/>
    <cellStyle name="Comma 4 3 5 6 2 2" xfId="24419" xr:uid="{95F07525-F4FB-4A4E-BAD6-E9643FC421CE}"/>
    <cellStyle name="Comma 4 3 5 6 2 3" xfId="15139" xr:uid="{9E933027-0E91-40B5-A7A3-1153E37A5184}"/>
    <cellStyle name="Comma 4 3 5 6 3" xfId="20202" xr:uid="{A7E203A4-E2B9-410B-8726-5C9494BFAFC6}"/>
    <cellStyle name="Comma 4 3 5 6 4" xfId="10921" xr:uid="{BEE79512-1C27-4DC2-8788-7EE08D7BCEFD}"/>
    <cellStyle name="Comma 4 3 5 7" xfId="2701" xr:uid="{00000000-0005-0000-0000-0000C5090000}"/>
    <cellStyle name="Comma 4 3 5 8" xfId="2783" xr:uid="{00000000-0005-0000-0000-0000C6090000}"/>
    <cellStyle name="Comma 4 3 5 8 2" xfId="7006" xr:uid="{00000000-0005-0000-0000-0000C7090000}"/>
    <cellStyle name="Comma 4 3 5 8 2 2" xfId="24736" xr:uid="{9447D6D4-05F8-48AD-84F5-1BA1FBFD1E67}"/>
    <cellStyle name="Comma 4 3 5 8 2 3" xfId="15456" xr:uid="{E3CDBC4B-2ABF-43D7-BDBD-D5FE09ABC452}"/>
    <cellStyle name="Comma 4 3 5 8 3" xfId="20519" xr:uid="{50A7ADE4-6C9A-4A8D-9EF5-225CE44EA527}"/>
    <cellStyle name="Comma 4 3 5 8 4" xfId="11238" xr:uid="{F1D9E583-5D15-4C8C-AF57-4ED1ED41348C}"/>
    <cellStyle name="Comma 4 3 5 9" xfId="4623" xr:uid="{00000000-0005-0000-0000-0000C8090000}"/>
    <cellStyle name="Comma 4 3 5 9 2" xfId="22353" xr:uid="{37CE935B-EA01-467C-967B-3CAE3C068249}"/>
    <cellStyle name="Comma 4 3 5 9 3" xfId="13073" xr:uid="{E9D35C4D-4233-4435-9CF6-26AF6D87E32A}"/>
    <cellStyle name="Comma 4 4" xfId="153" xr:uid="{00000000-0005-0000-0000-0000C9090000}"/>
    <cellStyle name="Comma 4 4 10" xfId="2784" xr:uid="{00000000-0005-0000-0000-0000CA090000}"/>
    <cellStyle name="Comma 4 4 10 2" xfId="7007" xr:uid="{00000000-0005-0000-0000-0000CB090000}"/>
    <cellStyle name="Comma 4 4 10 2 2" xfId="24737" xr:uid="{09EDDD76-413B-4259-AB09-2BF2F82ACC94}"/>
    <cellStyle name="Comma 4 4 10 2 3" xfId="15457" xr:uid="{1AB036E5-91C4-407F-A1CD-E0E880B02576}"/>
    <cellStyle name="Comma 4 4 10 3" xfId="20520" xr:uid="{D2300E15-316C-4F24-A4FE-2B46A35A5F89}"/>
    <cellStyle name="Comma 4 4 10 4" xfId="11239" xr:uid="{D0FF9B98-1FD6-4904-8986-4B3DA84E6215}"/>
    <cellStyle name="Comma 4 4 11" xfId="4624" xr:uid="{00000000-0005-0000-0000-0000CC090000}"/>
    <cellStyle name="Comma 4 4 11 2" xfId="22354" xr:uid="{F9305012-F05F-47B5-BAC4-F46A283B3166}"/>
    <cellStyle name="Comma 4 4 11 3" xfId="13074" xr:uid="{12AC3360-4062-49C3-A6C3-FD15F723EA2E}"/>
    <cellStyle name="Comma 4 4 12" xfId="18137" xr:uid="{9F588FC0-BAE1-4D4C-831A-8C7388EE6D9B}"/>
    <cellStyle name="Comma 4 4 13" xfId="17304" xr:uid="{639A2997-55BF-48B1-8C3E-73A7B08AF2DE}"/>
    <cellStyle name="Comma 4 4 14" xfId="8856" xr:uid="{38D493FB-82AE-4F3D-B86A-F6B0700DF99F}"/>
    <cellStyle name="Comma 4 4 2" xfId="154" xr:uid="{00000000-0005-0000-0000-0000CD090000}"/>
    <cellStyle name="Comma 4 4 2 10" xfId="4625" xr:uid="{00000000-0005-0000-0000-0000CE090000}"/>
    <cellStyle name="Comma 4 4 2 10 2" xfId="22355" xr:uid="{0A54786D-AB95-42B0-AFE3-80974DF29669}"/>
    <cellStyle name="Comma 4 4 2 10 3" xfId="13075" xr:uid="{199E5A48-77E1-4187-B8A2-76B04AE976FD}"/>
    <cellStyle name="Comma 4 4 2 11" xfId="18138" xr:uid="{D2204FE1-FDF1-43EF-B7CD-5E3623231495}"/>
    <cellStyle name="Comma 4 4 2 12" xfId="17305" xr:uid="{8EB87B49-FDD8-4A2A-9D11-8F3F63F08D8C}"/>
    <cellStyle name="Comma 4 4 2 13" xfId="8857" xr:uid="{FD82D085-487F-4CEB-B166-EB81226BFD06}"/>
    <cellStyle name="Comma 4 4 2 2" xfId="155" xr:uid="{00000000-0005-0000-0000-0000CF090000}"/>
    <cellStyle name="Comma 4 4 2 2 10" xfId="18139" xr:uid="{3D78D4D2-D585-448A-8D7F-79C44B3A4FCD}"/>
    <cellStyle name="Comma 4 4 2 2 11" xfId="17306" xr:uid="{2058500A-175E-4150-9E7D-77B407C9129E}"/>
    <cellStyle name="Comma 4 4 2 2 12" xfId="8858" xr:uid="{C687E996-613C-4562-A41A-AFC63AFCF113}"/>
    <cellStyle name="Comma 4 4 2 2 2" xfId="692" xr:uid="{00000000-0005-0000-0000-0000D0090000}"/>
    <cellStyle name="Comma 4 4 2 2 2 2" xfId="2963" xr:uid="{00000000-0005-0000-0000-0000D1090000}"/>
    <cellStyle name="Comma 4 4 2 2 2 2 2" xfId="7185" xr:uid="{00000000-0005-0000-0000-0000D2090000}"/>
    <cellStyle name="Comma 4 4 2 2 2 2 2 2" xfId="24915" xr:uid="{62C4D0FB-F320-4FAD-9766-D0F6F467370D}"/>
    <cellStyle name="Comma 4 4 2 2 2 2 2 3" xfId="15635" xr:uid="{FAA2ED3B-2E30-4192-B0BB-504C268C05F5}"/>
    <cellStyle name="Comma 4 4 2 2 2 2 3" xfId="20698" xr:uid="{E53386BD-C730-4EBF-9730-DF171FA267B0}"/>
    <cellStyle name="Comma 4 4 2 2 2 2 4" xfId="11417" xr:uid="{6B7EEB5F-D726-49C0-897F-B8AB7CE8C6AB}"/>
    <cellStyle name="Comma 4 4 2 2 2 3" xfId="5040" xr:uid="{00000000-0005-0000-0000-0000D3090000}"/>
    <cellStyle name="Comma 4 4 2 2 2 3 2" xfId="22770" xr:uid="{59F167E5-B25B-4188-BD6A-29ACA5AE5B35}"/>
    <cellStyle name="Comma 4 4 2 2 2 3 3" xfId="13490" xr:uid="{87AF5994-0375-424D-9B2D-A47336C5E570}"/>
    <cellStyle name="Comma 4 4 2 2 2 4" xfId="18553" xr:uid="{3318A9F8-84EB-4813-8302-D13946840BD0}"/>
    <cellStyle name="Comma 4 4 2 2 2 5" xfId="17723" xr:uid="{863E0F51-3A5B-4B17-9F5E-6222BC7BF969}"/>
    <cellStyle name="Comma 4 4 2 2 2 6" xfId="9272" xr:uid="{6C099688-C399-473D-A9EC-79A636E2A3F9}"/>
    <cellStyle name="Comma 4 4 2 2 3" xfId="1145" xr:uid="{00000000-0005-0000-0000-0000D4090000}"/>
    <cellStyle name="Comma 4 4 2 2 3 2" xfId="3376" xr:uid="{00000000-0005-0000-0000-0000D5090000}"/>
    <cellStyle name="Comma 4 4 2 2 3 2 2" xfId="7598" xr:uid="{00000000-0005-0000-0000-0000D6090000}"/>
    <cellStyle name="Comma 4 4 2 2 3 2 2 2" xfId="25328" xr:uid="{77F2777A-4C47-4CB0-BA91-F0AFDE4B8279}"/>
    <cellStyle name="Comma 4 4 2 2 3 2 2 3" xfId="16048" xr:uid="{0F41E570-B819-4B2F-BD01-447CA3E1C6E1}"/>
    <cellStyle name="Comma 4 4 2 2 3 2 3" xfId="21111" xr:uid="{5576CE94-E523-4876-8ACB-B031231A2142}"/>
    <cellStyle name="Comma 4 4 2 2 3 2 4" xfId="11830" xr:uid="{587461BA-49FA-4A34-A6A8-27345A5100F3}"/>
    <cellStyle name="Comma 4 4 2 2 3 3" xfId="5453" xr:uid="{00000000-0005-0000-0000-0000D7090000}"/>
    <cellStyle name="Comma 4 4 2 2 3 3 2" xfId="23183" xr:uid="{132D9AF9-2324-4AAB-9F11-C79B21E994F8}"/>
    <cellStyle name="Comma 4 4 2 2 3 3 3" xfId="13903" xr:uid="{0486BD41-9B03-466C-92D6-E8BEE86289D6}"/>
    <cellStyle name="Comma 4 4 2 2 3 4" xfId="18966" xr:uid="{4C124ED1-85EB-4833-8044-467C8786A2DF}"/>
    <cellStyle name="Comma 4 4 2 2 3 5" xfId="9685" xr:uid="{0F58F9E3-692D-484F-84B0-536B5D643345}"/>
    <cellStyle name="Comma 4 4 2 2 4" xfId="1559" xr:uid="{00000000-0005-0000-0000-0000D8090000}"/>
    <cellStyle name="Comma 4 4 2 2 4 2" xfId="3789" xr:uid="{00000000-0005-0000-0000-0000D9090000}"/>
    <cellStyle name="Comma 4 4 2 2 4 2 2" xfId="8011" xr:uid="{00000000-0005-0000-0000-0000DA090000}"/>
    <cellStyle name="Comma 4 4 2 2 4 2 2 2" xfId="25741" xr:uid="{5C243B50-279E-4A4B-B5D9-4261DA794F95}"/>
    <cellStyle name="Comma 4 4 2 2 4 2 2 3" xfId="16461" xr:uid="{7C24B721-8D36-4AEA-B42A-6FD42233D76F}"/>
    <cellStyle name="Comma 4 4 2 2 4 2 3" xfId="21524" xr:uid="{4A8465B1-F89D-49DF-A051-3A200E0E894D}"/>
    <cellStyle name="Comma 4 4 2 2 4 2 4" xfId="12243" xr:uid="{3845C1DA-33B9-4610-B660-698884D132D1}"/>
    <cellStyle name="Comma 4 4 2 2 4 3" xfId="5866" xr:uid="{00000000-0005-0000-0000-0000DB090000}"/>
    <cellStyle name="Comma 4 4 2 2 4 3 2" xfId="23596" xr:uid="{2DB1723B-13ED-4DD3-A8EF-AF0BA306259F}"/>
    <cellStyle name="Comma 4 4 2 2 4 3 3" xfId="14316" xr:uid="{B0E83A88-8C8F-46A0-8251-857E3D52B1C2}"/>
    <cellStyle name="Comma 4 4 2 2 4 4" xfId="19379" xr:uid="{01860833-7F51-4D7C-AD21-63DAD9627334}"/>
    <cellStyle name="Comma 4 4 2 2 4 5" xfId="10098" xr:uid="{73DA29AC-3339-450E-8B96-DBD2FD899702}"/>
    <cellStyle name="Comma 4 4 2 2 5" xfId="1973" xr:uid="{00000000-0005-0000-0000-0000DC090000}"/>
    <cellStyle name="Comma 4 4 2 2 5 2" xfId="4202" xr:uid="{00000000-0005-0000-0000-0000DD090000}"/>
    <cellStyle name="Comma 4 4 2 2 5 2 2" xfId="8424" xr:uid="{00000000-0005-0000-0000-0000DE090000}"/>
    <cellStyle name="Comma 4 4 2 2 5 2 2 2" xfId="26154" xr:uid="{8A7159C6-2C90-470F-B9E6-4198C5CE0558}"/>
    <cellStyle name="Comma 4 4 2 2 5 2 2 3" xfId="16874" xr:uid="{FAC15C1B-71A8-41AC-85CD-EE2B1C41BEF4}"/>
    <cellStyle name="Comma 4 4 2 2 5 2 3" xfId="21937" xr:uid="{5404D1CE-DA2A-439E-89E4-CFD1AB265995}"/>
    <cellStyle name="Comma 4 4 2 2 5 2 4" xfId="12656" xr:uid="{30E4DFF2-2EBF-4198-8465-74CD455E2E39}"/>
    <cellStyle name="Comma 4 4 2 2 5 3" xfId="6279" xr:uid="{00000000-0005-0000-0000-0000DF090000}"/>
    <cellStyle name="Comma 4 4 2 2 5 3 2" xfId="24009" xr:uid="{83978CC6-15E0-41EC-B3B9-4806FC1B30EF}"/>
    <cellStyle name="Comma 4 4 2 2 5 3 3" xfId="14729" xr:uid="{05493D45-C7F9-4EAF-B9DD-970146805827}"/>
    <cellStyle name="Comma 4 4 2 2 5 4" xfId="19792" xr:uid="{AE215DC0-60BB-40D1-9C97-B29608046769}"/>
    <cellStyle name="Comma 4 4 2 2 5 5" xfId="10511" xr:uid="{8CF4D0FB-4405-4DE1-B304-6724A06C92D9}"/>
    <cellStyle name="Comma 4 4 2 2 6" xfId="2408" xr:uid="{00000000-0005-0000-0000-0000E0090000}"/>
    <cellStyle name="Comma 4 4 2 2 6 2" xfId="6692" xr:uid="{00000000-0005-0000-0000-0000E1090000}"/>
    <cellStyle name="Comma 4 4 2 2 6 2 2" xfId="24422" xr:uid="{F2E483A7-CB4D-44DB-99EB-061967E934F2}"/>
    <cellStyle name="Comma 4 4 2 2 6 2 3" xfId="15142" xr:uid="{1959C01D-12CA-4B52-9DB9-EFEB1A75DDDC}"/>
    <cellStyle name="Comma 4 4 2 2 6 3" xfId="20205" xr:uid="{E1A01D4A-5F72-49DD-B526-904E52E356EC}"/>
    <cellStyle name="Comma 4 4 2 2 6 4" xfId="10924" xr:uid="{B2164F65-AC6D-4FB0-8E45-4DA090090636}"/>
    <cellStyle name="Comma 4 4 2 2 7" xfId="2704" xr:uid="{00000000-0005-0000-0000-0000E2090000}"/>
    <cellStyle name="Comma 4 4 2 2 8" xfId="2786" xr:uid="{00000000-0005-0000-0000-0000E3090000}"/>
    <cellStyle name="Comma 4 4 2 2 8 2" xfId="7009" xr:uid="{00000000-0005-0000-0000-0000E4090000}"/>
    <cellStyle name="Comma 4 4 2 2 8 2 2" xfId="24739" xr:uid="{A4024DB5-6873-4EAE-BC86-F6C5E2C95DD5}"/>
    <cellStyle name="Comma 4 4 2 2 8 2 3" xfId="15459" xr:uid="{74E97348-75EB-4B60-A42E-6FCD312113D5}"/>
    <cellStyle name="Comma 4 4 2 2 8 3" xfId="20522" xr:uid="{6CD6FBA8-EC45-48D9-9060-4BF714D4AF06}"/>
    <cellStyle name="Comma 4 4 2 2 8 4" xfId="11241" xr:uid="{DFF3985E-ACBC-414C-878B-ED9BE0F3E39A}"/>
    <cellStyle name="Comma 4 4 2 2 9" xfId="4626" xr:uid="{00000000-0005-0000-0000-0000E5090000}"/>
    <cellStyle name="Comma 4 4 2 2 9 2" xfId="22356" xr:uid="{D0FE1973-10E5-4BEE-9E4F-AC341AF999AD}"/>
    <cellStyle name="Comma 4 4 2 2 9 3" xfId="13076" xr:uid="{A1E757BD-78D2-4D46-8A09-C6F22EA94804}"/>
    <cellStyle name="Comma 4 4 2 3" xfId="691" xr:uid="{00000000-0005-0000-0000-0000E6090000}"/>
    <cellStyle name="Comma 4 4 2 3 2" xfId="2962" xr:uid="{00000000-0005-0000-0000-0000E7090000}"/>
    <cellStyle name="Comma 4 4 2 3 2 2" xfId="7184" xr:uid="{00000000-0005-0000-0000-0000E8090000}"/>
    <cellStyle name="Comma 4 4 2 3 2 2 2" xfId="24914" xr:uid="{03DFB57C-03AC-4DAA-8109-B9CDD6E4A515}"/>
    <cellStyle name="Comma 4 4 2 3 2 2 3" xfId="15634" xr:uid="{0F86116E-E934-4BEC-BDE2-875E71220023}"/>
    <cellStyle name="Comma 4 4 2 3 2 3" xfId="20697" xr:uid="{0917E22E-8A78-4514-B7A8-0551A1AA9C7C}"/>
    <cellStyle name="Comma 4 4 2 3 2 4" xfId="11416" xr:uid="{B1D7CA58-04F7-4A33-8C6B-46EFB73438F6}"/>
    <cellStyle name="Comma 4 4 2 3 3" xfId="5039" xr:uid="{00000000-0005-0000-0000-0000E9090000}"/>
    <cellStyle name="Comma 4 4 2 3 3 2" xfId="22769" xr:uid="{7140921D-FCB7-4497-A392-798A23F191B7}"/>
    <cellStyle name="Comma 4 4 2 3 3 3" xfId="13489" xr:uid="{09F86B02-9A9F-4A77-BE46-E8B503A7F57B}"/>
    <cellStyle name="Comma 4 4 2 3 4" xfId="18552" xr:uid="{59B65770-3A1F-4E9D-A84E-D5AC2D971098}"/>
    <cellStyle name="Comma 4 4 2 3 5" xfId="17722" xr:uid="{435EBC5C-C753-4D73-A298-F02696B3E682}"/>
    <cellStyle name="Comma 4 4 2 3 6" xfId="9271" xr:uid="{18440986-40CA-4715-93F7-1960F8043A50}"/>
    <cellStyle name="Comma 4 4 2 4" xfId="1144" xr:uid="{00000000-0005-0000-0000-0000EA090000}"/>
    <cellStyle name="Comma 4 4 2 4 2" xfId="3375" xr:uid="{00000000-0005-0000-0000-0000EB090000}"/>
    <cellStyle name="Comma 4 4 2 4 2 2" xfId="7597" xr:uid="{00000000-0005-0000-0000-0000EC090000}"/>
    <cellStyle name="Comma 4 4 2 4 2 2 2" xfId="25327" xr:uid="{0F265BFB-383E-4636-80F1-EBAAA7174749}"/>
    <cellStyle name="Comma 4 4 2 4 2 2 3" xfId="16047" xr:uid="{3BC3ABD8-05C8-4F24-A2A5-62ED0CFF0867}"/>
    <cellStyle name="Comma 4 4 2 4 2 3" xfId="21110" xr:uid="{0537AF8A-069E-4B4B-A789-99EBC5DDB58F}"/>
    <cellStyle name="Comma 4 4 2 4 2 4" xfId="11829" xr:uid="{656366ED-41DF-4C05-AF4B-2966E6293186}"/>
    <cellStyle name="Comma 4 4 2 4 3" xfId="5452" xr:uid="{00000000-0005-0000-0000-0000ED090000}"/>
    <cellStyle name="Comma 4 4 2 4 3 2" xfId="23182" xr:uid="{96432076-D069-4BC5-8876-3BA3B891E5BC}"/>
    <cellStyle name="Comma 4 4 2 4 3 3" xfId="13902" xr:uid="{C1B9B5CC-532C-4FDE-AEF1-536F8718D75E}"/>
    <cellStyle name="Comma 4 4 2 4 4" xfId="18965" xr:uid="{B4E47FCC-F063-41B9-B4CD-BD8479AF6609}"/>
    <cellStyle name="Comma 4 4 2 4 5" xfId="9684" xr:uid="{63616A13-DC69-413F-A8F8-29FBA8EAE6CD}"/>
    <cellStyle name="Comma 4 4 2 5" xfId="1558" xr:uid="{00000000-0005-0000-0000-0000EE090000}"/>
    <cellStyle name="Comma 4 4 2 5 2" xfId="3788" xr:uid="{00000000-0005-0000-0000-0000EF090000}"/>
    <cellStyle name="Comma 4 4 2 5 2 2" xfId="8010" xr:uid="{00000000-0005-0000-0000-0000F0090000}"/>
    <cellStyle name="Comma 4 4 2 5 2 2 2" xfId="25740" xr:uid="{7707BA3E-A2BA-42EB-891D-C35524DD09B1}"/>
    <cellStyle name="Comma 4 4 2 5 2 2 3" xfId="16460" xr:uid="{9900980E-C58A-4FD8-AE34-98416236A5C9}"/>
    <cellStyle name="Comma 4 4 2 5 2 3" xfId="21523" xr:uid="{1A976DDD-46AC-4E1C-A117-6E724F8BAC4C}"/>
    <cellStyle name="Comma 4 4 2 5 2 4" xfId="12242" xr:uid="{BEEA7D17-1B7C-4EC5-9BEB-381D04C5CBFF}"/>
    <cellStyle name="Comma 4 4 2 5 3" xfId="5865" xr:uid="{00000000-0005-0000-0000-0000F1090000}"/>
    <cellStyle name="Comma 4 4 2 5 3 2" xfId="23595" xr:uid="{BDFAA6EB-9993-41F8-8672-68F1B7FDF77E}"/>
    <cellStyle name="Comma 4 4 2 5 3 3" xfId="14315" xr:uid="{C8422EF0-EB40-4AAB-98CA-9EAA349B680A}"/>
    <cellStyle name="Comma 4 4 2 5 4" xfId="19378" xr:uid="{279796B3-FE01-41C9-8755-EE4E68A4207F}"/>
    <cellStyle name="Comma 4 4 2 5 5" xfId="10097" xr:uid="{4AEC37A1-531B-4D63-B02A-002436FA9699}"/>
    <cellStyle name="Comma 4 4 2 6" xfId="1972" xr:uid="{00000000-0005-0000-0000-0000F2090000}"/>
    <cellStyle name="Comma 4 4 2 6 2" xfId="4201" xr:uid="{00000000-0005-0000-0000-0000F3090000}"/>
    <cellStyle name="Comma 4 4 2 6 2 2" xfId="8423" xr:uid="{00000000-0005-0000-0000-0000F4090000}"/>
    <cellStyle name="Comma 4 4 2 6 2 2 2" xfId="26153" xr:uid="{04751906-2BCE-4ABE-A3E1-221751204EA5}"/>
    <cellStyle name="Comma 4 4 2 6 2 2 3" xfId="16873" xr:uid="{DE1B844A-6920-4241-9BD1-4D7561A570AE}"/>
    <cellStyle name="Comma 4 4 2 6 2 3" xfId="21936" xr:uid="{25688FF9-FCE8-4C92-B825-34023CB46054}"/>
    <cellStyle name="Comma 4 4 2 6 2 4" xfId="12655" xr:uid="{3141AB6D-BC5C-4A36-876E-219F581B9837}"/>
    <cellStyle name="Comma 4 4 2 6 3" xfId="6278" xr:uid="{00000000-0005-0000-0000-0000F5090000}"/>
    <cellStyle name="Comma 4 4 2 6 3 2" xfId="24008" xr:uid="{10069A39-43B6-4707-90E2-8A3DEE5D3E40}"/>
    <cellStyle name="Comma 4 4 2 6 3 3" xfId="14728" xr:uid="{FD55EF5D-0991-41AF-8EEC-9375F8F7B5AD}"/>
    <cellStyle name="Comma 4 4 2 6 4" xfId="19791" xr:uid="{17CCF8B6-7FA5-4D0A-BAD8-28A369AC0DB2}"/>
    <cellStyle name="Comma 4 4 2 6 5" xfId="10510" xr:uid="{46C6B5E1-FC11-4B02-A158-868C2D6A2BF9}"/>
    <cellStyle name="Comma 4 4 2 7" xfId="2407" xr:uid="{00000000-0005-0000-0000-0000F6090000}"/>
    <cellStyle name="Comma 4 4 2 7 2" xfId="6691" xr:uid="{00000000-0005-0000-0000-0000F7090000}"/>
    <cellStyle name="Comma 4 4 2 7 2 2" xfId="24421" xr:uid="{DCE98ECA-C852-4B70-9418-023D0CCD6F79}"/>
    <cellStyle name="Comma 4 4 2 7 2 3" xfId="15141" xr:uid="{AB3880A8-44A6-41CC-B397-172D30F92E75}"/>
    <cellStyle name="Comma 4 4 2 7 3" xfId="20204" xr:uid="{DDB14B21-8949-4D24-B517-D1593935D986}"/>
    <cellStyle name="Comma 4 4 2 7 4" xfId="10923" xr:uid="{33C43EE9-A390-4EBD-9151-A487620AC4EA}"/>
    <cellStyle name="Comma 4 4 2 8" xfId="2703" xr:uid="{00000000-0005-0000-0000-0000F8090000}"/>
    <cellStyle name="Comma 4 4 2 9" xfId="2785" xr:uid="{00000000-0005-0000-0000-0000F9090000}"/>
    <cellStyle name="Comma 4 4 2 9 2" xfId="7008" xr:uid="{00000000-0005-0000-0000-0000FA090000}"/>
    <cellStyle name="Comma 4 4 2 9 2 2" xfId="24738" xr:uid="{47F0AEF4-AA36-4EEB-9696-1D4AF5F396F4}"/>
    <cellStyle name="Comma 4 4 2 9 2 3" xfId="15458" xr:uid="{60AB8FEF-8185-4428-A79F-DC87BF1C0E3B}"/>
    <cellStyle name="Comma 4 4 2 9 3" xfId="20521" xr:uid="{F5E8B3DF-9C4C-4B4A-A571-344A8823D2AE}"/>
    <cellStyle name="Comma 4 4 2 9 4" xfId="11240" xr:uid="{C5E1DA27-7A3E-4707-859F-579D67F6DF42}"/>
    <cellStyle name="Comma 4 4 3" xfId="156" xr:uid="{00000000-0005-0000-0000-0000FB090000}"/>
    <cellStyle name="Comma 4 4 3 10" xfId="18140" xr:uid="{8E0BC373-1B21-4F84-B131-CBD6AEAF453D}"/>
    <cellStyle name="Comma 4 4 3 11" xfId="17307" xr:uid="{E8B9FC5D-8327-4E2E-9219-F67FBDD104D3}"/>
    <cellStyle name="Comma 4 4 3 12" xfId="8859" xr:uid="{2353A253-FD58-49DA-A97B-DD5033C8E98A}"/>
    <cellStyle name="Comma 4 4 3 2" xfId="693" xr:uid="{00000000-0005-0000-0000-0000FC090000}"/>
    <cellStyle name="Comma 4 4 3 2 2" xfId="2964" xr:uid="{00000000-0005-0000-0000-0000FD090000}"/>
    <cellStyle name="Comma 4 4 3 2 2 2" xfId="7186" xr:uid="{00000000-0005-0000-0000-0000FE090000}"/>
    <cellStyle name="Comma 4 4 3 2 2 2 2" xfId="24916" xr:uid="{3C04166B-557B-4A6D-A747-19012013E819}"/>
    <cellStyle name="Comma 4 4 3 2 2 2 3" xfId="15636" xr:uid="{0630C907-3CAE-4CD1-A31F-B6FEF0473A5C}"/>
    <cellStyle name="Comma 4 4 3 2 2 3" xfId="20699" xr:uid="{D651829A-02C9-4A87-9605-A2ECCB5A9908}"/>
    <cellStyle name="Comma 4 4 3 2 2 4" xfId="11418" xr:uid="{C7185025-8CC5-4E83-8EE2-99B7969B6DA8}"/>
    <cellStyle name="Comma 4 4 3 2 3" xfId="5041" xr:uid="{00000000-0005-0000-0000-0000FF090000}"/>
    <cellStyle name="Comma 4 4 3 2 3 2" xfId="22771" xr:uid="{A80E6798-B941-4A7C-96D2-271048608B88}"/>
    <cellStyle name="Comma 4 4 3 2 3 3" xfId="13491" xr:uid="{FDD31461-27AE-4092-A451-18A2C891DB99}"/>
    <cellStyle name="Comma 4 4 3 2 4" xfId="18554" xr:uid="{8C561AF5-ECDA-4FBC-97C0-B083A7274BB4}"/>
    <cellStyle name="Comma 4 4 3 2 5" xfId="17724" xr:uid="{D91F0A03-31FC-4B45-9A04-BBAC16437864}"/>
    <cellStyle name="Comma 4 4 3 2 6" xfId="9273" xr:uid="{CADF7E0E-7C08-4A32-8E6B-452E1C2E9945}"/>
    <cellStyle name="Comma 4 4 3 3" xfId="1146" xr:uid="{00000000-0005-0000-0000-0000000A0000}"/>
    <cellStyle name="Comma 4 4 3 3 2" xfId="3377" xr:uid="{00000000-0005-0000-0000-0000010A0000}"/>
    <cellStyle name="Comma 4 4 3 3 2 2" xfId="7599" xr:uid="{00000000-0005-0000-0000-0000020A0000}"/>
    <cellStyle name="Comma 4 4 3 3 2 2 2" xfId="25329" xr:uid="{D3631CF7-879B-4E5B-BF88-014217C247B5}"/>
    <cellStyle name="Comma 4 4 3 3 2 2 3" xfId="16049" xr:uid="{B373AABB-6A0D-409D-B5BC-FF175EB03451}"/>
    <cellStyle name="Comma 4 4 3 3 2 3" xfId="21112" xr:uid="{CEE4DC66-FAE9-40C3-8086-21564D06CD2C}"/>
    <cellStyle name="Comma 4 4 3 3 2 4" xfId="11831" xr:uid="{12C01472-5274-4747-A729-711011FCE606}"/>
    <cellStyle name="Comma 4 4 3 3 3" xfId="5454" xr:uid="{00000000-0005-0000-0000-0000030A0000}"/>
    <cellStyle name="Comma 4 4 3 3 3 2" xfId="23184" xr:uid="{7B90D596-4F05-4403-BEC2-490527696A86}"/>
    <cellStyle name="Comma 4 4 3 3 3 3" xfId="13904" xr:uid="{C6330A4A-9B86-47D5-A70E-0BF2821FF5CB}"/>
    <cellStyle name="Comma 4 4 3 3 4" xfId="18967" xr:uid="{00AC9623-9C2C-4A1A-90C5-291C45A9B732}"/>
    <cellStyle name="Comma 4 4 3 3 5" xfId="9686" xr:uid="{90FA6AB2-CFBF-4738-A78E-A9DEF8EFFF77}"/>
    <cellStyle name="Comma 4 4 3 4" xfId="1560" xr:uid="{00000000-0005-0000-0000-0000040A0000}"/>
    <cellStyle name="Comma 4 4 3 4 2" xfId="3790" xr:uid="{00000000-0005-0000-0000-0000050A0000}"/>
    <cellStyle name="Comma 4 4 3 4 2 2" xfId="8012" xr:uid="{00000000-0005-0000-0000-0000060A0000}"/>
    <cellStyle name="Comma 4 4 3 4 2 2 2" xfId="25742" xr:uid="{C29BDC65-481F-4E6B-BB01-3328BD19712E}"/>
    <cellStyle name="Comma 4 4 3 4 2 2 3" xfId="16462" xr:uid="{5696786F-569A-4F9A-9246-37EB8CA5CCF8}"/>
    <cellStyle name="Comma 4 4 3 4 2 3" xfId="21525" xr:uid="{95915320-FC55-4CB6-804C-049D6CBB18BB}"/>
    <cellStyle name="Comma 4 4 3 4 2 4" xfId="12244" xr:uid="{70E74D81-357E-4BA2-A1AB-764728904683}"/>
    <cellStyle name="Comma 4 4 3 4 3" xfId="5867" xr:uid="{00000000-0005-0000-0000-0000070A0000}"/>
    <cellStyle name="Comma 4 4 3 4 3 2" xfId="23597" xr:uid="{7B27137C-D727-4889-BF9F-0421D735DC04}"/>
    <cellStyle name="Comma 4 4 3 4 3 3" xfId="14317" xr:uid="{3740E293-5BF9-498D-A0B8-059904CB389E}"/>
    <cellStyle name="Comma 4 4 3 4 4" xfId="19380" xr:uid="{F9B6FB9F-4724-4AC5-B3B4-53164F0D9078}"/>
    <cellStyle name="Comma 4 4 3 4 5" xfId="10099" xr:uid="{EBC5178D-9C15-44D1-BE5F-A0B9F136EB91}"/>
    <cellStyle name="Comma 4 4 3 5" xfId="1974" xr:uid="{00000000-0005-0000-0000-0000080A0000}"/>
    <cellStyle name="Comma 4 4 3 5 2" xfId="4203" xr:uid="{00000000-0005-0000-0000-0000090A0000}"/>
    <cellStyle name="Comma 4 4 3 5 2 2" xfId="8425" xr:uid="{00000000-0005-0000-0000-00000A0A0000}"/>
    <cellStyle name="Comma 4 4 3 5 2 2 2" xfId="26155" xr:uid="{8585EF9C-53F8-4FDF-9CAA-41D5092E0642}"/>
    <cellStyle name="Comma 4 4 3 5 2 2 3" xfId="16875" xr:uid="{6E8542B3-819B-4599-A01D-C000DFA07F82}"/>
    <cellStyle name="Comma 4 4 3 5 2 3" xfId="21938" xr:uid="{65C40E1E-233D-42B0-95D6-B37A896B1BDC}"/>
    <cellStyle name="Comma 4 4 3 5 2 4" xfId="12657" xr:uid="{80D3DDA9-A39F-4D2F-B919-027C9824FBE1}"/>
    <cellStyle name="Comma 4 4 3 5 3" xfId="6280" xr:uid="{00000000-0005-0000-0000-00000B0A0000}"/>
    <cellStyle name="Comma 4 4 3 5 3 2" xfId="24010" xr:uid="{4F9DB7DB-5576-490A-BF4B-2FF063ACB75D}"/>
    <cellStyle name="Comma 4 4 3 5 3 3" xfId="14730" xr:uid="{0597B8B0-19D9-4A5D-82F8-7B5C8670D3BF}"/>
    <cellStyle name="Comma 4 4 3 5 4" xfId="19793" xr:uid="{B65314ED-78E5-46B3-AD49-E44BF3264F41}"/>
    <cellStyle name="Comma 4 4 3 5 5" xfId="10512" xr:uid="{1FB48A3F-6B18-4BA4-A213-CDC53A06938B}"/>
    <cellStyle name="Comma 4 4 3 6" xfId="2409" xr:uid="{00000000-0005-0000-0000-00000C0A0000}"/>
    <cellStyle name="Comma 4 4 3 6 2" xfId="6693" xr:uid="{00000000-0005-0000-0000-00000D0A0000}"/>
    <cellStyle name="Comma 4 4 3 6 2 2" xfId="24423" xr:uid="{88431EF0-FC33-43F0-93A3-649A24072BA1}"/>
    <cellStyle name="Comma 4 4 3 6 2 3" xfId="15143" xr:uid="{CBDF4093-B7C0-4CEB-A29C-8EC9A44AE708}"/>
    <cellStyle name="Comma 4 4 3 6 3" xfId="20206" xr:uid="{E1DAF7A0-216F-4313-9097-163F08E460A0}"/>
    <cellStyle name="Comma 4 4 3 6 4" xfId="10925" xr:uid="{3FCF7FDC-3B36-49C1-B5FD-7EDD1C6FF871}"/>
    <cellStyle name="Comma 4 4 3 7" xfId="2705" xr:uid="{00000000-0005-0000-0000-00000E0A0000}"/>
    <cellStyle name="Comma 4 4 3 8" xfId="2787" xr:uid="{00000000-0005-0000-0000-00000F0A0000}"/>
    <cellStyle name="Comma 4 4 3 8 2" xfId="7010" xr:uid="{00000000-0005-0000-0000-0000100A0000}"/>
    <cellStyle name="Comma 4 4 3 8 2 2" xfId="24740" xr:uid="{5781545E-34AD-4610-85B6-23EBEC5556C6}"/>
    <cellStyle name="Comma 4 4 3 8 2 3" xfId="15460" xr:uid="{DBBBEE94-B88A-42ED-868F-F86059AE7D2B}"/>
    <cellStyle name="Comma 4 4 3 8 3" xfId="20523" xr:uid="{E63B13C4-F7AE-4A85-ABFB-3AEFB36056EE}"/>
    <cellStyle name="Comma 4 4 3 8 4" xfId="11242" xr:uid="{EFB311E2-24AE-4EFD-A2B4-54B92D47A496}"/>
    <cellStyle name="Comma 4 4 3 9" xfId="4627" xr:uid="{00000000-0005-0000-0000-0000110A0000}"/>
    <cellStyle name="Comma 4 4 3 9 2" xfId="22357" xr:uid="{EAF8D90F-049F-41AD-9A94-7DF06ABFE142}"/>
    <cellStyle name="Comma 4 4 3 9 3" xfId="13077" xr:uid="{F746225C-6F8E-448E-B00F-CADC64ECA98D}"/>
    <cellStyle name="Comma 4 4 4" xfId="690" xr:uid="{00000000-0005-0000-0000-0000120A0000}"/>
    <cellStyle name="Comma 4 4 4 2" xfId="2961" xr:uid="{00000000-0005-0000-0000-0000130A0000}"/>
    <cellStyle name="Comma 4 4 4 2 2" xfId="7183" xr:uid="{00000000-0005-0000-0000-0000140A0000}"/>
    <cellStyle name="Comma 4 4 4 2 2 2" xfId="24913" xr:uid="{1045956F-5879-436E-9056-179444F9E2E0}"/>
    <cellStyle name="Comma 4 4 4 2 2 3" xfId="15633" xr:uid="{FC5463CB-A376-4405-AF0E-6FBCFCDDA3E2}"/>
    <cellStyle name="Comma 4 4 4 2 3" xfId="20696" xr:uid="{6E864D1A-89D1-495A-B460-0D4180B4058A}"/>
    <cellStyle name="Comma 4 4 4 2 4" xfId="11415" xr:uid="{1E23CA2B-72DC-4A60-BADF-9CCE3D22A2D0}"/>
    <cellStyle name="Comma 4 4 4 3" xfId="5038" xr:uid="{00000000-0005-0000-0000-0000150A0000}"/>
    <cellStyle name="Comma 4 4 4 3 2" xfId="22768" xr:uid="{9342EB02-B1A1-4796-9207-4F9BC328068C}"/>
    <cellStyle name="Comma 4 4 4 3 3" xfId="13488" xr:uid="{FEC9BBD6-BD78-4DE1-A16F-4FA4D5DB5A24}"/>
    <cellStyle name="Comma 4 4 4 4" xfId="18551" xr:uid="{DAC90FA4-4709-4211-8CA6-511779D0A0E1}"/>
    <cellStyle name="Comma 4 4 4 5" xfId="17721" xr:uid="{7027379E-A7E6-4E12-BA1C-7260243CA9B1}"/>
    <cellStyle name="Comma 4 4 4 6" xfId="9270" xr:uid="{825C8A64-91E7-4651-8F4D-F951BC57A0E0}"/>
    <cellStyle name="Comma 4 4 5" xfId="1143" xr:uid="{00000000-0005-0000-0000-0000160A0000}"/>
    <cellStyle name="Comma 4 4 5 2" xfId="3374" xr:uid="{00000000-0005-0000-0000-0000170A0000}"/>
    <cellStyle name="Comma 4 4 5 2 2" xfId="7596" xr:uid="{00000000-0005-0000-0000-0000180A0000}"/>
    <cellStyle name="Comma 4 4 5 2 2 2" xfId="25326" xr:uid="{17881839-6193-4959-89A3-8FE847FA9BDC}"/>
    <cellStyle name="Comma 4 4 5 2 2 3" xfId="16046" xr:uid="{4EB78C6E-728E-434D-B9FF-64928CFF22FD}"/>
    <cellStyle name="Comma 4 4 5 2 3" xfId="21109" xr:uid="{CB964AF1-4C5C-4B5C-9C14-6F9866DBCA2F}"/>
    <cellStyle name="Comma 4 4 5 2 4" xfId="11828" xr:uid="{82461C3D-E719-436C-922B-1816CE7E6CD2}"/>
    <cellStyle name="Comma 4 4 5 3" xfId="5451" xr:uid="{00000000-0005-0000-0000-0000190A0000}"/>
    <cellStyle name="Comma 4 4 5 3 2" xfId="23181" xr:uid="{2887B361-8C99-40ED-8CB5-8C51101A106D}"/>
    <cellStyle name="Comma 4 4 5 3 3" xfId="13901" xr:uid="{82397FDC-1F80-4D58-A1D4-73DCF03F3841}"/>
    <cellStyle name="Comma 4 4 5 4" xfId="18964" xr:uid="{12A8625E-221D-4A82-A720-B30FD15CE590}"/>
    <cellStyle name="Comma 4 4 5 5" xfId="9683" xr:uid="{F7387AC8-26CA-4800-BF8A-28C7CB53E236}"/>
    <cellStyle name="Comma 4 4 6" xfId="1557" xr:uid="{00000000-0005-0000-0000-00001A0A0000}"/>
    <cellStyle name="Comma 4 4 6 2" xfId="3787" xr:uid="{00000000-0005-0000-0000-00001B0A0000}"/>
    <cellStyle name="Comma 4 4 6 2 2" xfId="8009" xr:uid="{00000000-0005-0000-0000-00001C0A0000}"/>
    <cellStyle name="Comma 4 4 6 2 2 2" xfId="25739" xr:uid="{2F08EAEC-85AC-49BB-B906-7AF9403CEB8A}"/>
    <cellStyle name="Comma 4 4 6 2 2 3" xfId="16459" xr:uid="{7CE19440-34E3-4690-B908-D68BB1DC3510}"/>
    <cellStyle name="Comma 4 4 6 2 3" xfId="21522" xr:uid="{8EE3D6EE-25E1-4494-BE80-3FCAC5D54002}"/>
    <cellStyle name="Comma 4 4 6 2 4" xfId="12241" xr:uid="{CB350BDD-3C88-46FC-8DEC-8711BAE5846D}"/>
    <cellStyle name="Comma 4 4 6 3" xfId="5864" xr:uid="{00000000-0005-0000-0000-00001D0A0000}"/>
    <cellStyle name="Comma 4 4 6 3 2" xfId="23594" xr:uid="{98669A05-5C98-4D96-9818-E98C95E64555}"/>
    <cellStyle name="Comma 4 4 6 3 3" xfId="14314" xr:uid="{C9906E16-22CB-47B9-A402-9F03B271B62F}"/>
    <cellStyle name="Comma 4 4 6 4" xfId="19377" xr:uid="{D40E37C6-A5F2-4874-87AC-91B1F16F595B}"/>
    <cellStyle name="Comma 4 4 6 5" xfId="10096" xr:uid="{6AFBF454-3175-4621-8A4A-6E0539E1C0BA}"/>
    <cellStyle name="Comma 4 4 7" xfId="1971" xr:uid="{00000000-0005-0000-0000-00001E0A0000}"/>
    <cellStyle name="Comma 4 4 7 2" xfId="4200" xr:uid="{00000000-0005-0000-0000-00001F0A0000}"/>
    <cellStyle name="Comma 4 4 7 2 2" xfId="8422" xr:uid="{00000000-0005-0000-0000-0000200A0000}"/>
    <cellStyle name="Comma 4 4 7 2 2 2" xfId="26152" xr:uid="{2DE7F886-8D53-4CFB-8F35-46A73A128420}"/>
    <cellStyle name="Comma 4 4 7 2 2 3" xfId="16872" xr:uid="{643BB345-B001-4706-9386-2F5AEC3A937F}"/>
    <cellStyle name="Comma 4 4 7 2 3" xfId="21935" xr:uid="{F31F044D-AF18-4139-AE8E-A146083ADB2B}"/>
    <cellStyle name="Comma 4 4 7 2 4" xfId="12654" xr:uid="{69591137-1D3F-411A-88CF-DE70BDFAE538}"/>
    <cellStyle name="Comma 4 4 7 3" xfId="6277" xr:uid="{00000000-0005-0000-0000-0000210A0000}"/>
    <cellStyle name="Comma 4 4 7 3 2" xfId="24007" xr:uid="{751E475D-CC77-4C02-930E-10E0596DF186}"/>
    <cellStyle name="Comma 4 4 7 3 3" xfId="14727" xr:uid="{955BD986-2941-4B2E-A3C4-CDEFDA0973F0}"/>
    <cellStyle name="Comma 4 4 7 4" xfId="19790" xr:uid="{8E1404D2-79FA-4528-8CF2-ED5A55113856}"/>
    <cellStyle name="Comma 4 4 7 5" xfId="10509" xr:uid="{6306906D-DA15-4AD9-BE71-FAF14CD6A3B4}"/>
    <cellStyle name="Comma 4 4 8" xfId="2406" xr:uid="{00000000-0005-0000-0000-0000220A0000}"/>
    <cellStyle name="Comma 4 4 8 2" xfId="6690" xr:uid="{00000000-0005-0000-0000-0000230A0000}"/>
    <cellStyle name="Comma 4 4 8 2 2" xfId="24420" xr:uid="{0AEAB4EC-E39E-4097-A5D1-81FB92C1576D}"/>
    <cellStyle name="Comma 4 4 8 2 3" xfId="15140" xr:uid="{0ACEDDF7-1CB6-4E88-B69A-80992F6D7E7D}"/>
    <cellStyle name="Comma 4 4 8 3" xfId="20203" xr:uid="{A823E925-631C-4350-96E2-846C11158885}"/>
    <cellStyle name="Comma 4 4 8 4" xfId="10922" xr:uid="{738284D3-B180-4072-AF3A-040D6BAED9C7}"/>
    <cellStyle name="Comma 4 4 9" xfId="2702" xr:uid="{00000000-0005-0000-0000-0000240A0000}"/>
    <cellStyle name="Comma 4 5" xfId="157" xr:uid="{00000000-0005-0000-0000-0000250A0000}"/>
    <cellStyle name="Comma 4 5 10" xfId="4628" xr:uid="{00000000-0005-0000-0000-0000260A0000}"/>
    <cellStyle name="Comma 4 5 10 2" xfId="22358" xr:uid="{BA99CAF3-8C27-4EFD-872E-25EEA69BE46D}"/>
    <cellStyle name="Comma 4 5 10 3" xfId="13078" xr:uid="{983E1826-5963-4E8C-BE69-A1678F016714}"/>
    <cellStyle name="Comma 4 5 11" xfId="18141" xr:uid="{ADFB1E6E-AC52-47C8-83CB-19F4FD397E38}"/>
    <cellStyle name="Comma 4 5 12" xfId="17308" xr:uid="{8D75AB4F-6D80-4B6C-A92F-A7551E5822BE}"/>
    <cellStyle name="Comma 4 5 13" xfId="8860" xr:uid="{7B9363DF-B7CA-4F48-AD66-840F9CC01739}"/>
    <cellStyle name="Comma 4 5 2" xfId="158" xr:uid="{00000000-0005-0000-0000-0000270A0000}"/>
    <cellStyle name="Comma 4 5 2 10" xfId="18142" xr:uid="{E542AE80-D6C9-4224-B9A9-B3AAD2E2478B}"/>
    <cellStyle name="Comma 4 5 2 11" xfId="17309" xr:uid="{704148B3-321C-41EB-A50A-620A98914396}"/>
    <cellStyle name="Comma 4 5 2 12" xfId="8861" xr:uid="{26891325-4396-4313-9C09-4430241F0F65}"/>
    <cellStyle name="Comma 4 5 2 2" xfId="695" xr:uid="{00000000-0005-0000-0000-0000280A0000}"/>
    <cellStyle name="Comma 4 5 2 2 2" xfId="2966" xr:uid="{00000000-0005-0000-0000-0000290A0000}"/>
    <cellStyle name="Comma 4 5 2 2 2 2" xfId="7188" xr:uid="{00000000-0005-0000-0000-00002A0A0000}"/>
    <cellStyle name="Comma 4 5 2 2 2 2 2" xfId="24918" xr:uid="{0E3BAAC1-A19E-4A73-ADF0-1A321453E96B}"/>
    <cellStyle name="Comma 4 5 2 2 2 2 3" xfId="15638" xr:uid="{DDB2E484-E947-47E9-A030-C99DD00E2A30}"/>
    <cellStyle name="Comma 4 5 2 2 2 3" xfId="20701" xr:uid="{098DD6C3-580A-418C-8328-58790D1D7E3D}"/>
    <cellStyle name="Comma 4 5 2 2 2 4" xfId="11420" xr:uid="{F8FB1F72-E317-4B27-81A3-CDF5439CF388}"/>
    <cellStyle name="Comma 4 5 2 2 3" xfId="5043" xr:uid="{00000000-0005-0000-0000-00002B0A0000}"/>
    <cellStyle name="Comma 4 5 2 2 3 2" xfId="22773" xr:uid="{FE090F8D-489C-4741-AFB4-D86510CAF404}"/>
    <cellStyle name="Comma 4 5 2 2 3 3" xfId="13493" xr:uid="{62E201E2-2309-4B73-8CC9-014AF041F6DC}"/>
    <cellStyle name="Comma 4 5 2 2 4" xfId="18556" xr:uid="{957D1DAF-5D3B-4DE1-BFD1-CB97EBD67EDA}"/>
    <cellStyle name="Comma 4 5 2 2 5" xfId="17726" xr:uid="{718A2BEC-3D2B-46F6-857A-9FB89046E1EF}"/>
    <cellStyle name="Comma 4 5 2 2 6" xfId="9275" xr:uid="{8E77C41A-EC38-4ECF-A0E1-E7D274B834FC}"/>
    <cellStyle name="Comma 4 5 2 3" xfId="1148" xr:uid="{00000000-0005-0000-0000-00002C0A0000}"/>
    <cellStyle name="Comma 4 5 2 3 2" xfId="3379" xr:uid="{00000000-0005-0000-0000-00002D0A0000}"/>
    <cellStyle name="Comma 4 5 2 3 2 2" xfId="7601" xr:uid="{00000000-0005-0000-0000-00002E0A0000}"/>
    <cellStyle name="Comma 4 5 2 3 2 2 2" xfId="25331" xr:uid="{B6820B53-FD13-4E1C-8913-BBABFA55A969}"/>
    <cellStyle name="Comma 4 5 2 3 2 2 3" xfId="16051" xr:uid="{C0740560-6415-4A3E-B5EA-7F19EA7C1227}"/>
    <cellStyle name="Comma 4 5 2 3 2 3" xfId="21114" xr:uid="{6BD38F0E-5DBB-423E-BCC6-6D6E161F9E4A}"/>
    <cellStyle name="Comma 4 5 2 3 2 4" xfId="11833" xr:uid="{5AE17FA5-BC3C-4AED-A9FB-AA188B84AFA9}"/>
    <cellStyle name="Comma 4 5 2 3 3" xfId="5456" xr:uid="{00000000-0005-0000-0000-00002F0A0000}"/>
    <cellStyle name="Comma 4 5 2 3 3 2" xfId="23186" xr:uid="{748ED6D7-CA3B-4D67-9FCE-168FB338DA32}"/>
    <cellStyle name="Comma 4 5 2 3 3 3" xfId="13906" xr:uid="{70FFBFB7-E815-4372-984E-0717E6F604BB}"/>
    <cellStyle name="Comma 4 5 2 3 4" xfId="18969" xr:uid="{C78B8C43-6853-48C4-B3DA-82A5EE42DDDF}"/>
    <cellStyle name="Comma 4 5 2 3 5" xfId="9688" xr:uid="{E5081607-3E15-4E77-BA2A-0FFEEBAF30C6}"/>
    <cellStyle name="Comma 4 5 2 4" xfId="1562" xr:uid="{00000000-0005-0000-0000-0000300A0000}"/>
    <cellStyle name="Comma 4 5 2 4 2" xfId="3792" xr:uid="{00000000-0005-0000-0000-0000310A0000}"/>
    <cellStyle name="Comma 4 5 2 4 2 2" xfId="8014" xr:uid="{00000000-0005-0000-0000-0000320A0000}"/>
    <cellStyle name="Comma 4 5 2 4 2 2 2" xfId="25744" xr:uid="{DB4BFE77-DD22-4CA3-9EAE-1AC2746810F7}"/>
    <cellStyle name="Comma 4 5 2 4 2 2 3" xfId="16464" xr:uid="{4699361E-6E36-4E55-B0B5-BD39BBDEB8B1}"/>
    <cellStyle name="Comma 4 5 2 4 2 3" xfId="21527" xr:uid="{9F1841C2-2815-4F21-B8B0-76FA223876BD}"/>
    <cellStyle name="Comma 4 5 2 4 2 4" xfId="12246" xr:uid="{8590A07A-92FE-47E0-A515-A8099B11408A}"/>
    <cellStyle name="Comma 4 5 2 4 3" xfId="5869" xr:uid="{00000000-0005-0000-0000-0000330A0000}"/>
    <cellStyle name="Comma 4 5 2 4 3 2" xfId="23599" xr:uid="{008882AA-EF87-433C-BDE1-E398CEA87103}"/>
    <cellStyle name="Comma 4 5 2 4 3 3" xfId="14319" xr:uid="{26426971-CDBB-45F5-8440-3D099D7424EF}"/>
    <cellStyle name="Comma 4 5 2 4 4" xfId="19382" xr:uid="{241F145C-3B9D-4B80-B9C3-CF7DEEFF463E}"/>
    <cellStyle name="Comma 4 5 2 4 5" xfId="10101" xr:uid="{539F1DA1-00DD-406A-84E6-DC3395B422A6}"/>
    <cellStyle name="Comma 4 5 2 5" xfId="1976" xr:uid="{00000000-0005-0000-0000-0000340A0000}"/>
    <cellStyle name="Comma 4 5 2 5 2" xfId="4205" xr:uid="{00000000-0005-0000-0000-0000350A0000}"/>
    <cellStyle name="Comma 4 5 2 5 2 2" xfId="8427" xr:uid="{00000000-0005-0000-0000-0000360A0000}"/>
    <cellStyle name="Comma 4 5 2 5 2 2 2" xfId="26157" xr:uid="{C1FE88C7-6D75-47EC-A46B-41AB368415BB}"/>
    <cellStyle name="Comma 4 5 2 5 2 2 3" xfId="16877" xr:uid="{E2FAD146-2F3F-42C8-BA85-D93772EA53BB}"/>
    <cellStyle name="Comma 4 5 2 5 2 3" xfId="21940" xr:uid="{6E3F41E6-CDC6-4B6D-B34E-632E9FCFE07A}"/>
    <cellStyle name="Comma 4 5 2 5 2 4" xfId="12659" xr:uid="{B85D820A-1865-4CB5-A83A-88AF7732F271}"/>
    <cellStyle name="Comma 4 5 2 5 3" xfId="6282" xr:uid="{00000000-0005-0000-0000-0000370A0000}"/>
    <cellStyle name="Comma 4 5 2 5 3 2" xfId="24012" xr:uid="{03FF1DAC-98B9-44FC-86C6-685EC6817AE7}"/>
    <cellStyle name="Comma 4 5 2 5 3 3" xfId="14732" xr:uid="{33B89FB2-93B4-49CF-8379-6CDA30E4A0EA}"/>
    <cellStyle name="Comma 4 5 2 5 4" xfId="19795" xr:uid="{3BAA6AFE-8124-446A-9199-DD1006C0FD91}"/>
    <cellStyle name="Comma 4 5 2 5 5" xfId="10514" xr:uid="{71E348D1-03AD-4645-9DCB-D77FEF899546}"/>
    <cellStyle name="Comma 4 5 2 6" xfId="2411" xr:uid="{00000000-0005-0000-0000-0000380A0000}"/>
    <cellStyle name="Comma 4 5 2 6 2" xfId="6695" xr:uid="{00000000-0005-0000-0000-0000390A0000}"/>
    <cellStyle name="Comma 4 5 2 6 2 2" xfId="24425" xr:uid="{229F5841-3FAF-4916-9021-95BD84B2F81C}"/>
    <cellStyle name="Comma 4 5 2 6 2 3" xfId="15145" xr:uid="{14F08C57-04F8-4F6C-B96B-B65B4AC5DAA5}"/>
    <cellStyle name="Comma 4 5 2 6 3" xfId="20208" xr:uid="{0064D7BC-E8AF-4C13-AD29-03BFB8F2A0F1}"/>
    <cellStyle name="Comma 4 5 2 6 4" xfId="10927" xr:uid="{596B0B38-EEFD-4035-BE17-5E92E3B0075B}"/>
    <cellStyle name="Comma 4 5 2 7" xfId="2707" xr:uid="{00000000-0005-0000-0000-00003A0A0000}"/>
    <cellStyle name="Comma 4 5 2 8" xfId="2789" xr:uid="{00000000-0005-0000-0000-00003B0A0000}"/>
    <cellStyle name="Comma 4 5 2 8 2" xfId="7012" xr:uid="{00000000-0005-0000-0000-00003C0A0000}"/>
    <cellStyle name="Comma 4 5 2 8 2 2" xfId="24742" xr:uid="{4BA86B68-EB1D-4725-8DB3-49942418A891}"/>
    <cellStyle name="Comma 4 5 2 8 2 3" xfId="15462" xr:uid="{B65704F7-F778-4DDA-A359-044E3C484135}"/>
    <cellStyle name="Comma 4 5 2 8 3" xfId="20525" xr:uid="{8C09D6EE-83E1-435F-BA73-995D0F863C3F}"/>
    <cellStyle name="Comma 4 5 2 8 4" xfId="11244" xr:uid="{C419224D-E566-412F-AC2B-788E79D00C5D}"/>
    <cellStyle name="Comma 4 5 2 9" xfId="4629" xr:uid="{00000000-0005-0000-0000-00003D0A0000}"/>
    <cellStyle name="Comma 4 5 2 9 2" xfId="22359" xr:uid="{9ACFBB3D-B812-4284-AB0E-8C606C483F0F}"/>
    <cellStyle name="Comma 4 5 2 9 3" xfId="13079" xr:uid="{480622D5-BC86-4685-AA39-0F7A794D4201}"/>
    <cellStyle name="Comma 4 5 3" xfId="694" xr:uid="{00000000-0005-0000-0000-00003E0A0000}"/>
    <cellStyle name="Comma 4 5 3 2" xfId="2965" xr:uid="{00000000-0005-0000-0000-00003F0A0000}"/>
    <cellStyle name="Comma 4 5 3 2 2" xfId="7187" xr:uid="{00000000-0005-0000-0000-0000400A0000}"/>
    <cellStyle name="Comma 4 5 3 2 2 2" xfId="24917" xr:uid="{BF951134-A5D9-40D5-A4CF-5A6B81934C02}"/>
    <cellStyle name="Comma 4 5 3 2 2 3" xfId="15637" xr:uid="{12300352-F65E-42FD-A20E-B84B3B61D299}"/>
    <cellStyle name="Comma 4 5 3 2 3" xfId="20700" xr:uid="{51906A74-4DC8-44F7-83AF-31344BC9761C}"/>
    <cellStyle name="Comma 4 5 3 2 4" xfId="11419" xr:uid="{355FB91F-0C2B-4770-9AF4-5B1CC98D49E4}"/>
    <cellStyle name="Comma 4 5 3 3" xfId="5042" xr:uid="{00000000-0005-0000-0000-0000410A0000}"/>
    <cellStyle name="Comma 4 5 3 3 2" xfId="22772" xr:uid="{DF0C2092-40E2-42BF-B4D7-2599ED31F182}"/>
    <cellStyle name="Comma 4 5 3 3 3" xfId="13492" xr:uid="{EDC851C1-77CA-4E0E-A561-816679A81ADB}"/>
    <cellStyle name="Comma 4 5 3 4" xfId="18555" xr:uid="{926F8E6F-A5DC-440F-8C8A-543EB6F028A9}"/>
    <cellStyle name="Comma 4 5 3 5" xfId="17725" xr:uid="{F008CF03-FFFE-44FA-93E5-556A37230EAC}"/>
    <cellStyle name="Comma 4 5 3 6" xfId="9274" xr:uid="{B82C71EA-BAF9-4CFE-8CAF-F5C6CCBECEE1}"/>
    <cellStyle name="Comma 4 5 4" xfId="1147" xr:uid="{00000000-0005-0000-0000-0000420A0000}"/>
    <cellStyle name="Comma 4 5 4 2" xfId="3378" xr:uid="{00000000-0005-0000-0000-0000430A0000}"/>
    <cellStyle name="Comma 4 5 4 2 2" xfId="7600" xr:uid="{00000000-0005-0000-0000-0000440A0000}"/>
    <cellStyle name="Comma 4 5 4 2 2 2" xfId="25330" xr:uid="{098B60C7-528E-45DC-BE36-66BEEC16BA11}"/>
    <cellStyle name="Comma 4 5 4 2 2 3" xfId="16050" xr:uid="{6C008F3E-9483-41E5-B9FF-FD24DBFD6545}"/>
    <cellStyle name="Comma 4 5 4 2 3" xfId="21113" xr:uid="{C2E1B724-B919-49AC-BD4B-FCAE27D5B16C}"/>
    <cellStyle name="Comma 4 5 4 2 4" xfId="11832" xr:uid="{671B7E21-43B1-497A-9E6A-E601E34ABA8D}"/>
    <cellStyle name="Comma 4 5 4 3" xfId="5455" xr:uid="{00000000-0005-0000-0000-0000450A0000}"/>
    <cellStyle name="Comma 4 5 4 3 2" xfId="23185" xr:uid="{3EC85FE7-7490-4145-9DC3-B8F7FD641710}"/>
    <cellStyle name="Comma 4 5 4 3 3" xfId="13905" xr:uid="{93FCB830-019A-4F7D-BB84-9223201A4B68}"/>
    <cellStyle name="Comma 4 5 4 4" xfId="18968" xr:uid="{A7E55E0E-200E-4669-B397-607DBEAD1C6F}"/>
    <cellStyle name="Comma 4 5 4 5" xfId="9687" xr:uid="{998CC29E-9744-4241-9B7B-10D966432498}"/>
    <cellStyle name="Comma 4 5 5" xfId="1561" xr:uid="{00000000-0005-0000-0000-0000460A0000}"/>
    <cellStyle name="Comma 4 5 5 2" xfId="3791" xr:uid="{00000000-0005-0000-0000-0000470A0000}"/>
    <cellStyle name="Comma 4 5 5 2 2" xfId="8013" xr:uid="{00000000-0005-0000-0000-0000480A0000}"/>
    <cellStyle name="Comma 4 5 5 2 2 2" xfId="25743" xr:uid="{918FDD8C-629B-4065-8BB5-1F3DBAE1A6CF}"/>
    <cellStyle name="Comma 4 5 5 2 2 3" xfId="16463" xr:uid="{238ECA4E-53A0-4391-BDF3-C9A04F8ECC97}"/>
    <cellStyle name="Comma 4 5 5 2 3" xfId="21526" xr:uid="{6C79E0C7-82E7-4732-981E-3D269A6448B3}"/>
    <cellStyle name="Comma 4 5 5 2 4" xfId="12245" xr:uid="{A4E05475-5023-494D-8903-12E051D94AD9}"/>
    <cellStyle name="Comma 4 5 5 3" xfId="5868" xr:uid="{00000000-0005-0000-0000-0000490A0000}"/>
    <cellStyle name="Comma 4 5 5 3 2" xfId="23598" xr:uid="{619F229F-2B83-4868-8C6F-56B021441A10}"/>
    <cellStyle name="Comma 4 5 5 3 3" xfId="14318" xr:uid="{A41C8358-0C9B-4A62-B447-6CDADBBB4522}"/>
    <cellStyle name="Comma 4 5 5 4" xfId="19381" xr:uid="{81881DC0-3CFB-4CB2-A1D8-1F83F52D9B97}"/>
    <cellStyle name="Comma 4 5 5 5" xfId="10100" xr:uid="{8E21611D-89C2-48FA-88E6-496B0C948E12}"/>
    <cellStyle name="Comma 4 5 6" xfId="1975" xr:uid="{00000000-0005-0000-0000-00004A0A0000}"/>
    <cellStyle name="Comma 4 5 6 2" xfId="4204" xr:uid="{00000000-0005-0000-0000-00004B0A0000}"/>
    <cellStyle name="Comma 4 5 6 2 2" xfId="8426" xr:uid="{00000000-0005-0000-0000-00004C0A0000}"/>
    <cellStyle name="Comma 4 5 6 2 2 2" xfId="26156" xr:uid="{0D7A09AC-40E3-45AB-B022-9D2BF747BBD8}"/>
    <cellStyle name="Comma 4 5 6 2 2 3" xfId="16876" xr:uid="{EDD01E03-C9BB-4A0F-8CD5-270960C3F726}"/>
    <cellStyle name="Comma 4 5 6 2 3" xfId="21939" xr:uid="{FAD65416-4D23-41BF-A377-A664B0656CAF}"/>
    <cellStyle name="Comma 4 5 6 2 4" xfId="12658" xr:uid="{734E4424-CAE0-419C-BF32-C198A5CF007B}"/>
    <cellStyle name="Comma 4 5 6 3" xfId="6281" xr:uid="{00000000-0005-0000-0000-00004D0A0000}"/>
    <cellStyle name="Comma 4 5 6 3 2" xfId="24011" xr:uid="{168C5FE2-B8D7-4A99-8579-9D3F8DFC1511}"/>
    <cellStyle name="Comma 4 5 6 3 3" xfId="14731" xr:uid="{40DE0561-8CA4-4583-B246-0F0D2FEB4B78}"/>
    <cellStyle name="Comma 4 5 6 4" xfId="19794" xr:uid="{6A2A7ECE-2498-4E14-9CC7-CC3BC69EE005}"/>
    <cellStyle name="Comma 4 5 6 5" xfId="10513" xr:uid="{09FAF53C-4527-47D7-95F5-9CDD3DD96FBF}"/>
    <cellStyle name="Comma 4 5 7" xfId="2410" xr:uid="{00000000-0005-0000-0000-00004E0A0000}"/>
    <cellStyle name="Comma 4 5 7 2" xfId="6694" xr:uid="{00000000-0005-0000-0000-00004F0A0000}"/>
    <cellStyle name="Comma 4 5 7 2 2" xfId="24424" xr:uid="{AC1FED79-A799-4E77-973F-DA4C8DB2B932}"/>
    <cellStyle name="Comma 4 5 7 2 3" xfId="15144" xr:uid="{ED65F753-DA86-476E-8876-83B0AB628EBF}"/>
    <cellStyle name="Comma 4 5 7 3" xfId="20207" xr:uid="{A481F855-6EAC-4B0B-A9EB-8BBF7A4C2D0F}"/>
    <cellStyle name="Comma 4 5 7 4" xfId="10926" xr:uid="{29AC63D5-327C-4138-A36B-C4961AD1DF7B}"/>
    <cellStyle name="Comma 4 5 8" xfId="2706" xr:uid="{00000000-0005-0000-0000-0000500A0000}"/>
    <cellStyle name="Comma 4 5 9" xfId="2788" xr:uid="{00000000-0005-0000-0000-0000510A0000}"/>
    <cellStyle name="Comma 4 5 9 2" xfId="7011" xr:uid="{00000000-0005-0000-0000-0000520A0000}"/>
    <cellStyle name="Comma 4 5 9 2 2" xfId="24741" xr:uid="{AC566DDA-82FC-4474-8D2D-6B740924F98F}"/>
    <cellStyle name="Comma 4 5 9 2 3" xfId="15461" xr:uid="{3FF0EF73-5075-4298-82F0-1F2B6544DF42}"/>
    <cellStyle name="Comma 4 5 9 3" xfId="20524" xr:uid="{E1979DC9-625A-4B26-B091-CA59E15D0CAE}"/>
    <cellStyle name="Comma 4 5 9 4" xfId="11243" xr:uid="{D654E793-5B4F-429B-AF29-8C9440F222CC}"/>
    <cellStyle name="Comma 4 6" xfId="159" xr:uid="{00000000-0005-0000-0000-0000530A0000}"/>
    <cellStyle name="Comma 4 6 10" xfId="18143" xr:uid="{5C2F78EC-B226-45EC-A607-E2F6760732EE}"/>
    <cellStyle name="Comma 4 6 11" xfId="17310" xr:uid="{D4DF1215-11BA-4650-A8FA-C07D66783F35}"/>
    <cellStyle name="Comma 4 6 12" xfId="8862" xr:uid="{41B493D5-044F-480C-9B9E-E9EBF95F7244}"/>
    <cellStyle name="Comma 4 6 2" xfId="696" xr:uid="{00000000-0005-0000-0000-0000540A0000}"/>
    <cellStyle name="Comma 4 6 2 2" xfId="2967" xr:uid="{00000000-0005-0000-0000-0000550A0000}"/>
    <cellStyle name="Comma 4 6 2 2 2" xfId="7189" xr:uid="{00000000-0005-0000-0000-0000560A0000}"/>
    <cellStyle name="Comma 4 6 2 2 2 2" xfId="24919" xr:uid="{161FF913-DD31-4490-BEA0-2BCFC8FEC0F0}"/>
    <cellStyle name="Comma 4 6 2 2 2 3" xfId="15639" xr:uid="{20586FF7-B84D-43C3-B18B-BA6FFDC84BEA}"/>
    <cellStyle name="Comma 4 6 2 2 3" xfId="20702" xr:uid="{5A942E64-84CC-47D7-B30B-2211635D67E4}"/>
    <cellStyle name="Comma 4 6 2 2 4" xfId="11421" xr:uid="{BABDD1E2-97CB-425E-AADF-B39A63E9CB19}"/>
    <cellStyle name="Comma 4 6 2 3" xfId="5044" xr:uid="{00000000-0005-0000-0000-0000570A0000}"/>
    <cellStyle name="Comma 4 6 2 3 2" xfId="22774" xr:uid="{90D96A98-4949-4577-8697-1C199199B0D9}"/>
    <cellStyle name="Comma 4 6 2 3 3" xfId="13494" xr:uid="{D4A7E6E7-DFF8-4A9B-8A17-2E386C4587B0}"/>
    <cellStyle name="Comma 4 6 2 4" xfId="18557" xr:uid="{9D8369B0-8CD8-4D8A-AFF3-BEAB079CA33F}"/>
    <cellStyle name="Comma 4 6 2 5" xfId="17727" xr:uid="{A32713B2-7DE6-45BF-B6D4-FDAC2925E153}"/>
    <cellStyle name="Comma 4 6 2 6" xfId="9276" xr:uid="{D3FA54C9-A0E6-46E2-87E9-F8CEA0E15453}"/>
    <cellStyle name="Comma 4 6 3" xfId="1149" xr:uid="{00000000-0005-0000-0000-0000580A0000}"/>
    <cellStyle name="Comma 4 6 3 2" xfId="3380" xr:uid="{00000000-0005-0000-0000-0000590A0000}"/>
    <cellStyle name="Comma 4 6 3 2 2" xfId="7602" xr:uid="{00000000-0005-0000-0000-00005A0A0000}"/>
    <cellStyle name="Comma 4 6 3 2 2 2" xfId="25332" xr:uid="{E0E4D843-4E05-4ABF-B4B4-09A837FBE45C}"/>
    <cellStyle name="Comma 4 6 3 2 2 3" xfId="16052" xr:uid="{A0CBC0D6-7558-4E34-BC27-CEE9E4F6D5F6}"/>
    <cellStyle name="Comma 4 6 3 2 3" xfId="21115" xr:uid="{90E830ED-576F-4730-9902-FAC5AC97C6BB}"/>
    <cellStyle name="Comma 4 6 3 2 4" xfId="11834" xr:uid="{ED0B32B9-AF62-4EC0-9546-6BF33F7D38AB}"/>
    <cellStyle name="Comma 4 6 3 3" xfId="5457" xr:uid="{00000000-0005-0000-0000-00005B0A0000}"/>
    <cellStyle name="Comma 4 6 3 3 2" xfId="23187" xr:uid="{C3D07A83-30DF-4236-BC08-D2DCCD124B7B}"/>
    <cellStyle name="Comma 4 6 3 3 3" xfId="13907" xr:uid="{1581179F-32FA-49C1-9991-9AF5C3627AA5}"/>
    <cellStyle name="Comma 4 6 3 4" xfId="18970" xr:uid="{0EE2F0F7-47A5-4293-8745-5516CFD94D75}"/>
    <cellStyle name="Comma 4 6 3 5" xfId="9689" xr:uid="{22A8E4E9-2A8F-4789-9AC8-33F8C0569CAF}"/>
    <cellStyle name="Comma 4 6 4" xfId="1563" xr:uid="{00000000-0005-0000-0000-00005C0A0000}"/>
    <cellStyle name="Comma 4 6 4 2" xfId="3793" xr:uid="{00000000-0005-0000-0000-00005D0A0000}"/>
    <cellStyle name="Comma 4 6 4 2 2" xfId="8015" xr:uid="{00000000-0005-0000-0000-00005E0A0000}"/>
    <cellStyle name="Comma 4 6 4 2 2 2" xfId="25745" xr:uid="{73B9DF6F-76B4-463D-885B-4140950F712A}"/>
    <cellStyle name="Comma 4 6 4 2 2 3" xfId="16465" xr:uid="{3742B05D-836B-4EA5-B1C3-99C56A7860ED}"/>
    <cellStyle name="Comma 4 6 4 2 3" xfId="21528" xr:uid="{85F67804-6C8A-48E8-9EE6-453538E02A5D}"/>
    <cellStyle name="Comma 4 6 4 2 4" xfId="12247" xr:uid="{ABB34798-5197-42A1-A3C8-5EE50F77C504}"/>
    <cellStyle name="Comma 4 6 4 3" xfId="5870" xr:uid="{00000000-0005-0000-0000-00005F0A0000}"/>
    <cellStyle name="Comma 4 6 4 3 2" xfId="23600" xr:uid="{46AB7D5D-281E-4AE7-81CC-BB31C5D8B80B}"/>
    <cellStyle name="Comma 4 6 4 3 3" xfId="14320" xr:uid="{35F9D1CC-ECE5-4E02-87DC-014B204BFAA8}"/>
    <cellStyle name="Comma 4 6 4 4" xfId="19383" xr:uid="{72F59F84-ECB4-4FE8-A4EA-DA4CE36B29A7}"/>
    <cellStyle name="Comma 4 6 4 5" xfId="10102" xr:uid="{F35D64E9-E9CF-4C55-81C3-074BFAA99B53}"/>
    <cellStyle name="Comma 4 6 5" xfId="1977" xr:uid="{00000000-0005-0000-0000-0000600A0000}"/>
    <cellStyle name="Comma 4 6 5 2" xfId="4206" xr:uid="{00000000-0005-0000-0000-0000610A0000}"/>
    <cellStyle name="Comma 4 6 5 2 2" xfId="8428" xr:uid="{00000000-0005-0000-0000-0000620A0000}"/>
    <cellStyle name="Comma 4 6 5 2 2 2" xfId="26158" xr:uid="{8092BDD2-338A-4D7D-92B6-06144A759CE7}"/>
    <cellStyle name="Comma 4 6 5 2 2 3" xfId="16878" xr:uid="{F56A6AB3-1EC2-4048-8B3E-5B745A983BB6}"/>
    <cellStyle name="Comma 4 6 5 2 3" xfId="21941" xr:uid="{C0FB5624-2D28-48E6-8400-60F6166B4EE3}"/>
    <cellStyle name="Comma 4 6 5 2 4" xfId="12660" xr:uid="{2821AEDB-FB64-4907-A221-AF4823BA807C}"/>
    <cellStyle name="Comma 4 6 5 3" xfId="6283" xr:uid="{00000000-0005-0000-0000-0000630A0000}"/>
    <cellStyle name="Comma 4 6 5 3 2" xfId="24013" xr:uid="{6CDBC15B-0553-4EE0-9B51-8C7D174BE5D5}"/>
    <cellStyle name="Comma 4 6 5 3 3" xfId="14733" xr:uid="{96CD6E5C-B00C-4A61-B9D2-072BC81209B9}"/>
    <cellStyle name="Comma 4 6 5 4" xfId="19796" xr:uid="{3BBE9A49-D6DA-4B51-8098-F17DBFBB2FEA}"/>
    <cellStyle name="Comma 4 6 5 5" xfId="10515" xr:uid="{90B8EB43-BE4E-4742-93E6-9BF5D0C9C757}"/>
    <cellStyle name="Comma 4 6 6" xfId="2412" xr:uid="{00000000-0005-0000-0000-0000640A0000}"/>
    <cellStyle name="Comma 4 6 6 2" xfId="6696" xr:uid="{00000000-0005-0000-0000-0000650A0000}"/>
    <cellStyle name="Comma 4 6 6 2 2" xfId="24426" xr:uid="{E79BD879-0585-4D17-8EC5-BEE2C03063B3}"/>
    <cellStyle name="Comma 4 6 6 2 3" xfId="15146" xr:uid="{CD768058-563C-495E-A69D-E63C3659C4C4}"/>
    <cellStyle name="Comma 4 6 6 3" xfId="20209" xr:uid="{E16DAE04-6421-4C27-8E1F-436318FDEF9B}"/>
    <cellStyle name="Comma 4 6 6 4" xfId="10928" xr:uid="{066863FF-F2F3-4F06-9E32-E6AD823B1F11}"/>
    <cellStyle name="Comma 4 6 7" xfId="2708" xr:uid="{00000000-0005-0000-0000-0000660A0000}"/>
    <cellStyle name="Comma 4 6 8" xfId="2790" xr:uid="{00000000-0005-0000-0000-0000670A0000}"/>
    <cellStyle name="Comma 4 6 8 2" xfId="7013" xr:uid="{00000000-0005-0000-0000-0000680A0000}"/>
    <cellStyle name="Comma 4 6 8 2 2" xfId="24743" xr:uid="{59D8FC83-D8EF-4EAF-9D73-9714AE32C5B3}"/>
    <cellStyle name="Comma 4 6 8 2 3" xfId="15463" xr:uid="{6FDCA59C-DAF5-46E1-BC7B-B39AF2AC3378}"/>
    <cellStyle name="Comma 4 6 8 3" xfId="20526" xr:uid="{E2AB1D3E-1AC2-41E7-8964-30786FF275B3}"/>
    <cellStyle name="Comma 4 6 8 4" xfId="11245" xr:uid="{6740C4D5-6AD9-4729-8922-A6792410943F}"/>
    <cellStyle name="Comma 4 6 9" xfId="4630" xr:uid="{00000000-0005-0000-0000-0000690A0000}"/>
    <cellStyle name="Comma 4 6 9 2" xfId="22360" xr:uid="{2CE59CC0-EE97-491F-9BD5-0847EBCC93A3}"/>
    <cellStyle name="Comma 4 6 9 3" xfId="13080" xr:uid="{53C10572-F0B5-4C06-B099-F35ACB4E1A83}"/>
    <cellStyle name="Comma 4 7" xfId="160" xr:uid="{00000000-0005-0000-0000-00006A0A0000}"/>
    <cellStyle name="Comma 4 7 10" xfId="18144" xr:uid="{CDD66D49-A020-4E84-9D42-8E8CF56474ED}"/>
    <cellStyle name="Comma 4 7 11" xfId="17311" xr:uid="{00378709-B1E8-444C-86F0-79C4453645A1}"/>
    <cellStyle name="Comma 4 7 12" xfId="8863" xr:uid="{BEEAC12D-8791-41D5-AE74-290BD22151D3}"/>
    <cellStyle name="Comma 4 7 2" xfId="697" xr:uid="{00000000-0005-0000-0000-00006B0A0000}"/>
    <cellStyle name="Comma 4 7 2 2" xfId="2968" xr:uid="{00000000-0005-0000-0000-00006C0A0000}"/>
    <cellStyle name="Comma 4 7 2 2 2" xfId="7190" xr:uid="{00000000-0005-0000-0000-00006D0A0000}"/>
    <cellStyle name="Comma 4 7 2 2 2 2" xfId="24920" xr:uid="{008AC83C-1B6D-439E-8C51-D36B4D875BE4}"/>
    <cellStyle name="Comma 4 7 2 2 2 3" xfId="15640" xr:uid="{99B4317C-C0D4-42BB-8617-22739F09BD4A}"/>
    <cellStyle name="Comma 4 7 2 2 3" xfId="20703" xr:uid="{68EF0117-1D45-47C7-B8A7-CB96F0966F07}"/>
    <cellStyle name="Comma 4 7 2 2 4" xfId="11422" xr:uid="{9565262E-C09E-4A34-B780-A7C7BE78169F}"/>
    <cellStyle name="Comma 4 7 2 3" xfId="5045" xr:uid="{00000000-0005-0000-0000-00006E0A0000}"/>
    <cellStyle name="Comma 4 7 2 3 2" xfId="22775" xr:uid="{2E64A316-4D66-401B-BFB1-38FD6A24ADC4}"/>
    <cellStyle name="Comma 4 7 2 3 3" xfId="13495" xr:uid="{21DFE1FA-9B0C-4D77-ACA9-2A520DD3735D}"/>
    <cellStyle name="Comma 4 7 2 4" xfId="18558" xr:uid="{16BB82AB-999E-4696-BE36-1EB08B9BCDE7}"/>
    <cellStyle name="Comma 4 7 2 5" xfId="17728" xr:uid="{7C7277EB-B5AD-4589-BE9D-81189F8A707E}"/>
    <cellStyle name="Comma 4 7 2 6" xfId="9277" xr:uid="{4E846C5D-ED8A-4791-A0C0-A6E80F191F5A}"/>
    <cellStyle name="Comma 4 7 3" xfId="1150" xr:uid="{00000000-0005-0000-0000-00006F0A0000}"/>
    <cellStyle name="Comma 4 7 3 2" xfId="3381" xr:uid="{00000000-0005-0000-0000-0000700A0000}"/>
    <cellStyle name="Comma 4 7 3 2 2" xfId="7603" xr:uid="{00000000-0005-0000-0000-0000710A0000}"/>
    <cellStyle name="Comma 4 7 3 2 2 2" xfId="25333" xr:uid="{477BC508-8841-4126-AF62-29AF7977B412}"/>
    <cellStyle name="Comma 4 7 3 2 2 3" xfId="16053" xr:uid="{1A359715-2F77-41D0-B3A0-320769DDABF0}"/>
    <cellStyle name="Comma 4 7 3 2 3" xfId="21116" xr:uid="{EC96AA36-E0B4-46F5-93D4-2D6C49A20146}"/>
    <cellStyle name="Comma 4 7 3 2 4" xfId="11835" xr:uid="{A5ADD847-5E80-46AB-ABCE-B681ABD40BEB}"/>
    <cellStyle name="Comma 4 7 3 3" xfId="5458" xr:uid="{00000000-0005-0000-0000-0000720A0000}"/>
    <cellStyle name="Comma 4 7 3 3 2" xfId="23188" xr:uid="{77C4FC13-C294-47AD-9861-ED853C6C1FCD}"/>
    <cellStyle name="Comma 4 7 3 3 3" xfId="13908" xr:uid="{EFB87195-5D38-4B99-9AFB-23C0A6D9B167}"/>
    <cellStyle name="Comma 4 7 3 4" xfId="18971" xr:uid="{AA2205A1-B654-44B4-9B2B-F2FBBA43C5FE}"/>
    <cellStyle name="Comma 4 7 3 5" xfId="9690" xr:uid="{19DB6D5A-787D-4DF1-BBFF-C85E4A77C04C}"/>
    <cellStyle name="Comma 4 7 4" xfId="1564" xr:uid="{00000000-0005-0000-0000-0000730A0000}"/>
    <cellStyle name="Comma 4 7 4 2" xfId="3794" xr:uid="{00000000-0005-0000-0000-0000740A0000}"/>
    <cellStyle name="Comma 4 7 4 2 2" xfId="8016" xr:uid="{00000000-0005-0000-0000-0000750A0000}"/>
    <cellStyle name="Comma 4 7 4 2 2 2" xfId="25746" xr:uid="{090C1517-C255-41F1-847C-4123B2E92846}"/>
    <cellStyle name="Comma 4 7 4 2 2 3" xfId="16466" xr:uid="{5A366A04-DE62-4E55-B333-C725AB5EC996}"/>
    <cellStyle name="Comma 4 7 4 2 3" xfId="21529" xr:uid="{778DB185-62E4-4521-A3D5-DB698C9E3920}"/>
    <cellStyle name="Comma 4 7 4 2 4" xfId="12248" xr:uid="{03DC09C5-811B-4064-BF9F-D37AFCF3D0B7}"/>
    <cellStyle name="Comma 4 7 4 3" xfId="5871" xr:uid="{00000000-0005-0000-0000-0000760A0000}"/>
    <cellStyle name="Comma 4 7 4 3 2" xfId="23601" xr:uid="{340B334D-9070-4F64-B214-9A05138983C8}"/>
    <cellStyle name="Comma 4 7 4 3 3" xfId="14321" xr:uid="{FBB09905-3F33-434C-BB69-C2E5B1B9D137}"/>
    <cellStyle name="Comma 4 7 4 4" xfId="19384" xr:uid="{C5179AB1-ADC1-42E4-993C-3C05B87BDB90}"/>
    <cellStyle name="Comma 4 7 4 5" xfId="10103" xr:uid="{2B4235E8-1459-4CFC-A857-465FD2903E6C}"/>
    <cellStyle name="Comma 4 7 5" xfId="1978" xr:uid="{00000000-0005-0000-0000-0000770A0000}"/>
    <cellStyle name="Comma 4 7 5 2" xfId="4207" xr:uid="{00000000-0005-0000-0000-0000780A0000}"/>
    <cellStyle name="Comma 4 7 5 2 2" xfId="8429" xr:uid="{00000000-0005-0000-0000-0000790A0000}"/>
    <cellStyle name="Comma 4 7 5 2 2 2" xfId="26159" xr:uid="{B531445A-EFED-459B-ADD9-AF9A221CD5CD}"/>
    <cellStyle name="Comma 4 7 5 2 2 3" xfId="16879" xr:uid="{70019662-AA53-4DC0-B32A-1661744A07B6}"/>
    <cellStyle name="Comma 4 7 5 2 3" xfId="21942" xr:uid="{07288935-8356-4BD2-8922-AF652E5D598E}"/>
    <cellStyle name="Comma 4 7 5 2 4" xfId="12661" xr:uid="{0D7F17AE-E653-4E3E-8FA3-B545254F620B}"/>
    <cellStyle name="Comma 4 7 5 3" xfId="6284" xr:uid="{00000000-0005-0000-0000-00007A0A0000}"/>
    <cellStyle name="Comma 4 7 5 3 2" xfId="24014" xr:uid="{F9A0C939-1931-4F53-86EB-6A21A80F857D}"/>
    <cellStyle name="Comma 4 7 5 3 3" xfId="14734" xr:uid="{D0974029-3707-43BC-BDD4-3FD7935E6C52}"/>
    <cellStyle name="Comma 4 7 5 4" xfId="19797" xr:uid="{3F80FE1F-A22D-4B1E-B45F-3467FBE78CDA}"/>
    <cellStyle name="Comma 4 7 5 5" xfId="10516" xr:uid="{023928FE-20F5-441B-AF18-CB4ABFB4D312}"/>
    <cellStyle name="Comma 4 7 6" xfId="2413" xr:uid="{00000000-0005-0000-0000-00007B0A0000}"/>
    <cellStyle name="Comma 4 7 6 2" xfId="6697" xr:uid="{00000000-0005-0000-0000-00007C0A0000}"/>
    <cellStyle name="Comma 4 7 6 2 2" xfId="24427" xr:uid="{98F45E41-0E8E-445C-85BF-241AC17EB44C}"/>
    <cellStyle name="Comma 4 7 6 2 3" xfId="15147" xr:uid="{D89B796D-A957-4732-A50B-89780A4F35D3}"/>
    <cellStyle name="Comma 4 7 6 3" xfId="20210" xr:uid="{44D01F69-49EE-441D-86D1-666482D778CA}"/>
    <cellStyle name="Comma 4 7 6 4" xfId="10929" xr:uid="{80F38E2F-C36A-4DFE-A353-A4214627F0E6}"/>
    <cellStyle name="Comma 4 7 7" xfId="2709" xr:uid="{00000000-0005-0000-0000-00007D0A0000}"/>
    <cellStyle name="Comma 4 7 8" xfId="2791" xr:uid="{00000000-0005-0000-0000-00007E0A0000}"/>
    <cellStyle name="Comma 4 7 8 2" xfId="7014" xr:uid="{00000000-0005-0000-0000-00007F0A0000}"/>
    <cellStyle name="Comma 4 7 8 2 2" xfId="24744" xr:uid="{61EDE396-E234-49DD-9835-15DE6A40D973}"/>
    <cellStyle name="Comma 4 7 8 2 3" xfId="15464" xr:uid="{15172495-4F03-4FE3-96F0-8181B236691F}"/>
    <cellStyle name="Comma 4 7 8 3" xfId="20527" xr:uid="{7525C199-FAA6-4681-84D2-9A0B8E9B3E1B}"/>
    <cellStyle name="Comma 4 7 8 4" xfId="11246" xr:uid="{C4FA1505-AC69-4C53-BB25-3C77DC68C8CD}"/>
    <cellStyle name="Comma 4 7 9" xfId="4631" xr:uid="{00000000-0005-0000-0000-0000800A0000}"/>
    <cellStyle name="Comma 4 7 9 2" xfId="22361" xr:uid="{7199906C-C9DD-45D6-8726-B5183E148F4F}"/>
    <cellStyle name="Comma 4 7 9 3" xfId="13081" xr:uid="{A76AA46E-C867-46C7-A9D2-64B9CCA208A5}"/>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22229" xr:uid="{327C0867-1A4A-48B3-995B-9C2A8715498C}"/>
    <cellStyle name="Comma 7 3" xfId="17599" xr:uid="{12A30BC3-0472-4E4D-BCAD-00C150C07C75}"/>
    <cellStyle name="Comma 7 4" xfId="12949" xr:uid="{E5C037AE-6096-4F91-BB7B-79CC03132AF4}"/>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26446" xr:uid="{577CAFBA-BB4A-4E0D-B50E-CB8CE7EC2BA3}"/>
    <cellStyle name="Currency 14 2 3" xfId="17166" xr:uid="{1F18DC11-CF43-4EF6-BE5F-A43B90CEF873}"/>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26462" xr:uid="{3653EB80-8259-4EAE-AB0B-37BD64ADC04D}"/>
    <cellStyle name="Currency 14 3 2 2 2 2 3" xfId="17182" xr:uid="{8D71EE90-90D6-403D-9B21-8E52CDBB84C6}"/>
    <cellStyle name="Currency 14 3 2 2 2 3" xfId="26459" xr:uid="{CED59983-90A2-4507-9462-2AF02B81B045}"/>
    <cellStyle name="Currency 14 3 2 2 2 4" xfId="17179" xr:uid="{2C0DA361-3A9B-48B0-9BD0-9FFB59F3FD99}"/>
    <cellStyle name="Currency 14 3 2 2 3" xfId="26455" xr:uid="{58FD8F42-19DA-4D67-B303-7E75E99BC219}"/>
    <cellStyle name="Currency 14 3 2 2 4" xfId="17175" xr:uid="{3F6B853A-EE6B-451E-B16F-42679A3CF81D}"/>
    <cellStyle name="Currency 14 3 2 3" xfId="26452" xr:uid="{9A2BBD43-6AF1-43F8-AC26-25B7A88AA51A}"/>
    <cellStyle name="Currency 14 3 2 4" xfId="17172" xr:uid="{79A4B1C5-B668-4818-A01A-4B66467C9933}"/>
    <cellStyle name="Currency 14 3 3" xfId="26449" xr:uid="{5FEFC804-06B2-48CF-BE84-3A3899086DE9}"/>
    <cellStyle name="Currency 14 3 4" xfId="17169" xr:uid="{FD04CC0C-3E30-4C09-A56E-B6D00A95BAE5}"/>
    <cellStyle name="Currency 14 4" xfId="22232" xr:uid="{C728F9A0-83A9-4697-B2BC-75E485046BBB}"/>
    <cellStyle name="Currency 14 5" xfId="12952" xr:uid="{EFCC2818-A98F-49B3-9BBB-0AC30A93796E}"/>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24745" xr:uid="{9B750542-95A0-4D55-BB12-F6A48336CD00}"/>
    <cellStyle name="Currency 3 2 2 10 2 3" xfId="15465" xr:uid="{2EDD5AC5-A7AD-4725-8B6C-1A73811221E1}"/>
    <cellStyle name="Currency 3 2 2 10 3" xfId="20528" xr:uid="{28D759BF-1D11-4E2D-9F5D-EAC561753393}"/>
    <cellStyle name="Currency 3 2 2 10 4" xfId="11247" xr:uid="{530A4AAA-FD75-41D0-93CA-D43B6DAF5855}"/>
    <cellStyle name="Currency 3 2 2 11" xfId="4632" xr:uid="{00000000-0005-0000-0000-0000A50A0000}"/>
    <cellStyle name="Currency 3 2 2 11 2" xfId="22362" xr:uid="{B4070D05-2B56-4197-8212-1FD94555071B}"/>
    <cellStyle name="Currency 3 2 2 11 3" xfId="13082" xr:uid="{E080697F-7783-41FB-9A75-2439FD8B47EE}"/>
    <cellStyle name="Currency 3 2 2 12" xfId="18145" xr:uid="{D4A1885C-CAC8-4D9F-BAE3-9407FEE23DBD}"/>
    <cellStyle name="Currency 3 2 2 13" xfId="17312" xr:uid="{21B4ED47-5390-4A12-865D-42FF9553F71B}"/>
    <cellStyle name="Currency 3 2 2 14" xfId="8864" xr:uid="{F012B8CF-16D1-46BB-AA5D-630144916CC5}"/>
    <cellStyle name="Currency 3 2 2 2" xfId="179" xr:uid="{00000000-0005-0000-0000-0000A60A0000}"/>
    <cellStyle name="Currency 3 2 2 2 10" xfId="4633" xr:uid="{00000000-0005-0000-0000-0000A70A0000}"/>
    <cellStyle name="Currency 3 2 2 2 10 2" xfId="22363" xr:uid="{81E3B557-A702-4A53-B5D7-BC3535FAEC6F}"/>
    <cellStyle name="Currency 3 2 2 2 10 3" xfId="13083" xr:uid="{7DE642C6-5A35-48FC-A406-7603CD8C3B65}"/>
    <cellStyle name="Currency 3 2 2 2 11" xfId="18146" xr:uid="{3AE89DE6-C5F4-4C9A-944F-FCD949ED4D96}"/>
    <cellStyle name="Currency 3 2 2 2 12" xfId="17313" xr:uid="{50822DAC-E4D5-4BC3-BD38-E57E0B5C7FFD}"/>
    <cellStyle name="Currency 3 2 2 2 13" xfId="8865" xr:uid="{F83F495E-059B-4F52-9B4E-C0F490EE139B}"/>
    <cellStyle name="Currency 3 2 2 2 2" xfId="180" xr:uid="{00000000-0005-0000-0000-0000A80A0000}"/>
    <cellStyle name="Currency 3 2 2 2 2 10" xfId="18147" xr:uid="{65AFCEF5-2888-4F82-AE33-4E1D123A5351}"/>
    <cellStyle name="Currency 3 2 2 2 2 11" xfId="17314" xr:uid="{79C07079-5A44-430D-B16D-C134F7B0CC62}"/>
    <cellStyle name="Currency 3 2 2 2 2 12" xfId="8866" xr:uid="{8396D658-A1A2-4889-97AF-B3E73525D9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24923" xr:uid="{B981262C-A6C4-43F4-8E79-58E40AF4CCEC}"/>
    <cellStyle name="Currency 3 2 2 2 2 2 2 2 3" xfId="15643" xr:uid="{2E00A81D-E760-4ABE-A4CA-DE4137B1E52C}"/>
    <cellStyle name="Currency 3 2 2 2 2 2 2 3" xfId="20706" xr:uid="{B7169610-27C1-4A30-B98B-C0667D0048A4}"/>
    <cellStyle name="Currency 3 2 2 2 2 2 2 4" xfId="11425" xr:uid="{AEE658AF-D67B-462C-8A04-52312D42FDE4}"/>
    <cellStyle name="Currency 3 2 2 2 2 2 3" xfId="5048" xr:uid="{00000000-0005-0000-0000-0000AC0A0000}"/>
    <cellStyle name="Currency 3 2 2 2 2 2 3 2" xfId="22778" xr:uid="{DDCFD624-45CE-4986-A82F-271F442BF5D3}"/>
    <cellStyle name="Currency 3 2 2 2 2 2 3 3" xfId="13498" xr:uid="{0758453A-6EF2-4E0D-8BCB-B434A85B9B04}"/>
    <cellStyle name="Currency 3 2 2 2 2 2 4" xfId="18561" xr:uid="{8F8D8E24-EF74-4A72-B9B1-53BF4460ECA1}"/>
    <cellStyle name="Currency 3 2 2 2 2 2 5" xfId="17731" xr:uid="{3F85D31B-7254-4C9F-8FE9-94134187480B}"/>
    <cellStyle name="Currency 3 2 2 2 2 2 6" xfId="9280" xr:uid="{587B4CC0-6E47-46B5-9967-43B769861A7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25336" xr:uid="{D3F014A4-7B33-4083-9EF7-3EA93FA4475B}"/>
    <cellStyle name="Currency 3 2 2 2 2 3 2 2 3" xfId="16056" xr:uid="{2DA045A6-1014-4207-9F3A-246B39899ED3}"/>
    <cellStyle name="Currency 3 2 2 2 2 3 2 3" xfId="21119" xr:uid="{F0D247E3-2205-494D-B629-74A32A465668}"/>
    <cellStyle name="Currency 3 2 2 2 2 3 2 4" xfId="11838" xr:uid="{EEC5A6B5-2D26-42E7-BE1B-B8CF2E83A4C4}"/>
    <cellStyle name="Currency 3 2 2 2 2 3 3" xfId="5461" xr:uid="{00000000-0005-0000-0000-0000B00A0000}"/>
    <cellStyle name="Currency 3 2 2 2 2 3 3 2" xfId="23191" xr:uid="{564E1DD5-8C10-46FB-9333-F8B55664FBF4}"/>
    <cellStyle name="Currency 3 2 2 2 2 3 3 3" xfId="13911" xr:uid="{43BE6A39-C484-4AD6-8E5B-EB8F8C1A9718}"/>
    <cellStyle name="Currency 3 2 2 2 2 3 4" xfId="18974" xr:uid="{95F1D798-0C3D-4C2C-8A89-7FE7A3DFA9D5}"/>
    <cellStyle name="Currency 3 2 2 2 2 3 5" xfId="9693" xr:uid="{1D9EA04A-5FF0-480A-BF68-3989846DF74D}"/>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25749" xr:uid="{C6C91553-79BF-4B57-956C-ACED4B261283}"/>
    <cellStyle name="Currency 3 2 2 2 2 4 2 2 3" xfId="16469" xr:uid="{C4292A87-5995-42EC-91FB-CE508E0FD2AA}"/>
    <cellStyle name="Currency 3 2 2 2 2 4 2 3" xfId="21532" xr:uid="{C619A71F-112A-4198-986D-BB6E0CA80CC5}"/>
    <cellStyle name="Currency 3 2 2 2 2 4 2 4" xfId="12251" xr:uid="{C5F86E9A-3A1B-4936-AA20-C11A64468FE4}"/>
    <cellStyle name="Currency 3 2 2 2 2 4 3" xfId="5874" xr:uid="{00000000-0005-0000-0000-0000B40A0000}"/>
    <cellStyle name="Currency 3 2 2 2 2 4 3 2" xfId="23604" xr:uid="{91C2C281-1F6E-4648-AA05-ACAF947381B5}"/>
    <cellStyle name="Currency 3 2 2 2 2 4 3 3" xfId="14324" xr:uid="{FFF2DD85-7133-4E86-A88B-F74D6F8AB1B6}"/>
    <cellStyle name="Currency 3 2 2 2 2 4 4" xfId="19387" xr:uid="{1AEAC9E1-80BE-4DD0-9AE5-7A05E33C9008}"/>
    <cellStyle name="Currency 3 2 2 2 2 4 5" xfId="10106" xr:uid="{C34BF418-0F74-4AC0-8A9D-9148209C1CF2}"/>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26162" xr:uid="{8BA723D2-F806-417B-B05D-A09E9E5F7097}"/>
    <cellStyle name="Currency 3 2 2 2 2 5 2 2 3" xfId="16882" xr:uid="{EFA6AC5E-A198-4C6D-83A3-98ABAF4B861A}"/>
    <cellStyle name="Currency 3 2 2 2 2 5 2 3" xfId="21945" xr:uid="{518B100A-E64C-4B5F-BBA5-7C3EA83D1C69}"/>
    <cellStyle name="Currency 3 2 2 2 2 5 2 4" xfId="12664" xr:uid="{C61B9978-CB57-4DC8-A072-53C99CBB705A}"/>
    <cellStyle name="Currency 3 2 2 2 2 5 3" xfId="6287" xr:uid="{00000000-0005-0000-0000-0000B80A0000}"/>
    <cellStyle name="Currency 3 2 2 2 2 5 3 2" xfId="24017" xr:uid="{692AB087-7162-420D-9AB1-749AF5053613}"/>
    <cellStyle name="Currency 3 2 2 2 2 5 3 3" xfId="14737" xr:uid="{893D3064-CEA2-4FC5-9087-3F9EFB94B11C}"/>
    <cellStyle name="Currency 3 2 2 2 2 5 4" xfId="19800" xr:uid="{9A97A9E9-D9DA-4F44-A25C-0FD950FD7721}"/>
    <cellStyle name="Currency 3 2 2 2 2 5 5" xfId="10519" xr:uid="{70643796-6835-480A-9628-CEA1BEA6CE1B}"/>
    <cellStyle name="Currency 3 2 2 2 2 6" xfId="2416" xr:uid="{00000000-0005-0000-0000-0000B90A0000}"/>
    <cellStyle name="Currency 3 2 2 2 2 6 2" xfId="6700" xr:uid="{00000000-0005-0000-0000-0000BA0A0000}"/>
    <cellStyle name="Currency 3 2 2 2 2 6 2 2" xfId="24430" xr:uid="{0223A0FD-CB7C-422B-B1CC-76485B97913B}"/>
    <cellStyle name="Currency 3 2 2 2 2 6 2 3" xfId="15150" xr:uid="{83D48085-7E49-4AD0-969C-974B5ACFEC19}"/>
    <cellStyle name="Currency 3 2 2 2 2 6 3" xfId="20213" xr:uid="{F84BFCE2-9179-4892-815F-0FE830464DBD}"/>
    <cellStyle name="Currency 3 2 2 2 2 6 4" xfId="10932" xr:uid="{45B97094-27AB-4FEC-9FDF-F726E4BDA69F}"/>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24747" xr:uid="{FDF5F9D6-9D0C-4502-86DE-99E67BB9511D}"/>
    <cellStyle name="Currency 3 2 2 2 2 8 2 3" xfId="15467" xr:uid="{6D68852D-949E-4F9E-99AA-15992E932DE5}"/>
    <cellStyle name="Currency 3 2 2 2 2 8 3" xfId="20530" xr:uid="{33F68871-0F8B-41CB-99B0-F011D199EC5B}"/>
    <cellStyle name="Currency 3 2 2 2 2 8 4" xfId="11249" xr:uid="{06300C75-208B-4019-842C-3778CCC9B978}"/>
    <cellStyle name="Currency 3 2 2 2 2 9" xfId="4634" xr:uid="{00000000-0005-0000-0000-0000BE0A0000}"/>
    <cellStyle name="Currency 3 2 2 2 2 9 2" xfId="22364" xr:uid="{29B11A24-943F-47AE-80CC-33C44D26F381}"/>
    <cellStyle name="Currency 3 2 2 2 2 9 3" xfId="13084" xr:uid="{F9DF71B7-5EC8-49A2-BABA-81EBC90C1873}"/>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24922" xr:uid="{6A6580FD-E3CC-4765-93CB-EF858105BD96}"/>
    <cellStyle name="Currency 3 2 2 2 3 2 2 3" xfId="15642" xr:uid="{53FCABAA-5606-4A2F-B801-7D9626843381}"/>
    <cellStyle name="Currency 3 2 2 2 3 2 3" xfId="20705" xr:uid="{A8C57430-02F3-4A59-843E-606309FDD914}"/>
    <cellStyle name="Currency 3 2 2 2 3 2 4" xfId="11424" xr:uid="{81FB6B3C-E81C-4334-A94F-E0202BDA4BEB}"/>
    <cellStyle name="Currency 3 2 2 2 3 3" xfId="5047" xr:uid="{00000000-0005-0000-0000-0000C20A0000}"/>
    <cellStyle name="Currency 3 2 2 2 3 3 2" xfId="22777" xr:uid="{1ECEF675-3ECB-40CF-B4B9-EA80A6DF1FD7}"/>
    <cellStyle name="Currency 3 2 2 2 3 3 3" xfId="13497" xr:uid="{66BBBB01-22FE-4E8C-9955-6F771689D518}"/>
    <cellStyle name="Currency 3 2 2 2 3 4" xfId="18560" xr:uid="{FF5FD58C-264A-435A-88F0-A9FDD5C90520}"/>
    <cellStyle name="Currency 3 2 2 2 3 5" xfId="17730" xr:uid="{71F6BC0E-2A78-4E9B-A4F1-E50B1B05758D}"/>
    <cellStyle name="Currency 3 2 2 2 3 6" xfId="9279" xr:uid="{1C16265E-6ACE-4468-BEE5-B19E85B7E62D}"/>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25335" xr:uid="{15F41308-40A7-44D1-8CE9-3109989D3124}"/>
    <cellStyle name="Currency 3 2 2 2 4 2 2 3" xfId="16055" xr:uid="{5966EAC2-3043-4A8D-814B-15D3EB68C64B}"/>
    <cellStyle name="Currency 3 2 2 2 4 2 3" xfId="21118" xr:uid="{A0980E1C-0B83-4369-9AD3-75F762A04E5D}"/>
    <cellStyle name="Currency 3 2 2 2 4 2 4" xfId="11837" xr:uid="{05F3E7E9-ECD6-4812-B846-70475F719E60}"/>
    <cellStyle name="Currency 3 2 2 2 4 3" xfId="5460" xr:uid="{00000000-0005-0000-0000-0000C60A0000}"/>
    <cellStyle name="Currency 3 2 2 2 4 3 2" xfId="23190" xr:uid="{3813D81D-AC34-4442-910B-616ADDEF2A8B}"/>
    <cellStyle name="Currency 3 2 2 2 4 3 3" xfId="13910" xr:uid="{5C89D2E0-C209-452A-B00D-89FEE22B751E}"/>
    <cellStyle name="Currency 3 2 2 2 4 4" xfId="18973" xr:uid="{8A8D5B91-2C3E-40D3-A5AC-658D62274FBF}"/>
    <cellStyle name="Currency 3 2 2 2 4 5" xfId="9692" xr:uid="{504926D4-4868-411D-B69A-E717CAD83615}"/>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25748" xr:uid="{41F7B827-6700-4BE8-B2E9-E7A00F2C1993}"/>
    <cellStyle name="Currency 3 2 2 2 5 2 2 3" xfId="16468" xr:uid="{9AA9F472-AE65-4EB2-9B0D-471C67361C7A}"/>
    <cellStyle name="Currency 3 2 2 2 5 2 3" xfId="21531" xr:uid="{98B95181-7842-4822-A843-05841395CD9A}"/>
    <cellStyle name="Currency 3 2 2 2 5 2 4" xfId="12250" xr:uid="{0D25C1CF-652B-49BE-B84C-C4673A3D9693}"/>
    <cellStyle name="Currency 3 2 2 2 5 3" xfId="5873" xr:uid="{00000000-0005-0000-0000-0000CA0A0000}"/>
    <cellStyle name="Currency 3 2 2 2 5 3 2" xfId="23603" xr:uid="{2C6C7E5B-AD79-4D77-96B1-9CFC6B83A884}"/>
    <cellStyle name="Currency 3 2 2 2 5 3 3" xfId="14323" xr:uid="{67BF4FA8-F10C-4A34-99B8-8786E561A9E3}"/>
    <cellStyle name="Currency 3 2 2 2 5 4" xfId="19386" xr:uid="{318087E4-921B-433B-B662-15E8BECFD616}"/>
    <cellStyle name="Currency 3 2 2 2 5 5" xfId="10105" xr:uid="{1101FA1B-5E6F-417A-9629-2A92F7ECA84A}"/>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26161" xr:uid="{2E58BDBF-3D77-4382-A12B-A08B1E6F9E96}"/>
    <cellStyle name="Currency 3 2 2 2 6 2 2 3" xfId="16881" xr:uid="{AFBE8E58-0F15-4CD5-8E78-15EB6EC1D2BC}"/>
    <cellStyle name="Currency 3 2 2 2 6 2 3" xfId="21944" xr:uid="{9850F248-38B4-4C70-819D-9C382A4C81B9}"/>
    <cellStyle name="Currency 3 2 2 2 6 2 4" xfId="12663" xr:uid="{2B68B2B3-8064-407E-89CA-20A60C7BB3D6}"/>
    <cellStyle name="Currency 3 2 2 2 6 3" xfId="6286" xr:uid="{00000000-0005-0000-0000-0000CE0A0000}"/>
    <cellStyle name="Currency 3 2 2 2 6 3 2" xfId="24016" xr:uid="{5B25CC1E-B453-4D0A-B3EA-26A3D9A873D0}"/>
    <cellStyle name="Currency 3 2 2 2 6 3 3" xfId="14736" xr:uid="{CC9EE499-54E6-4B5E-9204-AFBBCE7774B1}"/>
    <cellStyle name="Currency 3 2 2 2 6 4" xfId="19799" xr:uid="{DA9F85A9-A69B-46DE-99D0-31EB9034AEB3}"/>
    <cellStyle name="Currency 3 2 2 2 6 5" xfId="10518" xr:uid="{FDA552D7-AA26-4814-9BA4-00EA679A0467}"/>
    <cellStyle name="Currency 3 2 2 2 7" xfId="2415" xr:uid="{00000000-0005-0000-0000-0000CF0A0000}"/>
    <cellStyle name="Currency 3 2 2 2 7 2" xfId="6699" xr:uid="{00000000-0005-0000-0000-0000D00A0000}"/>
    <cellStyle name="Currency 3 2 2 2 7 2 2" xfId="24429" xr:uid="{46AA92CD-DA93-4CD1-A52E-C99FAC8A7AA6}"/>
    <cellStyle name="Currency 3 2 2 2 7 2 3" xfId="15149" xr:uid="{1D6D1F6E-E990-428E-9070-62537C476B6E}"/>
    <cellStyle name="Currency 3 2 2 2 7 3" xfId="20212" xr:uid="{CA54FFE6-7629-4770-81CF-5D985829FF83}"/>
    <cellStyle name="Currency 3 2 2 2 7 4" xfId="10931" xr:uid="{588DB593-54D2-4D05-81E0-DDDF51BA3EA3}"/>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24746" xr:uid="{075FE8BB-0975-4FD1-B30C-DAA5B7F9C7FC}"/>
    <cellStyle name="Currency 3 2 2 2 9 2 3" xfId="15466" xr:uid="{CC6C734A-A9E2-4E14-AAFC-FB3B73F39161}"/>
    <cellStyle name="Currency 3 2 2 2 9 3" xfId="20529" xr:uid="{AE80C734-2755-4E67-9DD6-45B2D2FFFF71}"/>
    <cellStyle name="Currency 3 2 2 2 9 4" xfId="11248" xr:uid="{ABF97A64-CF18-43F6-949C-23466D6F33E3}"/>
    <cellStyle name="Currency 3 2 2 3" xfId="181" xr:uid="{00000000-0005-0000-0000-0000D40A0000}"/>
    <cellStyle name="Currency 3 2 2 3 10" xfId="18148" xr:uid="{D711FC76-2A72-4BA3-8035-7093A6E1B5A0}"/>
    <cellStyle name="Currency 3 2 2 3 11" xfId="17315" xr:uid="{55C0493D-5643-4CC3-98F7-DBF3343FDBC9}"/>
    <cellStyle name="Currency 3 2 2 3 12" xfId="8867" xr:uid="{AD7EE15E-FE75-4DBE-B7BC-494C512C20EA}"/>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24924" xr:uid="{D436E678-E68E-4BAF-B29C-65F67072C579}"/>
    <cellStyle name="Currency 3 2 2 3 2 2 2 3" xfId="15644" xr:uid="{DEEB3B11-91C3-4735-9061-E8E98F1F6954}"/>
    <cellStyle name="Currency 3 2 2 3 2 2 3" xfId="20707" xr:uid="{DBC5EB33-6BD7-48A0-BE0A-F7D2DA629C2C}"/>
    <cellStyle name="Currency 3 2 2 3 2 2 4" xfId="11426" xr:uid="{2D464BC4-F17E-45B2-A109-49CD9E1E6A83}"/>
    <cellStyle name="Currency 3 2 2 3 2 3" xfId="5049" xr:uid="{00000000-0005-0000-0000-0000D80A0000}"/>
    <cellStyle name="Currency 3 2 2 3 2 3 2" xfId="22779" xr:uid="{B13CD078-CE9F-4398-8512-97C6538EB053}"/>
    <cellStyle name="Currency 3 2 2 3 2 3 3" xfId="13499" xr:uid="{CFF38E33-FADD-4EF4-BF1D-0532ADDFCDEA}"/>
    <cellStyle name="Currency 3 2 2 3 2 4" xfId="18562" xr:uid="{C25659BA-234A-4F01-B683-8DC77A545A7F}"/>
    <cellStyle name="Currency 3 2 2 3 2 5" xfId="17732" xr:uid="{5D474EA7-3E24-4BD7-9458-EEA33AA87D66}"/>
    <cellStyle name="Currency 3 2 2 3 2 6" xfId="9281" xr:uid="{0FF2ED34-F27C-4030-9F35-4491A9D5872C}"/>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25337" xr:uid="{6C6C3613-F08B-40E7-B59C-6DBC482DC556}"/>
    <cellStyle name="Currency 3 2 2 3 3 2 2 3" xfId="16057" xr:uid="{37EB412C-7283-4350-8361-6AD13686B72D}"/>
    <cellStyle name="Currency 3 2 2 3 3 2 3" xfId="21120" xr:uid="{2CE33A34-1947-4874-AD8F-22DDF182507E}"/>
    <cellStyle name="Currency 3 2 2 3 3 2 4" xfId="11839" xr:uid="{44769B4B-F9C2-47BB-B91E-3A426B7629CB}"/>
    <cellStyle name="Currency 3 2 2 3 3 3" xfId="5462" xr:uid="{00000000-0005-0000-0000-0000DC0A0000}"/>
    <cellStyle name="Currency 3 2 2 3 3 3 2" xfId="23192" xr:uid="{9CCE6D64-555F-4FFD-8C84-196EC15F3DF6}"/>
    <cellStyle name="Currency 3 2 2 3 3 3 3" xfId="13912" xr:uid="{D29118C4-80B5-4297-909C-B5FAEAD45847}"/>
    <cellStyle name="Currency 3 2 2 3 3 4" xfId="18975" xr:uid="{38FA0E33-E54F-4138-9B01-C239A27741CE}"/>
    <cellStyle name="Currency 3 2 2 3 3 5" xfId="9694" xr:uid="{25AC47FB-0EAA-4DD4-A579-0DCD1A887E14}"/>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25750" xr:uid="{EC34D315-8200-4DBA-8A24-390B812A7CA2}"/>
    <cellStyle name="Currency 3 2 2 3 4 2 2 3" xfId="16470" xr:uid="{E1842EC7-C592-40C0-B993-8DFAB259E576}"/>
    <cellStyle name="Currency 3 2 2 3 4 2 3" xfId="21533" xr:uid="{DA63383B-C9F7-4E10-807C-0CB952EFB352}"/>
    <cellStyle name="Currency 3 2 2 3 4 2 4" xfId="12252" xr:uid="{05696C98-4E90-4B50-938D-2003B3F11FEF}"/>
    <cellStyle name="Currency 3 2 2 3 4 3" xfId="5875" xr:uid="{00000000-0005-0000-0000-0000E00A0000}"/>
    <cellStyle name="Currency 3 2 2 3 4 3 2" xfId="23605" xr:uid="{3D7590E2-156C-4594-B231-F6C18D938E94}"/>
    <cellStyle name="Currency 3 2 2 3 4 3 3" xfId="14325" xr:uid="{C28032F0-CAAA-41C6-B5A6-75C48549E156}"/>
    <cellStyle name="Currency 3 2 2 3 4 4" xfId="19388" xr:uid="{C6E46A80-877D-4048-9BAE-5A46A2B209AD}"/>
    <cellStyle name="Currency 3 2 2 3 4 5" xfId="10107" xr:uid="{AC5AC432-E551-42AD-8E41-479F043D2415}"/>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26163" xr:uid="{B95C13EB-3C6E-4DC3-8137-93EDBA761E93}"/>
    <cellStyle name="Currency 3 2 2 3 5 2 2 3" xfId="16883" xr:uid="{DEFF01BC-13F1-4E3B-97D4-A9404212CEEA}"/>
    <cellStyle name="Currency 3 2 2 3 5 2 3" xfId="21946" xr:uid="{F3E3A6B7-424F-4792-BB97-7E7F248ADFF2}"/>
    <cellStyle name="Currency 3 2 2 3 5 2 4" xfId="12665" xr:uid="{6601002E-8FC7-44BC-9062-120F2418502F}"/>
    <cellStyle name="Currency 3 2 2 3 5 3" xfId="6288" xr:uid="{00000000-0005-0000-0000-0000E40A0000}"/>
    <cellStyle name="Currency 3 2 2 3 5 3 2" xfId="24018" xr:uid="{EDC78B16-5D8A-4377-9D31-35A9A09A74BD}"/>
    <cellStyle name="Currency 3 2 2 3 5 3 3" xfId="14738" xr:uid="{279ED986-F85D-42D7-922A-5179412CA329}"/>
    <cellStyle name="Currency 3 2 2 3 5 4" xfId="19801" xr:uid="{17989398-9BCE-427A-A744-55C6A00C10BD}"/>
    <cellStyle name="Currency 3 2 2 3 5 5" xfId="10520" xr:uid="{9AD1F240-3A8E-4C87-8057-4BCAB0DE707B}"/>
    <cellStyle name="Currency 3 2 2 3 6" xfId="2417" xr:uid="{00000000-0005-0000-0000-0000E50A0000}"/>
    <cellStyle name="Currency 3 2 2 3 6 2" xfId="6701" xr:uid="{00000000-0005-0000-0000-0000E60A0000}"/>
    <cellStyle name="Currency 3 2 2 3 6 2 2" xfId="24431" xr:uid="{8449C8E9-276E-4945-9A11-2A52582EDCF3}"/>
    <cellStyle name="Currency 3 2 2 3 6 2 3" xfId="15151" xr:uid="{376DD598-56B2-4AC8-8ACC-F7EA9C55F545}"/>
    <cellStyle name="Currency 3 2 2 3 6 3" xfId="20214" xr:uid="{AB9E5B80-776E-4693-BE0C-0BB6FAD11DB3}"/>
    <cellStyle name="Currency 3 2 2 3 6 4" xfId="10933" xr:uid="{666A29ED-2FBC-4C3E-BA0F-E3DA39BD2FCD}"/>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24748" xr:uid="{F9E70451-ED01-4C91-BA94-F6FA0CAAF240}"/>
    <cellStyle name="Currency 3 2 2 3 8 2 3" xfId="15468" xr:uid="{0B1845D9-02A2-49BD-B462-0AD44CEE7BD1}"/>
    <cellStyle name="Currency 3 2 2 3 8 3" xfId="20531" xr:uid="{759C5DBA-2913-46B9-BF8F-E58DD0F706D6}"/>
    <cellStyle name="Currency 3 2 2 3 8 4" xfId="11250" xr:uid="{5660995B-2AD6-4322-818D-C6AD838E4BA6}"/>
    <cellStyle name="Currency 3 2 2 3 9" xfId="4635" xr:uid="{00000000-0005-0000-0000-0000EA0A0000}"/>
    <cellStyle name="Currency 3 2 2 3 9 2" xfId="22365" xr:uid="{6ABEED95-B2CA-4414-A806-64EF70AFD316}"/>
    <cellStyle name="Currency 3 2 2 3 9 3" xfId="13085" xr:uid="{6CA4D92B-6A86-443F-84CC-19366864ABC4}"/>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24921" xr:uid="{34140C3D-4F2D-49E5-A95A-ACE36E3DA859}"/>
    <cellStyle name="Currency 3 2 2 4 2 2 3" xfId="15641" xr:uid="{F43B85C5-5A23-4BEC-BA46-BFFA1A576C83}"/>
    <cellStyle name="Currency 3 2 2 4 2 3" xfId="20704" xr:uid="{22B9FEF5-6EFB-482D-8273-999444F3F52D}"/>
    <cellStyle name="Currency 3 2 2 4 2 4" xfId="11423" xr:uid="{336008BE-BB04-405B-9809-ABE72ED935B0}"/>
    <cellStyle name="Currency 3 2 2 4 3" xfId="5046" xr:uid="{00000000-0005-0000-0000-0000EE0A0000}"/>
    <cellStyle name="Currency 3 2 2 4 3 2" xfId="22776" xr:uid="{5412DE47-7D88-46A2-BE7D-96238C1AA838}"/>
    <cellStyle name="Currency 3 2 2 4 3 3" xfId="13496" xr:uid="{8F0190C9-C678-4BA3-8EEF-0C068F38A009}"/>
    <cellStyle name="Currency 3 2 2 4 4" xfId="18559" xr:uid="{BC85C91F-10FF-4570-8F81-DA14ABEECE40}"/>
    <cellStyle name="Currency 3 2 2 4 5" xfId="17729" xr:uid="{ED469DC9-022A-4B30-A0B0-ACDBF2854363}"/>
    <cellStyle name="Currency 3 2 2 4 6" xfId="9278" xr:uid="{BC34A14D-B02B-4C69-9D13-8ED605036011}"/>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25334" xr:uid="{7748A45D-1FA7-43CA-A702-8BD7D8A3886D}"/>
    <cellStyle name="Currency 3 2 2 5 2 2 3" xfId="16054" xr:uid="{CC92A6B5-37F8-4F2E-84D2-33131ACA56EC}"/>
    <cellStyle name="Currency 3 2 2 5 2 3" xfId="21117" xr:uid="{317A98AE-BB4B-48E6-AF52-D022C321F822}"/>
    <cellStyle name="Currency 3 2 2 5 2 4" xfId="11836" xr:uid="{7E7C41CF-CE80-4071-9037-4D54EA311CB1}"/>
    <cellStyle name="Currency 3 2 2 5 3" xfId="5459" xr:uid="{00000000-0005-0000-0000-0000F20A0000}"/>
    <cellStyle name="Currency 3 2 2 5 3 2" xfId="23189" xr:uid="{8B72DC9D-2929-4973-97EF-DE83626CC137}"/>
    <cellStyle name="Currency 3 2 2 5 3 3" xfId="13909" xr:uid="{7762A053-D14B-444E-96E4-B55CFA433DBB}"/>
    <cellStyle name="Currency 3 2 2 5 4" xfId="18972" xr:uid="{2278581D-9741-4DFC-886C-AB0177E3BBF5}"/>
    <cellStyle name="Currency 3 2 2 5 5" xfId="9691" xr:uid="{EBE1EA64-0297-4835-BF3F-7E70166DD54B}"/>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25747" xr:uid="{C0670613-30C0-4781-9625-AE5BADD453A0}"/>
    <cellStyle name="Currency 3 2 2 6 2 2 3" xfId="16467" xr:uid="{97EA6511-6B51-421E-AD95-E12D20F58291}"/>
    <cellStyle name="Currency 3 2 2 6 2 3" xfId="21530" xr:uid="{DA80255D-3123-44F6-9064-56F7EF082DB2}"/>
    <cellStyle name="Currency 3 2 2 6 2 4" xfId="12249" xr:uid="{D6BD52A9-6205-419E-965D-F7477ACF2204}"/>
    <cellStyle name="Currency 3 2 2 6 3" xfId="5872" xr:uid="{00000000-0005-0000-0000-0000F60A0000}"/>
    <cellStyle name="Currency 3 2 2 6 3 2" xfId="23602" xr:uid="{721FC371-E001-456C-980E-6E0AA530B0BF}"/>
    <cellStyle name="Currency 3 2 2 6 3 3" xfId="14322" xr:uid="{7EA3B664-73E0-4E55-BDD3-95CEFDFD6B7B}"/>
    <cellStyle name="Currency 3 2 2 6 4" xfId="19385" xr:uid="{A0DAA2A5-0CED-4F3E-9199-175A983B8B65}"/>
    <cellStyle name="Currency 3 2 2 6 5" xfId="10104" xr:uid="{8B6FFB14-78D7-4C51-B3CF-F7081EF2DD37}"/>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26160" xr:uid="{F855E9B3-29CF-42A7-BFD3-9902E6555636}"/>
    <cellStyle name="Currency 3 2 2 7 2 2 3" xfId="16880" xr:uid="{A2ABAF55-29B3-45EA-8EC5-6E0622C6F4C6}"/>
    <cellStyle name="Currency 3 2 2 7 2 3" xfId="21943" xr:uid="{460489F9-087A-42FF-A91B-10F402BA1A3F}"/>
    <cellStyle name="Currency 3 2 2 7 2 4" xfId="12662" xr:uid="{025A05F5-8B64-4EFC-9F1B-A3494338A729}"/>
    <cellStyle name="Currency 3 2 2 7 3" xfId="6285" xr:uid="{00000000-0005-0000-0000-0000FA0A0000}"/>
    <cellStyle name="Currency 3 2 2 7 3 2" xfId="24015" xr:uid="{CFBF3042-26BE-46AF-B6BD-9792450FABDC}"/>
    <cellStyle name="Currency 3 2 2 7 3 3" xfId="14735" xr:uid="{8A67FA07-150B-4511-8B0F-A36FB13EB8A3}"/>
    <cellStyle name="Currency 3 2 2 7 4" xfId="19798" xr:uid="{05874C23-762C-410E-AE6B-4C39E8268686}"/>
    <cellStyle name="Currency 3 2 2 7 5" xfId="10517" xr:uid="{D05AFE54-9EC6-427B-847E-7CE26EB8BEA0}"/>
    <cellStyle name="Currency 3 2 2 8" xfId="2414" xr:uid="{00000000-0005-0000-0000-0000FB0A0000}"/>
    <cellStyle name="Currency 3 2 2 8 2" xfId="6698" xr:uid="{00000000-0005-0000-0000-0000FC0A0000}"/>
    <cellStyle name="Currency 3 2 2 8 2 2" xfId="24428" xr:uid="{4867FA83-083C-49C1-B51C-8A0A1CB63520}"/>
    <cellStyle name="Currency 3 2 2 8 2 3" xfId="15148" xr:uid="{D17A3744-3CBD-45D2-B299-8540B3C58858}"/>
    <cellStyle name="Currency 3 2 2 8 3" xfId="20211" xr:uid="{94218B8B-79EA-4CA5-81EC-F6E53745122C}"/>
    <cellStyle name="Currency 3 2 2 8 4" xfId="10930" xr:uid="{7F66AF85-DECD-45FE-A61A-468EB72DFE5B}"/>
    <cellStyle name="Currency 3 2 2 9" xfId="2711" xr:uid="{00000000-0005-0000-0000-0000FD0A0000}"/>
    <cellStyle name="Currency 3 2 3" xfId="182" xr:uid="{00000000-0005-0000-0000-0000FE0A0000}"/>
    <cellStyle name="Currency 3 2 3 10" xfId="4636" xr:uid="{00000000-0005-0000-0000-0000FF0A0000}"/>
    <cellStyle name="Currency 3 2 3 10 2" xfId="22366" xr:uid="{4F2E5025-12C0-4FC4-B24A-C536F18685E1}"/>
    <cellStyle name="Currency 3 2 3 10 3" xfId="13086" xr:uid="{54643166-CE0D-440E-A0BA-EBEAA6226ECF}"/>
    <cellStyle name="Currency 3 2 3 11" xfId="18149" xr:uid="{234CB946-109D-4115-AF79-9E7122336FA1}"/>
    <cellStyle name="Currency 3 2 3 12" xfId="17316" xr:uid="{18F525A0-E251-4C67-926D-C05A157EBDF9}"/>
    <cellStyle name="Currency 3 2 3 13" xfId="8868" xr:uid="{95A7A669-7B81-40C5-92F8-B3431DA41FFC}"/>
    <cellStyle name="Currency 3 2 3 2" xfId="183" xr:uid="{00000000-0005-0000-0000-0000000B0000}"/>
    <cellStyle name="Currency 3 2 3 2 10" xfId="18150" xr:uid="{259E3739-1E94-4456-98BB-8BDDAEEACB75}"/>
    <cellStyle name="Currency 3 2 3 2 11" xfId="17317" xr:uid="{1FC458F3-B384-4EBE-8ECB-DAEB1CA090AD}"/>
    <cellStyle name="Currency 3 2 3 2 12" xfId="8869" xr:uid="{F846B883-8D42-4B6C-ADA4-8E9DC2F8C38C}"/>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24926" xr:uid="{EEB6FE8D-753F-481C-90BD-9AE5CE3CC204}"/>
    <cellStyle name="Currency 3 2 3 2 2 2 2 3" xfId="15646" xr:uid="{8B7D88FD-2E2A-485D-B350-5D8024BD8CB7}"/>
    <cellStyle name="Currency 3 2 3 2 2 2 3" xfId="20709" xr:uid="{0E54508C-CCD7-445D-99FD-0AD3647A0A08}"/>
    <cellStyle name="Currency 3 2 3 2 2 2 4" xfId="11428" xr:uid="{F461C318-F2EB-40BA-AEE0-0243E255C6CC}"/>
    <cellStyle name="Currency 3 2 3 2 2 3" xfId="5051" xr:uid="{00000000-0005-0000-0000-0000040B0000}"/>
    <cellStyle name="Currency 3 2 3 2 2 3 2" xfId="22781" xr:uid="{2310B0BA-09DF-4538-9C2B-47B1F053A3B0}"/>
    <cellStyle name="Currency 3 2 3 2 2 3 3" xfId="13501" xr:uid="{D6B2133C-E07D-4593-9BA2-FBE0725DF3ED}"/>
    <cellStyle name="Currency 3 2 3 2 2 4" xfId="18564" xr:uid="{20A2E3DA-B92E-4D92-B7F7-DC8374DA8F61}"/>
    <cellStyle name="Currency 3 2 3 2 2 5" xfId="17734" xr:uid="{390EEA16-7CDB-4F03-B94B-8FD4EFE03C33}"/>
    <cellStyle name="Currency 3 2 3 2 2 6" xfId="9283" xr:uid="{65E2BD28-3516-48CB-B9FE-CEE6B34C7134}"/>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25339" xr:uid="{97705C6E-0E11-4C99-903C-6033819885A3}"/>
    <cellStyle name="Currency 3 2 3 2 3 2 2 3" xfId="16059" xr:uid="{F5A9C5D2-2838-47C0-A9D7-BE7FD6E76802}"/>
    <cellStyle name="Currency 3 2 3 2 3 2 3" xfId="21122" xr:uid="{3E807B79-3056-4FA6-9017-2C963A3EDDB1}"/>
    <cellStyle name="Currency 3 2 3 2 3 2 4" xfId="11841" xr:uid="{AA9E4DDB-0489-4A42-A0FE-6C88BCC90022}"/>
    <cellStyle name="Currency 3 2 3 2 3 3" xfId="5464" xr:uid="{00000000-0005-0000-0000-0000080B0000}"/>
    <cellStyle name="Currency 3 2 3 2 3 3 2" xfId="23194" xr:uid="{B81F795A-3E7F-4151-8087-54D5421F0189}"/>
    <cellStyle name="Currency 3 2 3 2 3 3 3" xfId="13914" xr:uid="{55D56996-9FC8-41B9-AA16-5FFB534FEE76}"/>
    <cellStyle name="Currency 3 2 3 2 3 4" xfId="18977" xr:uid="{31CE79C0-49B4-4E12-996F-2B6D884DCEEB}"/>
    <cellStyle name="Currency 3 2 3 2 3 5" xfId="9696" xr:uid="{0C0DFA78-C9F9-4693-8AD7-71AECEF943FB}"/>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25752" xr:uid="{5B8A6073-735F-4A41-A75D-B3624A9AF633}"/>
    <cellStyle name="Currency 3 2 3 2 4 2 2 3" xfId="16472" xr:uid="{01A75048-BE72-4E03-83CB-0DD8CC453818}"/>
    <cellStyle name="Currency 3 2 3 2 4 2 3" xfId="21535" xr:uid="{4D9532C0-3822-40BD-8DB1-F82155297789}"/>
    <cellStyle name="Currency 3 2 3 2 4 2 4" xfId="12254" xr:uid="{A666657F-B9CF-4D5E-A0F0-D377E05CAFAC}"/>
    <cellStyle name="Currency 3 2 3 2 4 3" xfId="5877" xr:uid="{00000000-0005-0000-0000-00000C0B0000}"/>
    <cellStyle name="Currency 3 2 3 2 4 3 2" xfId="23607" xr:uid="{95355F9B-6EB2-4429-A989-A024CE638032}"/>
    <cellStyle name="Currency 3 2 3 2 4 3 3" xfId="14327" xr:uid="{B38950BD-B745-42F3-B3DF-96312891648B}"/>
    <cellStyle name="Currency 3 2 3 2 4 4" xfId="19390" xr:uid="{5FD10067-1748-4BC9-B54B-C9046A65B965}"/>
    <cellStyle name="Currency 3 2 3 2 4 5" xfId="10109" xr:uid="{0317F52B-0B4B-41C9-BBCA-121207CBC1A2}"/>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26165" xr:uid="{538FBD7C-5D21-4764-96A5-659EDFF6564C}"/>
    <cellStyle name="Currency 3 2 3 2 5 2 2 3" xfId="16885" xr:uid="{80924CCD-7A6D-43C5-9F0E-D697A262B4F8}"/>
    <cellStyle name="Currency 3 2 3 2 5 2 3" xfId="21948" xr:uid="{E72A63C1-BAC3-4B04-8672-FDAEC8227CC9}"/>
    <cellStyle name="Currency 3 2 3 2 5 2 4" xfId="12667" xr:uid="{DB687D04-FE35-4916-BD35-75F77EAC0403}"/>
    <cellStyle name="Currency 3 2 3 2 5 3" xfId="6290" xr:uid="{00000000-0005-0000-0000-0000100B0000}"/>
    <cellStyle name="Currency 3 2 3 2 5 3 2" xfId="24020" xr:uid="{D52DF676-B4D8-4808-A0C8-384667F35403}"/>
    <cellStyle name="Currency 3 2 3 2 5 3 3" xfId="14740" xr:uid="{5B4DEAEA-8CCA-49C6-AC5B-9D965C344BFA}"/>
    <cellStyle name="Currency 3 2 3 2 5 4" xfId="19803" xr:uid="{0CCB2AE1-FE27-4E90-9046-D117C976691D}"/>
    <cellStyle name="Currency 3 2 3 2 5 5" xfId="10522" xr:uid="{A19A84B2-CD3E-4FBA-89D5-B09C1C9FB3FD}"/>
    <cellStyle name="Currency 3 2 3 2 6" xfId="2419" xr:uid="{00000000-0005-0000-0000-0000110B0000}"/>
    <cellStyle name="Currency 3 2 3 2 6 2" xfId="6703" xr:uid="{00000000-0005-0000-0000-0000120B0000}"/>
    <cellStyle name="Currency 3 2 3 2 6 2 2" xfId="24433" xr:uid="{774D9095-CD6B-4584-99B2-F7285DA97D26}"/>
    <cellStyle name="Currency 3 2 3 2 6 2 3" xfId="15153" xr:uid="{9980A135-1A3A-446D-9E0E-0BD90A9C32D8}"/>
    <cellStyle name="Currency 3 2 3 2 6 3" xfId="20216" xr:uid="{9BAFEF54-1C50-451C-96A9-CB4743540A59}"/>
    <cellStyle name="Currency 3 2 3 2 6 4" xfId="10935" xr:uid="{60E633AA-7347-49A2-8298-72959185E492}"/>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24750" xr:uid="{034ABCC4-0388-4A58-891D-C6D80383D0EE}"/>
    <cellStyle name="Currency 3 2 3 2 8 2 3" xfId="15470" xr:uid="{EE615A6B-56BE-4284-868E-67C03A0F4041}"/>
    <cellStyle name="Currency 3 2 3 2 8 3" xfId="20533" xr:uid="{E30788C9-B217-4159-B6CD-E0DECA292FF3}"/>
    <cellStyle name="Currency 3 2 3 2 8 4" xfId="11252" xr:uid="{0D83F938-4D46-49C6-97C1-9B6098FFE3CD}"/>
    <cellStyle name="Currency 3 2 3 2 9" xfId="4637" xr:uid="{00000000-0005-0000-0000-0000160B0000}"/>
    <cellStyle name="Currency 3 2 3 2 9 2" xfId="22367" xr:uid="{92001042-32C8-4C38-9F0C-D346266B0F9C}"/>
    <cellStyle name="Currency 3 2 3 2 9 3" xfId="13087" xr:uid="{23697DEE-FB34-4C13-B196-E4545752FD13}"/>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24925" xr:uid="{6F29797C-5AFB-4982-986B-7FECCA9AA716}"/>
    <cellStyle name="Currency 3 2 3 3 2 2 3" xfId="15645" xr:uid="{9FA48D45-1C51-43DC-8790-0AE6B9772035}"/>
    <cellStyle name="Currency 3 2 3 3 2 3" xfId="20708" xr:uid="{0DF45340-A466-4CC5-8D29-CBAF85CB247E}"/>
    <cellStyle name="Currency 3 2 3 3 2 4" xfId="11427" xr:uid="{270E7F4D-4CDC-42C5-8409-E9BAC244D20B}"/>
    <cellStyle name="Currency 3 2 3 3 3" xfId="5050" xr:uid="{00000000-0005-0000-0000-00001A0B0000}"/>
    <cellStyle name="Currency 3 2 3 3 3 2" xfId="22780" xr:uid="{EEBC4CD0-3663-4D64-9C90-DE7431BCFFDD}"/>
    <cellStyle name="Currency 3 2 3 3 3 3" xfId="13500" xr:uid="{351305B1-359F-4D39-BB1D-0E9025571A29}"/>
    <cellStyle name="Currency 3 2 3 3 4" xfId="18563" xr:uid="{53A60C7E-3E86-4F3F-8906-CB6603C6E862}"/>
    <cellStyle name="Currency 3 2 3 3 5" xfId="17733" xr:uid="{A2135490-F8F1-4907-9F5F-26B05655F900}"/>
    <cellStyle name="Currency 3 2 3 3 6" xfId="9282" xr:uid="{15D679D9-9478-48E1-8EBD-851A2CB151D4}"/>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25338" xr:uid="{D1720E2B-B17A-434C-B89D-F85E60B01F66}"/>
    <cellStyle name="Currency 3 2 3 4 2 2 3" xfId="16058" xr:uid="{070D65CC-B39F-4163-B56F-1B9208CA54F4}"/>
    <cellStyle name="Currency 3 2 3 4 2 3" xfId="21121" xr:uid="{AD785B1D-DA68-400C-8EC2-D9E452EAFC85}"/>
    <cellStyle name="Currency 3 2 3 4 2 4" xfId="11840" xr:uid="{B6A9BE80-86EF-429E-9991-CA23782EBD23}"/>
    <cellStyle name="Currency 3 2 3 4 3" xfId="5463" xr:uid="{00000000-0005-0000-0000-00001E0B0000}"/>
    <cellStyle name="Currency 3 2 3 4 3 2" xfId="23193" xr:uid="{CCF77376-DE6A-455A-8CCC-06854E3E3CB7}"/>
    <cellStyle name="Currency 3 2 3 4 3 3" xfId="13913" xr:uid="{6F6FF758-85BC-40D5-8DF4-E3E6920C87B6}"/>
    <cellStyle name="Currency 3 2 3 4 4" xfId="18976" xr:uid="{8C58540C-EB78-4591-A2CE-872B29D1CB25}"/>
    <cellStyle name="Currency 3 2 3 4 5" xfId="9695" xr:uid="{F54DE6E5-C927-4E9B-9F5B-13D281C3290C}"/>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25751" xr:uid="{5EADC8A3-172A-442A-A4EE-71243D3EF4C4}"/>
    <cellStyle name="Currency 3 2 3 5 2 2 3" xfId="16471" xr:uid="{3DEA601C-2262-42D9-B78F-C33A8FDE3233}"/>
    <cellStyle name="Currency 3 2 3 5 2 3" xfId="21534" xr:uid="{4F1D112F-FA34-4973-8F6F-5C751996C62E}"/>
    <cellStyle name="Currency 3 2 3 5 2 4" xfId="12253" xr:uid="{476B2F3C-130E-45A0-8FD1-C14E7B15BA8E}"/>
    <cellStyle name="Currency 3 2 3 5 3" xfId="5876" xr:uid="{00000000-0005-0000-0000-0000220B0000}"/>
    <cellStyle name="Currency 3 2 3 5 3 2" xfId="23606" xr:uid="{49D48AEE-EB03-4492-847A-866DC9D63F31}"/>
    <cellStyle name="Currency 3 2 3 5 3 3" xfId="14326" xr:uid="{A68C3478-BA1F-4326-A24B-71C2BE736593}"/>
    <cellStyle name="Currency 3 2 3 5 4" xfId="19389" xr:uid="{00A807D9-C2F6-4AE6-A144-27B217E03E1E}"/>
    <cellStyle name="Currency 3 2 3 5 5" xfId="10108" xr:uid="{2E4D71A5-CB01-4737-A68C-7BE019BA4AF5}"/>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26164" xr:uid="{516E0557-6B3C-4CB3-9C70-84181EF8BF32}"/>
    <cellStyle name="Currency 3 2 3 6 2 2 3" xfId="16884" xr:uid="{5685725C-8522-4D62-B559-F0E6E00FCDC9}"/>
    <cellStyle name="Currency 3 2 3 6 2 3" xfId="21947" xr:uid="{BCF2B7B9-D013-4D02-964D-422E4A45C633}"/>
    <cellStyle name="Currency 3 2 3 6 2 4" xfId="12666" xr:uid="{7BF9C6EA-56DE-48F8-96B3-77613B9DF23A}"/>
    <cellStyle name="Currency 3 2 3 6 3" xfId="6289" xr:uid="{00000000-0005-0000-0000-0000260B0000}"/>
    <cellStyle name="Currency 3 2 3 6 3 2" xfId="24019" xr:uid="{5A653D22-64CB-42E2-9A71-BEA282670503}"/>
    <cellStyle name="Currency 3 2 3 6 3 3" xfId="14739" xr:uid="{CCE3D47B-AB8D-4FCC-9A1B-D2A048E289B2}"/>
    <cellStyle name="Currency 3 2 3 6 4" xfId="19802" xr:uid="{D6DDE65D-5BDF-4364-8A61-D1A0A511FE3D}"/>
    <cellStyle name="Currency 3 2 3 6 5" xfId="10521" xr:uid="{CEC4E21B-2086-4F70-9C7D-EC52E35556B4}"/>
    <cellStyle name="Currency 3 2 3 7" xfId="2418" xr:uid="{00000000-0005-0000-0000-0000270B0000}"/>
    <cellStyle name="Currency 3 2 3 7 2" xfId="6702" xr:uid="{00000000-0005-0000-0000-0000280B0000}"/>
    <cellStyle name="Currency 3 2 3 7 2 2" xfId="24432" xr:uid="{12A84805-3DE3-4FE5-AAA1-C6F657FDFF23}"/>
    <cellStyle name="Currency 3 2 3 7 2 3" xfId="15152" xr:uid="{B531CA29-894B-4D11-BECB-98FCA6DB443B}"/>
    <cellStyle name="Currency 3 2 3 7 3" xfId="20215" xr:uid="{7A74B336-E1CC-41AC-AEBC-AE956CC4BFB3}"/>
    <cellStyle name="Currency 3 2 3 7 4" xfId="10934" xr:uid="{D6E91ADF-BCAF-4F97-8363-CCB36E806A28}"/>
    <cellStyle name="Currency 3 2 3 8" xfId="2715" xr:uid="{00000000-0005-0000-0000-0000290B0000}"/>
    <cellStyle name="Currency 3 2 3 9" xfId="2796" xr:uid="{00000000-0005-0000-0000-00002A0B0000}"/>
    <cellStyle name="Currency 3 2 3 9 2" xfId="7019" xr:uid="{00000000-0005-0000-0000-00002B0B0000}"/>
    <cellStyle name="Currency 3 2 3 9 2 2" xfId="24749" xr:uid="{8C398F25-122D-49E5-9A91-44E5FCE8A052}"/>
    <cellStyle name="Currency 3 2 3 9 2 3" xfId="15469" xr:uid="{660538E9-0D63-4DEE-B074-1FFAFCCA037D}"/>
    <cellStyle name="Currency 3 2 3 9 3" xfId="20532" xr:uid="{EA1BF030-1961-40BF-960D-7DC3EBA24D26}"/>
    <cellStyle name="Currency 3 2 3 9 4" xfId="11251" xr:uid="{D6409D6F-6B89-4110-B362-0089AF56E293}"/>
    <cellStyle name="Currency 3 2 4" xfId="184" xr:uid="{00000000-0005-0000-0000-00002C0B0000}"/>
    <cellStyle name="Currency 3 2 4 10" xfId="18151" xr:uid="{67D02D58-0666-4E21-AABC-E016FE2E8F8D}"/>
    <cellStyle name="Currency 3 2 4 11" xfId="17318" xr:uid="{F3040BDD-EAF5-4034-B0C1-8D698EB1B63A}"/>
    <cellStyle name="Currency 3 2 4 12" xfId="8870" xr:uid="{45427045-C0BA-486A-A82C-2CCF374D7595}"/>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24927" xr:uid="{2DEDF58B-C2ED-4181-BFF2-01DBAC4F5744}"/>
    <cellStyle name="Currency 3 2 4 2 2 2 3" xfId="15647" xr:uid="{F733F6E9-292F-4DC0-A357-BE2BE4CF2A2B}"/>
    <cellStyle name="Currency 3 2 4 2 2 3" xfId="20710" xr:uid="{8A2D8501-A143-415F-894D-58D28527E4A1}"/>
    <cellStyle name="Currency 3 2 4 2 2 4" xfId="11429" xr:uid="{6A1F334F-30B5-4DE5-B6C4-3FF26DA068DF}"/>
    <cellStyle name="Currency 3 2 4 2 3" xfId="5052" xr:uid="{00000000-0005-0000-0000-0000300B0000}"/>
    <cellStyle name="Currency 3 2 4 2 3 2" xfId="22782" xr:uid="{58ACE5FC-309A-44BF-AF2B-5859C8D07B59}"/>
    <cellStyle name="Currency 3 2 4 2 3 3" xfId="13502" xr:uid="{B8A7E511-E302-4F33-BA3A-035BCB742054}"/>
    <cellStyle name="Currency 3 2 4 2 4" xfId="18565" xr:uid="{6D1C3200-1FB8-4DF1-B18D-24D85DD5C43F}"/>
    <cellStyle name="Currency 3 2 4 2 5" xfId="17735" xr:uid="{4295F554-748A-4E7D-917F-0CBC2F34C166}"/>
    <cellStyle name="Currency 3 2 4 2 6" xfId="9284" xr:uid="{E701B801-317C-4E0D-84AD-DE6ABF1C48AB}"/>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25340" xr:uid="{BA19E486-1957-410C-97C0-3E219C9A0124}"/>
    <cellStyle name="Currency 3 2 4 3 2 2 3" xfId="16060" xr:uid="{7AFAD4F9-0605-463A-B716-154ED1D5A2C4}"/>
    <cellStyle name="Currency 3 2 4 3 2 3" xfId="21123" xr:uid="{3BFC6851-7A33-4301-B7B9-364E88C51968}"/>
    <cellStyle name="Currency 3 2 4 3 2 4" xfId="11842" xr:uid="{702FABF3-0BE1-4073-A45F-C355ADC74265}"/>
    <cellStyle name="Currency 3 2 4 3 3" xfId="5465" xr:uid="{00000000-0005-0000-0000-0000340B0000}"/>
    <cellStyle name="Currency 3 2 4 3 3 2" xfId="23195" xr:uid="{3976FDA1-96B1-48A5-8F1C-B156417B35C1}"/>
    <cellStyle name="Currency 3 2 4 3 3 3" xfId="13915" xr:uid="{0C230B1C-FE11-4B75-ACEC-6C8B1F0B0BDD}"/>
    <cellStyle name="Currency 3 2 4 3 4" xfId="18978" xr:uid="{1DFC7860-C3EE-4417-B70D-F1ADE0CA2BDA}"/>
    <cellStyle name="Currency 3 2 4 3 5" xfId="9697" xr:uid="{5F409967-CD78-4780-B801-EEA47E3B7D45}"/>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25753" xr:uid="{2C692658-3B11-4513-B3A4-AE8EAB8277E6}"/>
    <cellStyle name="Currency 3 2 4 4 2 2 3" xfId="16473" xr:uid="{4FFF81CF-9A55-4649-91EE-788A825F6DBC}"/>
    <cellStyle name="Currency 3 2 4 4 2 3" xfId="21536" xr:uid="{D7D8DF07-C95E-4821-A1E6-AA5EB225CAD6}"/>
    <cellStyle name="Currency 3 2 4 4 2 4" xfId="12255" xr:uid="{EC74DB52-BD40-40F1-AF29-3C848BEBBF7C}"/>
    <cellStyle name="Currency 3 2 4 4 3" xfId="5878" xr:uid="{00000000-0005-0000-0000-0000380B0000}"/>
    <cellStyle name="Currency 3 2 4 4 3 2" xfId="23608" xr:uid="{531FF6EA-A6D5-46AB-B3C3-2164CB11064B}"/>
    <cellStyle name="Currency 3 2 4 4 3 3" xfId="14328" xr:uid="{85494A8A-ADCE-4622-8B87-FFA70B2CFEBC}"/>
    <cellStyle name="Currency 3 2 4 4 4" xfId="19391" xr:uid="{E58B5D4E-9B19-412D-BAFF-76283627B0D6}"/>
    <cellStyle name="Currency 3 2 4 4 5" xfId="10110" xr:uid="{8CC02625-70C9-4F0A-BD72-2FECEE335D56}"/>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26166" xr:uid="{5994DAD7-5CE9-49B8-B80C-3870F4477159}"/>
    <cellStyle name="Currency 3 2 4 5 2 2 3" xfId="16886" xr:uid="{9054B771-7169-4953-AC2C-4200B6543B37}"/>
    <cellStyle name="Currency 3 2 4 5 2 3" xfId="21949" xr:uid="{D35919A5-2D09-4D97-9469-760C46C852FC}"/>
    <cellStyle name="Currency 3 2 4 5 2 4" xfId="12668" xr:uid="{03A9BC27-EEC2-49FF-BC97-15E380955D53}"/>
    <cellStyle name="Currency 3 2 4 5 3" xfId="6291" xr:uid="{00000000-0005-0000-0000-00003C0B0000}"/>
    <cellStyle name="Currency 3 2 4 5 3 2" xfId="24021" xr:uid="{C389C9CB-3177-4805-9B29-ACCD6D33FE80}"/>
    <cellStyle name="Currency 3 2 4 5 3 3" xfId="14741" xr:uid="{067C5477-B4D7-4C5E-92B4-92BFD4D7B5C7}"/>
    <cellStyle name="Currency 3 2 4 5 4" xfId="19804" xr:uid="{CC80E969-C2EC-42C7-8027-94D052377EE6}"/>
    <cellStyle name="Currency 3 2 4 5 5" xfId="10523" xr:uid="{9616EBE6-E786-454D-9C1D-75156C21103F}"/>
    <cellStyle name="Currency 3 2 4 6" xfId="2420" xr:uid="{00000000-0005-0000-0000-00003D0B0000}"/>
    <cellStyle name="Currency 3 2 4 6 2" xfId="6704" xr:uid="{00000000-0005-0000-0000-00003E0B0000}"/>
    <cellStyle name="Currency 3 2 4 6 2 2" xfId="24434" xr:uid="{CDE035A7-987C-4D9D-BCC9-99B64ECB9F25}"/>
    <cellStyle name="Currency 3 2 4 6 2 3" xfId="15154" xr:uid="{497881AB-3786-4055-80CB-9AAD6719F2A3}"/>
    <cellStyle name="Currency 3 2 4 6 3" xfId="20217" xr:uid="{50BCCCA0-6D9D-4BE4-9E53-04BA33F51647}"/>
    <cellStyle name="Currency 3 2 4 6 4" xfId="10936" xr:uid="{348E69A1-FC4D-4D32-950D-EC244FDD1CDC}"/>
    <cellStyle name="Currency 3 2 4 7" xfId="2717" xr:uid="{00000000-0005-0000-0000-00003F0B0000}"/>
    <cellStyle name="Currency 3 2 4 8" xfId="2798" xr:uid="{00000000-0005-0000-0000-0000400B0000}"/>
    <cellStyle name="Currency 3 2 4 8 2" xfId="7021" xr:uid="{00000000-0005-0000-0000-0000410B0000}"/>
    <cellStyle name="Currency 3 2 4 8 2 2" xfId="24751" xr:uid="{B8AC9B0A-C068-4E30-BF70-AAFBB9D3911B}"/>
    <cellStyle name="Currency 3 2 4 8 2 3" xfId="15471" xr:uid="{83A939FD-937F-4568-BB33-1ACFA5A1548C}"/>
    <cellStyle name="Currency 3 2 4 8 3" xfId="20534" xr:uid="{D8C340C1-1EBC-46D2-B529-20B5994C73AA}"/>
    <cellStyle name="Currency 3 2 4 8 4" xfId="11253" xr:uid="{AADC4D43-6B63-49B1-997F-CE5E6D0E0BD1}"/>
    <cellStyle name="Currency 3 2 4 9" xfId="4638" xr:uid="{00000000-0005-0000-0000-0000420B0000}"/>
    <cellStyle name="Currency 3 2 4 9 2" xfId="22368" xr:uid="{C1655027-9B1E-40E6-8DFB-E7F7B694F40C}"/>
    <cellStyle name="Currency 3 2 4 9 3" xfId="13088" xr:uid="{6AC635FD-7A14-4B4E-94DC-69E4FBAB7F52}"/>
    <cellStyle name="Currency 3 2 5" xfId="185" xr:uid="{00000000-0005-0000-0000-0000430B0000}"/>
    <cellStyle name="Currency 3 2 5 10" xfId="18152" xr:uid="{6561F438-5F80-4F0E-AC4D-214083067366}"/>
    <cellStyle name="Currency 3 2 5 11" xfId="17319" xr:uid="{5D7174AE-09F9-429C-BF55-60A3506FE2AC}"/>
    <cellStyle name="Currency 3 2 5 12" xfId="8871" xr:uid="{DEBEFB1C-B4C5-4D7A-90F6-2F10236DEC9D}"/>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24928" xr:uid="{43511C93-0D99-48DD-BC88-CAF435CBE1CA}"/>
    <cellStyle name="Currency 3 2 5 2 2 2 3" xfId="15648" xr:uid="{628E76D5-83FE-4055-98D2-A371AB030A17}"/>
    <cellStyle name="Currency 3 2 5 2 2 3" xfId="20711" xr:uid="{B26D4BD9-783B-4CE3-A4AB-782239916368}"/>
    <cellStyle name="Currency 3 2 5 2 2 4" xfId="11430" xr:uid="{9FF61FE6-BF19-4078-8094-24F34CD56CAD}"/>
    <cellStyle name="Currency 3 2 5 2 3" xfId="5053" xr:uid="{00000000-0005-0000-0000-0000470B0000}"/>
    <cellStyle name="Currency 3 2 5 2 3 2" xfId="22783" xr:uid="{6D6B9E21-01CE-44B8-9A71-23DF66BB7F8F}"/>
    <cellStyle name="Currency 3 2 5 2 3 3" xfId="13503" xr:uid="{07060BA1-BCD6-4D54-8491-88AA8E876CC9}"/>
    <cellStyle name="Currency 3 2 5 2 4" xfId="18566" xr:uid="{1E9FBE8F-BF37-4086-93FA-241EB0C244E1}"/>
    <cellStyle name="Currency 3 2 5 2 5" xfId="17736" xr:uid="{152D96C3-AC17-4CFE-AED1-A4635808358E}"/>
    <cellStyle name="Currency 3 2 5 2 6" xfId="9285" xr:uid="{5C9E3625-69F3-46E6-ADD5-8B80E909B4EA}"/>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25341" xr:uid="{D0F061F7-680C-4431-9DE6-9BEF2677E6AF}"/>
    <cellStyle name="Currency 3 2 5 3 2 2 3" xfId="16061" xr:uid="{1480050A-E9C2-467A-AB7E-3D9402677502}"/>
    <cellStyle name="Currency 3 2 5 3 2 3" xfId="21124" xr:uid="{0A22E9B7-D0CE-45E6-AD6A-4F7C70740B6C}"/>
    <cellStyle name="Currency 3 2 5 3 2 4" xfId="11843" xr:uid="{D6953302-1427-4802-BECC-AE239192821F}"/>
    <cellStyle name="Currency 3 2 5 3 3" xfId="5466" xr:uid="{00000000-0005-0000-0000-00004B0B0000}"/>
    <cellStyle name="Currency 3 2 5 3 3 2" xfId="23196" xr:uid="{E2259F4F-DFC3-41D8-A14C-09AEDF0817CC}"/>
    <cellStyle name="Currency 3 2 5 3 3 3" xfId="13916" xr:uid="{4F5E808B-D7A0-4294-8816-0325C0B18D36}"/>
    <cellStyle name="Currency 3 2 5 3 4" xfId="18979" xr:uid="{DB42C4C7-9A2E-4D14-A3C5-A4ABA706D13D}"/>
    <cellStyle name="Currency 3 2 5 3 5" xfId="9698" xr:uid="{532DDB6B-7EC5-4CD7-B3D9-A56BA94799A6}"/>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25754" xr:uid="{A47369FD-E879-4A6D-9844-C9C64BB459E2}"/>
    <cellStyle name="Currency 3 2 5 4 2 2 3" xfId="16474" xr:uid="{5C5ABD14-B15E-4EEB-96AE-6BE1FD7BD298}"/>
    <cellStyle name="Currency 3 2 5 4 2 3" xfId="21537" xr:uid="{4419C5B7-190D-4768-87C2-8B34BC10E8E1}"/>
    <cellStyle name="Currency 3 2 5 4 2 4" xfId="12256" xr:uid="{D107F298-4508-47B4-982B-755CAE7D3652}"/>
    <cellStyle name="Currency 3 2 5 4 3" xfId="5879" xr:uid="{00000000-0005-0000-0000-00004F0B0000}"/>
    <cellStyle name="Currency 3 2 5 4 3 2" xfId="23609" xr:uid="{AF3583AF-138A-4365-9079-35323F3DC18B}"/>
    <cellStyle name="Currency 3 2 5 4 3 3" xfId="14329" xr:uid="{007A627E-0A8E-4AB6-906B-65B0D4483D83}"/>
    <cellStyle name="Currency 3 2 5 4 4" xfId="19392" xr:uid="{48752101-F8A0-4D0A-9698-A0EDC1AA396D}"/>
    <cellStyle name="Currency 3 2 5 4 5" xfId="10111" xr:uid="{7617356A-6798-45F5-ABE8-755CBC7FCEBF}"/>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26167" xr:uid="{B7431733-85B6-4C58-916F-0C2F31B52B5F}"/>
    <cellStyle name="Currency 3 2 5 5 2 2 3" xfId="16887" xr:uid="{50B834D7-0E40-4969-88A4-1AB84E1B0BB8}"/>
    <cellStyle name="Currency 3 2 5 5 2 3" xfId="21950" xr:uid="{4B34BC56-7AA3-4569-B4B7-0EB4E8AEB910}"/>
    <cellStyle name="Currency 3 2 5 5 2 4" xfId="12669" xr:uid="{F53ED33F-C0B6-4087-9B2E-DD9063F8FC3C}"/>
    <cellStyle name="Currency 3 2 5 5 3" xfId="6292" xr:uid="{00000000-0005-0000-0000-0000530B0000}"/>
    <cellStyle name="Currency 3 2 5 5 3 2" xfId="24022" xr:uid="{C1848B5C-CD20-440D-AEB8-B99AB507D413}"/>
    <cellStyle name="Currency 3 2 5 5 3 3" xfId="14742" xr:uid="{26A9C4B2-A119-43BC-A97D-2411A3113CC1}"/>
    <cellStyle name="Currency 3 2 5 5 4" xfId="19805" xr:uid="{F5E397B1-323D-4622-B4C1-62D20F0906F0}"/>
    <cellStyle name="Currency 3 2 5 5 5" xfId="10524" xr:uid="{06718D59-0B28-4CC2-80CB-475D195DAD14}"/>
    <cellStyle name="Currency 3 2 5 6" xfId="2421" xr:uid="{00000000-0005-0000-0000-0000540B0000}"/>
    <cellStyle name="Currency 3 2 5 6 2" xfId="6705" xr:uid="{00000000-0005-0000-0000-0000550B0000}"/>
    <cellStyle name="Currency 3 2 5 6 2 2" xfId="24435" xr:uid="{6D724EF2-796D-485E-AE0B-808A6E0654D5}"/>
    <cellStyle name="Currency 3 2 5 6 2 3" xfId="15155" xr:uid="{7BF70432-108E-4FF7-8938-F6F42C0656AD}"/>
    <cellStyle name="Currency 3 2 5 6 3" xfId="20218" xr:uid="{F9E4741D-D13B-4C03-A9D9-B7DD1286FDD8}"/>
    <cellStyle name="Currency 3 2 5 6 4" xfId="10937" xr:uid="{A5C17FF7-B0E4-470E-8772-D2C44DFB46F1}"/>
    <cellStyle name="Currency 3 2 5 7" xfId="2718" xr:uid="{00000000-0005-0000-0000-0000560B0000}"/>
    <cellStyle name="Currency 3 2 5 8" xfId="2799" xr:uid="{00000000-0005-0000-0000-0000570B0000}"/>
    <cellStyle name="Currency 3 2 5 8 2" xfId="7022" xr:uid="{00000000-0005-0000-0000-0000580B0000}"/>
    <cellStyle name="Currency 3 2 5 8 2 2" xfId="24752" xr:uid="{CDE96387-CBC2-4436-9939-AA75CC44110C}"/>
    <cellStyle name="Currency 3 2 5 8 2 3" xfId="15472" xr:uid="{EF904A6E-CFC0-401C-853E-655A893A89BA}"/>
    <cellStyle name="Currency 3 2 5 8 3" xfId="20535" xr:uid="{FA802AB3-6870-4DD0-8086-9EEA11B8E178}"/>
    <cellStyle name="Currency 3 2 5 8 4" xfId="11254" xr:uid="{BD44B4FF-012C-4E82-8B29-859970AFC852}"/>
    <cellStyle name="Currency 3 2 5 9" xfId="4639" xr:uid="{00000000-0005-0000-0000-0000590B0000}"/>
    <cellStyle name="Currency 3 2 5 9 2" xfId="22369" xr:uid="{357B1671-FA57-4EDD-A091-56B10D8D078B}"/>
    <cellStyle name="Currency 3 2 5 9 3" xfId="13089" xr:uid="{C002102A-05A1-4309-9D96-A68471136C69}"/>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24753" xr:uid="{6A65E9DC-30D7-46B0-836B-89487667234D}"/>
    <cellStyle name="Currency 5 2 2 2 10 2 3" xfId="15473" xr:uid="{A9B4C575-FC08-4F89-B71E-B415A594B57D}"/>
    <cellStyle name="Currency 5 2 2 2 10 3" xfId="20536" xr:uid="{A51D4C63-E3E2-4406-AE5E-A9457B8DDDBD}"/>
    <cellStyle name="Currency 5 2 2 2 10 4" xfId="11255" xr:uid="{447FF809-95A2-4BAD-A031-84E4065DF7D8}"/>
    <cellStyle name="Currency 5 2 2 2 11" xfId="4640" xr:uid="{00000000-0005-0000-0000-00006C0B0000}"/>
    <cellStyle name="Currency 5 2 2 2 11 2" xfId="22370" xr:uid="{6C1AB2A9-DA33-456D-B55E-D8A4251F4F76}"/>
    <cellStyle name="Currency 5 2 2 2 11 3" xfId="13090" xr:uid="{2E8963F6-B428-4E47-85F1-7BD0B1E8DEB7}"/>
    <cellStyle name="Currency 5 2 2 2 12" xfId="18153" xr:uid="{743C3F36-01BE-4535-BE6E-45630396A14F}"/>
    <cellStyle name="Currency 5 2 2 2 13" xfId="17320" xr:uid="{A45911E0-E358-493E-8FA0-431657E2FE06}"/>
    <cellStyle name="Currency 5 2 2 2 14" xfId="8872" xr:uid="{316D09DE-F97C-4566-B18F-BED156D1D82A}"/>
    <cellStyle name="Currency 5 2 2 2 2" xfId="197" xr:uid="{00000000-0005-0000-0000-00006D0B0000}"/>
    <cellStyle name="Currency 5 2 2 2 2 10" xfId="4641" xr:uid="{00000000-0005-0000-0000-00006E0B0000}"/>
    <cellStyle name="Currency 5 2 2 2 2 10 2" xfId="22371" xr:uid="{C8F95F64-0D15-4C17-917E-F6C6D36C90B0}"/>
    <cellStyle name="Currency 5 2 2 2 2 10 3" xfId="13091" xr:uid="{E8FFF23F-3CA5-4318-A649-1850DA6C6AC3}"/>
    <cellStyle name="Currency 5 2 2 2 2 11" xfId="18154" xr:uid="{3243DF48-591A-42C9-A86E-6F512927433D}"/>
    <cellStyle name="Currency 5 2 2 2 2 12" xfId="17321" xr:uid="{D048B04A-61A5-4C40-92FC-7DE6991BAEDC}"/>
    <cellStyle name="Currency 5 2 2 2 2 13" xfId="8873" xr:uid="{95D45EEE-C3FA-4E2C-BE50-771C5524BBE8}"/>
    <cellStyle name="Currency 5 2 2 2 2 2" xfId="198" xr:uid="{00000000-0005-0000-0000-00006F0B0000}"/>
    <cellStyle name="Currency 5 2 2 2 2 2 10" xfId="18155" xr:uid="{AED7E05B-9EFF-464B-A8EA-9AAD735CBD83}"/>
    <cellStyle name="Currency 5 2 2 2 2 2 11" xfId="17322" xr:uid="{7D2427BD-3798-487E-977C-DA73C86FCA73}"/>
    <cellStyle name="Currency 5 2 2 2 2 2 12" xfId="8874" xr:uid="{6D94DC99-8522-43AC-8242-46E1844F688E}"/>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24931" xr:uid="{C8791C5F-15F5-4F98-B5F6-BD19903F7173}"/>
    <cellStyle name="Currency 5 2 2 2 2 2 2 2 2 3" xfId="15651" xr:uid="{5C60EFC4-50B6-4DF5-9E10-49D89F80F175}"/>
    <cellStyle name="Currency 5 2 2 2 2 2 2 2 3" xfId="20714" xr:uid="{2D4D46EC-ACC6-4E9A-9FB7-1B8CF4BA6458}"/>
    <cellStyle name="Currency 5 2 2 2 2 2 2 2 4" xfId="11433" xr:uid="{959BC23A-30BB-4EBA-8A4B-36EE3D5232B5}"/>
    <cellStyle name="Currency 5 2 2 2 2 2 2 3" xfId="5056" xr:uid="{00000000-0005-0000-0000-0000730B0000}"/>
    <cellStyle name="Currency 5 2 2 2 2 2 2 3 2" xfId="22786" xr:uid="{799D3984-11BC-413A-9E95-84B229EAA3AB}"/>
    <cellStyle name="Currency 5 2 2 2 2 2 2 3 3" xfId="13506" xr:uid="{1D381332-6B02-4B4F-AB01-4968A44A52D0}"/>
    <cellStyle name="Currency 5 2 2 2 2 2 2 4" xfId="18569" xr:uid="{85C5AB9C-DA7D-4900-9C1F-53958FC81BDC}"/>
    <cellStyle name="Currency 5 2 2 2 2 2 2 5" xfId="17739" xr:uid="{373C99CC-C7C9-4992-BC6B-3962FCB6DD01}"/>
    <cellStyle name="Currency 5 2 2 2 2 2 2 6" xfId="9288" xr:uid="{2964BF9E-7E6E-4490-B8D7-DD66786788F2}"/>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25344" xr:uid="{13D4E4D4-EED1-4A25-858E-8C791237D4E6}"/>
    <cellStyle name="Currency 5 2 2 2 2 2 3 2 2 3" xfId="16064" xr:uid="{D037C419-7521-49C9-8EB1-43408475A1E5}"/>
    <cellStyle name="Currency 5 2 2 2 2 2 3 2 3" xfId="21127" xr:uid="{5A253699-E869-4325-8FB2-79848F2F1DDF}"/>
    <cellStyle name="Currency 5 2 2 2 2 2 3 2 4" xfId="11846" xr:uid="{A6922BDD-3F03-4175-80E2-9ADFF47D67CE}"/>
    <cellStyle name="Currency 5 2 2 2 2 2 3 3" xfId="5469" xr:uid="{00000000-0005-0000-0000-0000770B0000}"/>
    <cellStyle name="Currency 5 2 2 2 2 2 3 3 2" xfId="23199" xr:uid="{3F14CF22-D21A-406F-8A5E-268AC4CFD10E}"/>
    <cellStyle name="Currency 5 2 2 2 2 2 3 3 3" xfId="13919" xr:uid="{0A727EA6-3D84-4C63-890A-1E5AB1F59954}"/>
    <cellStyle name="Currency 5 2 2 2 2 2 3 4" xfId="18982" xr:uid="{66AA74D6-7C75-494D-AEB0-B07B206B7CE7}"/>
    <cellStyle name="Currency 5 2 2 2 2 2 3 5" xfId="9701" xr:uid="{17D684C9-976D-4710-B993-3B1ADB0B8CDC}"/>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25757" xr:uid="{F57D28DC-C602-4898-86B1-A35665C98B7A}"/>
    <cellStyle name="Currency 5 2 2 2 2 2 4 2 2 3" xfId="16477" xr:uid="{1E380491-4BEB-4C93-8B23-80E9069E7F17}"/>
    <cellStyle name="Currency 5 2 2 2 2 2 4 2 3" xfId="21540" xr:uid="{6EC9D2D5-8ACD-483D-968C-7AFC70FB9C3F}"/>
    <cellStyle name="Currency 5 2 2 2 2 2 4 2 4" xfId="12259" xr:uid="{59404735-E563-4F82-BD43-7C897E5E15CA}"/>
    <cellStyle name="Currency 5 2 2 2 2 2 4 3" xfId="5882" xr:uid="{00000000-0005-0000-0000-00007B0B0000}"/>
    <cellStyle name="Currency 5 2 2 2 2 2 4 3 2" xfId="23612" xr:uid="{FB40E5F5-93FF-49BF-9C3A-9AD347024594}"/>
    <cellStyle name="Currency 5 2 2 2 2 2 4 3 3" xfId="14332" xr:uid="{2901D714-8403-4B71-AC94-45C85D957B7D}"/>
    <cellStyle name="Currency 5 2 2 2 2 2 4 4" xfId="19395" xr:uid="{BC42B37F-F9E5-4940-B242-750B9B5950E6}"/>
    <cellStyle name="Currency 5 2 2 2 2 2 4 5" xfId="10114" xr:uid="{586E9D9C-24BA-48A6-ACBD-3E012CD4D414}"/>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26170" xr:uid="{428B254D-F565-4E8C-A8BC-8BFC97C75FE3}"/>
    <cellStyle name="Currency 5 2 2 2 2 2 5 2 2 3" xfId="16890" xr:uid="{59EFE777-F08E-4007-A255-F663FAC53D8C}"/>
    <cellStyle name="Currency 5 2 2 2 2 2 5 2 3" xfId="21953" xr:uid="{584AEEF7-65DB-4371-9125-810D83EA465B}"/>
    <cellStyle name="Currency 5 2 2 2 2 2 5 2 4" xfId="12672" xr:uid="{09192A3D-6EE9-4328-85CC-E3AE3C7AB2BF}"/>
    <cellStyle name="Currency 5 2 2 2 2 2 5 3" xfId="6295" xr:uid="{00000000-0005-0000-0000-00007F0B0000}"/>
    <cellStyle name="Currency 5 2 2 2 2 2 5 3 2" xfId="24025" xr:uid="{788E45F1-6098-4B9F-A807-E267D5A9AC2D}"/>
    <cellStyle name="Currency 5 2 2 2 2 2 5 3 3" xfId="14745" xr:uid="{4BC2828A-A63D-404C-A506-B79796144733}"/>
    <cellStyle name="Currency 5 2 2 2 2 2 5 4" xfId="19808" xr:uid="{DDB38F50-5703-4B6F-8A90-BD2CDFC3A595}"/>
    <cellStyle name="Currency 5 2 2 2 2 2 5 5" xfId="10527" xr:uid="{29B7E234-FB67-4602-8182-DBCB21B82069}"/>
    <cellStyle name="Currency 5 2 2 2 2 2 6" xfId="2424" xr:uid="{00000000-0005-0000-0000-0000800B0000}"/>
    <cellStyle name="Currency 5 2 2 2 2 2 6 2" xfId="6708" xr:uid="{00000000-0005-0000-0000-0000810B0000}"/>
    <cellStyle name="Currency 5 2 2 2 2 2 6 2 2" xfId="24438" xr:uid="{1EB9A292-BDD7-4F57-A632-0C27C0807C7F}"/>
    <cellStyle name="Currency 5 2 2 2 2 2 6 2 3" xfId="15158" xr:uid="{9A454917-AE90-438F-8A83-841948C74725}"/>
    <cellStyle name="Currency 5 2 2 2 2 2 6 3" xfId="20221" xr:uid="{E8FB677E-01D7-490B-A9A7-FF0C5BCD19FF}"/>
    <cellStyle name="Currency 5 2 2 2 2 2 6 4" xfId="10940" xr:uid="{55F22135-C197-4000-A47A-24365495DFB7}"/>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24755" xr:uid="{1007548F-4CDC-4747-9F82-89F022A5F7DC}"/>
    <cellStyle name="Currency 5 2 2 2 2 2 8 2 3" xfId="15475" xr:uid="{4ED2E378-2CA0-4BAF-9B41-DA3A01B428B3}"/>
    <cellStyle name="Currency 5 2 2 2 2 2 8 3" xfId="20538" xr:uid="{016BB951-C5A6-4218-91B7-027AC6795FEA}"/>
    <cellStyle name="Currency 5 2 2 2 2 2 8 4" xfId="11257" xr:uid="{B5C92F17-D039-497D-9603-44272C0167E1}"/>
    <cellStyle name="Currency 5 2 2 2 2 2 9" xfId="4642" xr:uid="{00000000-0005-0000-0000-0000850B0000}"/>
    <cellStyle name="Currency 5 2 2 2 2 2 9 2" xfId="22372" xr:uid="{51B347AC-F94B-4B41-836D-E0B95C01F996}"/>
    <cellStyle name="Currency 5 2 2 2 2 2 9 3" xfId="13092" xr:uid="{DBD3F767-1859-4C3C-8580-5BC0D5B3D3C1}"/>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24930" xr:uid="{E9598987-6555-4667-9522-E471F2FC344F}"/>
    <cellStyle name="Currency 5 2 2 2 2 3 2 2 3" xfId="15650" xr:uid="{AD023228-9B1D-43BC-AE0B-96580B95C766}"/>
    <cellStyle name="Currency 5 2 2 2 2 3 2 3" xfId="20713" xr:uid="{B4908D0B-2883-48CF-B9B1-2F2433D840D0}"/>
    <cellStyle name="Currency 5 2 2 2 2 3 2 4" xfId="11432" xr:uid="{2ECF17F6-9FA9-43CB-9890-30331090C7BD}"/>
    <cellStyle name="Currency 5 2 2 2 2 3 3" xfId="5055" xr:uid="{00000000-0005-0000-0000-0000890B0000}"/>
    <cellStyle name="Currency 5 2 2 2 2 3 3 2" xfId="22785" xr:uid="{4AC902D8-5F1E-4421-AFBD-D1F2DA8C3AD4}"/>
    <cellStyle name="Currency 5 2 2 2 2 3 3 3" xfId="13505" xr:uid="{E88BC187-79CD-4E1E-BB13-0714B0A9A3D6}"/>
    <cellStyle name="Currency 5 2 2 2 2 3 4" xfId="18568" xr:uid="{4A1C6044-6204-4C1E-A86D-D3EA4BE7F0D5}"/>
    <cellStyle name="Currency 5 2 2 2 2 3 5" xfId="17738" xr:uid="{8574F371-46F3-4CE8-B323-5EA59EDFF36F}"/>
    <cellStyle name="Currency 5 2 2 2 2 3 6" xfId="9287" xr:uid="{AE830A59-383F-47F4-A685-24E9B23CF608}"/>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25343" xr:uid="{B64BD375-1168-4E2B-9103-B3EA322565DF}"/>
    <cellStyle name="Currency 5 2 2 2 2 4 2 2 3" xfId="16063" xr:uid="{F3FAFB86-4024-4063-87D9-B13DBE01C7D4}"/>
    <cellStyle name="Currency 5 2 2 2 2 4 2 3" xfId="21126" xr:uid="{8CA6AD63-4861-4A60-A370-64EC267565D7}"/>
    <cellStyle name="Currency 5 2 2 2 2 4 2 4" xfId="11845" xr:uid="{56E08BF1-26A2-4E76-A7AC-F92BEC2A3617}"/>
    <cellStyle name="Currency 5 2 2 2 2 4 3" xfId="5468" xr:uid="{00000000-0005-0000-0000-00008D0B0000}"/>
    <cellStyle name="Currency 5 2 2 2 2 4 3 2" xfId="23198" xr:uid="{A141D855-AA87-4B94-8B98-D57D29224E8D}"/>
    <cellStyle name="Currency 5 2 2 2 2 4 3 3" xfId="13918" xr:uid="{6EBF587D-74A2-45C9-B750-7E303BEAEEEB}"/>
    <cellStyle name="Currency 5 2 2 2 2 4 4" xfId="18981" xr:uid="{B545C835-D22E-46AE-8C61-82929E17C25E}"/>
    <cellStyle name="Currency 5 2 2 2 2 4 5" xfId="9700" xr:uid="{A44F5D70-CA84-4976-B26C-DBDC47018DB4}"/>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25756" xr:uid="{688C6926-8F0A-45E6-8E75-BAA9BE1BE82D}"/>
    <cellStyle name="Currency 5 2 2 2 2 5 2 2 3" xfId="16476" xr:uid="{AD2333DB-3F4D-4FAA-9D30-AA115D13F295}"/>
    <cellStyle name="Currency 5 2 2 2 2 5 2 3" xfId="21539" xr:uid="{FA018544-6459-428F-AE5A-FE3B363B44CB}"/>
    <cellStyle name="Currency 5 2 2 2 2 5 2 4" xfId="12258" xr:uid="{5153A836-CAC4-45EA-94E9-4BD147C765DA}"/>
    <cellStyle name="Currency 5 2 2 2 2 5 3" xfId="5881" xr:uid="{00000000-0005-0000-0000-0000910B0000}"/>
    <cellStyle name="Currency 5 2 2 2 2 5 3 2" xfId="23611" xr:uid="{8D79711D-CE08-404D-AB3C-EF004F0DFC97}"/>
    <cellStyle name="Currency 5 2 2 2 2 5 3 3" xfId="14331" xr:uid="{376911F9-5FA4-408B-849D-AC9C6ABF3003}"/>
    <cellStyle name="Currency 5 2 2 2 2 5 4" xfId="19394" xr:uid="{9BFC601C-10F9-49FE-92BD-AF050B30815F}"/>
    <cellStyle name="Currency 5 2 2 2 2 5 5" xfId="10113" xr:uid="{ADF305DC-DE58-477A-8F65-67C12E891265}"/>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26169" xr:uid="{147EE3AD-9FC1-4A08-9008-EA4D0736FA65}"/>
    <cellStyle name="Currency 5 2 2 2 2 6 2 2 3" xfId="16889" xr:uid="{560F133F-23AD-450C-A2D3-B9B75AEA87E6}"/>
    <cellStyle name="Currency 5 2 2 2 2 6 2 3" xfId="21952" xr:uid="{5192CDC3-7C39-4793-94AB-8D8F0ED0E37A}"/>
    <cellStyle name="Currency 5 2 2 2 2 6 2 4" xfId="12671" xr:uid="{8F1D253C-8C0B-47A3-BC07-A66180A96394}"/>
    <cellStyle name="Currency 5 2 2 2 2 6 3" xfId="6294" xr:uid="{00000000-0005-0000-0000-0000950B0000}"/>
    <cellStyle name="Currency 5 2 2 2 2 6 3 2" xfId="24024" xr:uid="{85E67CBD-31CA-47F6-B49C-DBCD4CC3D869}"/>
    <cellStyle name="Currency 5 2 2 2 2 6 3 3" xfId="14744" xr:uid="{D8D897ED-237C-43B6-996C-4F74FFAD7B38}"/>
    <cellStyle name="Currency 5 2 2 2 2 6 4" xfId="19807" xr:uid="{98427206-009D-45A7-9A1B-4410146F2149}"/>
    <cellStyle name="Currency 5 2 2 2 2 6 5" xfId="10526" xr:uid="{9E6C4186-8D5D-4A16-B607-8FAD622DB6BE}"/>
    <cellStyle name="Currency 5 2 2 2 2 7" xfId="2423" xr:uid="{00000000-0005-0000-0000-0000960B0000}"/>
    <cellStyle name="Currency 5 2 2 2 2 7 2" xfId="6707" xr:uid="{00000000-0005-0000-0000-0000970B0000}"/>
    <cellStyle name="Currency 5 2 2 2 2 7 2 2" xfId="24437" xr:uid="{AC98C9AE-DE1C-446F-B45F-3C3BE2BAA3CA}"/>
    <cellStyle name="Currency 5 2 2 2 2 7 2 3" xfId="15157" xr:uid="{BCA5FB02-7724-458C-9382-A04A980ADF00}"/>
    <cellStyle name="Currency 5 2 2 2 2 7 3" xfId="20220" xr:uid="{5D06BD72-FDA2-4ED5-B9A1-A569FE9A8E1C}"/>
    <cellStyle name="Currency 5 2 2 2 2 7 4" xfId="10939" xr:uid="{1B276507-6AF8-440B-A2AE-EC55B384264A}"/>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24754" xr:uid="{B5532273-A77C-4F2A-8538-81F417FF1DBA}"/>
    <cellStyle name="Currency 5 2 2 2 2 9 2 3" xfId="15474" xr:uid="{8CC1E255-171D-455A-B9F6-D710FDA1B0C5}"/>
    <cellStyle name="Currency 5 2 2 2 2 9 3" xfId="20537" xr:uid="{040383CE-2883-4A1B-A868-8010F7A8B0F1}"/>
    <cellStyle name="Currency 5 2 2 2 2 9 4" xfId="11256" xr:uid="{6ED7EA59-5434-4788-8EF2-66D0170F0A35}"/>
    <cellStyle name="Currency 5 2 2 2 3" xfId="199" xr:uid="{00000000-0005-0000-0000-00009B0B0000}"/>
    <cellStyle name="Currency 5 2 2 2 3 10" xfId="18156" xr:uid="{2F2C7BE7-D646-432A-988A-319AC91E8C25}"/>
    <cellStyle name="Currency 5 2 2 2 3 11" xfId="17323" xr:uid="{F8D71461-C701-44CB-BE0B-E135DFF8D03B}"/>
    <cellStyle name="Currency 5 2 2 2 3 12" xfId="8875" xr:uid="{F4D01AF2-3194-4B17-9D5F-DAD70EBD2F73}"/>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24932" xr:uid="{95D32A7B-F2F1-425A-8141-C53F062455E3}"/>
    <cellStyle name="Currency 5 2 2 2 3 2 2 2 3" xfId="15652" xr:uid="{309D1FD1-B7CF-43B6-9889-7BD4F832BDFB}"/>
    <cellStyle name="Currency 5 2 2 2 3 2 2 3" xfId="20715" xr:uid="{E9235318-4394-4B95-A09B-E335B00FE464}"/>
    <cellStyle name="Currency 5 2 2 2 3 2 2 4" xfId="11434" xr:uid="{EA61982E-0048-48EB-A6C8-9AFB2E9AB0A9}"/>
    <cellStyle name="Currency 5 2 2 2 3 2 3" xfId="5057" xr:uid="{00000000-0005-0000-0000-00009F0B0000}"/>
    <cellStyle name="Currency 5 2 2 2 3 2 3 2" xfId="22787" xr:uid="{67207D58-D9FC-497C-ADAF-7E50DF7E1FA2}"/>
    <cellStyle name="Currency 5 2 2 2 3 2 3 3" xfId="13507" xr:uid="{9E8CED03-9698-4F0D-8DEB-C3FF174AB6D7}"/>
    <cellStyle name="Currency 5 2 2 2 3 2 4" xfId="18570" xr:uid="{BBFF44DB-74BF-44B0-A839-C3D00C4B53AB}"/>
    <cellStyle name="Currency 5 2 2 2 3 2 5" xfId="17740" xr:uid="{329FAD32-98AD-4F88-B012-E0CDE0777411}"/>
    <cellStyle name="Currency 5 2 2 2 3 2 6" xfId="9289" xr:uid="{E4224832-D0B4-4195-9D5C-DE44EA1BF6A3}"/>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25345" xr:uid="{87083201-CB8F-412B-91DA-DC7CAF55382B}"/>
    <cellStyle name="Currency 5 2 2 2 3 3 2 2 3" xfId="16065" xr:uid="{0AE80081-CFCC-4BDC-B5DF-69515482A187}"/>
    <cellStyle name="Currency 5 2 2 2 3 3 2 3" xfId="21128" xr:uid="{56B9D82E-54EC-4A58-B5EF-7E2987A9AF04}"/>
    <cellStyle name="Currency 5 2 2 2 3 3 2 4" xfId="11847" xr:uid="{8867C7E4-FBE8-469C-818E-CB8C1719072C}"/>
    <cellStyle name="Currency 5 2 2 2 3 3 3" xfId="5470" xr:uid="{00000000-0005-0000-0000-0000A30B0000}"/>
    <cellStyle name="Currency 5 2 2 2 3 3 3 2" xfId="23200" xr:uid="{80E60FE4-EF56-45CB-BE99-D8FD8B618525}"/>
    <cellStyle name="Currency 5 2 2 2 3 3 3 3" xfId="13920" xr:uid="{DA3D6FDC-05F0-4249-932F-8A731D4FE682}"/>
    <cellStyle name="Currency 5 2 2 2 3 3 4" xfId="18983" xr:uid="{659BD3A8-5686-4389-BFAA-26F6DFE53D4B}"/>
    <cellStyle name="Currency 5 2 2 2 3 3 5" xfId="9702" xr:uid="{AF59BADC-4DFF-4653-AEBB-DB9EAED3CC8C}"/>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25758" xr:uid="{A61F7080-9CC0-433C-B633-33E2BB2A4D78}"/>
    <cellStyle name="Currency 5 2 2 2 3 4 2 2 3" xfId="16478" xr:uid="{392FBFEF-CC35-41F6-83C8-3C1825A2B65D}"/>
    <cellStyle name="Currency 5 2 2 2 3 4 2 3" xfId="21541" xr:uid="{7D9B3635-D4DE-48EC-915A-D877B15B47F1}"/>
    <cellStyle name="Currency 5 2 2 2 3 4 2 4" xfId="12260" xr:uid="{C6CD71FF-726E-4CB6-9A7C-8835285E510C}"/>
    <cellStyle name="Currency 5 2 2 2 3 4 3" xfId="5883" xr:uid="{00000000-0005-0000-0000-0000A70B0000}"/>
    <cellStyle name="Currency 5 2 2 2 3 4 3 2" xfId="23613" xr:uid="{9ECB7507-BE9E-4658-931A-098488216982}"/>
    <cellStyle name="Currency 5 2 2 2 3 4 3 3" xfId="14333" xr:uid="{314D49D1-DAC1-4A4B-8608-DA4974363A5F}"/>
    <cellStyle name="Currency 5 2 2 2 3 4 4" xfId="19396" xr:uid="{3821F4EF-3ECB-4F01-97EE-CA5B141CF074}"/>
    <cellStyle name="Currency 5 2 2 2 3 4 5" xfId="10115" xr:uid="{53F8CBA0-6ADF-4E82-A5BC-6DB5BB37690B}"/>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26171" xr:uid="{C82CD1E4-E9E9-4DDB-A12A-B0AE219023EB}"/>
    <cellStyle name="Currency 5 2 2 2 3 5 2 2 3" xfId="16891" xr:uid="{2FDD8118-6C6B-4062-9217-A2BC71EEE1E7}"/>
    <cellStyle name="Currency 5 2 2 2 3 5 2 3" xfId="21954" xr:uid="{0802F253-D288-4522-ABDA-09814B5E3745}"/>
    <cellStyle name="Currency 5 2 2 2 3 5 2 4" xfId="12673" xr:uid="{D30606DE-D148-418E-A9E3-F0B8991A98DE}"/>
    <cellStyle name="Currency 5 2 2 2 3 5 3" xfId="6296" xr:uid="{00000000-0005-0000-0000-0000AB0B0000}"/>
    <cellStyle name="Currency 5 2 2 2 3 5 3 2" xfId="24026" xr:uid="{2F96504B-E37D-47C3-866F-A66109453E51}"/>
    <cellStyle name="Currency 5 2 2 2 3 5 3 3" xfId="14746" xr:uid="{E580D2C0-1ED4-4FE5-95D2-80376E16FFF2}"/>
    <cellStyle name="Currency 5 2 2 2 3 5 4" xfId="19809" xr:uid="{2C38E62C-7BE2-42E2-BCBC-ADFFFFA156C8}"/>
    <cellStyle name="Currency 5 2 2 2 3 5 5" xfId="10528" xr:uid="{F69428F7-64C1-4D3D-8166-527914B1A495}"/>
    <cellStyle name="Currency 5 2 2 2 3 6" xfId="2425" xr:uid="{00000000-0005-0000-0000-0000AC0B0000}"/>
    <cellStyle name="Currency 5 2 2 2 3 6 2" xfId="6709" xr:uid="{00000000-0005-0000-0000-0000AD0B0000}"/>
    <cellStyle name="Currency 5 2 2 2 3 6 2 2" xfId="24439" xr:uid="{F37DDCB9-4E93-40B7-B208-763F31AB5D21}"/>
    <cellStyle name="Currency 5 2 2 2 3 6 2 3" xfId="15159" xr:uid="{419A96E1-1AE1-4F97-A856-02E3BF729C43}"/>
    <cellStyle name="Currency 5 2 2 2 3 6 3" xfId="20222" xr:uid="{19CA7624-B8C4-46DF-BCB6-A623E83F7F5F}"/>
    <cellStyle name="Currency 5 2 2 2 3 6 4" xfId="10941" xr:uid="{D1133CDF-B05C-485B-A107-0D1EFC180B2F}"/>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24756" xr:uid="{AAF766B1-7DB2-41EE-925E-318F8CA49900}"/>
    <cellStyle name="Currency 5 2 2 2 3 8 2 3" xfId="15476" xr:uid="{0E4233FB-04FD-4C6C-849C-84C82524C149}"/>
    <cellStyle name="Currency 5 2 2 2 3 8 3" xfId="20539" xr:uid="{701C5F30-4280-4D57-A9FC-92E5886557C3}"/>
    <cellStyle name="Currency 5 2 2 2 3 8 4" xfId="11258" xr:uid="{0BC2C28B-DDBD-4C74-B83A-CE17397859D8}"/>
    <cellStyle name="Currency 5 2 2 2 3 9" xfId="4643" xr:uid="{00000000-0005-0000-0000-0000B10B0000}"/>
    <cellStyle name="Currency 5 2 2 2 3 9 2" xfId="22373" xr:uid="{F994BB03-8907-4371-AAC9-FE194E599D19}"/>
    <cellStyle name="Currency 5 2 2 2 3 9 3" xfId="13093" xr:uid="{9C60796F-99EF-4397-B6B7-2E8EE821E36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24929" xr:uid="{D2F622BC-C8C0-415A-931D-054970713E10}"/>
    <cellStyle name="Currency 5 2 2 2 4 2 2 3" xfId="15649" xr:uid="{EDE9CD72-2A17-40B4-B2AB-40F67E994CF7}"/>
    <cellStyle name="Currency 5 2 2 2 4 2 3" xfId="20712" xr:uid="{247244DD-B97C-430F-B0F8-F192A522D898}"/>
    <cellStyle name="Currency 5 2 2 2 4 2 4" xfId="11431" xr:uid="{1150C02B-14C4-45B2-857A-3A465230C31E}"/>
    <cellStyle name="Currency 5 2 2 2 4 3" xfId="5054" xr:uid="{00000000-0005-0000-0000-0000B50B0000}"/>
    <cellStyle name="Currency 5 2 2 2 4 3 2" xfId="22784" xr:uid="{F40FBB47-66EF-407F-951C-37D7C0B67B5B}"/>
    <cellStyle name="Currency 5 2 2 2 4 3 3" xfId="13504" xr:uid="{F3888E67-AAF1-4B25-BCF8-738C7566D564}"/>
    <cellStyle name="Currency 5 2 2 2 4 4" xfId="18567" xr:uid="{5720CF08-DF32-466B-AAE7-45BF1B1171F8}"/>
    <cellStyle name="Currency 5 2 2 2 4 5" xfId="17737" xr:uid="{C32291E4-3FF3-4BD3-9659-8C58520F0C4A}"/>
    <cellStyle name="Currency 5 2 2 2 4 6" xfId="9286" xr:uid="{EC5B169E-6280-4956-8200-22D71DA5C71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25342" xr:uid="{A3AC12E6-A6E0-4874-B00E-324E316A46B9}"/>
    <cellStyle name="Currency 5 2 2 2 5 2 2 3" xfId="16062" xr:uid="{0EEFF28E-988A-443E-B3EE-A4718FFF3A54}"/>
    <cellStyle name="Currency 5 2 2 2 5 2 3" xfId="21125" xr:uid="{07EF64EC-DF7F-41F6-A85E-9984F1C7B6ED}"/>
    <cellStyle name="Currency 5 2 2 2 5 2 4" xfId="11844" xr:uid="{68072E76-B098-441C-A585-3849EE641916}"/>
    <cellStyle name="Currency 5 2 2 2 5 3" xfId="5467" xr:uid="{00000000-0005-0000-0000-0000B90B0000}"/>
    <cellStyle name="Currency 5 2 2 2 5 3 2" xfId="23197" xr:uid="{94E3CCE8-D132-4514-891A-EC35FA140A54}"/>
    <cellStyle name="Currency 5 2 2 2 5 3 3" xfId="13917" xr:uid="{A6507C14-C423-409B-8159-59FA11D92DBB}"/>
    <cellStyle name="Currency 5 2 2 2 5 4" xfId="18980" xr:uid="{394C01E1-333F-4BD0-811C-5FBFB797B3E2}"/>
    <cellStyle name="Currency 5 2 2 2 5 5" xfId="9699" xr:uid="{6BCDC815-F323-4890-965D-B1D621339A69}"/>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25755" xr:uid="{95FB31B5-8D27-440D-B42C-BE34A181BBAE}"/>
    <cellStyle name="Currency 5 2 2 2 6 2 2 3" xfId="16475" xr:uid="{70D15E0D-492D-4D6C-B7D5-F8527035F173}"/>
    <cellStyle name="Currency 5 2 2 2 6 2 3" xfId="21538" xr:uid="{DAB10E7A-EFF7-4B53-9B29-08313250F7A0}"/>
    <cellStyle name="Currency 5 2 2 2 6 2 4" xfId="12257" xr:uid="{B3E3A136-7696-46D9-994B-D73E0C79CF87}"/>
    <cellStyle name="Currency 5 2 2 2 6 3" xfId="5880" xr:uid="{00000000-0005-0000-0000-0000BD0B0000}"/>
    <cellStyle name="Currency 5 2 2 2 6 3 2" xfId="23610" xr:uid="{CDDD8E1D-9455-4C48-8B2E-BAC71CBF7A46}"/>
    <cellStyle name="Currency 5 2 2 2 6 3 3" xfId="14330" xr:uid="{72C7F68F-E16A-4699-B8B2-878CD84B7B29}"/>
    <cellStyle name="Currency 5 2 2 2 6 4" xfId="19393" xr:uid="{70697AB6-E468-459A-A71A-4806D376DFDD}"/>
    <cellStyle name="Currency 5 2 2 2 6 5" xfId="10112" xr:uid="{58C86EA1-D9BA-4339-A262-A160DEEB21EB}"/>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26168" xr:uid="{BD064918-A36C-449C-A617-354E451C6945}"/>
    <cellStyle name="Currency 5 2 2 2 7 2 2 3" xfId="16888" xr:uid="{D8D8EC65-6AB9-44E6-9A61-50733561C94E}"/>
    <cellStyle name="Currency 5 2 2 2 7 2 3" xfId="21951" xr:uid="{6159275C-ED21-4740-B3C0-3217A3B06843}"/>
    <cellStyle name="Currency 5 2 2 2 7 2 4" xfId="12670" xr:uid="{EF474D7F-9C40-4424-A647-067C6E94498F}"/>
    <cellStyle name="Currency 5 2 2 2 7 3" xfId="6293" xr:uid="{00000000-0005-0000-0000-0000C10B0000}"/>
    <cellStyle name="Currency 5 2 2 2 7 3 2" xfId="24023" xr:uid="{8560979B-8A8A-4493-9EDE-B4EC5DD86302}"/>
    <cellStyle name="Currency 5 2 2 2 7 3 3" xfId="14743" xr:uid="{1A1BC5A0-0578-4B2D-96D2-B75782CE6A22}"/>
    <cellStyle name="Currency 5 2 2 2 7 4" xfId="19806" xr:uid="{3FA62D97-B988-43A2-8259-28B7FA17920F}"/>
    <cellStyle name="Currency 5 2 2 2 7 5" xfId="10525" xr:uid="{386E386A-54CF-4912-8B72-05C6123A40EB}"/>
    <cellStyle name="Currency 5 2 2 2 8" xfId="2422" xr:uid="{00000000-0005-0000-0000-0000C20B0000}"/>
    <cellStyle name="Currency 5 2 2 2 8 2" xfId="6706" xr:uid="{00000000-0005-0000-0000-0000C30B0000}"/>
    <cellStyle name="Currency 5 2 2 2 8 2 2" xfId="24436" xr:uid="{04451BBA-BA09-47B8-89B7-EDBDA71B0ADD}"/>
    <cellStyle name="Currency 5 2 2 2 8 2 3" xfId="15156" xr:uid="{3806C7F3-C60E-4612-86B4-9459553BC763}"/>
    <cellStyle name="Currency 5 2 2 2 8 3" xfId="20219" xr:uid="{10F04069-7A91-4ACE-A41A-6EB02773685B}"/>
    <cellStyle name="Currency 5 2 2 2 8 4" xfId="10938" xr:uid="{C6C20439-4770-455F-8853-F0309A6AA747}"/>
    <cellStyle name="Currency 5 2 2 2 9" xfId="2719" xr:uid="{00000000-0005-0000-0000-0000C40B0000}"/>
    <cellStyle name="Currency 5 2 2 3" xfId="200" xr:uid="{00000000-0005-0000-0000-0000C50B0000}"/>
    <cellStyle name="Currency 5 2 2 3 10" xfId="4644" xr:uid="{00000000-0005-0000-0000-0000C60B0000}"/>
    <cellStyle name="Currency 5 2 2 3 10 2" xfId="22374" xr:uid="{B12AD667-24FB-47C0-AE28-41165E9C59DC}"/>
    <cellStyle name="Currency 5 2 2 3 10 3" xfId="13094" xr:uid="{28FFAC10-E997-434D-A673-60EA6B037B0B}"/>
    <cellStyle name="Currency 5 2 2 3 11" xfId="18157" xr:uid="{28E62820-D929-4706-BC72-17D9F74FBEE6}"/>
    <cellStyle name="Currency 5 2 2 3 12" xfId="17324" xr:uid="{84983FE6-1269-4D88-8D93-075CC58F1A37}"/>
    <cellStyle name="Currency 5 2 2 3 13" xfId="8876" xr:uid="{95FAD544-EFD4-4100-96F0-278E3BAB2C16}"/>
    <cellStyle name="Currency 5 2 2 3 2" xfId="201" xr:uid="{00000000-0005-0000-0000-0000C70B0000}"/>
    <cellStyle name="Currency 5 2 2 3 2 10" xfId="18158" xr:uid="{CEE516F5-628E-44F7-BF57-E943BF408221}"/>
    <cellStyle name="Currency 5 2 2 3 2 11" xfId="17325" xr:uid="{A7A2DE3B-E1EF-4B8A-AB98-06B3F0039FD2}"/>
    <cellStyle name="Currency 5 2 2 3 2 12" xfId="8877" xr:uid="{76A841ED-8ED4-411D-8C75-0ADF53C0606A}"/>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24934" xr:uid="{B947CAE0-C19C-492A-AA5D-AE0C726FD3F4}"/>
    <cellStyle name="Currency 5 2 2 3 2 2 2 2 3" xfId="15654" xr:uid="{7B909AF0-414A-4997-9B03-902A99A76D52}"/>
    <cellStyle name="Currency 5 2 2 3 2 2 2 3" xfId="20717" xr:uid="{B48CF566-51A8-4D0B-8E0D-96AB562BF6CA}"/>
    <cellStyle name="Currency 5 2 2 3 2 2 2 4" xfId="11436" xr:uid="{9931A6F0-3A7C-493A-9C7D-8BE4E1AC9C88}"/>
    <cellStyle name="Currency 5 2 2 3 2 2 3" xfId="5059" xr:uid="{00000000-0005-0000-0000-0000CB0B0000}"/>
    <cellStyle name="Currency 5 2 2 3 2 2 3 2" xfId="22789" xr:uid="{0C22A698-91E1-44A7-A4C0-9402B1724F41}"/>
    <cellStyle name="Currency 5 2 2 3 2 2 3 3" xfId="13509" xr:uid="{7CC18CEA-8779-4D23-95BD-42CCEBB319ED}"/>
    <cellStyle name="Currency 5 2 2 3 2 2 4" xfId="18572" xr:uid="{D171B5F2-9223-4A6F-85D4-6DD8ABD2291A}"/>
    <cellStyle name="Currency 5 2 2 3 2 2 5" xfId="17742" xr:uid="{98D9E8CD-E10C-4E64-AD6C-722838ED6810}"/>
    <cellStyle name="Currency 5 2 2 3 2 2 6" xfId="9291" xr:uid="{9FB34059-AED7-4394-AD5A-A678F8BE7FD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25347" xr:uid="{0CD1E5C5-DA46-47D4-8345-A3426024E2F8}"/>
    <cellStyle name="Currency 5 2 2 3 2 3 2 2 3" xfId="16067" xr:uid="{0F1BF13C-0E87-4746-9597-73551F9AD60E}"/>
    <cellStyle name="Currency 5 2 2 3 2 3 2 3" xfId="21130" xr:uid="{B18902F9-D491-4462-BAB9-C45D5E78AAB1}"/>
    <cellStyle name="Currency 5 2 2 3 2 3 2 4" xfId="11849" xr:uid="{0CAB7ACD-E11E-4EE9-9492-8FD41994336B}"/>
    <cellStyle name="Currency 5 2 2 3 2 3 3" xfId="5472" xr:uid="{00000000-0005-0000-0000-0000CF0B0000}"/>
    <cellStyle name="Currency 5 2 2 3 2 3 3 2" xfId="23202" xr:uid="{63E4F35F-67D5-456D-BB9B-FD9D2695DD45}"/>
    <cellStyle name="Currency 5 2 2 3 2 3 3 3" xfId="13922" xr:uid="{837B8305-7B7E-444D-84C6-14EF112A8810}"/>
    <cellStyle name="Currency 5 2 2 3 2 3 4" xfId="18985" xr:uid="{170FAA4B-3A10-435A-8CDE-BC9539E24C6A}"/>
    <cellStyle name="Currency 5 2 2 3 2 3 5" xfId="9704" xr:uid="{C706C522-140F-4CDE-91BB-6A4E99D61CD8}"/>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25760" xr:uid="{08B3A7EE-93A2-4B51-AADA-157580B2F9F0}"/>
    <cellStyle name="Currency 5 2 2 3 2 4 2 2 3" xfId="16480" xr:uid="{86B348B5-1204-4D67-919E-69C7D6CABA42}"/>
    <cellStyle name="Currency 5 2 2 3 2 4 2 3" xfId="21543" xr:uid="{C428FC1D-4874-4A3E-ACEB-18E34757B97E}"/>
    <cellStyle name="Currency 5 2 2 3 2 4 2 4" xfId="12262" xr:uid="{A2D27467-3768-4180-83D6-A762245AD04F}"/>
    <cellStyle name="Currency 5 2 2 3 2 4 3" xfId="5885" xr:uid="{00000000-0005-0000-0000-0000D30B0000}"/>
    <cellStyle name="Currency 5 2 2 3 2 4 3 2" xfId="23615" xr:uid="{24B91FBE-F28F-4ACD-8A8E-54CEC767C278}"/>
    <cellStyle name="Currency 5 2 2 3 2 4 3 3" xfId="14335" xr:uid="{AA355FA6-6A67-40FB-ADB7-A5252EF81045}"/>
    <cellStyle name="Currency 5 2 2 3 2 4 4" xfId="19398" xr:uid="{C7D9C533-ECF6-4136-B7DC-ACC44EBA33FD}"/>
    <cellStyle name="Currency 5 2 2 3 2 4 5" xfId="10117" xr:uid="{1B2BDA7C-1AEF-4F1B-A4BC-D071B7181B7B}"/>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26173" xr:uid="{6D1EFDEB-04B2-4BE2-B12E-81A288B0EA76}"/>
    <cellStyle name="Currency 5 2 2 3 2 5 2 2 3" xfId="16893" xr:uid="{584904CD-D5CC-4396-9A91-46A25ACF6C7B}"/>
    <cellStyle name="Currency 5 2 2 3 2 5 2 3" xfId="21956" xr:uid="{D5E6177B-5E9B-4094-A9D4-EFD7D10E828A}"/>
    <cellStyle name="Currency 5 2 2 3 2 5 2 4" xfId="12675" xr:uid="{4EECA644-0E3E-4998-8178-FE7AE859991E}"/>
    <cellStyle name="Currency 5 2 2 3 2 5 3" xfId="6298" xr:uid="{00000000-0005-0000-0000-0000D70B0000}"/>
    <cellStyle name="Currency 5 2 2 3 2 5 3 2" xfId="24028" xr:uid="{9A9F438E-2F8A-4F2C-8A63-AFC66BF12BFB}"/>
    <cellStyle name="Currency 5 2 2 3 2 5 3 3" xfId="14748" xr:uid="{FA29893A-81EB-42FF-BAAB-2C6F5CBB2162}"/>
    <cellStyle name="Currency 5 2 2 3 2 5 4" xfId="19811" xr:uid="{21710BA7-A365-4215-AD57-8047D032530E}"/>
    <cellStyle name="Currency 5 2 2 3 2 5 5" xfId="10530" xr:uid="{94A9CAEF-0306-4F10-91DF-520D368A85F8}"/>
    <cellStyle name="Currency 5 2 2 3 2 6" xfId="2427" xr:uid="{00000000-0005-0000-0000-0000D80B0000}"/>
    <cellStyle name="Currency 5 2 2 3 2 6 2" xfId="6711" xr:uid="{00000000-0005-0000-0000-0000D90B0000}"/>
    <cellStyle name="Currency 5 2 2 3 2 6 2 2" xfId="24441" xr:uid="{0AD53FCE-ECD4-4CD2-9194-61EA83C13E69}"/>
    <cellStyle name="Currency 5 2 2 3 2 6 2 3" xfId="15161" xr:uid="{BE8F1E8C-2176-49F3-ACEA-1CF1A0B7195D}"/>
    <cellStyle name="Currency 5 2 2 3 2 6 3" xfId="20224" xr:uid="{CDB4A22D-2D97-4988-92EB-6D99BE38A472}"/>
    <cellStyle name="Currency 5 2 2 3 2 6 4" xfId="10943" xr:uid="{10725399-7515-4E79-B626-860EC6D601BA}"/>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24758" xr:uid="{F0736528-2E6B-4313-A854-D561E8E67A01}"/>
    <cellStyle name="Currency 5 2 2 3 2 8 2 3" xfId="15478" xr:uid="{F1898205-8612-4301-BCAE-2C1F415D03BA}"/>
    <cellStyle name="Currency 5 2 2 3 2 8 3" xfId="20541" xr:uid="{D79846B6-BEA1-4FB4-9588-512C3AA444DC}"/>
    <cellStyle name="Currency 5 2 2 3 2 8 4" xfId="11260" xr:uid="{7F97C44F-EE46-407A-B9CC-D13796655033}"/>
    <cellStyle name="Currency 5 2 2 3 2 9" xfId="4645" xr:uid="{00000000-0005-0000-0000-0000DD0B0000}"/>
    <cellStyle name="Currency 5 2 2 3 2 9 2" xfId="22375" xr:uid="{E77BD2F3-4A0E-4C50-89DE-470726652666}"/>
    <cellStyle name="Currency 5 2 2 3 2 9 3" xfId="13095" xr:uid="{82B85B50-0DF3-492B-AB12-3FC04E492E8F}"/>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24933" xr:uid="{154879AE-69C7-499A-A475-4E3E144D815D}"/>
    <cellStyle name="Currency 5 2 2 3 3 2 2 3" xfId="15653" xr:uid="{E8044BB7-DA0A-42B1-B0C0-FF1D9E1298E2}"/>
    <cellStyle name="Currency 5 2 2 3 3 2 3" xfId="20716" xr:uid="{56E2638E-5088-4091-892B-BD4A6886E0B1}"/>
    <cellStyle name="Currency 5 2 2 3 3 2 4" xfId="11435" xr:uid="{877FB4C3-50F0-4BA0-BEE3-74E049038C1B}"/>
    <cellStyle name="Currency 5 2 2 3 3 3" xfId="5058" xr:uid="{00000000-0005-0000-0000-0000E10B0000}"/>
    <cellStyle name="Currency 5 2 2 3 3 3 2" xfId="22788" xr:uid="{21566F34-380D-4929-B84F-FDF6E8177E59}"/>
    <cellStyle name="Currency 5 2 2 3 3 3 3" xfId="13508" xr:uid="{1AB3524E-2E27-43E8-AA34-CF783BD70444}"/>
    <cellStyle name="Currency 5 2 2 3 3 4" xfId="18571" xr:uid="{794097ED-D5CC-496C-AC5F-13A85DDB932D}"/>
    <cellStyle name="Currency 5 2 2 3 3 5" xfId="17741" xr:uid="{AF10D5EA-CAAE-45ED-8100-07299F82D4CA}"/>
    <cellStyle name="Currency 5 2 2 3 3 6" xfId="9290" xr:uid="{C09B4F92-5ABE-492F-AF6B-805530EEE12C}"/>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25346" xr:uid="{5C7E0908-960D-41EA-8772-E4AB6B795005}"/>
    <cellStyle name="Currency 5 2 2 3 4 2 2 3" xfId="16066" xr:uid="{4E9F5276-D123-4172-9EAB-465FF3F43C44}"/>
    <cellStyle name="Currency 5 2 2 3 4 2 3" xfId="21129" xr:uid="{683AF2C5-12AC-4B8C-872F-97E621CD590E}"/>
    <cellStyle name="Currency 5 2 2 3 4 2 4" xfId="11848" xr:uid="{4371D3DE-616E-442A-B4FF-76B312B90AFD}"/>
    <cellStyle name="Currency 5 2 2 3 4 3" xfId="5471" xr:uid="{00000000-0005-0000-0000-0000E50B0000}"/>
    <cellStyle name="Currency 5 2 2 3 4 3 2" xfId="23201" xr:uid="{D65183BB-2470-400A-8E18-74CAAF9E71A4}"/>
    <cellStyle name="Currency 5 2 2 3 4 3 3" xfId="13921" xr:uid="{C920A275-AAC2-40AF-A0D0-7F7DA258DC85}"/>
    <cellStyle name="Currency 5 2 2 3 4 4" xfId="18984" xr:uid="{4F645B3E-17B8-45C9-A605-8540015C536F}"/>
    <cellStyle name="Currency 5 2 2 3 4 5" xfId="9703" xr:uid="{4F16BE74-F01B-423A-9140-D3CF77712D5D}"/>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25759" xr:uid="{60CF5FE8-F694-4B62-A553-3A8297E40067}"/>
    <cellStyle name="Currency 5 2 2 3 5 2 2 3" xfId="16479" xr:uid="{FAA03C8D-B198-475A-B6A2-594AE3859959}"/>
    <cellStyle name="Currency 5 2 2 3 5 2 3" xfId="21542" xr:uid="{8743D613-01AA-49AB-BD3F-E9058A711223}"/>
    <cellStyle name="Currency 5 2 2 3 5 2 4" xfId="12261" xr:uid="{FC861CC5-DCA8-4333-A3BB-9208052934CE}"/>
    <cellStyle name="Currency 5 2 2 3 5 3" xfId="5884" xr:uid="{00000000-0005-0000-0000-0000E90B0000}"/>
    <cellStyle name="Currency 5 2 2 3 5 3 2" xfId="23614" xr:uid="{882A196E-A319-4F48-B5F6-8D3936D2FA44}"/>
    <cellStyle name="Currency 5 2 2 3 5 3 3" xfId="14334" xr:uid="{247A677F-0E6C-4C8B-ACDD-805381B3B97D}"/>
    <cellStyle name="Currency 5 2 2 3 5 4" xfId="19397" xr:uid="{9D8F10E3-7F70-4650-9437-03606814EAAD}"/>
    <cellStyle name="Currency 5 2 2 3 5 5" xfId="10116" xr:uid="{7F8E577B-3F87-44AC-8A65-C05CF70CC09F}"/>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26172" xr:uid="{16ED4053-AC0D-48E1-914A-93BD822A8C49}"/>
    <cellStyle name="Currency 5 2 2 3 6 2 2 3" xfId="16892" xr:uid="{EDE5E5F3-3569-4D82-A8E3-D8D1E438B78F}"/>
    <cellStyle name="Currency 5 2 2 3 6 2 3" xfId="21955" xr:uid="{0FBAE8A0-E0AC-4C7B-86FC-B02E7D7CD8CD}"/>
    <cellStyle name="Currency 5 2 2 3 6 2 4" xfId="12674" xr:uid="{B8AE5806-45AF-4522-943A-EBB6A79B7050}"/>
    <cellStyle name="Currency 5 2 2 3 6 3" xfId="6297" xr:uid="{00000000-0005-0000-0000-0000ED0B0000}"/>
    <cellStyle name="Currency 5 2 2 3 6 3 2" xfId="24027" xr:uid="{4648FDD4-2D74-4F21-B614-BC2D24C37FAC}"/>
    <cellStyle name="Currency 5 2 2 3 6 3 3" xfId="14747" xr:uid="{F66ED0AA-84EF-47CB-BFD4-3167482B3C9D}"/>
    <cellStyle name="Currency 5 2 2 3 6 4" xfId="19810" xr:uid="{6AB2D41F-6F80-49AF-960C-E5D1AE3C929E}"/>
    <cellStyle name="Currency 5 2 2 3 6 5" xfId="10529" xr:uid="{F168E186-E34C-40D8-881F-63C4B312CEA2}"/>
    <cellStyle name="Currency 5 2 2 3 7" xfId="2426" xr:uid="{00000000-0005-0000-0000-0000EE0B0000}"/>
    <cellStyle name="Currency 5 2 2 3 7 2" xfId="6710" xr:uid="{00000000-0005-0000-0000-0000EF0B0000}"/>
    <cellStyle name="Currency 5 2 2 3 7 2 2" xfId="24440" xr:uid="{2D10B1B4-E547-4764-BA72-D89B98F1FC96}"/>
    <cellStyle name="Currency 5 2 2 3 7 2 3" xfId="15160" xr:uid="{211EC440-8444-4547-A0FD-1E419FCA3449}"/>
    <cellStyle name="Currency 5 2 2 3 7 3" xfId="20223" xr:uid="{6657C2F7-531C-4F77-BDCD-426E5199E3FB}"/>
    <cellStyle name="Currency 5 2 2 3 7 4" xfId="10942" xr:uid="{8EC413E5-C9AD-4C9E-B754-66F8D588720C}"/>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24757" xr:uid="{B79272DE-6ACD-44CD-A276-5051D65389ED}"/>
    <cellStyle name="Currency 5 2 2 3 9 2 3" xfId="15477" xr:uid="{CFFDF412-E9FD-4605-B29B-B77853099B50}"/>
    <cellStyle name="Currency 5 2 2 3 9 3" xfId="20540" xr:uid="{CA9209A3-BD3F-4965-8CE6-42A66CEA9855}"/>
    <cellStyle name="Currency 5 2 2 3 9 4" xfId="11259" xr:uid="{9D830E90-1190-4FDB-9AFF-27ADA03BEDA0}"/>
    <cellStyle name="Currency 5 2 2 4" xfId="202" xr:uid="{00000000-0005-0000-0000-0000F30B0000}"/>
    <cellStyle name="Currency 5 2 2 4 10" xfId="18159" xr:uid="{847631B9-924E-4682-8B09-7CDD29B3302F}"/>
    <cellStyle name="Currency 5 2 2 4 11" xfId="17326" xr:uid="{EFB33B2B-4D55-4E5D-8939-9601B3DB765B}"/>
    <cellStyle name="Currency 5 2 2 4 12" xfId="8878" xr:uid="{A3B7E2FF-67A3-4777-A807-7B047AB07387}"/>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24935" xr:uid="{48AA5016-93F8-4465-AF1B-2E41AA06C01F}"/>
    <cellStyle name="Currency 5 2 2 4 2 2 2 3" xfId="15655" xr:uid="{C4C887B9-7225-4CE6-95DA-EB65C42BBF4F}"/>
    <cellStyle name="Currency 5 2 2 4 2 2 3" xfId="20718" xr:uid="{05B750A4-531A-44F6-9FEA-7E1F746B1DE9}"/>
    <cellStyle name="Currency 5 2 2 4 2 2 4" xfId="11437" xr:uid="{914FB9F3-CA8A-4C90-A1A8-05D79EE1FB72}"/>
    <cellStyle name="Currency 5 2 2 4 2 3" xfId="5060" xr:uid="{00000000-0005-0000-0000-0000F70B0000}"/>
    <cellStyle name="Currency 5 2 2 4 2 3 2" xfId="22790" xr:uid="{B104DA3B-2F7F-4D8C-90D2-F925C8B55B59}"/>
    <cellStyle name="Currency 5 2 2 4 2 3 3" xfId="13510" xr:uid="{0419C9D0-4B7D-4DED-8605-B96CF33714BA}"/>
    <cellStyle name="Currency 5 2 2 4 2 4" xfId="18573" xr:uid="{173AF2B8-243A-4CC1-92DA-B02BA17ECA12}"/>
    <cellStyle name="Currency 5 2 2 4 2 5" xfId="17743" xr:uid="{C2531F36-D6ED-47AD-A1D6-7B0620BC0151}"/>
    <cellStyle name="Currency 5 2 2 4 2 6" xfId="9292" xr:uid="{E7B8D182-AE50-4C06-8A42-AB89C76EDB16}"/>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25348" xr:uid="{644403E3-EC90-47A0-97C2-47ED9A10672F}"/>
    <cellStyle name="Currency 5 2 2 4 3 2 2 3" xfId="16068" xr:uid="{106C029E-E68A-4C90-A3C5-EEBD044A0547}"/>
    <cellStyle name="Currency 5 2 2 4 3 2 3" xfId="21131" xr:uid="{5A329964-6E40-43D9-AECE-D7207ACF1F01}"/>
    <cellStyle name="Currency 5 2 2 4 3 2 4" xfId="11850" xr:uid="{AA95C96D-D7F2-41BA-8EB0-C03817D4BA1F}"/>
    <cellStyle name="Currency 5 2 2 4 3 3" xfId="5473" xr:uid="{00000000-0005-0000-0000-0000FB0B0000}"/>
    <cellStyle name="Currency 5 2 2 4 3 3 2" xfId="23203" xr:uid="{3FD06F6B-0B54-484F-83DC-1F18E571B9C3}"/>
    <cellStyle name="Currency 5 2 2 4 3 3 3" xfId="13923" xr:uid="{84746A73-D984-483D-95FD-6F59B6FECF53}"/>
    <cellStyle name="Currency 5 2 2 4 3 4" xfId="18986" xr:uid="{F0306467-2BBC-4BD7-8633-CBC7CD0A8023}"/>
    <cellStyle name="Currency 5 2 2 4 3 5" xfId="9705" xr:uid="{922BA15C-BFB0-4768-B4E4-AE41B38083A7}"/>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25761" xr:uid="{3F2A7B2C-8AEA-4C3D-A66C-1E347781D4FC}"/>
    <cellStyle name="Currency 5 2 2 4 4 2 2 3" xfId="16481" xr:uid="{96F8B14E-8F70-4E5A-A260-22D771129BE9}"/>
    <cellStyle name="Currency 5 2 2 4 4 2 3" xfId="21544" xr:uid="{3D957124-D64C-43D7-BA8F-16824D537475}"/>
    <cellStyle name="Currency 5 2 2 4 4 2 4" xfId="12263" xr:uid="{F41E0D7F-6B1C-43EC-9E97-3DFC3A8520D1}"/>
    <cellStyle name="Currency 5 2 2 4 4 3" xfId="5886" xr:uid="{00000000-0005-0000-0000-0000FF0B0000}"/>
    <cellStyle name="Currency 5 2 2 4 4 3 2" xfId="23616" xr:uid="{90AC805A-1DBD-4054-9246-9AEF16BE4847}"/>
    <cellStyle name="Currency 5 2 2 4 4 3 3" xfId="14336" xr:uid="{345A1792-6F45-48FD-BA84-ED39784B7FB0}"/>
    <cellStyle name="Currency 5 2 2 4 4 4" xfId="19399" xr:uid="{F4657BB2-098C-4125-93CD-F00BD6C176F1}"/>
    <cellStyle name="Currency 5 2 2 4 4 5" xfId="10118" xr:uid="{947B13FE-F444-4E79-8910-B89DC795BFE2}"/>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26174" xr:uid="{506A005E-9D31-47E2-B0BA-E7CCEA039D3F}"/>
    <cellStyle name="Currency 5 2 2 4 5 2 2 3" xfId="16894" xr:uid="{2EE35A34-EDEF-441E-BB97-EB4FD1818A29}"/>
    <cellStyle name="Currency 5 2 2 4 5 2 3" xfId="21957" xr:uid="{C6CAE4E5-4D3E-4771-843F-FB3746D4BE76}"/>
    <cellStyle name="Currency 5 2 2 4 5 2 4" xfId="12676" xr:uid="{F2BB53E3-1B1A-4CA7-9736-3C38AA83592E}"/>
    <cellStyle name="Currency 5 2 2 4 5 3" xfId="6299" xr:uid="{00000000-0005-0000-0000-0000030C0000}"/>
    <cellStyle name="Currency 5 2 2 4 5 3 2" xfId="24029" xr:uid="{781DEAE2-A2DA-46D8-BA62-2E510503B6ED}"/>
    <cellStyle name="Currency 5 2 2 4 5 3 3" xfId="14749" xr:uid="{56AC896B-528F-4771-81DB-9D5ACCDA6B08}"/>
    <cellStyle name="Currency 5 2 2 4 5 4" xfId="19812" xr:uid="{3E5C6191-BAD3-4AEE-A052-C8A1FD6101A6}"/>
    <cellStyle name="Currency 5 2 2 4 5 5" xfId="10531" xr:uid="{9B6EA458-E6C7-49AF-979E-0C0E3142A774}"/>
    <cellStyle name="Currency 5 2 2 4 6" xfId="2428" xr:uid="{00000000-0005-0000-0000-0000040C0000}"/>
    <cellStyle name="Currency 5 2 2 4 6 2" xfId="6712" xr:uid="{00000000-0005-0000-0000-0000050C0000}"/>
    <cellStyle name="Currency 5 2 2 4 6 2 2" xfId="24442" xr:uid="{7E53C862-8705-47C0-9285-9D731AC1DDE8}"/>
    <cellStyle name="Currency 5 2 2 4 6 2 3" xfId="15162" xr:uid="{0B5EB41C-F4F5-433E-9939-AB60210A79A0}"/>
    <cellStyle name="Currency 5 2 2 4 6 3" xfId="20225" xr:uid="{84163295-BFA1-48F3-BA98-190737621DAE}"/>
    <cellStyle name="Currency 5 2 2 4 6 4" xfId="10944" xr:uid="{51B6C28A-B042-4707-BD87-B2B8CCD7D427}"/>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24759" xr:uid="{29D71974-8C76-490B-9E90-729A93426C63}"/>
    <cellStyle name="Currency 5 2 2 4 8 2 3" xfId="15479" xr:uid="{F624845E-298E-4CE6-91AE-C9124DCDCB9F}"/>
    <cellStyle name="Currency 5 2 2 4 8 3" xfId="20542" xr:uid="{CD32B2DA-6A73-4661-878B-88630955DE20}"/>
    <cellStyle name="Currency 5 2 2 4 8 4" xfId="11261" xr:uid="{E541862D-0473-4DC3-B0C5-89E10C142DAF}"/>
    <cellStyle name="Currency 5 2 2 4 9" xfId="4646" xr:uid="{00000000-0005-0000-0000-0000090C0000}"/>
    <cellStyle name="Currency 5 2 2 4 9 2" xfId="22376" xr:uid="{2DF7D556-194F-4419-93F0-52ECF0997A3E}"/>
    <cellStyle name="Currency 5 2 2 4 9 3" xfId="13096" xr:uid="{BA1D304D-FA93-475F-9B78-66253D18C0F9}"/>
    <cellStyle name="Currency 5 2 2 5" xfId="203" xr:uid="{00000000-0005-0000-0000-00000A0C0000}"/>
    <cellStyle name="Currency 5 2 2 5 10" xfId="18160" xr:uid="{59093746-9AC1-4389-BEAB-F53352019AAE}"/>
    <cellStyle name="Currency 5 2 2 5 11" xfId="17327" xr:uid="{2F78ECF0-13DC-4E8D-859F-FA02D93F3968}"/>
    <cellStyle name="Currency 5 2 2 5 12" xfId="8879" xr:uid="{BA9DD223-A8BA-4FBC-A785-DDB3E5BC4D1E}"/>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24936" xr:uid="{F994C31A-7E22-485E-AC19-1D3F56C532FE}"/>
    <cellStyle name="Currency 5 2 2 5 2 2 2 3" xfId="15656" xr:uid="{96D5D06A-CA0E-4815-B0FF-69F1454A634B}"/>
    <cellStyle name="Currency 5 2 2 5 2 2 3" xfId="20719" xr:uid="{1574F27B-997F-4F56-8883-A18B581DD1F5}"/>
    <cellStyle name="Currency 5 2 2 5 2 2 4" xfId="11438" xr:uid="{7683E7B3-BDC0-4611-AFB3-590F6F7A8DEB}"/>
    <cellStyle name="Currency 5 2 2 5 2 3" xfId="5061" xr:uid="{00000000-0005-0000-0000-00000E0C0000}"/>
    <cellStyle name="Currency 5 2 2 5 2 3 2" xfId="22791" xr:uid="{C9D50F04-29F8-41CD-8423-FD3205D65AA5}"/>
    <cellStyle name="Currency 5 2 2 5 2 3 3" xfId="13511" xr:uid="{C950FB9E-75FD-49DD-82DB-8F59F07C23C4}"/>
    <cellStyle name="Currency 5 2 2 5 2 4" xfId="18574" xr:uid="{E326ED34-935D-40F5-A8D2-C215FDE5EC2F}"/>
    <cellStyle name="Currency 5 2 2 5 2 5" xfId="17744" xr:uid="{53F59CA8-8AEF-487A-A470-B62952CB0924}"/>
    <cellStyle name="Currency 5 2 2 5 2 6" xfId="9293" xr:uid="{3F95A52C-8B9A-4F81-920D-75BB426E107C}"/>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25349" xr:uid="{952C010E-A1B0-4E5F-86CF-BA8C7517CF82}"/>
    <cellStyle name="Currency 5 2 2 5 3 2 2 3" xfId="16069" xr:uid="{476C9D2C-EDC5-45E8-8397-B234A08948A2}"/>
    <cellStyle name="Currency 5 2 2 5 3 2 3" xfId="21132" xr:uid="{94CA8D20-FE0E-4D3C-9EB3-F88818B1C86D}"/>
    <cellStyle name="Currency 5 2 2 5 3 2 4" xfId="11851" xr:uid="{0A23D364-F028-4FCA-8843-CF77478E0D7C}"/>
    <cellStyle name="Currency 5 2 2 5 3 3" xfId="5474" xr:uid="{00000000-0005-0000-0000-0000120C0000}"/>
    <cellStyle name="Currency 5 2 2 5 3 3 2" xfId="23204" xr:uid="{C7B0F91D-A9EB-4864-8D8B-6F0D01B84581}"/>
    <cellStyle name="Currency 5 2 2 5 3 3 3" xfId="13924" xr:uid="{84EB30B3-423F-4AF8-8D9B-39F6D8D5BCFF}"/>
    <cellStyle name="Currency 5 2 2 5 3 4" xfId="18987" xr:uid="{19534B1D-834B-453C-9566-A0EE7997D020}"/>
    <cellStyle name="Currency 5 2 2 5 3 5" xfId="9706" xr:uid="{EB940273-4B53-43FF-9F6B-2CE3CCBF2D8D}"/>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25762" xr:uid="{504F0DCB-5620-4F5B-B599-17C9D622DAE9}"/>
    <cellStyle name="Currency 5 2 2 5 4 2 2 3" xfId="16482" xr:uid="{3BF9AE31-CF48-477E-8E91-BBC74DEEEBD9}"/>
    <cellStyle name="Currency 5 2 2 5 4 2 3" xfId="21545" xr:uid="{8F98E70C-E0D5-4292-8F0A-BB6FA096F0BF}"/>
    <cellStyle name="Currency 5 2 2 5 4 2 4" xfId="12264" xr:uid="{4C45FF5A-044C-4EDF-80AA-D674804E8AE5}"/>
    <cellStyle name="Currency 5 2 2 5 4 3" xfId="5887" xr:uid="{00000000-0005-0000-0000-0000160C0000}"/>
    <cellStyle name="Currency 5 2 2 5 4 3 2" xfId="23617" xr:uid="{11B504A5-84C5-403E-99EE-98FA39A0D987}"/>
    <cellStyle name="Currency 5 2 2 5 4 3 3" xfId="14337" xr:uid="{64EF93EB-D506-420E-8E8C-7F1EC37CF3F6}"/>
    <cellStyle name="Currency 5 2 2 5 4 4" xfId="19400" xr:uid="{6E5C4C45-FCFF-4294-B4BA-1B393640AFED}"/>
    <cellStyle name="Currency 5 2 2 5 4 5" xfId="10119" xr:uid="{C6924DA2-6E53-4A3F-A7D4-7E6221BB20C9}"/>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26175" xr:uid="{16908543-BF93-4B18-A4AB-B25D74BB0F7A}"/>
    <cellStyle name="Currency 5 2 2 5 5 2 2 3" xfId="16895" xr:uid="{CB0AF4D3-CAD9-4C45-8AD8-3C75933C7D0F}"/>
    <cellStyle name="Currency 5 2 2 5 5 2 3" xfId="21958" xr:uid="{0669C789-6A5A-46F4-A043-7E3E03336267}"/>
    <cellStyle name="Currency 5 2 2 5 5 2 4" xfId="12677" xr:uid="{A87996BC-DED3-49AA-9831-83AAEC547E4E}"/>
    <cellStyle name="Currency 5 2 2 5 5 3" xfId="6300" xr:uid="{00000000-0005-0000-0000-00001A0C0000}"/>
    <cellStyle name="Currency 5 2 2 5 5 3 2" xfId="24030" xr:uid="{95F8D923-27D1-411E-9BD6-7EB5BD2AEC92}"/>
    <cellStyle name="Currency 5 2 2 5 5 3 3" xfId="14750" xr:uid="{F574E439-681D-470C-B570-7AFCE6082AE5}"/>
    <cellStyle name="Currency 5 2 2 5 5 4" xfId="19813" xr:uid="{4DF15945-85E6-4143-834E-3308EA988359}"/>
    <cellStyle name="Currency 5 2 2 5 5 5" xfId="10532" xr:uid="{DB6516E3-26FC-4717-BFB4-46EC2D3168F5}"/>
    <cellStyle name="Currency 5 2 2 5 6" xfId="2429" xr:uid="{00000000-0005-0000-0000-00001B0C0000}"/>
    <cellStyle name="Currency 5 2 2 5 6 2" xfId="6713" xr:uid="{00000000-0005-0000-0000-00001C0C0000}"/>
    <cellStyle name="Currency 5 2 2 5 6 2 2" xfId="24443" xr:uid="{8EBC588A-EE1E-4F33-975F-DFCB51E93043}"/>
    <cellStyle name="Currency 5 2 2 5 6 2 3" xfId="15163" xr:uid="{D587B76A-DF88-46F6-B377-3500E6E15912}"/>
    <cellStyle name="Currency 5 2 2 5 6 3" xfId="20226" xr:uid="{7C86AB60-F181-4572-9E86-1D08F7A6F5C4}"/>
    <cellStyle name="Currency 5 2 2 5 6 4" xfId="10945" xr:uid="{584A65D0-C829-4A21-8483-22C1FF87E24F}"/>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24760" xr:uid="{2BD2B2E1-FF0B-4408-9340-340B701DEFE7}"/>
    <cellStyle name="Currency 5 2 2 5 8 2 3" xfId="15480" xr:uid="{80B576A9-F0BB-4B28-B104-DF218DEDE24E}"/>
    <cellStyle name="Currency 5 2 2 5 8 3" xfId="20543" xr:uid="{186B5A22-0D54-460C-971D-399FEE0EEF5C}"/>
    <cellStyle name="Currency 5 2 2 5 8 4" xfId="11262" xr:uid="{7F3B3100-47F3-44D5-B3EC-F6A0A2E9AB89}"/>
    <cellStyle name="Currency 5 2 2 5 9" xfId="4647" xr:uid="{00000000-0005-0000-0000-0000200C0000}"/>
    <cellStyle name="Currency 5 2 2 5 9 2" xfId="22377" xr:uid="{BE128B7F-9DD4-491C-8374-303EBB6020F5}"/>
    <cellStyle name="Currency 5 2 2 5 9 3" xfId="13097" xr:uid="{D982579B-8183-4FA5-962E-9696D1A4B26E}"/>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22378" xr:uid="{96494379-AE50-47DF-8FB8-A3FF5E99C517}"/>
    <cellStyle name="Currency 5 2 4 10 3" xfId="13098" xr:uid="{DF6458BD-CF0F-4754-8589-35E726164BB4}"/>
    <cellStyle name="Currency 5 2 4 11" xfId="18161" xr:uid="{BFCF6D24-C6F3-4D1D-A4A3-C0E9745F7738}"/>
    <cellStyle name="Currency 5 2 4 12" xfId="17328" xr:uid="{92EB474A-7860-4D1E-9CD8-02880B1DE535}"/>
    <cellStyle name="Currency 5 2 4 13" xfId="8880" xr:uid="{75ECF450-8227-4677-B7EF-621BF0CB0DB9}"/>
    <cellStyle name="Currency 5 2 4 2" xfId="206" xr:uid="{00000000-0005-0000-0000-0000250C0000}"/>
    <cellStyle name="Currency 5 2 4 2 10" xfId="18162" xr:uid="{72B3DC81-8BBA-44E2-81EC-56E2B9DB0B62}"/>
    <cellStyle name="Currency 5 2 4 2 11" xfId="17329" xr:uid="{45C34D18-A139-49BF-AAE2-E69D9C6CD49B}"/>
    <cellStyle name="Currency 5 2 4 2 12" xfId="8881" xr:uid="{E6EA3C9B-EA8E-4EFE-8E95-599975E81D35}"/>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24938" xr:uid="{FF275ADD-CA09-4C3E-AD5D-30BB2F26EB50}"/>
    <cellStyle name="Currency 5 2 4 2 2 2 2 3" xfId="15658" xr:uid="{4152299C-E724-40EE-88CC-24056F010913}"/>
    <cellStyle name="Currency 5 2 4 2 2 2 3" xfId="20721" xr:uid="{FADFBD34-1A22-47B2-B977-D791FEB2295A}"/>
    <cellStyle name="Currency 5 2 4 2 2 2 4" xfId="11440" xr:uid="{7B991EF5-2E2D-473A-9B9B-83F0E11FAA93}"/>
    <cellStyle name="Currency 5 2 4 2 2 3" xfId="5063" xr:uid="{00000000-0005-0000-0000-0000290C0000}"/>
    <cellStyle name="Currency 5 2 4 2 2 3 2" xfId="22793" xr:uid="{CC35B513-CCAF-4482-BD4F-9AE1F3F2D00C}"/>
    <cellStyle name="Currency 5 2 4 2 2 3 3" xfId="13513" xr:uid="{68378A89-57F8-4351-8417-801D5C52B119}"/>
    <cellStyle name="Currency 5 2 4 2 2 4" xfId="18576" xr:uid="{0287C5D4-B9EF-4B89-A35F-9A30B31716F2}"/>
    <cellStyle name="Currency 5 2 4 2 2 5" xfId="17746" xr:uid="{83F9AD25-00EC-4A69-90B5-7F06ED153FBA}"/>
    <cellStyle name="Currency 5 2 4 2 2 6" xfId="9295" xr:uid="{844F8B24-8F77-4C4C-89E9-F143087DE878}"/>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25351" xr:uid="{B6F798F5-9FE9-45B7-BD77-F51DC42D2B96}"/>
    <cellStyle name="Currency 5 2 4 2 3 2 2 3" xfId="16071" xr:uid="{38C5A4B4-35B5-4C0D-9989-D8F2D90BDAB1}"/>
    <cellStyle name="Currency 5 2 4 2 3 2 3" xfId="21134" xr:uid="{05E2A6A4-49A0-4715-8715-5C6614D48215}"/>
    <cellStyle name="Currency 5 2 4 2 3 2 4" xfId="11853" xr:uid="{CFE2B706-9105-411C-A16A-1D1A044E1EDB}"/>
    <cellStyle name="Currency 5 2 4 2 3 3" xfId="5476" xr:uid="{00000000-0005-0000-0000-00002D0C0000}"/>
    <cellStyle name="Currency 5 2 4 2 3 3 2" xfId="23206" xr:uid="{C2157F57-738B-4B99-A4F5-9B861AEC19E0}"/>
    <cellStyle name="Currency 5 2 4 2 3 3 3" xfId="13926" xr:uid="{545D50C1-AE66-4DE2-A95F-81C5E6A8F71A}"/>
    <cellStyle name="Currency 5 2 4 2 3 4" xfId="18989" xr:uid="{AA471746-5685-469F-8117-375B559E9008}"/>
    <cellStyle name="Currency 5 2 4 2 3 5" xfId="9708" xr:uid="{9C7EDDF8-BEFD-4E48-A9DC-8A35868BED3E}"/>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25764" xr:uid="{A1A3CBE2-E920-4D35-BF73-0F989F1259F2}"/>
    <cellStyle name="Currency 5 2 4 2 4 2 2 3" xfId="16484" xr:uid="{9A4D242B-79AE-4849-9FDE-38FC21EDB0DE}"/>
    <cellStyle name="Currency 5 2 4 2 4 2 3" xfId="21547" xr:uid="{2A7641CC-A8A0-40D4-9339-802234C19CED}"/>
    <cellStyle name="Currency 5 2 4 2 4 2 4" xfId="12266" xr:uid="{5FBC6D64-B91D-48BA-8579-6772A1B7472E}"/>
    <cellStyle name="Currency 5 2 4 2 4 3" xfId="5889" xr:uid="{00000000-0005-0000-0000-0000310C0000}"/>
    <cellStyle name="Currency 5 2 4 2 4 3 2" xfId="23619" xr:uid="{845656EF-7AE4-4FD8-BCAC-2E69D4CC4913}"/>
    <cellStyle name="Currency 5 2 4 2 4 3 3" xfId="14339" xr:uid="{478CF77A-E6BC-4F0A-9543-763C6A869F97}"/>
    <cellStyle name="Currency 5 2 4 2 4 4" xfId="19402" xr:uid="{B181B8C0-3A5F-476A-8DD5-62D83EB66257}"/>
    <cellStyle name="Currency 5 2 4 2 4 5" xfId="10121" xr:uid="{306027DB-3D82-4620-B37D-E823FBB5C472}"/>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26177" xr:uid="{4408B075-5D67-4F7E-8A7D-B85A4584248C}"/>
    <cellStyle name="Currency 5 2 4 2 5 2 2 3" xfId="16897" xr:uid="{DA4B705A-F63B-4F7E-973F-3F4D837892DD}"/>
    <cellStyle name="Currency 5 2 4 2 5 2 3" xfId="21960" xr:uid="{15762494-E941-4A98-BFAA-D8A380F679B9}"/>
    <cellStyle name="Currency 5 2 4 2 5 2 4" xfId="12679" xr:uid="{206AA6F4-26A3-455D-96D7-E74ED387B28C}"/>
    <cellStyle name="Currency 5 2 4 2 5 3" xfId="6302" xr:uid="{00000000-0005-0000-0000-0000350C0000}"/>
    <cellStyle name="Currency 5 2 4 2 5 3 2" xfId="24032" xr:uid="{FAB8B15C-168A-45D5-A118-2E0005BB3FFB}"/>
    <cellStyle name="Currency 5 2 4 2 5 3 3" xfId="14752" xr:uid="{1D66CA71-3776-4EF7-AA95-C70D4A7649ED}"/>
    <cellStyle name="Currency 5 2 4 2 5 4" xfId="19815" xr:uid="{6BC32AC1-F43C-461F-ADD6-FC5415A50E5F}"/>
    <cellStyle name="Currency 5 2 4 2 5 5" xfId="10534" xr:uid="{FD39E293-8F7E-4461-8AA7-CAA882D82B58}"/>
    <cellStyle name="Currency 5 2 4 2 6" xfId="2431" xr:uid="{00000000-0005-0000-0000-0000360C0000}"/>
    <cellStyle name="Currency 5 2 4 2 6 2" xfId="6715" xr:uid="{00000000-0005-0000-0000-0000370C0000}"/>
    <cellStyle name="Currency 5 2 4 2 6 2 2" xfId="24445" xr:uid="{C9AF72F3-FF44-49FE-BD9A-A01A6FCCEDFF}"/>
    <cellStyle name="Currency 5 2 4 2 6 2 3" xfId="15165" xr:uid="{6BC6026D-406A-4029-B1FB-725B20A252CB}"/>
    <cellStyle name="Currency 5 2 4 2 6 3" xfId="20228" xr:uid="{3A677223-2A24-4CA3-A7EB-013B234DA512}"/>
    <cellStyle name="Currency 5 2 4 2 6 4" xfId="10947" xr:uid="{C525AF18-1166-4F9D-B053-E47319B5E3A2}"/>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24762" xr:uid="{A26899ED-09B1-47B2-8909-AEAA16D20FE6}"/>
    <cellStyle name="Currency 5 2 4 2 8 2 3" xfId="15482" xr:uid="{3CC67000-EB68-4623-A76E-DB856703D06D}"/>
    <cellStyle name="Currency 5 2 4 2 8 3" xfId="20545" xr:uid="{6D10CAA5-A106-434A-8CB7-C009E2404C98}"/>
    <cellStyle name="Currency 5 2 4 2 8 4" xfId="11264" xr:uid="{E00AFCAC-E155-454C-8173-DAC3BB12DAE4}"/>
    <cellStyle name="Currency 5 2 4 2 9" xfId="4649" xr:uid="{00000000-0005-0000-0000-00003B0C0000}"/>
    <cellStyle name="Currency 5 2 4 2 9 2" xfId="22379" xr:uid="{45E29852-A6B1-44B6-AA42-E8715AAA1385}"/>
    <cellStyle name="Currency 5 2 4 2 9 3" xfId="13099" xr:uid="{11B0669F-FC37-4831-82DE-DC4C8AE36996}"/>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24937" xr:uid="{B766FBD5-BFAD-4CDD-8705-705CB3D106D9}"/>
    <cellStyle name="Currency 5 2 4 3 2 2 3" xfId="15657" xr:uid="{CD9D4D82-CAAF-46CC-AB0F-B70ED790EB22}"/>
    <cellStyle name="Currency 5 2 4 3 2 3" xfId="20720" xr:uid="{54F00C0F-B089-4FD4-AEEE-1F1809B5DA7B}"/>
    <cellStyle name="Currency 5 2 4 3 2 4" xfId="11439" xr:uid="{0D81F490-AFC9-414A-8D9E-C9237765367E}"/>
    <cellStyle name="Currency 5 2 4 3 3" xfId="5062" xr:uid="{00000000-0005-0000-0000-00003F0C0000}"/>
    <cellStyle name="Currency 5 2 4 3 3 2" xfId="22792" xr:uid="{EF6BA242-4AC1-4F1A-9A1C-881596C11478}"/>
    <cellStyle name="Currency 5 2 4 3 3 3" xfId="13512" xr:uid="{60AFDEF9-4578-4CC8-8AFB-1520F7568B66}"/>
    <cellStyle name="Currency 5 2 4 3 4" xfId="18575" xr:uid="{8E1C3401-2F90-4F00-A145-F0B4713531C6}"/>
    <cellStyle name="Currency 5 2 4 3 5" xfId="17745" xr:uid="{28F7A452-A708-4D9A-9E1F-4041AEC3EBE2}"/>
    <cellStyle name="Currency 5 2 4 3 6" xfId="9294" xr:uid="{4A4793CD-E273-46A6-95E7-C8A2BB712F1A}"/>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25350" xr:uid="{E3BFCFDE-CAE7-4E60-81A5-A6C6C837B77E}"/>
    <cellStyle name="Currency 5 2 4 4 2 2 3" xfId="16070" xr:uid="{98B29D4E-8DFB-482F-ACB7-2E128F809CD4}"/>
    <cellStyle name="Currency 5 2 4 4 2 3" xfId="21133" xr:uid="{48CF1E8C-58BC-42F0-A252-4D392F42B65A}"/>
    <cellStyle name="Currency 5 2 4 4 2 4" xfId="11852" xr:uid="{16A90AB0-C37A-420C-92F6-F5ECF3B7BAAF}"/>
    <cellStyle name="Currency 5 2 4 4 3" xfId="5475" xr:uid="{00000000-0005-0000-0000-0000430C0000}"/>
    <cellStyle name="Currency 5 2 4 4 3 2" xfId="23205" xr:uid="{06F54B2F-5107-47E3-AC2C-AC29B754243A}"/>
    <cellStyle name="Currency 5 2 4 4 3 3" xfId="13925" xr:uid="{55CC0336-FD48-432A-90B4-BED4147B46AF}"/>
    <cellStyle name="Currency 5 2 4 4 4" xfId="18988" xr:uid="{9603D212-DCE3-4EF2-8044-D943B1E2F05B}"/>
    <cellStyle name="Currency 5 2 4 4 5" xfId="9707" xr:uid="{52B6D9F0-5A08-4725-ACE3-00550DBBDD38}"/>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25763" xr:uid="{C4676CA2-3959-4A2E-BF44-C683672CF845}"/>
    <cellStyle name="Currency 5 2 4 5 2 2 3" xfId="16483" xr:uid="{72EFC221-CDB2-4D97-93BF-37828C8DE299}"/>
    <cellStyle name="Currency 5 2 4 5 2 3" xfId="21546" xr:uid="{4999F4A3-027C-4C5B-80B5-26EE1B6538D0}"/>
    <cellStyle name="Currency 5 2 4 5 2 4" xfId="12265" xr:uid="{AD154C6E-1E87-46F3-94B5-276886E6EB48}"/>
    <cellStyle name="Currency 5 2 4 5 3" xfId="5888" xr:uid="{00000000-0005-0000-0000-0000470C0000}"/>
    <cellStyle name="Currency 5 2 4 5 3 2" xfId="23618" xr:uid="{A5D3978F-31A3-4DD2-8B11-7EB6C66E41BE}"/>
    <cellStyle name="Currency 5 2 4 5 3 3" xfId="14338" xr:uid="{0CEEF8FA-05AB-45F0-B9C7-3D48491ADA80}"/>
    <cellStyle name="Currency 5 2 4 5 4" xfId="19401" xr:uid="{904D876B-E14E-4E3C-B77C-C9E44CB84FA4}"/>
    <cellStyle name="Currency 5 2 4 5 5" xfId="10120" xr:uid="{DAAF178A-A2C9-426C-B65A-2E0A3F9D1D6D}"/>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26176" xr:uid="{CB7FD0B6-B11D-4D6F-A63B-36F4D9BF5DDC}"/>
    <cellStyle name="Currency 5 2 4 6 2 2 3" xfId="16896" xr:uid="{7F8DE1E1-8051-4A83-AD82-70B175F26342}"/>
    <cellStyle name="Currency 5 2 4 6 2 3" xfId="21959" xr:uid="{CC683B48-C509-4F32-93EB-6F70D79CE269}"/>
    <cellStyle name="Currency 5 2 4 6 2 4" xfId="12678" xr:uid="{105B26AB-B5EE-4063-9D6A-AC9EDC37610D}"/>
    <cellStyle name="Currency 5 2 4 6 3" xfId="6301" xr:uid="{00000000-0005-0000-0000-00004B0C0000}"/>
    <cellStyle name="Currency 5 2 4 6 3 2" xfId="24031" xr:uid="{E0DED2AB-FFB3-4CE4-B07C-CDEEEF43B1ED}"/>
    <cellStyle name="Currency 5 2 4 6 3 3" xfId="14751" xr:uid="{AB1B209E-8568-47BA-A096-E0F0BA2CEAF7}"/>
    <cellStyle name="Currency 5 2 4 6 4" xfId="19814" xr:uid="{65FA351E-3E0A-48CC-B854-332546C87152}"/>
    <cellStyle name="Currency 5 2 4 6 5" xfId="10533" xr:uid="{5119F1F0-FF3A-403C-B2C2-484EC84DC534}"/>
    <cellStyle name="Currency 5 2 4 7" xfId="2430" xr:uid="{00000000-0005-0000-0000-00004C0C0000}"/>
    <cellStyle name="Currency 5 2 4 7 2" xfId="6714" xr:uid="{00000000-0005-0000-0000-00004D0C0000}"/>
    <cellStyle name="Currency 5 2 4 7 2 2" xfId="24444" xr:uid="{5992A70D-B006-4C19-8BFF-013862B7EDD3}"/>
    <cellStyle name="Currency 5 2 4 7 2 3" xfId="15164" xr:uid="{E92C96DF-21B7-4BEB-BB72-6499F3E2AD64}"/>
    <cellStyle name="Currency 5 2 4 7 3" xfId="20227" xr:uid="{BA4E6E44-4C76-4AD9-97B2-1A13F6CB2BC4}"/>
    <cellStyle name="Currency 5 2 4 7 4" xfId="10946" xr:uid="{F9A79570-3BCD-4328-85DA-FC423B8FE722}"/>
    <cellStyle name="Currency 5 2 4 8" xfId="2727" xr:uid="{00000000-0005-0000-0000-00004E0C0000}"/>
    <cellStyle name="Currency 5 2 4 9" xfId="2808" xr:uid="{00000000-0005-0000-0000-00004F0C0000}"/>
    <cellStyle name="Currency 5 2 4 9 2" xfId="7031" xr:uid="{00000000-0005-0000-0000-0000500C0000}"/>
    <cellStyle name="Currency 5 2 4 9 2 2" xfId="24761" xr:uid="{2AB31461-B1F6-433C-AFDC-E718D256C0A7}"/>
    <cellStyle name="Currency 5 2 4 9 2 3" xfId="15481" xr:uid="{BDC092D9-52F3-4920-AD49-BADBDB501C12}"/>
    <cellStyle name="Currency 5 2 4 9 3" xfId="20544" xr:uid="{94958376-FB65-49BF-9714-935D8A456F19}"/>
    <cellStyle name="Currency 5 2 4 9 4" xfId="11263" xr:uid="{3894DDB8-7BDB-4F82-A1FE-49C5F0C67DC8}"/>
    <cellStyle name="Currency 5 2 5" xfId="207" xr:uid="{00000000-0005-0000-0000-0000510C0000}"/>
    <cellStyle name="Currency 5 2 5 10" xfId="18163" xr:uid="{89B807C9-8621-46F1-90F6-54DE2C7B6BB7}"/>
    <cellStyle name="Currency 5 2 5 11" xfId="17330" xr:uid="{8F984C41-7B9C-40A8-95C7-CB20D9ED28BC}"/>
    <cellStyle name="Currency 5 2 5 12" xfId="8882" xr:uid="{7176612C-97D7-4CF3-92F0-2A2C0523E35F}"/>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24939" xr:uid="{C2F59FAC-BCE4-46E5-B395-D6FDF176F0AE}"/>
    <cellStyle name="Currency 5 2 5 2 2 2 3" xfId="15659" xr:uid="{16183644-A5B1-4194-BBC7-88BB0BEBE559}"/>
    <cellStyle name="Currency 5 2 5 2 2 3" xfId="20722" xr:uid="{04086128-7112-4A69-9858-489EBAFFD85C}"/>
    <cellStyle name="Currency 5 2 5 2 2 4" xfId="11441" xr:uid="{0890276B-EABA-4760-B657-DB245EF7B86B}"/>
    <cellStyle name="Currency 5 2 5 2 3" xfId="5064" xr:uid="{00000000-0005-0000-0000-0000550C0000}"/>
    <cellStyle name="Currency 5 2 5 2 3 2" xfId="22794" xr:uid="{6642998F-5936-42EF-A372-E8D57C8CE6F0}"/>
    <cellStyle name="Currency 5 2 5 2 3 3" xfId="13514" xr:uid="{042CB060-5255-4053-8294-AD1B8B1864F7}"/>
    <cellStyle name="Currency 5 2 5 2 4" xfId="18577" xr:uid="{2A6891D3-8014-4752-BABB-AD07495DC98B}"/>
    <cellStyle name="Currency 5 2 5 2 5" xfId="17747" xr:uid="{A3BB30A9-3A51-4968-BDA8-C35BD439882A}"/>
    <cellStyle name="Currency 5 2 5 2 6" xfId="9296" xr:uid="{EAFE8BC7-2CDE-4BA6-9721-EB166BA703F6}"/>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25352" xr:uid="{DB49409C-4B13-4F74-A9AF-6C9520CF253C}"/>
    <cellStyle name="Currency 5 2 5 3 2 2 3" xfId="16072" xr:uid="{7F480B7A-2604-4BA4-AEAC-8B72478066AD}"/>
    <cellStyle name="Currency 5 2 5 3 2 3" xfId="21135" xr:uid="{F32E074D-8C2C-463F-83F8-CE536B14B3C2}"/>
    <cellStyle name="Currency 5 2 5 3 2 4" xfId="11854" xr:uid="{57FE6780-125D-4B83-AE8A-1DCE2B03ECA3}"/>
    <cellStyle name="Currency 5 2 5 3 3" xfId="5477" xr:uid="{00000000-0005-0000-0000-0000590C0000}"/>
    <cellStyle name="Currency 5 2 5 3 3 2" xfId="23207" xr:uid="{219907A8-7BDB-42F3-8AE6-6068EED8B5D2}"/>
    <cellStyle name="Currency 5 2 5 3 3 3" xfId="13927" xr:uid="{AFAAA87C-971B-4E89-9A86-1674CC604497}"/>
    <cellStyle name="Currency 5 2 5 3 4" xfId="18990" xr:uid="{4707B0A5-A85E-47F4-A036-DEE044A4A16B}"/>
    <cellStyle name="Currency 5 2 5 3 5" xfId="9709" xr:uid="{2C3AE59B-6473-4C19-B3E4-F8802564F900}"/>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25765" xr:uid="{90CA4D81-EB07-4E87-BA07-93A971916902}"/>
    <cellStyle name="Currency 5 2 5 4 2 2 3" xfId="16485" xr:uid="{9D2C45E4-9B45-4C94-8EF4-D0422C21FB17}"/>
    <cellStyle name="Currency 5 2 5 4 2 3" xfId="21548" xr:uid="{30176CB8-0358-413E-81DD-CA72B19B9A8A}"/>
    <cellStyle name="Currency 5 2 5 4 2 4" xfId="12267" xr:uid="{1B911464-5E2E-4D98-92BF-65E01834E45D}"/>
    <cellStyle name="Currency 5 2 5 4 3" xfId="5890" xr:uid="{00000000-0005-0000-0000-00005D0C0000}"/>
    <cellStyle name="Currency 5 2 5 4 3 2" xfId="23620" xr:uid="{412059AE-F3B2-4FD1-949E-8535757ACE90}"/>
    <cellStyle name="Currency 5 2 5 4 3 3" xfId="14340" xr:uid="{C4AD8FC8-9B6D-4C0A-9283-272CF170E6DD}"/>
    <cellStyle name="Currency 5 2 5 4 4" xfId="19403" xr:uid="{E787B195-3CD0-4821-A2CD-33517DC2C451}"/>
    <cellStyle name="Currency 5 2 5 4 5" xfId="10122" xr:uid="{77D515F6-1595-424B-BFC3-0F6500A3D5AF}"/>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26178" xr:uid="{1E52864A-BE43-4610-A328-B5385A055A1E}"/>
    <cellStyle name="Currency 5 2 5 5 2 2 3" xfId="16898" xr:uid="{9C77ADCC-8935-4EE2-A968-DB9542FCD588}"/>
    <cellStyle name="Currency 5 2 5 5 2 3" xfId="21961" xr:uid="{7B894631-2C29-4770-AE22-3C9EF1DC6C9C}"/>
    <cellStyle name="Currency 5 2 5 5 2 4" xfId="12680" xr:uid="{C8C9A466-74C2-4CCC-BFBE-6F1414748A47}"/>
    <cellStyle name="Currency 5 2 5 5 3" xfId="6303" xr:uid="{00000000-0005-0000-0000-0000610C0000}"/>
    <cellStyle name="Currency 5 2 5 5 3 2" xfId="24033" xr:uid="{F8116AFA-954F-4813-90F5-BC4C94165C18}"/>
    <cellStyle name="Currency 5 2 5 5 3 3" xfId="14753" xr:uid="{CD8D8C0C-09D3-4BAA-A25F-8E8E96301FAC}"/>
    <cellStyle name="Currency 5 2 5 5 4" xfId="19816" xr:uid="{94850228-D26B-481F-A5FD-C67855C057BF}"/>
    <cellStyle name="Currency 5 2 5 5 5" xfId="10535" xr:uid="{C7B41C7F-A17B-4E77-BD68-67BF35E73765}"/>
    <cellStyle name="Currency 5 2 5 6" xfId="2432" xr:uid="{00000000-0005-0000-0000-0000620C0000}"/>
    <cellStyle name="Currency 5 2 5 6 2" xfId="6716" xr:uid="{00000000-0005-0000-0000-0000630C0000}"/>
    <cellStyle name="Currency 5 2 5 6 2 2" xfId="24446" xr:uid="{EC84F7A7-73AC-44C6-A7A8-9C58D4F3647B}"/>
    <cellStyle name="Currency 5 2 5 6 2 3" xfId="15166" xr:uid="{978B24EA-830F-4F59-BD8E-A0513F416E13}"/>
    <cellStyle name="Currency 5 2 5 6 3" xfId="20229" xr:uid="{F815E75A-0C99-4373-8065-E398B13B690C}"/>
    <cellStyle name="Currency 5 2 5 6 4" xfId="10948" xr:uid="{4BB5A008-79FF-425F-80C1-5D701BB82BE4}"/>
    <cellStyle name="Currency 5 2 5 7" xfId="2729" xr:uid="{00000000-0005-0000-0000-0000640C0000}"/>
    <cellStyle name="Currency 5 2 5 8" xfId="2810" xr:uid="{00000000-0005-0000-0000-0000650C0000}"/>
    <cellStyle name="Currency 5 2 5 8 2" xfId="7033" xr:uid="{00000000-0005-0000-0000-0000660C0000}"/>
    <cellStyle name="Currency 5 2 5 8 2 2" xfId="24763" xr:uid="{99ED89BD-77AC-476A-B0E6-03823B32F09F}"/>
    <cellStyle name="Currency 5 2 5 8 2 3" xfId="15483" xr:uid="{DC3C8725-8DBE-458D-BF6F-0E70F588A20F}"/>
    <cellStyle name="Currency 5 2 5 8 3" xfId="20546" xr:uid="{40DCDCB0-0EB5-4B34-9122-841B6882EF1A}"/>
    <cellStyle name="Currency 5 2 5 8 4" xfId="11265" xr:uid="{32818BF0-0C3F-4DBA-B286-0AA72ACDC292}"/>
    <cellStyle name="Currency 5 2 5 9" xfId="4650" xr:uid="{00000000-0005-0000-0000-0000670C0000}"/>
    <cellStyle name="Currency 5 2 5 9 2" xfId="22380" xr:uid="{E63A85D6-9370-47DB-BA47-4887C5D126E1}"/>
    <cellStyle name="Currency 5 2 5 9 3" xfId="13100" xr:uid="{6B680335-FCCA-4337-9F40-91E1D13134DE}"/>
    <cellStyle name="Currency 5 2 6" xfId="208" xr:uid="{00000000-0005-0000-0000-0000680C0000}"/>
    <cellStyle name="Currency 5 2 6 10" xfId="18164" xr:uid="{0B9CBEA3-1E2B-4724-9A71-8703F3F13F11}"/>
    <cellStyle name="Currency 5 2 6 11" xfId="17331" xr:uid="{01CE0945-F09C-4BBC-B084-BD7F0A8B0446}"/>
    <cellStyle name="Currency 5 2 6 12" xfId="8883" xr:uid="{0552C11C-62A6-4F24-B707-A99C8FFEDF1A}"/>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24940" xr:uid="{B852D455-33FC-4415-AF3A-74EBAB0C4393}"/>
    <cellStyle name="Currency 5 2 6 2 2 2 3" xfId="15660" xr:uid="{6255B827-C00B-45A2-831D-76A85F5E2416}"/>
    <cellStyle name="Currency 5 2 6 2 2 3" xfId="20723" xr:uid="{B709581F-C83C-4659-8C35-E3DAE48EF9E9}"/>
    <cellStyle name="Currency 5 2 6 2 2 4" xfId="11442" xr:uid="{BB22F5DF-720E-4E2E-9FF1-81CF413C7CB9}"/>
    <cellStyle name="Currency 5 2 6 2 3" xfId="5065" xr:uid="{00000000-0005-0000-0000-00006C0C0000}"/>
    <cellStyle name="Currency 5 2 6 2 3 2" xfId="22795" xr:uid="{8C6812DC-6AFA-40D0-BDD2-343C04FF05F2}"/>
    <cellStyle name="Currency 5 2 6 2 3 3" xfId="13515" xr:uid="{DF3F7E87-1A47-4D54-A112-B6631A228D7E}"/>
    <cellStyle name="Currency 5 2 6 2 4" xfId="18578" xr:uid="{1FD90461-56FE-4529-899E-9B6963649F7F}"/>
    <cellStyle name="Currency 5 2 6 2 5" xfId="17748" xr:uid="{07227D8D-8B54-4311-9337-1F3F556CEF86}"/>
    <cellStyle name="Currency 5 2 6 2 6" xfId="9297" xr:uid="{CF6E92B3-23C6-49FA-B7C6-F2A2FD4E438A}"/>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25353" xr:uid="{E7685898-8720-41CB-9BCD-F3E7EF103D47}"/>
    <cellStyle name="Currency 5 2 6 3 2 2 3" xfId="16073" xr:uid="{24D2D84E-0E27-4106-8A41-2F4E595A9F73}"/>
    <cellStyle name="Currency 5 2 6 3 2 3" xfId="21136" xr:uid="{3601A8E1-E0BD-4CFC-8FFC-4987DC7D0877}"/>
    <cellStyle name="Currency 5 2 6 3 2 4" xfId="11855" xr:uid="{31D06274-02F1-41C0-8AD8-1A995EE89686}"/>
    <cellStyle name="Currency 5 2 6 3 3" xfId="5478" xr:uid="{00000000-0005-0000-0000-0000700C0000}"/>
    <cellStyle name="Currency 5 2 6 3 3 2" xfId="23208" xr:uid="{116782F4-64B5-4D38-AD52-313ED2AA090E}"/>
    <cellStyle name="Currency 5 2 6 3 3 3" xfId="13928" xr:uid="{286E571E-04DD-4E3B-9A57-850D8F3ED522}"/>
    <cellStyle name="Currency 5 2 6 3 4" xfId="18991" xr:uid="{2456450F-C8DF-4604-A267-5214CEC383D9}"/>
    <cellStyle name="Currency 5 2 6 3 5" xfId="9710" xr:uid="{BFCA96CE-09D6-4C46-BC76-19276DB5D408}"/>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25766" xr:uid="{B30F0E7C-2392-4D60-A09F-09D2279D3445}"/>
    <cellStyle name="Currency 5 2 6 4 2 2 3" xfId="16486" xr:uid="{73D2C3AE-73E9-4610-95CC-34351BDB8F9B}"/>
    <cellStyle name="Currency 5 2 6 4 2 3" xfId="21549" xr:uid="{A62852DA-D87C-4742-8895-DE8890FF992E}"/>
    <cellStyle name="Currency 5 2 6 4 2 4" xfId="12268" xr:uid="{64FECBE2-A712-4DD1-8D28-7825AEE2E7B2}"/>
    <cellStyle name="Currency 5 2 6 4 3" xfId="5891" xr:uid="{00000000-0005-0000-0000-0000740C0000}"/>
    <cellStyle name="Currency 5 2 6 4 3 2" xfId="23621" xr:uid="{59C1E731-ADCE-4CDD-B012-E61C73547EF8}"/>
    <cellStyle name="Currency 5 2 6 4 3 3" xfId="14341" xr:uid="{D4A928A5-9C6E-4612-B9EE-C43656A128BF}"/>
    <cellStyle name="Currency 5 2 6 4 4" xfId="19404" xr:uid="{F42291D7-4419-4F41-9E8C-0EB9FBE808DE}"/>
    <cellStyle name="Currency 5 2 6 4 5" xfId="10123" xr:uid="{0274CB2E-10D5-4933-BA72-9EB6D35596AB}"/>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26179" xr:uid="{73DAED96-20F0-461A-8C01-58AE9E0FBD36}"/>
    <cellStyle name="Currency 5 2 6 5 2 2 3" xfId="16899" xr:uid="{BA7F48A1-80E7-4A6B-99BB-A2C629CDBB73}"/>
    <cellStyle name="Currency 5 2 6 5 2 3" xfId="21962" xr:uid="{03E4E055-5282-40BA-83EF-7938324527D5}"/>
    <cellStyle name="Currency 5 2 6 5 2 4" xfId="12681" xr:uid="{8534E12A-D8A5-4356-B15A-FAC6569209DF}"/>
    <cellStyle name="Currency 5 2 6 5 3" xfId="6304" xr:uid="{00000000-0005-0000-0000-0000780C0000}"/>
    <cellStyle name="Currency 5 2 6 5 3 2" xfId="24034" xr:uid="{8154B422-1AE7-438D-9855-C264141EE644}"/>
    <cellStyle name="Currency 5 2 6 5 3 3" xfId="14754" xr:uid="{6411E250-8BD4-44A5-B584-CF49CD827D43}"/>
    <cellStyle name="Currency 5 2 6 5 4" xfId="19817" xr:uid="{4424D8C9-EA28-4126-8118-E682043B26AE}"/>
    <cellStyle name="Currency 5 2 6 5 5" xfId="10536" xr:uid="{76699F4B-F41E-42B4-9AA1-4ABB8B0ADC10}"/>
    <cellStyle name="Currency 5 2 6 6" xfId="2433" xr:uid="{00000000-0005-0000-0000-0000790C0000}"/>
    <cellStyle name="Currency 5 2 6 6 2" xfId="6717" xr:uid="{00000000-0005-0000-0000-00007A0C0000}"/>
    <cellStyle name="Currency 5 2 6 6 2 2" xfId="24447" xr:uid="{D7602AAB-6C4D-4589-8F60-F96A628B8E10}"/>
    <cellStyle name="Currency 5 2 6 6 2 3" xfId="15167" xr:uid="{0BACAEE8-4D6B-4891-AB86-66B1713F12C7}"/>
    <cellStyle name="Currency 5 2 6 6 3" xfId="20230" xr:uid="{2F7061BA-260E-40C4-A1A5-4C45D6287AE0}"/>
    <cellStyle name="Currency 5 2 6 6 4" xfId="10949" xr:uid="{1A00DECD-67CB-4D7C-849C-4E61A8CA49CA}"/>
    <cellStyle name="Currency 5 2 6 7" xfId="2730" xr:uid="{00000000-0005-0000-0000-00007B0C0000}"/>
    <cellStyle name="Currency 5 2 6 8" xfId="2811" xr:uid="{00000000-0005-0000-0000-00007C0C0000}"/>
    <cellStyle name="Currency 5 2 6 8 2" xfId="7034" xr:uid="{00000000-0005-0000-0000-00007D0C0000}"/>
    <cellStyle name="Currency 5 2 6 8 2 2" xfId="24764" xr:uid="{BFF18DF4-D1FD-4582-9B93-EEE7D859C1A2}"/>
    <cellStyle name="Currency 5 2 6 8 2 3" xfId="15484" xr:uid="{A8A5962A-8A6B-4F1E-9CD6-EA67A6B1F2AC}"/>
    <cellStyle name="Currency 5 2 6 8 3" xfId="20547" xr:uid="{1573AA4C-77E1-4FB7-A300-235BFF51C29B}"/>
    <cellStyle name="Currency 5 2 6 8 4" xfId="11266" xr:uid="{7EA30685-DABE-4C8C-AC7E-D3B05D79A111}"/>
    <cellStyle name="Currency 5 2 6 9" xfId="4651" xr:uid="{00000000-0005-0000-0000-00007E0C0000}"/>
    <cellStyle name="Currency 5 2 6 9 2" xfId="22381" xr:uid="{EE4FC66C-A412-40A4-939C-7A8E498EBC50}"/>
    <cellStyle name="Currency 5 2 6 9 3" xfId="13101" xr:uid="{97891E0A-73A1-4C88-99AF-1C0484656539}"/>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24765" xr:uid="{B4C2D975-5DAA-4E0E-BBFF-A3C0AECC6C3E}"/>
    <cellStyle name="Currency 5 3 2 10 2 3" xfId="15485" xr:uid="{0223CD15-8D49-42CA-8BB1-61F378C241D6}"/>
    <cellStyle name="Currency 5 3 2 10 3" xfId="20548" xr:uid="{D4B25179-B6E2-4EA4-934C-A8A7A6DBD6F5}"/>
    <cellStyle name="Currency 5 3 2 10 4" xfId="11267" xr:uid="{319C5359-0C64-4CF1-A940-22C3726E74E2}"/>
    <cellStyle name="Currency 5 3 2 11" xfId="4652" xr:uid="{00000000-0005-0000-0000-0000840C0000}"/>
    <cellStyle name="Currency 5 3 2 11 2" xfId="22382" xr:uid="{970E2080-5EC6-482B-9AA5-FDABA7394C0D}"/>
    <cellStyle name="Currency 5 3 2 11 3" xfId="13102" xr:uid="{8849F200-F9F1-4DA9-B25D-7FB90807549E}"/>
    <cellStyle name="Currency 5 3 2 12" xfId="18165" xr:uid="{1A9BE83B-AE52-431A-9440-9707FB509759}"/>
    <cellStyle name="Currency 5 3 2 13" xfId="17332" xr:uid="{8E197519-E3D9-42E9-9428-C663A40BB313}"/>
    <cellStyle name="Currency 5 3 2 14" xfId="8884" xr:uid="{302E9BD7-9EBE-4878-AC96-CD9D4F6E37C6}"/>
    <cellStyle name="Currency 5 3 2 2" xfId="211" xr:uid="{00000000-0005-0000-0000-0000850C0000}"/>
    <cellStyle name="Currency 5 3 2 2 10" xfId="4653" xr:uid="{00000000-0005-0000-0000-0000860C0000}"/>
    <cellStyle name="Currency 5 3 2 2 10 2" xfId="22383" xr:uid="{93531779-69F5-4139-917F-1BC7C43944F6}"/>
    <cellStyle name="Currency 5 3 2 2 10 3" xfId="13103" xr:uid="{A1E21610-3380-4701-AFAD-65342F9D93D7}"/>
    <cellStyle name="Currency 5 3 2 2 11" xfId="18166" xr:uid="{E7973367-1E1B-43D3-88D9-755209076607}"/>
    <cellStyle name="Currency 5 3 2 2 12" xfId="17333" xr:uid="{77AE1A99-99E2-4CDB-9E7F-AEE55919663A}"/>
    <cellStyle name="Currency 5 3 2 2 13" xfId="8885" xr:uid="{2BE58AA1-FB7C-4B3E-B314-1485F66D8DCC}"/>
    <cellStyle name="Currency 5 3 2 2 2" xfId="212" xr:uid="{00000000-0005-0000-0000-0000870C0000}"/>
    <cellStyle name="Currency 5 3 2 2 2 10" xfId="18167" xr:uid="{2247DEF5-F6F7-4F02-BAF9-DA0DFC17C4AD}"/>
    <cellStyle name="Currency 5 3 2 2 2 11" xfId="17334" xr:uid="{60EF76E6-1C4D-415C-9C24-AA983023FBFA}"/>
    <cellStyle name="Currency 5 3 2 2 2 12" xfId="8886" xr:uid="{AFE6239F-0FF4-4049-9D5B-EEE930027897}"/>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24943" xr:uid="{DB311482-CD45-4006-9554-092F501820E7}"/>
    <cellStyle name="Currency 5 3 2 2 2 2 2 2 3" xfId="15663" xr:uid="{D5DE792C-AFDA-42C2-85E3-EE8646365FE9}"/>
    <cellStyle name="Currency 5 3 2 2 2 2 2 3" xfId="20726" xr:uid="{6361572B-C4C9-4A10-99A6-AD7DBAADF8DB}"/>
    <cellStyle name="Currency 5 3 2 2 2 2 2 4" xfId="11445" xr:uid="{B286E589-673B-486F-85FB-09D08D7FBADF}"/>
    <cellStyle name="Currency 5 3 2 2 2 2 3" xfId="5068" xr:uid="{00000000-0005-0000-0000-00008B0C0000}"/>
    <cellStyle name="Currency 5 3 2 2 2 2 3 2" xfId="22798" xr:uid="{B686E3F2-A09A-4AFB-9BFC-236FC0D5DB2D}"/>
    <cellStyle name="Currency 5 3 2 2 2 2 3 3" xfId="13518" xr:uid="{434A0589-787F-4B10-9B4B-62110CA67705}"/>
    <cellStyle name="Currency 5 3 2 2 2 2 4" xfId="18581" xr:uid="{D88B9500-1526-4893-AAF2-68E2645D09DD}"/>
    <cellStyle name="Currency 5 3 2 2 2 2 5" xfId="17751" xr:uid="{C2688184-2AA9-4451-80CF-73A4E8811983}"/>
    <cellStyle name="Currency 5 3 2 2 2 2 6" xfId="9300" xr:uid="{2BFA668B-2CFF-49F9-A446-6DA18451889E}"/>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25356" xr:uid="{99CFF88C-7BE0-4E48-BD7A-615C7FCAE094}"/>
    <cellStyle name="Currency 5 3 2 2 2 3 2 2 3" xfId="16076" xr:uid="{00384047-B6D8-484F-8201-B85CE95A96ED}"/>
    <cellStyle name="Currency 5 3 2 2 2 3 2 3" xfId="21139" xr:uid="{B5AFD50B-40EA-4CEA-A64F-99D1514E9166}"/>
    <cellStyle name="Currency 5 3 2 2 2 3 2 4" xfId="11858" xr:uid="{8750A318-6A39-4A74-AE29-9AA464F7648F}"/>
    <cellStyle name="Currency 5 3 2 2 2 3 3" xfId="5481" xr:uid="{00000000-0005-0000-0000-00008F0C0000}"/>
    <cellStyle name="Currency 5 3 2 2 2 3 3 2" xfId="23211" xr:uid="{521AA960-84EE-46FE-8B1A-FDF0DC024662}"/>
    <cellStyle name="Currency 5 3 2 2 2 3 3 3" xfId="13931" xr:uid="{FBC17ADE-DD81-4778-986F-FC48BB728824}"/>
    <cellStyle name="Currency 5 3 2 2 2 3 4" xfId="18994" xr:uid="{23B3A439-5E05-4EA4-9833-D7DA98E98296}"/>
    <cellStyle name="Currency 5 3 2 2 2 3 5" xfId="9713" xr:uid="{690ADEB0-D985-4BC1-9ACB-6CF0EA1BCB8A}"/>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25769" xr:uid="{85D1D50E-9A82-4DC7-9190-9505AA22BE93}"/>
    <cellStyle name="Currency 5 3 2 2 2 4 2 2 3" xfId="16489" xr:uid="{AE5E7EF1-1BFB-4722-900C-CEA3C22679A6}"/>
    <cellStyle name="Currency 5 3 2 2 2 4 2 3" xfId="21552" xr:uid="{46E030A7-F454-4222-BAF0-E4BDEB5A4D04}"/>
    <cellStyle name="Currency 5 3 2 2 2 4 2 4" xfId="12271" xr:uid="{DC06F66F-F979-4D23-B090-F1DD119175CD}"/>
    <cellStyle name="Currency 5 3 2 2 2 4 3" xfId="5894" xr:uid="{00000000-0005-0000-0000-0000930C0000}"/>
    <cellStyle name="Currency 5 3 2 2 2 4 3 2" xfId="23624" xr:uid="{D01D8306-FB97-4448-92C8-E46F3DA1F427}"/>
    <cellStyle name="Currency 5 3 2 2 2 4 3 3" xfId="14344" xr:uid="{CF5B773F-CC0C-4879-9359-D8FFD9EAA4C4}"/>
    <cellStyle name="Currency 5 3 2 2 2 4 4" xfId="19407" xr:uid="{B38D14D3-4E87-4134-9A23-FA7D1D460AAE}"/>
    <cellStyle name="Currency 5 3 2 2 2 4 5" xfId="10126" xr:uid="{23B1A954-C650-41AD-8BBD-8F4EBDAF0D17}"/>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26182" xr:uid="{9646373C-1653-475D-A834-0D4CB25C1EC1}"/>
    <cellStyle name="Currency 5 3 2 2 2 5 2 2 3" xfId="16902" xr:uid="{AFDD6E41-FBEC-4162-929C-A73DDF21358F}"/>
    <cellStyle name="Currency 5 3 2 2 2 5 2 3" xfId="21965" xr:uid="{59A178EE-29A2-45F7-8A49-4D779BC6B66D}"/>
    <cellStyle name="Currency 5 3 2 2 2 5 2 4" xfId="12684" xr:uid="{7A7A103C-4863-4EE4-B054-CC07C9F42C61}"/>
    <cellStyle name="Currency 5 3 2 2 2 5 3" xfId="6307" xr:uid="{00000000-0005-0000-0000-0000970C0000}"/>
    <cellStyle name="Currency 5 3 2 2 2 5 3 2" xfId="24037" xr:uid="{33698ED9-9FCD-405C-8AB5-9F70C1AFD1C2}"/>
    <cellStyle name="Currency 5 3 2 2 2 5 3 3" xfId="14757" xr:uid="{B77F9916-13A3-4DEE-B8CF-A47E38C6A544}"/>
    <cellStyle name="Currency 5 3 2 2 2 5 4" xfId="19820" xr:uid="{7B644ECF-1B00-445D-ADA2-40C434330616}"/>
    <cellStyle name="Currency 5 3 2 2 2 5 5" xfId="10539" xr:uid="{18E80AE7-6B20-49C9-8E22-877BE6BAF33F}"/>
    <cellStyle name="Currency 5 3 2 2 2 6" xfId="2436" xr:uid="{00000000-0005-0000-0000-0000980C0000}"/>
    <cellStyle name="Currency 5 3 2 2 2 6 2" xfId="6720" xr:uid="{00000000-0005-0000-0000-0000990C0000}"/>
    <cellStyle name="Currency 5 3 2 2 2 6 2 2" xfId="24450" xr:uid="{836152A4-DB36-4932-A173-15C393ABEBBD}"/>
    <cellStyle name="Currency 5 3 2 2 2 6 2 3" xfId="15170" xr:uid="{A0B74CD2-CB28-4B3D-BD52-C5BEB730173C}"/>
    <cellStyle name="Currency 5 3 2 2 2 6 3" xfId="20233" xr:uid="{0BA407B8-A092-46FE-A9A3-3C9C4D29EB07}"/>
    <cellStyle name="Currency 5 3 2 2 2 6 4" xfId="10952" xr:uid="{5B163A39-CD34-4DE4-AC84-AB9238B3E69F}"/>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24767" xr:uid="{2762EB69-73F2-41F1-8EE3-D2B7B6D217A6}"/>
    <cellStyle name="Currency 5 3 2 2 2 8 2 3" xfId="15487" xr:uid="{EF16B13D-0CDD-4C0B-83B9-795112C67BD5}"/>
    <cellStyle name="Currency 5 3 2 2 2 8 3" xfId="20550" xr:uid="{4A3081A7-B003-4FCF-9592-8745E11B1FB1}"/>
    <cellStyle name="Currency 5 3 2 2 2 8 4" xfId="11269" xr:uid="{B838B52E-6633-4C62-A669-9DF9A48AF0E7}"/>
    <cellStyle name="Currency 5 3 2 2 2 9" xfId="4654" xr:uid="{00000000-0005-0000-0000-00009D0C0000}"/>
    <cellStyle name="Currency 5 3 2 2 2 9 2" xfId="22384" xr:uid="{844E88D8-1D0D-4FA2-8859-C3C5B67BB702}"/>
    <cellStyle name="Currency 5 3 2 2 2 9 3" xfId="13104" xr:uid="{EFD48693-BF49-4619-B615-CDA026884BD3}"/>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24942" xr:uid="{BE3D397C-33DB-4DE1-8339-F3EF266A2011}"/>
    <cellStyle name="Currency 5 3 2 2 3 2 2 3" xfId="15662" xr:uid="{7D6BF1A1-7510-418F-9980-2458D5A973B5}"/>
    <cellStyle name="Currency 5 3 2 2 3 2 3" xfId="20725" xr:uid="{898AFAE0-6FD9-45A2-991B-0BAE494EE432}"/>
    <cellStyle name="Currency 5 3 2 2 3 2 4" xfId="11444" xr:uid="{E7B1E76A-D19D-40E4-804E-66F901E19F54}"/>
    <cellStyle name="Currency 5 3 2 2 3 3" xfId="5067" xr:uid="{00000000-0005-0000-0000-0000A10C0000}"/>
    <cellStyle name="Currency 5 3 2 2 3 3 2" xfId="22797" xr:uid="{E33C3E97-3287-4642-B97F-BFEABA44DDCF}"/>
    <cellStyle name="Currency 5 3 2 2 3 3 3" xfId="13517" xr:uid="{63A8E58A-AF6A-4F44-8625-8BA0D11FB0B5}"/>
    <cellStyle name="Currency 5 3 2 2 3 4" xfId="18580" xr:uid="{072EDD8D-7B57-4598-A62C-0A6C4012E3B3}"/>
    <cellStyle name="Currency 5 3 2 2 3 5" xfId="17750" xr:uid="{2231BAEB-7343-4ABB-8DBD-CD6A015AEFD4}"/>
    <cellStyle name="Currency 5 3 2 2 3 6" xfId="9299" xr:uid="{E34EBC4F-D4CC-4D04-92D2-19782850DCD8}"/>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25355" xr:uid="{270A40E1-E716-47D8-9EDA-17CF3EC5D925}"/>
    <cellStyle name="Currency 5 3 2 2 4 2 2 3" xfId="16075" xr:uid="{84FDC9C4-B8DE-4633-867B-905CC6137639}"/>
    <cellStyle name="Currency 5 3 2 2 4 2 3" xfId="21138" xr:uid="{1D6662F6-AA00-42F7-982B-37B67577245A}"/>
    <cellStyle name="Currency 5 3 2 2 4 2 4" xfId="11857" xr:uid="{F1147DF1-32DA-43EF-81BC-6E9EDBE50895}"/>
    <cellStyle name="Currency 5 3 2 2 4 3" xfId="5480" xr:uid="{00000000-0005-0000-0000-0000A50C0000}"/>
    <cellStyle name="Currency 5 3 2 2 4 3 2" xfId="23210" xr:uid="{F009F3F4-99F9-4D50-979C-AEADCD6FAAA0}"/>
    <cellStyle name="Currency 5 3 2 2 4 3 3" xfId="13930" xr:uid="{62D8AF6B-DB9C-479A-845D-2A8D13E4A3FF}"/>
    <cellStyle name="Currency 5 3 2 2 4 4" xfId="18993" xr:uid="{03729186-976D-43DE-BD56-102D03469C6E}"/>
    <cellStyle name="Currency 5 3 2 2 4 5" xfId="9712" xr:uid="{187AFDED-FE0E-49E8-8C5C-EF2A8B4528AB}"/>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25768" xr:uid="{F6FC3955-56AA-4D91-B07D-FDAE65514C68}"/>
    <cellStyle name="Currency 5 3 2 2 5 2 2 3" xfId="16488" xr:uid="{C3D31BFF-5624-4463-A7C7-668C90BC6287}"/>
    <cellStyle name="Currency 5 3 2 2 5 2 3" xfId="21551" xr:uid="{66259CEA-E707-4604-85FA-BF05171CA578}"/>
    <cellStyle name="Currency 5 3 2 2 5 2 4" xfId="12270" xr:uid="{AF57434C-AF0B-4FFB-8470-58501E89EF2A}"/>
    <cellStyle name="Currency 5 3 2 2 5 3" xfId="5893" xr:uid="{00000000-0005-0000-0000-0000A90C0000}"/>
    <cellStyle name="Currency 5 3 2 2 5 3 2" xfId="23623" xr:uid="{88DEEA4E-2E65-4D09-8294-54899DFF179F}"/>
    <cellStyle name="Currency 5 3 2 2 5 3 3" xfId="14343" xr:uid="{CFB95061-9A3C-44FF-BC14-6A799B7E1639}"/>
    <cellStyle name="Currency 5 3 2 2 5 4" xfId="19406" xr:uid="{24DC0BAD-9BA7-4BA8-9A08-6EF642911261}"/>
    <cellStyle name="Currency 5 3 2 2 5 5" xfId="10125" xr:uid="{8B0DFA1E-C361-4F5A-9B04-1FAA6B447D8F}"/>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26181" xr:uid="{D46C6650-ABA0-4091-ABBE-3222D47416A3}"/>
    <cellStyle name="Currency 5 3 2 2 6 2 2 3" xfId="16901" xr:uid="{9068441C-0F0B-4CEA-BFB2-88B063CD93F4}"/>
    <cellStyle name="Currency 5 3 2 2 6 2 3" xfId="21964" xr:uid="{D0D6E518-0CBE-4430-99FA-3E83A7A7B59F}"/>
    <cellStyle name="Currency 5 3 2 2 6 2 4" xfId="12683" xr:uid="{34FBD50D-5A7A-44F6-BBA4-543E4232294F}"/>
    <cellStyle name="Currency 5 3 2 2 6 3" xfId="6306" xr:uid="{00000000-0005-0000-0000-0000AD0C0000}"/>
    <cellStyle name="Currency 5 3 2 2 6 3 2" xfId="24036" xr:uid="{4D691332-68D8-4DDB-9BDC-989D2C73390A}"/>
    <cellStyle name="Currency 5 3 2 2 6 3 3" xfId="14756" xr:uid="{9426521F-31B0-46EA-A051-1F22B17EB886}"/>
    <cellStyle name="Currency 5 3 2 2 6 4" xfId="19819" xr:uid="{90719A5B-F6DA-426B-B553-13587942C285}"/>
    <cellStyle name="Currency 5 3 2 2 6 5" xfId="10538" xr:uid="{FB01E327-EAF9-4102-9769-5CAD66A1D101}"/>
    <cellStyle name="Currency 5 3 2 2 7" xfId="2435" xr:uid="{00000000-0005-0000-0000-0000AE0C0000}"/>
    <cellStyle name="Currency 5 3 2 2 7 2" xfId="6719" xr:uid="{00000000-0005-0000-0000-0000AF0C0000}"/>
    <cellStyle name="Currency 5 3 2 2 7 2 2" xfId="24449" xr:uid="{234ED27D-A195-4F69-B357-BAF32E91B485}"/>
    <cellStyle name="Currency 5 3 2 2 7 2 3" xfId="15169" xr:uid="{3C67B774-84DE-4EFE-A40D-2924B50A3CB9}"/>
    <cellStyle name="Currency 5 3 2 2 7 3" xfId="20232" xr:uid="{54EA2949-5865-46BD-AF0A-14E8D5D1D9C1}"/>
    <cellStyle name="Currency 5 3 2 2 7 4" xfId="10951" xr:uid="{B0964494-DE9B-489E-BD8F-E37EA2AA4B4E}"/>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24766" xr:uid="{0FEB2DC5-8162-469B-AFF1-42CF68DB4F66}"/>
    <cellStyle name="Currency 5 3 2 2 9 2 3" xfId="15486" xr:uid="{07B9A280-4135-4FD1-9686-0C32FF3E8D56}"/>
    <cellStyle name="Currency 5 3 2 2 9 3" xfId="20549" xr:uid="{991916A7-69F5-4B72-879E-4B5DD08825F1}"/>
    <cellStyle name="Currency 5 3 2 2 9 4" xfId="11268" xr:uid="{280A91DE-685D-44D6-BDD6-BC5E0FFDFC00}"/>
    <cellStyle name="Currency 5 3 2 3" xfId="213" xr:uid="{00000000-0005-0000-0000-0000B30C0000}"/>
    <cellStyle name="Currency 5 3 2 3 10" xfId="18168" xr:uid="{9AE4744A-AE7D-4045-88A7-5AB31C2632A9}"/>
    <cellStyle name="Currency 5 3 2 3 11" xfId="17335" xr:uid="{1AC08D43-2CDD-403F-AFC8-DA5F64A6D451}"/>
    <cellStyle name="Currency 5 3 2 3 12" xfId="8887" xr:uid="{BF1C9348-584E-4558-A0D0-B6DFC17DE285}"/>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24944" xr:uid="{CACE71C3-B8BF-4FC9-8FB3-CB32215B5A5F}"/>
    <cellStyle name="Currency 5 3 2 3 2 2 2 3" xfId="15664" xr:uid="{A0F3DEF3-C628-417C-851B-90EF982EEFFF}"/>
    <cellStyle name="Currency 5 3 2 3 2 2 3" xfId="20727" xr:uid="{4AD16688-B7C9-4622-BB8A-BAF174B07EE8}"/>
    <cellStyle name="Currency 5 3 2 3 2 2 4" xfId="11446" xr:uid="{DF2438DD-55D7-49E9-8021-62C92D79EE23}"/>
    <cellStyle name="Currency 5 3 2 3 2 3" xfId="5069" xr:uid="{00000000-0005-0000-0000-0000B70C0000}"/>
    <cellStyle name="Currency 5 3 2 3 2 3 2" xfId="22799" xr:uid="{27C06A78-A33F-4D46-88F9-799B60BE9C8E}"/>
    <cellStyle name="Currency 5 3 2 3 2 3 3" xfId="13519" xr:uid="{6E9813C7-08BF-42CF-A17B-0193ACFA2214}"/>
    <cellStyle name="Currency 5 3 2 3 2 4" xfId="18582" xr:uid="{716BCACD-5354-437F-9CDD-2033BB2D1489}"/>
    <cellStyle name="Currency 5 3 2 3 2 5" xfId="17752" xr:uid="{BAE67D7D-F9A0-419D-8B42-081B8C914CF2}"/>
    <cellStyle name="Currency 5 3 2 3 2 6" xfId="9301" xr:uid="{ECE44F8B-1E52-4BB8-AED9-C28C4DFA397C}"/>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25357" xr:uid="{95AAD732-B77D-4D0C-9497-27F4337AD12A}"/>
    <cellStyle name="Currency 5 3 2 3 3 2 2 3" xfId="16077" xr:uid="{C22550CE-056F-4542-90DB-72851F9E6551}"/>
    <cellStyle name="Currency 5 3 2 3 3 2 3" xfId="21140" xr:uid="{DB9734DF-473C-479B-9B51-1A186EE00797}"/>
    <cellStyle name="Currency 5 3 2 3 3 2 4" xfId="11859" xr:uid="{DCD4FCA7-ACFD-49DD-9F97-CAE24D8F1921}"/>
    <cellStyle name="Currency 5 3 2 3 3 3" xfId="5482" xr:uid="{00000000-0005-0000-0000-0000BB0C0000}"/>
    <cellStyle name="Currency 5 3 2 3 3 3 2" xfId="23212" xr:uid="{6989421D-F612-4712-A3A2-01AFCB510888}"/>
    <cellStyle name="Currency 5 3 2 3 3 3 3" xfId="13932" xr:uid="{14EA50DC-AAE3-498B-B585-41E899C4BB83}"/>
    <cellStyle name="Currency 5 3 2 3 3 4" xfId="18995" xr:uid="{6C587519-E0A6-421F-B603-B2EE98CF6147}"/>
    <cellStyle name="Currency 5 3 2 3 3 5" xfId="9714" xr:uid="{9E82E9F7-7371-46B5-96D3-97AEA140365C}"/>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25770" xr:uid="{2119EC2D-EF13-4649-9036-69DF9686C976}"/>
    <cellStyle name="Currency 5 3 2 3 4 2 2 3" xfId="16490" xr:uid="{7CB389C3-4770-41FC-9B22-1BB4BB541EED}"/>
    <cellStyle name="Currency 5 3 2 3 4 2 3" xfId="21553" xr:uid="{D69CEEDD-B677-4349-B644-6191E97A2E68}"/>
    <cellStyle name="Currency 5 3 2 3 4 2 4" xfId="12272" xr:uid="{65742874-C1F3-4B45-864A-F573B10DB46E}"/>
    <cellStyle name="Currency 5 3 2 3 4 3" xfId="5895" xr:uid="{00000000-0005-0000-0000-0000BF0C0000}"/>
    <cellStyle name="Currency 5 3 2 3 4 3 2" xfId="23625" xr:uid="{A312139A-E2F7-4F32-B2CE-F5897A8E55E9}"/>
    <cellStyle name="Currency 5 3 2 3 4 3 3" xfId="14345" xr:uid="{33E2587C-166A-495C-8B24-1BDA9308AC55}"/>
    <cellStyle name="Currency 5 3 2 3 4 4" xfId="19408" xr:uid="{A8C6E00C-BF45-402F-8EB6-BE295EB8E496}"/>
    <cellStyle name="Currency 5 3 2 3 4 5" xfId="10127" xr:uid="{946B0DA3-27C4-4B15-937D-06B3874619F4}"/>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26183" xr:uid="{4EB44192-1CDC-40EA-8AD2-8081EF7CBC1E}"/>
    <cellStyle name="Currency 5 3 2 3 5 2 2 3" xfId="16903" xr:uid="{5330CB5F-74B3-438A-AE87-34E1BEB54047}"/>
    <cellStyle name="Currency 5 3 2 3 5 2 3" xfId="21966" xr:uid="{08AA9D85-B31C-4B5B-B4DA-FD330C0E33E0}"/>
    <cellStyle name="Currency 5 3 2 3 5 2 4" xfId="12685" xr:uid="{9551E530-B021-44EE-AEF4-7E883569D695}"/>
    <cellStyle name="Currency 5 3 2 3 5 3" xfId="6308" xr:uid="{00000000-0005-0000-0000-0000C30C0000}"/>
    <cellStyle name="Currency 5 3 2 3 5 3 2" xfId="24038" xr:uid="{3A308AAB-90C7-4929-B9DB-E9A06F61B21F}"/>
    <cellStyle name="Currency 5 3 2 3 5 3 3" xfId="14758" xr:uid="{BC683D7D-2845-431C-89DF-64DFC86A3295}"/>
    <cellStyle name="Currency 5 3 2 3 5 4" xfId="19821" xr:uid="{A188F584-5DC7-405D-B3E3-A893F8764E41}"/>
    <cellStyle name="Currency 5 3 2 3 5 5" xfId="10540" xr:uid="{500BB51D-7097-4C4D-A461-60933D3AFF84}"/>
    <cellStyle name="Currency 5 3 2 3 6" xfId="2437" xr:uid="{00000000-0005-0000-0000-0000C40C0000}"/>
    <cellStyle name="Currency 5 3 2 3 6 2" xfId="6721" xr:uid="{00000000-0005-0000-0000-0000C50C0000}"/>
    <cellStyle name="Currency 5 3 2 3 6 2 2" xfId="24451" xr:uid="{993F888F-E2D1-49F8-8773-1DAFF0096C37}"/>
    <cellStyle name="Currency 5 3 2 3 6 2 3" xfId="15171" xr:uid="{FADF66DC-4479-458C-8E34-7CB275C84D37}"/>
    <cellStyle name="Currency 5 3 2 3 6 3" xfId="20234" xr:uid="{6E8B6CD6-302A-4D27-A10C-961AEEA05851}"/>
    <cellStyle name="Currency 5 3 2 3 6 4" xfId="10953" xr:uid="{292691E5-CEE4-477B-8484-F8E426A44C8E}"/>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24768" xr:uid="{B378CE8A-9BB8-4B42-B382-9F1B64ADABF9}"/>
    <cellStyle name="Currency 5 3 2 3 8 2 3" xfId="15488" xr:uid="{BEBAA009-2517-44D5-B366-FB5745C9844F}"/>
    <cellStyle name="Currency 5 3 2 3 8 3" xfId="20551" xr:uid="{4CC31409-FD3B-48F3-A49F-A5FB77CB904F}"/>
    <cellStyle name="Currency 5 3 2 3 8 4" xfId="11270" xr:uid="{94E37D5D-EA09-4957-97E7-4A877ABAC30A}"/>
    <cellStyle name="Currency 5 3 2 3 9" xfId="4655" xr:uid="{00000000-0005-0000-0000-0000C90C0000}"/>
    <cellStyle name="Currency 5 3 2 3 9 2" xfId="22385" xr:uid="{FE1D9BA9-C352-4B55-8E92-D5B76B9FBCA4}"/>
    <cellStyle name="Currency 5 3 2 3 9 3" xfId="13105" xr:uid="{CDF37666-4813-480F-8081-B5E9F32F642B}"/>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24941" xr:uid="{BDA6777E-AF45-4CD2-BADF-915FC8AE7E7E}"/>
    <cellStyle name="Currency 5 3 2 4 2 2 3" xfId="15661" xr:uid="{37F01ACB-FB08-41F5-B782-214C70B7DBB2}"/>
    <cellStyle name="Currency 5 3 2 4 2 3" xfId="20724" xr:uid="{C9EBF6ED-101D-4756-828D-0A28A94424A3}"/>
    <cellStyle name="Currency 5 3 2 4 2 4" xfId="11443" xr:uid="{CD88D1FD-9928-4494-8BD7-CC6E626DE639}"/>
    <cellStyle name="Currency 5 3 2 4 3" xfId="5066" xr:uid="{00000000-0005-0000-0000-0000CD0C0000}"/>
    <cellStyle name="Currency 5 3 2 4 3 2" xfId="22796" xr:uid="{4EDF7CAC-D647-4192-8AC9-A881C857B7AC}"/>
    <cellStyle name="Currency 5 3 2 4 3 3" xfId="13516" xr:uid="{E3857361-74D5-492B-B9B4-FE9427344FC6}"/>
    <cellStyle name="Currency 5 3 2 4 4" xfId="18579" xr:uid="{1C04FEC1-50B3-48A0-A74B-86705FDF2A8F}"/>
    <cellStyle name="Currency 5 3 2 4 5" xfId="17749" xr:uid="{71364683-74AA-46AA-83C2-C9F50A67CF82}"/>
    <cellStyle name="Currency 5 3 2 4 6" xfId="9298" xr:uid="{51E22B62-7C90-4323-906E-F4BBF0E8CC5C}"/>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25354" xr:uid="{E98971A6-C757-4ADD-A4A7-AEA6B862DBE8}"/>
    <cellStyle name="Currency 5 3 2 5 2 2 3" xfId="16074" xr:uid="{20DB8C90-FEDF-4B61-BC9E-B5DCE666B2F5}"/>
    <cellStyle name="Currency 5 3 2 5 2 3" xfId="21137" xr:uid="{B133990F-6EFA-4D92-B196-A46F44744D60}"/>
    <cellStyle name="Currency 5 3 2 5 2 4" xfId="11856" xr:uid="{61C95CCA-96EE-44F0-A12E-A7B80A9FB800}"/>
    <cellStyle name="Currency 5 3 2 5 3" xfId="5479" xr:uid="{00000000-0005-0000-0000-0000D10C0000}"/>
    <cellStyle name="Currency 5 3 2 5 3 2" xfId="23209" xr:uid="{28717AE6-3FBB-4E25-BED5-A0D9CA6543F4}"/>
    <cellStyle name="Currency 5 3 2 5 3 3" xfId="13929" xr:uid="{8A50BAF1-184B-47AC-AEC1-3AE47502DB5B}"/>
    <cellStyle name="Currency 5 3 2 5 4" xfId="18992" xr:uid="{9EECD962-5044-4CA5-BF7C-6545ED4A29FC}"/>
    <cellStyle name="Currency 5 3 2 5 5" xfId="9711" xr:uid="{B7AC1A9B-6B96-4A2A-A313-1937E7CA1DED}"/>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25767" xr:uid="{1B50C8A3-6C1E-49FB-869D-5094BBE595EB}"/>
    <cellStyle name="Currency 5 3 2 6 2 2 3" xfId="16487" xr:uid="{2D2F6AB3-EF62-4642-A577-5D2F72F11E28}"/>
    <cellStyle name="Currency 5 3 2 6 2 3" xfId="21550" xr:uid="{F26FF3B8-88E0-4F23-BD93-77A6EF84D5F5}"/>
    <cellStyle name="Currency 5 3 2 6 2 4" xfId="12269" xr:uid="{29F1F451-5397-4202-94B8-305298011A05}"/>
    <cellStyle name="Currency 5 3 2 6 3" xfId="5892" xr:uid="{00000000-0005-0000-0000-0000D50C0000}"/>
    <cellStyle name="Currency 5 3 2 6 3 2" xfId="23622" xr:uid="{D858C8DE-3FF9-42FB-A283-477EFA564605}"/>
    <cellStyle name="Currency 5 3 2 6 3 3" xfId="14342" xr:uid="{21F44D55-B5DC-4DB7-8D9B-0AE31B4F92F7}"/>
    <cellStyle name="Currency 5 3 2 6 4" xfId="19405" xr:uid="{5EFAAF73-C181-4546-BFB3-5D813B631E85}"/>
    <cellStyle name="Currency 5 3 2 6 5" xfId="10124" xr:uid="{4A327552-03D2-4CD4-9256-81E49ECAD675}"/>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26180" xr:uid="{DB60CD6F-D6A1-43DF-A3C9-9D913E61F27B}"/>
    <cellStyle name="Currency 5 3 2 7 2 2 3" xfId="16900" xr:uid="{6E0B8889-CC8C-45DD-9266-D82B5D546A9C}"/>
    <cellStyle name="Currency 5 3 2 7 2 3" xfId="21963" xr:uid="{CB05F177-4A98-4125-850D-0002A8395B4F}"/>
    <cellStyle name="Currency 5 3 2 7 2 4" xfId="12682" xr:uid="{24C5FC61-48B9-47FF-A7C8-AB2077C634F0}"/>
    <cellStyle name="Currency 5 3 2 7 3" xfId="6305" xr:uid="{00000000-0005-0000-0000-0000D90C0000}"/>
    <cellStyle name="Currency 5 3 2 7 3 2" xfId="24035" xr:uid="{F1379F0E-340D-4E41-97A1-667B236BBE33}"/>
    <cellStyle name="Currency 5 3 2 7 3 3" xfId="14755" xr:uid="{0D3CA4C5-7358-44E4-9539-4B6B7DF1307C}"/>
    <cellStyle name="Currency 5 3 2 7 4" xfId="19818" xr:uid="{6A8F4BF9-21B5-4A93-891A-2F350738D03F}"/>
    <cellStyle name="Currency 5 3 2 7 5" xfId="10537" xr:uid="{A320C67B-4E53-4E5D-8682-0AD42E4AC157}"/>
    <cellStyle name="Currency 5 3 2 8" xfId="2434" xr:uid="{00000000-0005-0000-0000-0000DA0C0000}"/>
    <cellStyle name="Currency 5 3 2 8 2" xfId="6718" xr:uid="{00000000-0005-0000-0000-0000DB0C0000}"/>
    <cellStyle name="Currency 5 3 2 8 2 2" xfId="24448" xr:uid="{6676467B-F18F-4A85-9295-06195EEF46E5}"/>
    <cellStyle name="Currency 5 3 2 8 2 3" xfId="15168" xr:uid="{7B07FFEA-D1E3-4EAD-AC5E-803D9C29D505}"/>
    <cellStyle name="Currency 5 3 2 8 3" xfId="20231" xr:uid="{97169271-F691-4127-9175-34E3950D7217}"/>
    <cellStyle name="Currency 5 3 2 8 4" xfId="10950" xr:uid="{025F45A9-58D6-4CA2-AE8B-22D4643073FA}"/>
    <cellStyle name="Currency 5 3 2 9" xfId="2731" xr:uid="{00000000-0005-0000-0000-0000DC0C0000}"/>
    <cellStyle name="Currency 5 3 3" xfId="214" xr:uid="{00000000-0005-0000-0000-0000DD0C0000}"/>
    <cellStyle name="Currency 5 3 3 10" xfId="4656" xr:uid="{00000000-0005-0000-0000-0000DE0C0000}"/>
    <cellStyle name="Currency 5 3 3 10 2" xfId="22386" xr:uid="{F208628C-FDC0-4791-85DE-0D66C80AC123}"/>
    <cellStyle name="Currency 5 3 3 10 3" xfId="13106" xr:uid="{18170889-8D0C-4BC4-AA99-3964C1F31C63}"/>
    <cellStyle name="Currency 5 3 3 11" xfId="18169" xr:uid="{95B9D166-7168-4012-B917-2D176E1B648D}"/>
    <cellStyle name="Currency 5 3 3 12" xfId="17336" xr:uid="{089DE4BE-8522-44CD-8A1D-2BFD50FD3B24}"/>
    <cellStyle name="Currency 5 3 3 13" xfId="8888" xr:uid="{6449E1F8-2CC0-4A50-9BAA-EA1FF25B8933}"/>
    <cellStyle name="Currency 5 3 3 2" xfId="215" xr:uid="{00000000-0005-0000-0000-0000DF0C0000}"/>
    <cellStyle name="Currency 5 3 3 2 10" xfId="18170" xr:uid="{565D5B73-9D79-4A19-A65C-38BF6F40ECBD}"/>
    <cellStyle name="Currency 5 3 3 2 11" xfId="17337" xr:uid="{3BF167B2-C421-43A8-9D36-70AE3EFD920A}"/>
    <cellStyle name="Currency 5 3 3 2 12" xfId="8889" xr:uid="{9E942626-90A0-4551-B5AD-2A3063161A3B}"/>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24946" xr:uid="{28DF2405-F2B9-427E-A861-4B397225FE1B}"/>
    <cellStyle name="Currency 5 3 3 2 2 2 2 3" xfId="15666" xr:uid="{8D382022-693E-475A-931D-1BE1C24F32A0}"/>
    <cellStyle name="Currency 5 3 3 2 2 2 3" xfId="20729" xr:uid="{68D7B456-6AF6-4BDA-B2CE-796A10E3793D}"/>
    <cellStyle name="Currency 5 3 3 2 2 2 4" xfId="11448" xr:uid="{CBD4680D-C2ED-40D0-99C4-4BC2E013474B}"/>
    <cellStyle name="Currency 5 3 3 2 2 3" xfId="5071" xr:uid="{00000000-0005-0000-0000-0000E30C0000}"/>
    <cellStyle name="Currency 5 3 3 2 2 3 2" xfId="22801" xr:uid="{FA41C95D-AC10-4AAA-B51B-7213CC3E51E3}"/>
    <cellStyle name="Currency 5 3 3 2 2 3 3" xfId="13521" xr:uid="{75084F14-D545-4C58-9FC7-D4C38C06781D}"/>
    <cellStyle name="Currency 5 3 3 2 2 4" xfId="18584" xr:uid="{D5CFDC6E-A774-4E6A-B7B6-5A92DF23B3A6}"/>
    <cellStyle name="Currency 5 3 3 2 2 5" xfId="17754" xr:uid="{D97CA931-55AE-4A27-8584-1E429BF7A48F}"/>
    <cellStyle name="Currency 5 3 3 2 2 6" xfId="9303" xr:uid="{A074FCC4-4436-427C-AFAF-5DDBE68943E4}"/>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25359" xr:uid="{E048E931-CFE4-40C4-A6C0-58C19754613E}"/>
    <cellStyle name="Currency 5 3 3 2 3 2 2 3" xfId="16079" xr:uid="{B9899F8B-5224-438E-B3C6-2FA8F53C81EC}"/>
    <cellStyle name="Currency 5 3 3 2 3 2 3" xfId="21142" xr:uid="{5E9FBC4A-C6B7-44A0-967A-3EF2FB39036C}"/>
    <cellStyle name="Currency 5 3 3 2 3 2 4" xfId="11861" xr:uid="{FC8B18A3-C731-4F62-94D6-B1FDEFB03633}"/>
    <cellStyle name="Currency 5 3 3 2 3 3" xfId="5484" xr:uid="{00000000-0005-0000-0000-0000E70C0000}"/>
    <cellStyle name="Currency 5 3 3 2 3 3 2" xfId="23214" xr:uid="{9D18FC95-0DE5-4CF0-95D7-2D04FDBB8FAA}"/>
    <cellStyle name="Currency 5 3 3 2 3 3 3" xfId="13934" xr:uid="{3F8BDD5F-8E16-43B9-BC93-78BA78976C28}"/>
    <cellStyle name="Currency 5 3 3 2 3 4" xfId="18997" xr:uid="{7B18C5F4-F015-483C-9972-10BFE7B1DF72}"/>
    <cellStyle name="Currency 5 3 3 2 3 5" xfId="9716" xr:uid="{543F7DE5-D17F-4F62-A465-F221B6800C2A}"/>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25772" xr:uid="{3E521030-36C4-4534-A1B2-C83537E3D17B}"/>
    <cellStyle name="Currency 5 3 3 2 4 2 2 3" xfId="16492" xr:uid="{8B697CDC-B953-495F-812D-8F1988354110}"/>
    <cellStyle name="Currency 5 3 3 2 4 2 3" xfId="21555" xr:uid="{E0479B6C-8B80-4390-9012-32A90E516CD4}"/>
    <cellStyle name="Currency 5 3 3 2 4 2 4" xfId="12274" xr:uid="{0692ECEA-7979-4585-804D-1B7306B7CEEF}"/>
    <cellStyle name="Currency 5 3 3 2 4 3" xfId="5897" xr:uid="{00000000-0005-0000-0000-0000EB0C0000}"/>
    <cellStyle name="Currency 5 3 3 2 4 3 2" xfId="23627" xr:uid="{7E66844D-C1C4-4735-8093-ECB20B492984}"/>
    <cellStyle name="Currency 5 3 3 2 4 3 3" xfId="14347" xr:uid="{2CCB3F1A-6B4B-4E49-9CFC-3015B759AB46}"/>
    <cellStyle name="Currency 5 3 3 2 4 4" xfId="19410" xr:uid="{AB917707-3045-478B-ADE7-401C6B125DDB}"/>
    <cellStyle name="Currency 5 3 3 2 4 5" xfId="10129" xr:uid="{F42A2351-F22F-4C9F-9A07-76CD9DDFC2C6}"/>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26185" xr:uid="{4DFCDE6B-B4CD-4F8B-A1EB-8C15F8274DC5}"/>
    <cellStyle name="Currency 5 3 3 2 5 2 2 3" xfId="16905" xr:uid="{887C479F-8E16-4AC2-B839-19E2723E2606}"/>
    <cellStyle name="Currency 5 3 3 2 5 2 3" xfId="21968" xr:uid="{A34236B6-B3B5-408E-8275-2A800AC6E272}"/>
    <cellStyle name="Currency 5 3 3 2 5 2 4" xfId="12687" xr:uid="{E3C338B2-F24D-437F-845D-9F24C67A7C2A}"/>
    <cellStyle name="Currency 5 3 3 2 5 3" xfId="6310" xr:uid="{00000000-0005-0000-0000-0000EF0C0000}"/>
    <cellStyle name="Currency 5 3 3 2 5 3 2" xfId="24040" xr:uid="{70F06B76-9A46-4DA4-AF1F-908F6AED6CE9}"/>
    <cellStyle name="Currency 5 3 3 2 5 3 3" xfId="14760" xr:uid="{4B54732C-CA05-46E9-98CC-F751B47E48AC}"/>
    <cellStyle name="Currency 5 3 3 2 5 4" xfId="19823" xr:uid="{46E40262-D7EE-4E8B-8C2E-C8B190101604}"/>
    <cellStyle name="Currency 5 3 3 2 5 5" xfId="10542" xr:uid="{0C95714A-23C9-4CCC-921A-611E89E5E9D2}"/>
    <cellStyle name="Currency 5 3 3 2 6" xfId="2439" xr:uid="{00000000-0005-0000-0000-0000F00C0000}"/>
    <cellStyle name="Currency 5 3 3 2 6 2" xfId="6723" xr:uid="{00000000-0005-0000-0000-0000F10C0000}"/>
    <cellStyle name="Currency 5 3 3 2 6 2 2" xfId="24453" xr:uid="{081DCC71-EC81-4592-B130-D2D8C0A6F6B0}"/>
    <cellStyle name="Currency 5 3 3 2 6 2 3" xfId="15173" xr:uid="{652EDD25-F565-45B2-BCA8-173EF6C7F9B4}"/>
    <cellStyle name="Currency 5 3 3 2 6 3" xfId="20236" xr:uid="{97D62C62-FC63-479E-8EAE-AD4867053481}"/>
    <cellStyle name="Currency 5 3 3 2 6 4" xfId="10955" xr:uid="{8319045E-63B1-4CDA-8242-D8C84F846B5D}"/>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24770" xr:uid="{1738AFCD-7A7B-4844-9EF0-B8C318FD9FB2}"/>
    <cellStyle name="Currency 5 3 3 2 8 2 3" xfId="15490" xr:uid="{3CFE43B2-4A0B-4ADA-A7A0-E9CC8F5B214E}"/>
    <cellStyle name="Currency 5 3 3 2 8 3" xfId="20553" xr:uid="{286755B5-6D85-4074-9209-FEE3914801CF}"/>
    <cellStyle name="Currency 5 3 3 2 8 4" xfId="11272" xr:uid="{43945FC5-EC8A-4248-8CE5-0339680E94BE}"/>
    <cellStyle name="Currency 5 3 3 2 9" xfId="4657" xr:uid="{00000000-0005-0000-0000-0000F50C0000}"/>
    <cellStyle name="Currency 5 3 3 2 9 2" xfId="22387" xr:uid="{90E82A5E-097E-4680-887D-F947CBF6A52C}"/>
    <cellStyle name="Currency 5 3 3 2 9 3" xfId="13107" xr:uid="{403AC64E-F3D3-4FA8-935B-F226E2E25D99}"/>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24945" xr:uid="{7BE4FD7E-E80C-4ECF-B3FB-63C2F0439681}"/>
    <cellStyle name="Currency 5 3 3 3 2 2 3" xfId="15665" xr:uid="{31180CF2-7CB2-42E9-8E05-2D686BF8EA9F}"/>
    <cellStyle name="Currency 5 3 3 3 2 3" xfId="20728" xr:uid="{FDB0D548-5135-4F1F-8B70-A8B9F9967477}"/>
    <cellStyle name="Currency 5 3 3 3 2 4" xfId="11447" xr:uid="{075C3904-A285-440A-AFAB-9449310B58F1}"/>
    <cellStyle name="Currency 5 3 3 3 3" xfId="5070" xr:uid="{00000000-0005-0000-0000-0000F90C0000}"/>
    <cellStyle name="Currency 5 3 3 3 3 2" xfId="22800" xr:uid="{4C8D99C9-9DCA-45B6-9F5E-D4EB71C3EF6D}"/>
    <cellStyle name="Currency 5 3 3 3 3 3" xfId="13520" xr:uid="{D41AFF3D-8962-46A7-9A26-2FB0A630B970}"/>
    <cellStyle name="Currency 5 3 3 3 4" xfId="18583" xr:uid="{5E5D2248-C133-4D85-B3DE-EACD9A5FC637}"/>
    <cellStyle name="Currency 5 3 3 3 5" xfId="17753" xr:uid="{EFD1CDCB-E7D1-49B4-A4F5-80789213463A}"/>
    <cellStyle name="Currency 5 3 3 3 6" xfId="9302" xr:uid="{EEF3D746-0DAC-4081-814A-958200A05C11}"/>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25358" xr:uid="{A0D8E177-1C1A-412A-AE92-A48851DCD523}"/>
    <cellStyle name="Currency 5 3 3 4 2 2 3" xfId="16078" xr:uid="{20FAE320-6B91-4AD5-9E9E-1550644D7603}"/>
    <cellStyle name="Currency 5 3 3 4 2 3" xfId="21141" xr:uid="{6AA551CF-AC89-4E81-91C7-4478EF0D0EF8}"/>
    <cellStyle name="Currency 5 3 3 4 2 4" xfId="11860" xr:uid="{346BFB3B-C83A-467E-800F-9083E85C8D8D}"/>
    <cellStyle name="Currency 5 3 3 4 3" xfId="5483" xr:uid="{00000000-0005-0000-0000-0000FD0C0000}"/>
    <cellStyle name="Currency 5 3 3 4 3 2" xfId="23213" xr:uid="{B92B4D0C-DF48-4EC8-A2A0-54969863ECCF}"/>
    <cellStyle name="Currency 5 3 3 4 3 3" xfId="13933" xr:uid="{66C59286-95BE-4455-9CCB-91B03978C951}"/>
    <cellStyle name="Currency 5 3 3 4 4" xfId="18996" xr:uid="{8CD50205-E42E-4A64-9FE9-6307425A2E5C}"/>
    <cellStyle name="Currency 5 3 3 4 5" xfId="9715" xr:uid="{0601992F-EC09-4B1D-A839-871A9EE6507F}"/>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25771" xr:uid="{D4E77BC1-2EE8-45A2-A71C-EFFE79D6F94E}"/>
    <cellStyle name="Currency 5 3 3 5 2 2 3" xfId="16491" xr:uid="{03205C59-99C5-4EA6-B793-9FA03615D9B0}"/>
    <cellStyle name="Currency 5 3 3 5 2 3" xfId="21554" xr:uid="{925F280C-CBF4-41E8-9E31-05F4822A6259}"/>
    <cellStyle name="Currency 5 3 3 5 2 4" xfId="12273" xr:uid="{1F989A32-AC9F-412F-969D-3291C8999CDE}"/>
    <cellStyle name="Currency 5 3 3 5 3" xfId="5896" xr:uid="{00000000-0005-0000-0000-0000010D0000}"/>
    <cellStyle name="Currency 5 3 3 5 3 2" xfId="23626" xr:uid="{8F92E269-F8C7-46D3-93E6-95D75B73444A}"/>
    <cellStyle name="Currency 5 3 3 5 3 3" xfId="14346" xr:uid="{012338E4-4742-4AEC-B8D6-61B8054C8522}"/>
    <cellStyle name="Currency 5 3 3 5 4" xfId="19409" xr:uid="{676D02ED-B452-4740-9CAE-FCFC89E4F1BB}"/>
    <cellStyle name="Currency 5 3 3 5 5" xfId="10128" xr:uid="{5C264963-F9D4-4D0D-8C50-9D9D773CA389}"/>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26184" xr:uid="{D566A5E3-6023-4737-AC3D-693BB629B6DF}"/>
    <cellStyle name="Currency 5 3 3 6 2 2 3" xfId="16904" xr:uid="{1D22C399-C50F-4A89-BA73-444C19F7766C}"/>
    <cellStyle name="Currency 5 3 3 6 2 3" xfId="21967" xr:uid="{25E47406-7B7C-4813-8F3E-CF2CDFC4A2A1}"/>
    <cellStyle name="Currency 5 3 3 6 2 4" xfId="12686" xr:uid="{826C84B2-8C1D-4678-BB37-A06C1F79E14A}"/>
    <cellStyle name="Currency 5 3 3 6 3" xfId="6309" xr:uid="{00000000-0005-0000-0000-0000050D0000}"/>
    <cellStyle name="Currency 5 3 3 6 3 2" xfId="24039" xr:uid="{05EA68D4-3DA3-4091-B14D-B8983CE6CE18}"/>
    <cellStyle name="Currency 5 3 3 6 3 3" xfId="14759" xr:uid="{E1775959-DF3C-4E2C-AB36-4177A306D047}"/>
    <cellStyle name="Currency 5 3 3 6 4" xfId="19822" xr:uid="{CABEF7D0-3211-484C-9C25-721E57220514}"/>
    <cellStyle name="Currency 5 3 3 6 5" xfId="10541" xr:uid="{E594A7EF-3F9D-40D8-A489-A4C2D39D4648}"/>
    <cellStyle name="Currency 5 3 3 7" xfId="2438" xr:uid="{00000000-0005-0000-0000-0000060D0000}"/>
    <cellStyle name="Currency 5 3 3 7 2" xfId="6722" xr:uid="{00000000-0005-0000-0000-0000070D0000}"/>
    <cellStyle name="Currency 5 3 3 7 2 2" xfId="24452" xr:uid="{DEC14CB0-4F06-42D3-9A78-A2C9D26D5461}"/>
    <cellStyle name="Currency 5 3 3 7 2 3" xfId="15172" xr:uid="{0D528EF8-30EF-4511-9DCE-498A24BC83E1}"/>
    <cellStyle name="Currency 5 3 3 7 3" xfId="20235" xr:uid="{30551E90-0C18-404E-A147-3A81D18AD59A}"/>
    <cellStyle name="Currency 5 3 3 7 4" xfId="10954" xr:uid="{317E694A-7FAC-4169-923E-B6214B8512E7}"/>
    <cellStyle name="Currency 5 3 3 8" xfId="2735" xr:uid="{00000000-0005-0000-0000-0000080D0000}"/>
    <cellStyle name="Currency 5 3 3 9" xfId="2816" xr:uid="{00000000-0005-0000-0000-0000090D0000}"/>
    <cellStyle name="Currency 5 3 3 9 2" xfId="7039" xr:uid="{00000000-0005-0000-0000-00000A0D0000}"/>
    <cellStyle name="Currency 5 3 3 9 2 2" xfId="24769" xr:uid="{BC09367A-EBCD-4565-9A4D-088EEEA8DA77}"/>
    <cellStyle name="Currency 5 3 3 9 2 3" xfId="15489" xr:uid="{C968F8E0-F7DA-4433-B049-7C90419D54D0}"/>
    <cellStyle name="Currency 5 3 3 9 3" xfId="20552" xr:uid="{51B21635-17EC-4DCB-BAB9-A435AA992E8E}"/>
    <cellStyle name="Currency 5 3 3 9 4" xfId="11271" xr:uid="{240A6E18-9240-4BE7-9591-A9059F98E296}"/>
    <cellStyle name="Currency 5 3 4" xfId="216" xr:uid="{00000000-0005-0000-0000-00000B0D0000}"/>
    <cellStyle name="Currency 5 3 4 10" xfId="18171" xr:uid="{EECC89DA-AA6D-4F41-9B17-11228AB3CFE0}"/>
    <cellStyle name="Currency 5 3 4 11" xfId="17338" xr:uid="{95161211-F210-449D-A807-88258846D22B}"/>
    <cellStyle name="Currency 5 3 4 12" xfId="8890" xr:uid="{EAB56675-2B23-43E4-AEAC-3E52141DDA1B}"/>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24947" xr:uid="{C28ED797-88EC-427D-A217-2C2972E07098}"/>
    <cellStyle name="Currency 5 3 4 2 2 2 3" xfId="15667" xr:uid="{F5904CC7-D579-432A-9B51-A5AE5AD7E2CC}"/>
    <cellStyle name="Currency 5 3 4 2 2 3" xfId="20730" xr:uid="{571E08DF-08DA-406A-9ED1-93266AAA0E2A}"/>
    <cellStyle name="Currency 5 3 4 2 2 4" xfId="11449" xr:uid="{5A0B293F-64E0-40F3-AF60-E81B602383BA}"/>
    <cellStyle name="Currency 5 3 4 2 3" xfId="5072" xr:uid="{00000000-0005-0000-0000-00000F0D0000}"/>
    <cellStyle name="Currency 5 3 4 2 3 2" xfId="22802" xr:uid="{3EF96D98-1DF4-43AA-900A-DDA4FE770A82}"/>
    <cellStyle name="Currency 5 3 4 2 3 3" xfId="13522" xr:uid="{B7371E54-75BD-41B3-AC7F-A8E10C9E8548}"/>
    <cellStyle name="Currency 5 3 4 2 4" xfId="18585" xr:uid="{B9E90F4A-ED86-4E25-A13B-37C83721F184}"/>
    <cellStyle name="Currency 5 3 4 2 5" xfId="17755" xr:uid="{601B2746-77AC-48E9-958B-221F70EBB1E5}"/>
    <cellStyle name="Currency 5 3 4 2 6" xfId="9304" xr:uid="{58190232-4FBA-457B-8F88-D915CF27CC73}"/>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25360" xr:uid="{02FAF022-26B7-463F-AEC7-6C1FD3340EC7}"/>
    <cellStyle name="Currency 5 3 4 3 2 2 3" xfId="16080" xr:uid="{A8042DAE-BBB4-4BCB-9169-D972B6E9E8B7}"/>
    <cellStyle name="Currency 5 3 4 3 2 3" xfId="21143" xr:uid="{39097C5E-C5ED-4E93-AA0A-338276A17E0D}"/>
    <cellStyle name="Currency 5 3 4 3 2 4" xfId="11862" xr:uid="{DF9B0CF4-9927-4F30-A967-C5E2B50636C9}"/>
    <cellStyle name="Currency 5 3 4 3 3" xfId="5485" xr:uid="{00000000-0005-0000-0000-0000130D0000}"/>
    <cellStyle name="Currency 5 3 4 3 3 2" xfId="23215" xr:uid="{F6C73444-2196-40A0-A8DF-47BC97456E4C}"/>
    <cellStyle name="Currency 5 3 4 3 3 3" xfId="13935" xr:uid="{60BCDF5D-D0D9-4904-9700-9F558C74336E}"/>
    <cellStyle name="Currency 5 3 4 3 4" xfId="18998" xr:uid="{C16C5B98-753D-4D93-BBD9-3205DBAA58A6}"/>
    <cellStyle name="Currency 5 3 4 3 5" xfId="9717" xr:uid="{6AB62E96-BC2D-467C-929B-9A8339050F4F}"/>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25773" xr:uid="{ABE2DD15-6ACF-4475-A380-E296F6CF825D}"/>
    <cellStyle name="Currency 5 3 4 4 2 2 3" xfId="16493" xr:uid="{DBF25BF5-0003-4BD0-ABF6-19417F67114E}"/>
    <cellStyle name="Currency 5 3 4 4 2 3" xfId="21556" xr:uid="{D49E7FF4-4FD9-4F21-AE62-F785EC68977F}"/>
    <cellStyle name="Currency 5 3 4 4 2 4" xfId="12275" xr:uid="{72103799-D820-40BF-8A43-CCDB7583AAB2}"/>
    <cellStyle name="Currency 5 3 4 4 3" xfId="5898" xr:uid="{00000000-0005-0000-0000-0000170D0000}"/>
    <cellStyle name="Currency 5 3 4 4 3 2" xfId="23628" xr:uid="{9E13502F-EB99-43C1-B94B-61C24D8D68DB}"/>
    <cellStyle name="Currency 5 3 4 4 3 3" xfId="14348" xr:uid="{CF7F6545-544E-4B36-848E-204E137A30AE}"/>
    <cellStyle name="Currency 5 3 4 4 4" xfId="19411" xr:uid="{B44256FA-9465-4AF7-83D1-E683D20B582E}"/>
    <cellStyle name="Currency 5 3 4 4 5" xfId="10130" xr:uid="{A9A134B1-685F-450A-825B-2A707190B182}"/>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26186" xr:uid="{213FCEB4-FFDF-42CD-B4A9-AA69877E8920}"/>
    <cellStyle name="Currency 5 3 4 5 2 2 3" xfId="16906" xr:uid="{F914E854-909E-4054-B64B-A1752931E91D}"/>
    <cellStyle name="Currency 5 3 4 5 2 3" xfId="21969" xr:uid="{E38D2889-F6A4-4DC7-998E-9E8FCA63A1F5}"/>
    <cellStyle name="Currency 5 3 4 5 2 4" xfId="12688" xr:uid="{EB7201D8-32C8-4D27-8AC7-F3634CF05AC3}"/>
    <cellStyle name="Currency 5 3 4 5 3" xfId="6311" xr:uid="{00000000-0005-0000-0000-00001B0D0000}"/>
    <cellStyle name="Currency 5 3 4 5 3 2" xfId="24041" xr:uid="{482AE6F9-4832-4A62-8C2D-E672B5FDAF3F}"/>
    <cellStyle name="Currency 5 3 4 5 3 3" xfId="14761" xr:uid="{EA44B16E-D3A2-48E0-A79B-12E6D0062782}"/>
    <cellStyle name="Currency 5 3 4 5 4" xfId="19824" xr:uid="{8C0210B9-D8BD-474C-A855-44F4EA0A5416}"/>
    <cellStyle name="Currency 5 3 4 5 5" xfId="10543" xr:uid="{C18E69F0-5ED1-4DBB-A6D0-C56C2B9FDD91}"/>
    <cellStyle name="Currency 5 3 4 6" xfId="2440" xr:uid="{00000000-0005-0000-0000-00001C0D0000}"/>
    <cellStyle name="Currency 5 3 4 6 2" xfId="6724" xr:uid="{00000000-0005-0000-0000-00001D0D0000}"/>
    <cellStyle name="Currency 5 3 4 6 2 2" xfId="24454" xr:uid="{B708B6BE-FF88-484E-BAEE-9D8E8223851E}"/>
    <cellStyle name="Currency 5 3 4 6 2 3" xfId="15174" xr:uid="{A0331742-6743-4F4C-A1B3-D389F7485AFF}"/>
    <cellStyle name="Currency 5 3 4 6 3" xfId="20237" xr:uid="{7BE40151-A64E-4D5F-9B25-C4AB611DC8B6}"/>
    <cellStyle name="Currency 5 3 4 6 4" xfId="10956" xr:uid="{E4E5886F-3374-42B5-97F7-51CE8FF94E0D}"/>
    <cellStyle name="Currency 5 3 4 7" xfId="2737" xr:uid="{00000000-0005-0000-0000-00001E0D0000}"/>
    <cellStyle name="Currency 5 3 4 8" xfId="2818" xr:uid="{00000000-0005-0000-0000-00001F0D0000}"/>
    <cellStyle name="Currency 5 3 4 8 2" xfId="7041" xr:uid="{00000000-0005-0000-0000-0000200D0000}"/>
    <cellStyle name="Currency 5 3 4 8 2 2" xfId="24771" xr:uid="{904D9875-1B3A-4223-8D3E-D5997623F96A}"/>
    <cellStyle name="Currency 5 3 4 8 2 3" xfId="15491" xr:uid="{AF4ADFE8-958E-491C-BDCE-213F29A11D2C}"/>
    <cellStyle name="Currency 5 3 4 8 3" xfId="20554" xr:uid="{991D5FF4-09F1-4AE8-85CF-793C9801FE98}"/>
    <cellStyle name="Currency 5 3 4 8 4" xfId="11273" xr:uid="{FB6140F8-AC11-4692-AA83-9D48B0A22DBA}"/>
    <cellStyle name="Currency 5 3 4 9" xfId="4658" xr:uid="{00000000-0005-0000-0000-0000210D0000}"/>
    <cellStyle name="Currency 5 3 4 9 2" xfId="22388" xr:uid="{EA460BAB-D50B-4828-B7D2-5AD6C8FDCFAF}"/>
    <cellStyle name="Currency 5 3 4 9 3" xfId="13108" xr:uid="{875EDC8A-16EE-4FC8-92EA-0BE806710D24}"/>
    <cellStyle name="Currency 5 3 5" xfId="217" xr:uid="{00000000-0005-0000-0000-0000220D0000}"/>
    <cellStyle name="Currency 5 3 5 10" xfId="18172" xr:uid="{2417F32C-8B08-400F-A645-BE2DC3D47F38}"/>
    <cellStyle name="Currency 5 3 5 11" xfId="17339" xr:uid="{1D128197-0265-412D-89DB-ACC6F738A6D4}"/>
    <cellStyle name="Currency 5 3 5 12" xfId="8891" xr:uid="{1C00CC74-2B74-4E6C-88BE-CBC41AE4DEEC}"/>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24948" xr:uid="{6DC9FC23-1EDF-4B99-93DA-17A75E3F4148}"/>
    <cellStyle name="Currency 5 3 5 2 2 2 3" xfId="15668" xr:uid="{23A79263-D1BD-4EC1-87E9-64FE076D47EA}"/>
    <cellStyle name="Currency 5 3 5 2 2 3" xfId="20731" xr:uid="{6A63DF17-3BFE-48E5-A712-C8599D60AA66}"/>
    <cellStyle name="Currency 5 3 5 2 2 4" xfId="11450" xr:uid="{8EA25CD2-5A77-47A4-B309-22D43CC89451}"/>
    <cellStyle name="Currency 5 3 5 2 3" xfId="5073" xr:uid="{00000000-0005-0000-0000-0000260D0000}"/>
    <cellStyle name="Currency 5 3 5 2 3 2" xfId="22803" xr:uid="{8E5F943D-0AC6-41E0-AD19-061FB32BB1CE}"/>
    <cellStyle name="Currency 5 3 5 2 3 3" xfId="13523" xr:uid="{3D75B0C3-9769-4A2A-BE23-43D27092FE24}"/>
    <cellStyle name="Currency 5 3 5 2 4" xfId="18586" xr:uid="{79899B41-1274-4046-B08A-49FD5FE89A58}"/>
    <cellStyle name="Currency 5 3 5 2 5" xfId="17756" xr:uid="{7152C5C1-31B4-4F0E-8DFD-6D8280AA4973}"/>
    <cellStyle name="Currency 5 3 5 2 6" xfId="9305" xr:uid="{175A0CFD-498C-4694-BC80-18D53B4CA678}"/>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25361" xr:uid="{694272D6-1A32-4090-B94A-1613E3B5C052}"/>
    <cellStyle name="Currency 5 3 5 3 2 2 3" xfId="16081" xr:uid="{6DF1E469-091D-4AA6-9DF3-129B90A60A70}"/>
    <cellStyle name="Currency 5 3 5 3 2 3" xfId="21144" xr:uid="{F01384C4-1BB0-40F7-B44B-80CF37F6F524}"/>
    <cellStyle name="Currency 5 3 5 3 2 4" xfId="11863" xr:uid="{35DE2BBD-AA8C-48E2-974A-DE44DA915C9E}"/>
    <cellStyle name="Currency 5 3 5 3 3" xfId="5486" xr:uid="{00000000-0005-0000-0000-00002A0D0000}"/>
    <cellStyle name="Currency 5 3 5 3 3 2" xfId="23216" xr:uid="{502FBA02-68FE-4C7D-9878-8048A661C1D6}"/>
    <cellStyle name="Currency 5 3 5 3 3 3" xfId="13936" xr:uid="{B8E65834-1CB9-4457-A72B-3C6DC0B98BC2}"/>
    <cellStyle name="Currency 5 3 5 3 4" xfId="18999" xr:uid="{202FF00E-DF28-4383-A13F-0A6D7065ED0E}"/>
    <cellStyle name="Currency 5 3 5 3 5" xfId="9718" xr:uid="{31E6F3F9-31D2-42FF-9DA3-82D5B1D06EE5}"/>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25774" xr:uid="{6FF48573-2705-49BF-AA89-3F76FED58C6D}"/>
    <cellStyle name="Currency 5 3 5 4 2 2 3" xfId="16494" xr:uid="{FE0B1298-520D-4275-85CD-3D0401F06CCA}"/>
    <cellStyle name="Currency 5 3 5 4 2 3" xfId="21557" xr:uid="{B260A021-303D-4D40-9AC8-84BD570EB24F}"/>
    <cellStyle name="Currency 5 3 5 4 2 4" xfId="12276" xr:uid="{0EA2D7C8-BFE0-4088-B8AF-0E48AEA0BCD6}"/>
    <cellStyle name="Currency 5 3 5 4 3" xfId="5899" xr:uid="{00000000-0005-0000-0000-00002E0D0000}"/>
    <cellStyle name="Currency 5 3 5 4 3 2" xfId="23629" xr:uid="{E1B4FCCD-FC99-4301-8854-6079EF71D9A9}"/>
    <cellStyle name="Currency 5 3 5 4 3 3" xfId="14349" xr:uid="{0125E1D1-1DE8-4669-A26A-81DE6B3547C8}"/>
    <cellStyle name="Currency 5 3 5 4 4" xfId="19412" xr:uid="{F8359312-09B4-45F7-B4FC-6E62243DF6BA}"/>
    <cellStyle name="Currency 5 3 5 4 5" xfId="10131" xr:uid="{424D9CC2-2B7E-4ABA-83D6-808AC2D2DA2A}"/>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26187" xr:uid="{1CF53443-2A1A-42FC-8DAF-C3FA40C6CE27}"/>
    <cellStyle name="Currency 5 3 5 5 2 2 3" xfId="16907" xr:uid="{4F49DBC2-5724-4420-9ED8-5F71B03434E0}"/>
    <cellStyle name="Currency 5 3 5 5 2 3" xfId="21970" xr:uid="{B6A6C8B8-E50E-46AA-BBE0-AC959289E9BB}"/>
    <cellStyle name="Currency 5 3 5 5 2 4" xfId="12689" xr:uid="{F9AC46EF-4CEF-46BD-A7BF-BF19F32C7DD1}"/>
    <cellStyle name="Currency 5 3 5 5 3" xfId="6312" xr:uid="{00000000-0005-0000-0000-0000320D0000}"/>
    <cellStyle name="Currency 5 3 5 5 3 2" xfId="24042" xr:uid="{18E8319B-936B-491C-869E-F7B8D8073AE4}"/>
    <cellStyle name="Currency 5 3 5 5 3 3" xfId="14762" xr:uid="{2BB8B49B-0EA5-4FB0-8C35-9F4EC14A6593}"/>
    <cellStyle name="Currency 5 3 5 5 4" xfId="19825" xr:uid="{ED6074E3-35DA-4A3E-B906-65E45E044446}"/>
    <cellStyle name="Currency 5 3 5 5 5" xfId="10544" xr:uid="{C042D46D-9EDD-4195-806B-212D164CB808}"/>
    <cellStyle name="Currency 5 3 5 6" xfId="2441" xr:uid="{00000000-0005-0000-0000-0000330D0000}"/>
    <cellStyle name="Currency 5 3 5 6 2" xfId="6725" xr:uid="{00000000-0005-0000-0000-0000340D0000}"/>
    <cellStyle name="Currency 5 3 5 6 2 2" xfId="24455" xr:uid="{585A2994-819B-47A0-8295-720988CD6441}"/>
    <cellStyle name="Currency 5 3 5 6 2 3" xfId="15175" xr:uid="{5E03D409-08F9-483B-A3F8-9797A582C248}"/>
    <cellStyle name="Currency 5 3 5 6 3" xfId="20238" xr:uid="{042C11D1-211F-4BCA-87F4-160D4BF8941C}"/>
    <cellStyle name="Currency 5 3 5 6 4" xfId="10957" xr:uid="{E6BB9223-FFD6-4A5A-ADBB-A839E8D21CE6}"/>
    <cellStyle name="Currency 5 3 5 7" xfId="2738" xr:uid="{00000000-0005-0000-0000-0000350D0000}"/>
    <cellStyle name="Currency 5 3 5 8" xfId="2819" xr:uid="{00000000-0005-0000-0000-0000360D0000}"/>
    <cellStyle name="Currency 5 3 5 8 2" xfId="7042" xr:uid="{00000000-0005-0000-0000-0000370D0000}"/>
    <cellStyle name="Currency 5 3 5 8 2 2" xfId="24772" xr:uid="{CC625D0B-49FD-4C92-BA0C-F5F1615094BB}"/>
    <cellStyle name="Currency 5 3 5 8 2 3" xfId="15492" xr:uid="{E61C9ADF-4741-47C3-BAF6-AAC0A4DADC96}"/>
    <cellStyle name="Currency 5 3 5 8 3" xfId="20555" xr:uid="{91061B78-1F85-452B-A732-1CF29FD66C41}"/>
    <cellStyle name="Currency 5 3 5 8 4" xfId="11274" xr:uid="{F283CF56-A77B-4308-983C-3F3736E5B0BA}"/>
    <cellStyle name="Currency 5 3 5 9" xfId="4659" xr:uid="{00000000-0005-0000-0000-0000380D0000}"/>
    <cellStyle name="Currency 5 3 5 9 2" xfId="22389" xr:uid="{FAF53B5E-F090-48F2-987D-97B5307F2EEB}"/>
    <cellStyle name="Currency 5 3 5 9 3" xfId="13109" xr:uid="{9182321E-2449-4D88-ADDB-8D2A36C557A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22390" xr:uid="{2021F09A-9942-4339-968C-6D757789BC24}"/>
    <cellStyle name="Currency 5 5 10 3" xfId="13110" xr:uid="{EEFC06F4-0677-4072-B332-E12DB2CBA935}"/>
    <cellStyle name="Currency 5 5 11" xfId="18173" xr:uid="{F7D4CD43-9B42-491F-A723-08652AF66199}"/>
    <cellStyle name="Currency 5 5 12" xfId="17340" xr:uid="{9F903099-D919-4718-A929-5DB2A3BB2E97}"/>
    <cellStyle name="Currency 5 5 13" xfId="8892" xr:uid="{82C57907-4DC4-4F95-8328-456979596319}"/>
    <cellStyle name="Currency 5 5 2" xfId="220" xr:uid="{00000000-0005-0000-0000-00003D0D0000}"/>
    <cellStyle name="Currency 5 5 2 10" xfId="18174" xr:uid="{CD48AD05-CABB-4DA0-9C83-BF514ADAB5A8}"/>
    <cellStyle name="Currency 5 5 2 11" xfId="17341" xr:uid="{43369AB9-9C57-4BC5-9DF5-54596463C9B5}"/>
    <cellStyle name="Currency 5 5 2 12" xfId="8893" xr:uid="{5CDCCC70-210E-478F-AE9C-D775008023BC}"/>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24950" xr:uid="{B5333BED-3055-40C9-AAE3-C4F8C4753852}"/>
    <cellStyle name="Currency 5 5 2 2 2 2 3" xfId="15670" xr:uid="{2ABEF465-8593-4088-9212-099252B8A6A4}"/>
    <cellStyle name="Currency 5 5 2 2 2 3" xfId="20733" xr:uid="{4510865A-9BD7-47A2-93E7-3184DB8838B3}"/>
    <cellStyle name="Currency 5 5 2 2 2 4" xfId="11452" xr:uid="{FCC766B0-E6E4-481B-BB1A-92801740DAE8}"/>
    <cellStyle name="Currency 5 5 2 2 3" xfId="5075" xr:uid="{00000000-0005-0000-0000-0000410D0000}"/>
    <cellStyle name="Currency 5 5 2 2 3 2" xfId="22805" xr:uid="{0CE4F2E9-0AFE-4CCB-8743-FCF8596C99EE}"/>
    <cellStyle name="Currency 5 5 2 2 3 3" xfId="13525" xr:uid="{098F2E35-7561-46D1-9B38-566751243E8C}"/>
    <cellStyle name="Currency 5 5 2 2 4" xfId="18588" xr:uid="{6CB8619F-8164-49DB-8163-80D8A5787B08}"/>
    <cellStyle name="Currency 5 5 2 2 5" xfId="17758" xr:uid="{0420E92E-2840-40E9-8E74-543DDA49593F}"/>
    <cellStyle name="Currency 5 5 2 2 6" xfId="9307" xr:uid="{A41D23A3-BBF9-4615-ADA9-5850809F58AE}"/>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25363" xr:uid="{D682C9DE-6E96-4569-9A25-C329D3FCB767}"/>
    <cellStyle name="Currency 5 5 2 3 2 2 3" xfId="16083" xr:uid="{0DBF7B3F-41B1-4E3F-BF65-9E96C5107615}"/>
    <cellStyle name="Currency 5 5 2 3 2 3" xfId="21146" xr:uid="{7A1EEB66-1139-4A05-B4B3-7835201C7E04}"/>
    <cellStyle name="Currency 5 5 2 3 2 4" xfId="11865" xr:uid="{C2C66569-D928-4830-BADF-81F4D7E50F87}"/>
    <cellStyle name="Currency 5 5 2 3 3" xfId="5488" xr:uid="{00000000-0005-0000-0000-0000450D0000}"/>
    <cellStyle name="Currency 5 5 2 3 3 2" xfId="23218" xr:uid="{977FE24A-EAA2-479D-BA3F-44899B3BAE60}"/>
    <cellStyle name="Currency 5 5 2 3 3 3" xfId="13938" xr:uid="{16EB1E9B-9470-4ACF-A543-31ACE6BBF15B}"/>
    <cellStyle name="Currency 5 5 2 3 4" xfId="19001" xr:uid="{9DC4FF46-8497-4A35-980D-877B100508C8}"/>
    <cellStyle name="Currency 5 5 2 3 5" xfId="9720" xr:uid="{464B57DD-D8C7-4F79-8D30-D18F55D64685}"/>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25776" xr:uid="{A7829E63-645A-4B1B-8EAC-EC195D72FE18}"/>
    <cellStyle name="Currency 5 5 2 4 2 2 3" xfId="16496" xr:uid="{851D81A3-2634-43BE-8228-A7A901807979}"/>
    <cellStyle name="Currency 5 5 2 4 2 3" xfId="21559" xr:uid="{8865901B-6B05-42FB-B949-F8D0C9252035}"/>
    <cellStyle name="Currency 5 5 2 4 2 4" xfId="12278" xr:uid="{C221115A-2C10-4E5C-9ABE-8D5033547872}"/>
    <cellStyle name="Currency 5 5 2 4 3" xfId="5901" xr:uid="{00000000-0005-0000-0000-0000490D0000}"/>
    <cellStyle name="Currency 5 5 2 4 3 2" xfId="23631" xr:uid="{78304733-D177-455D-AFC3-6F7EE0C1652B}"/>
    <cellStyle name="Currency 5 5 2 4 3 3" xfId="14351" xr:uid="{37CE63A9-7947-4343-89DB-F90C4F9E41B3}"/>
    <cellStyle name="Currency 5 5 2 4 4" xfId="19414" xr:uid="{CA572C4D-8086-4D65-AC11-74724F47639A}"/>
    <cellStyle name="Currency 5 5 2 4 5" xfId="10133" xr:uid="{DB8AB315-6D38-452D-8912-4DB590E3C44D}"/>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26189" xr:uid="{6574321A-F599-4783-857F-05C88EEC7CEB}"/>
    <cellStyle name="Currency 5 5 2 5 2 2 3" xfId="16909" xr:uid="{90E60BCB-3515-4F10-923E-1DEE938142DA}"/>
    <cellStyle name="Currency 5 5 2 5 2 3" xfId="21972" xr:uid="{38C39E27-86F3-4D45-B261-61F9BBA92820}"/>
    <cellStyle name="Currency 5 5 2 5 2 4" xfId="12691" xr:uid="{30A48D58-9FBE-49F0-8BE9-954B57D04027}"/>
    <cellStyle name="Currency 5 5 2 5 3" xfId="6314" xr:uid="{00000000-0005-0000-0000-00004D0D0000}"/>
    <cellStyle name="Currency 5 5 2 5 3 2" xfId="24044" xr:uid="{58DA31B7-9360-49F6-83EC-E43E20462E0B}"/>
    <cellStyle name="Currency 5 5 2 5 3 3" xfId="14764" xr:uid="{93666A46-54DA-4BA6-90FF-5BB77EA18376}"/>
    <cellStyle name="Currency 5 5 2 5 4" xfId="19827" xr:uid="{6ABE1D86-C2FD-4EDB-A7AF-0919AAB76F5F}"/>
    <cellStyle name="Currency 5 5 2 5 5" xfId="10546" xr:uid="{135A9741-4A80-497A-B9B3-DA92C7691522}"/>
    <cellStyle name="Currency 5 5 2 6" xfId="2443" xr:uid="{00000000-0005-0000-0000-00004E0D0000}"/>
    <cellStyle name="Currency 5 5 2 6 2" xfId="6727" xr:uid="{00000000-0005-0000-0000-00004F0D0000}"/>
    <cellStyle name="Currency 5 5 2 6 2 2" xfId="24457" xr:uid="{0D7B86C3-A781-4DE3-872A-B145D3BDF08B}"/>
    <cellStyle name="Currency 5 5 2 6 2 3" xfId="15177" xr:uid="{C9B5C983-E797-4FCB-914A-FA08A71CF173}"/>
    <cellStyle name="Currency 5 5 2 6 3" xfId="20240" xr:uid="{8FF4673C-E1AF-428A-8128-CBD5F1ECC130}"/>
    <cellStyle name="Currency 5 5 2 6 4" xfId="10959" xr:uid="{BF9F0F2B-56D2-44DA-A61C-EC26C5480638}"/>
    <cellStyle name="Currency 5 5 2 7" xfId="2740" xr:uid="{00000000-0005-0000-0000-0000500D0000}"/>
    <cellStyle name="Currency 5 5 2 8" xfId="2821" xr:uid="{00000000-0005-0000-0000-0000510D0000}"/>
    <cellStyle name="Currency 5 5 2 8 2" xfId="7044" xr:uid="{00000000-0005-0000-0000-0000520D0000}"/>
    <cellStyle name="Currency 5 5 2 8 2 2" xfId="24774" xr:uid="{6FF5B5D9-AF98-48E6-8C73-F500E7E63234}"/>
    <cellStyle name="Currency 5 5 2 8 2 3" xfId="15494" xr:uid="{9A672137-AFEA-462A-A7AB-FD5262129318}"/>
    <cellStyle name="Currency 5 5 2 8 3" xfId="20557" xr:uid="{C1BD04D9-8835-466B-AE0E-3329F376BEAE}"/>
    <cellStyle name="Currency 5 5 2 8 4" xfId="11276" xr:uid="{48268C84-4BBB-432F-A6C0-D78EE283BE36}"/>
    <cellStyle name="Currency 5 5 2 9" xfId="4661" xr:uid="{00000000-0005-0000-0000-0000530D0000}"/>
    <cellStyle name="Currency 5 5 2 9 2" xfId="22391" xr:uid="{F4277D90-1487-418F-B70C-3EB8AD121955}"/>
    <cellStyle name="Currency 5 5 2 9 3" xfId="13111" xr:uid="{127FFC79-935B-4065-B293-ED5952D05EF4}"/>
    <cellStyle name="Currency 5 5 3" xfId="745" xr:uid="{00000000-0005-0000-0000-0000540D0000}"/>
    <cellStyle name="Currency 5 5 3 2" xfId="2997" xr:uid="{00000000-0005-0000-0000-0000550D0000}"/>
    <cellStyle name="Currency 5 5 3 2 2" xfId="7219" xr:uid="{00000000-0005-0000-0000-0000560D0000}"/>
    <cellStyle name="Currency 5 5 3 2 2 2" xfId="24949" xr:uid="{C7C07F2F-ACBF-4326-902D-5D2E76AE0E2D}"/>
    <cellStyle name="Currency 5 5 3 2 2 3" xfId="15669" xr:uid="{64BD67F0-CA99-4342-858D-1E5A02C547AC}"/>
    <cellStyle name="Currency 5 5 3 2 3" xfId="20732" xr:uid="{307565B1-7259-4A3B-A00B-6ACA60790D42}"/>
    <cellStyle name="Currency 5 5 3 2 4" xfId="11451" xr:uid="{74EAEC43-EB7E-4E82-BC7C-32C832EC0F02}"/>
    <cellStyle name="Currency 5 5 3 3" xfId="5074" xr:uid="{00000000-0005-0000-0000-0000570D0000}"/>
    <cellStyle name="Currency 5 5 3 3 2" xfId="22804" xr:uid="{EE99D493-77D3-4577-AA98-CCA6DC5E7889}"/>
    <cellStyle name="Currency 5 5 3 3 3" xfId="13524" xr:uid="{6F8A55CB-D593-4EE1-91CE-F87DB2AAC53D}"/>
    <cellStyle name="Currency 5 5 3 4" xfId="18587" xr:uid="{BD850720-4C8C-4579-8A6E-B27DE336EE5C}"/>
    <cellStyle name="Currency 5 5 3 5" xfId="17757" xr:uid="{79DC44A2-67E2-4BEF-823A-190B22F69E2B}"/>
    <cellStyle name="Currency 5 5 3 6" xfId="9306" xr:uid="{43D93250-DE19-4092-AA0D-A8BDAD9D620F}"/>
    <cellStyle name="Currency 5 5 4" xfId="1179" xr:uid="{00000000-0005-0000-0000-0000580D0000}"/>
    <cellStyle name="Currency 5 5 4 2" xfId="3410" xr:uid="{00000000-0005-0000-0000-0000590D0000}"/>
    <cellStyle name="Currency 5 5 4 2 2" xfId="7632" xr:uid="{00000000-0005-0000-0000-00005A0D0000}"/>
    <cellStyle name="Currency 5 5 4 2 2 2" xfId="25362" xr:uid="{0B2DA23A-FB3B-40DF-B1CC-C8B1BE32998A}"/>
    <cellStyle name="Currency 5 5 4 2 2 3" xfId="16082" xr:uid="{0B3E3BDA-E4EE-4DA4-B33F-C97431489CF2}"/>
    <cellStyle name="Currency 5 5 4 2 3" xfId="21145" xr:uid="{920C430C-8012-496F-9815-86AC3F508924}"/>
    <cellStyle name="Currency 5 5 4 2 4" xfId="11864" xr:uid="{937CE893-F412-49A0-9630-9245F731B5ED}"/>
    <cellStyle name="Currency 5 5 4 3" xfId="5487" xr:uid="{00000000-0005-0000-0000-00005B0D0000}"/>
    <cellStyle name="Currency 5 5 4 3 2" xfId="23217" xr:uid="{619F0042-EEFE-4565-ADDE-D2D1BE662AA8}"/>
    <cellStyle name="Currency 5 5 4 3 3" xfId="13937" xr:uid="{646CCE4E-2CD5-4923-B9C7-69A47A303624}"/>
    <cellStyle name="Currency 5 5 4 4" xfId="19000" xr:uid="{67549287-BB94-450A-8799-44B58A4B873F}"/>
    <cellStyle name="Currency 5 5 4 5" xfId="9719" xr:uid="{FF65FCB2-35F2-4535-AEF8-3D288DD68E7B}"/>
    <cellStyle name="Currency 5 5 5" xfId="1593" xr:uid="{00000000-0005-0000-0000-00005C0D0000}"/>
    <cellStyle name="Currency 5 5 5 2" xfId="3823" xr:uid="{00000000-0005-0000-0000-00005D0D0000}"/>
    <cellStyle name="Currency 5 5 5 2 2" xfId="8045" xr:uid="{00000000-0005-0000-0000-00005E0D0000}"/>
    <cellStyle name="Currency 5 5 5 2 2 2" xfId="25775" xr:uid="{A0ABBDA9-1E5C-4BBD-8DF7-94566574E9E5}"/>
    <cellStyle name="Currency 5 5 5 2 2 3" xfId="16495" xr:uid="{9B83C67B-4966-47FA-8AE3-41C1D9A8EB23}"/>
    <cellStyle name="Currency 5 5 5 2 3" xfId="21558" xr:uid="{AF669DD0-F807-45AB-AFBD-656D419A7630}"/>
    <cellStyle name="Currency 5 5 5 2 4" xfId="12277" xr:uid="{2C7F29F4-C518-4873-8222-EC7C2C56A705}"/>
    <cellStyle name="Currency 5 5 5 3" xfId="5900" xr:uid="{00000000-0005-0000-0000-00005F0D0000}"/>
    <cellStyle name="Currency 5 5 5 3 2" xfId="23630" xr:uid="{58171DC2-F63A-42A2-9881-397E7387CFAC}"/>
    <cellStyle name="Currency 5 5 5 3 3" xfId="14350" xr:uid="{775E8948-9DEB-4534-B484-474561A459DD}"/>
    <cellStyle name="Currency 5 5 5 4" xfId="19413" xr:uid="{E94B0455-CC24-45BA-AA56-607E9853E941}"/>
    <cellStyle name="Currency 5 5 5 5" xfId="10132" xr:uid="{0CA300D9-3F35-4054-AA06-0EADAB592101}"/>
    <cellStyle name="Currency 5 5 6" xfId="2007" xr:uid="{00000000-0005-0000-0000-0000600D0000}"/>
    <cellStyle name="Currency 5 5 6 2" xfId="4236" xr:uid="{00000000-0005-0000-0000-0000610D0000}"/>
    <cellStyle name="Currency 5 5 6 2 2" xfId="8458" xr:uid="{00000000-0005-0000-0000-0000620D0000}"/>
    <cellStyle name="Currency 5 5 6 2 2 2" xfId="26188" xr:uid="{9F211C62-BF88-4B76-A76B-7AC9129EBD19}"/>
    <cellStyle name="Currency 5 5 6 2 2 3" xfId="16908" xr:uid="{F5E9FA26-9A91-4E45-995F-CD9B4CE89856}"/>
    <cellStyle name="Currency 5 5 6 2 3" xfId="21971" xr:uid="{741F1189-D568-47F4-B37E-9A797F383E57}"/>
    <cellStyle name="Currency 5 5 6 2 4" xfId="12690" xr:uid="{ABE1E1E8-C395-44D2-AA0D-4A31C6884396}"/>
    <cellStyle name="Currency 5 5 6 3" xfId="6313" xr:uid="{00000000-0005-0000-0000-0000630D0000}"/>
    <cellStyle name="Currency 5 5 6 3 2" xfId="24043" xr:uid="{26479166-FEED-4124-BC7F-2F0EDCC5B605}"/>
    <cellStyle name="Currency 5 5 6 3 3" xfId="14763" xr:uid="{89A87C1C-4C15-4760-80BC-900BCE32D88C}"/>
    <cellStyle name="Currency 5 5 6 4" xfId="19826" xr:uid="{CE917257-62A8-4A40-AD25-293E58C4D8C1}"/>
    <cellStyle name="Currency 5 5 6 5" xfId="10545" xr:uid="{6552AD8D-B8B6-41CA-9B01-A135DB4384AF}"/>
    <cellStyle name="Currency 5 5 7" xfId="2442" xr:uid="{00000000-0005-0000-0000-0000640D0000}"/>
    <cellStyle name="Currency 5 5 7 2" xfId="6726" xr:uid="{00000000-0005-0000-0000-0000650D0000}"/>
    <cellStyle name="Currency 5 5 7 2 2" xfId="24456" xr:uid="{76449F7C-6C7D-46F0-A9A3-9107A86121DB}"/>
    <cellStyle name="Currency 5 5 7 2 3" xfId="15176" xr:uid="{010C0444-B9AC-40B4-828A-D63AACFABE36}"/>
    <cellStyle name="Currency 5 5 7 3" xfId="20239" xr:uid="{5AEB0009-C3CC-4D87-A039-EEEE2DE4CEDF}"/>
    <cellStyle name="Currency 5 5 7 4" xfId="10958" xr:uid="{636A4B26-297B-4A85-BB0E-54A020893AEF}"/>
    <cellStyle name="Currency 5 5 8" xfId="2739" xr:uid="{00000000-0005-0000-0000-0000660D0000}"/>
    <cellStyle name="Currency 5 5 9" xfId="2820" xr:uid="{00000000-0005-0000-0000-0000670D0000}"/>
    <cellStyle name="Currency 5 5 9 2" xfId="7043" xr:uid="{00000000-0005-0000-0000-0000680D0000}"/>
    <cellStyle name="Currency 5 5 9 2 2" xfId="24773" xr:uid="{6AFEFEC1-482B-4CDB-B48B-5D8E496C851F}"/>
    <cellStyle name="Currency 5 5 9 2 3" xfId="15493" xr:uid="{F5F40D75-93D8-40E3-AA3F-C32906F036E5}"/>
    <cellStyle name="Currency 5 5 9 3" xfId="20556" xr:uid="{CFC90D02-E646-4223-BAC4-D1D09203ED24}"/>
    <cellStyle name="Currency 5 5 9 4" xfId="11275" xr:uid="{6D47E91E-0A8E-4046-9E73-C2DCFD0D16F1}"/>
    <cellStyle name="Currency 5 6" xfId="221" xr:uid="{00000000-0005-0000-0000-0000690D0000}"/>
    <cellStyle name="Currency 5 6 10" xfId="18175" xr:uid="{CE6D99F8-9923-4338-80B2-031EEC5473CC}"/>
    <cellStyle name="Currency 5 6 11" xfId="17342" xr:uid="{C2D7223E-EF61-416E-945A-CD013DFA6B1D}"/>
    <cellStyle name="Currency 5 6 12" xfId="8894" xr:uid="{7CC7D399-8845-4065-8EC7-717C2CD56522}"/>
    <cellStyle name="Currency 5 6 2" xfId="747" xr:uid="{00000000-0005-0000-0000-00006A0D0000}"/>
    <cellStyle name="Currency 5 6 2 2" xfId="2999" xr:uid="{00000000-0005-0000-0000-00006B0D0000}"/>
    <cellStyle name="Currency 5 6 2 2 2" xfId="7221" xr:uid="{00000000-0005-0000-0000-00006C0D0000}"/>
    <cellStyle name="Currency 5 6 2 2 2 2" xfId="24951" xr:uid="{1117898A-6AC5-47B1-BA4E-56593447743B}"/>
    <cellStyle name="Currency 5 6 2 2 2 3" xfId="15671" xr:uid="{3304AEB2-AC21-4FAD-A586-F4410A40F690}"/>
    <cellStyle name="Currency 5 6 2 2 3" xfId="20734" xr:uid="{BD5232F7-4CC1-4AC9-B15C-8F42BE589305}"/>
    <cellStyle name="Currency 5 6 2 2 4" xfId="11453" xr:uid="{C534D341-77C8-4123-8F38-C2E3FFFFBA8C}"/>
    <cellStyle name="Currency 5 6 2 3" xfId="5076" xr:uid="{00000000-0005-0000-0000-00006D0D0000}"/>
    <cellStyle name="Currency 5 6 2 3 2" xfId="22806" xr:uid="{A9A594F4-52AD-467A-A4DA-C811A98CA447}"/>
    <cellStyle name="Currency 5 6 2 3 3" xfId="13526" xr:uid="{C3CD0345-A481-4D63-ACC7-396651DC59C8}"/>
    <cellStyle name="Currency 5 6 2 4" xfId="18589" xr:uid="{7EFDD684-A742-435F-9981-80C3824AA124}"/>
    <cellStyle name="Currency 5 6 2 5" xfId="17759" xr:uid="{625B5E5D-9CCF-4BF4-81F8-16D4397EAA10}"/>
    <cellStyle name="Currency 5 6 2 6" xfId="9308" xr:uid="{B1491779-038D-4D19-ACED-A40830F899AD}"/>
    <cellStyle name="Currency 5 6 3" xfId="1181" xr:uid="{00000000-0005-0000-0000-00006E0D0000}"/>
    <cellStyle name="Currency 5 6 3 2" xfId="3412" xr:uid="{00000000-0005-0000-0000-00006F0D0000}"/>
    <cellStyle name="Currency 5 6 3 2 2" xfId="7634" xr:uid="{00000000-0005-0000-0000-0000700D0000}"/>
    <cellStyle name="Currency 5 6 3 2 2 2" xfId="25364" xr:uid="{C2498624-EFDD-42C9-A21D-CE4C3A25F41B}"/>
    <cellStyle name="Currency 5 6 3 2 2 3" xfId="16084" xr:uid="{B866FE69-6E5B-4330-BC3A-F289F060FBDF}"/>
    <cellStyle name="Currency 5 6 3 2 3" xfId="21147" xr:uid="{714F43D8-E95D-4881-9E0B-27D8ABC17E71}"/>
    <cellStyle name="Currency 5 6 3 2 4" xfId="11866" xr:uid="{BB9B62F2-9168-49E7-B49D-0E6161D47F8C}"/>
    <cellStyle name="Currency 5 6 3 3" xfId="5489" xr:uid="{00000000-0005-0000-0000-0000710D0000}"/>
    <cellStyle name="Currency 5 6 3 3 2" xfId="23219" xr:uid="{4CC149C5-3248-418B-95E6-C910A7BDD4F7}"/>
    <cellStyle name="Currency 5 6 3 3 3" xfId="13939" xr:uid="{5419E252-4231-40F2-85FE-F71E3A61B468}"/>
    <cellStyle name="Currency 5 6 3 4" xfId="19002" xr:uid="{34EB580D-611D-4DEF-AF70-B8DC025AE39B}"/>
    <cellStyle name="Currency 5 6 3 5" xfId="9721" xr:uid="{452E1198-B018-4DFE-8B1C-4358C40D6A5C}"/>
    <cellStyle name="Currency 5 6 4" xfId="1595" xr:uid="{00000000-0005-0000-0000-0000720D0000}"/>
    <cellStyle name="Currency 5 6 4 2" xfId="3825" xr:uid="{00000000-0005-0000-0000-0000730D0000}"/>
    <cellStyle name="Currency 5 6 4 2 2" xfId="8047" xr:uid="{00000000-0005-0000-0000-0000740D0000}"/>
    <cellStyle name="Currency 5 6 4 2 2 2" xfId="25777" xr:uid="{ACA97ECF-BD76-4CDC-83DA-C199BAEB3EE8}"/>
    <cellStyle name="Currency 5 6 4 2 2 3" xfId="16497" xr:uid="{F6B4B5C4-C372-44A0-BBAE-19B1A40C5EF4}"/>
    <cellStyle name="Currency 5 6 4 2 3" xfId="21560" xr:uid="{580902F8-887E-4F00-A6D8-D6D11791F64B}"/>
    <cellStyle name="Currency 5 6 4 2 4" xfId="12279" xr:uid="{4DE36635-44DA-4572-837A-053070D52CA2}"/>
    <cellStyle name="Currency 5 6 4 3" xfId="5902" xr:uid="{00000000-0005-0000-0000-0000750D0000}"/>
    <cellStyle name="Currency 5 6 4 3 2" xfId="23632" xr:uid="{01A3A667-1F0D-432F-98D0-4513A4475943}"/>
    <cellStyle name="Currency 5 6 4 3 3" xfId="14352" xr:uid="{45D62BC2-7F9F-49BB-9F4A-C52582724211}"/>
    <cellStyle name="Currency 5 6 4 4" xfId="19415" xr:uid="{5B3E1E9D-C966-4D20-A93D-A8244BE9D769}"/>
    <cellStyle name="Currency 5 6 4 5" xfId="10134" xr:uid="{FB2ABF3A-A4A6-4D7B-95DD-C0E6C80A1421}"/>
    <cellStyle name="Currency 5 6 5" xfId="2009" xr:uid="{00000000-0005-0000-0000-0000760D0000}"/>
    <cellStyle name="Currency 5 6 5 2" xfId="4238" xr:uid="{00000000-0005-0000-0000-0000770D0000}"/>
    <cellStyle name="Currency 5 6 5 2 2" xfId="8460" xr:uid="{00000000-0005-0000-0000-0000780D0000}"/>
    <cellStyle name="Currency 5 6 5 2 2 2" xfId="26190" xr:uid="{2320B3A7-6BB7-476B-8F4B-1DF74A50F95E}"/>
    <cellStyle name="Currency 5 6 5 2 2 3" xfId="16910" xr:uid="{1C907AB9-1D95-41C1-92B6-9F79E1435A76}"/>
    <cellStyle name="Currency 5 6 5 2 3" xfId="21973" xr:uid="{666DD03A-4F39-44A7-9095-16DAA66651BE}"/>
    <cellStyle name="Currency 5 6 5 2 4" xfId="12692" xr:uid="{732327BB-6B16-462E-A534-82F01B6CE561}"/>
    <cellStyle name="Currency 5 6 5 3" xfId="6315" xr:uid="{00000000-0005-0000-0000-0000790D0000}"/>
    <cellStyle name="Currency 5 6 5 3 2" xfId="24045" xr:uid="{198818E2-78D3-496B-97A0-34533949368D}"/>
    <cellStyle name="Currency 5 6 5 3 3" xfId="14765" xr:uid="{92128592-16C0-4255-BC3A-B90D204FF7FE}"/>
    <cellStyle name="Currency 5 6 5 4" xfId="19828" xr:uid="{A8268514-A082-448F-8267-B847F36DD2A2}"/>
    <cellStyle name="Currency 5 6 5 5" xfId="10547" xr:uid="{2BE31944-69E6-4482-BCCD-F97CB108E106}"/>
    <cellStyle name="Currency 5 6 6" xfId="2444" xr:uid="{00000000-0005-0000-0000-00007A0D0000}"/>
    <cellStyle name="Currency 5 6 6 2" xfId="6728" xr:uid="{00000000-0005-0000-0000-00007B0D0000}"/>
    <cellStyle name="Currency 5 6 6 2 2" xfId="24458" xr:uid="{55E1B0CC-6A38-4DAD-9183-E19D9B668EB4}"/>
    <cellStyle name="Currency 5 6 6 2 3" xfId="15178" xr:uid="{27D8B0B1-84CB-4D79-B4C2-4A61BB7593D2}"/>
    <cellStyle name="Currency 5 6 6 3" xfId="20241" xr:uid="{B5F352FE-7A6F-4D9B-B9AA-F1EC30C4184C}"/>
    <cellStyle name="Currency 5 6 6 4" xfId="10960" xr:uid="{BCE30106-2369-4C15-AA7D-2DC5D2322371}"/>
    <cellStyle name="Currency 5 6 7" xfId="2741" xr:uid="{00000000-0005-0000-0000-00007C0D0000}"/>
    <cellStyle name="Currency 5 6 8" xfId="2822" xr:uid="{00000000-0005-0000-0000-00007D0D0000}"/>
    <cellStyle name="Currency 5 6 8 2" xfId="7045" xr:uid="{00000000-0005-0000-0000-00007E0D0000}"/>
    <cellStyle name="Currency 5 6 8 2 2" xfId="24775" xr:uid="{D38A43B2-B362-4848-8203-DE9A61F915CE}"/>
    <cellStyle name="Currency 5 6 8 2 3" xfId="15495" xr:uid="{4A2CC262-3C15-4154-9456-288D699C7908}"/>
    <cellStyle name="Currency 5 6 8 3" xfId="20558" xr:uid="{0F71CD66-4899-47A0-A64A-2ABEB9811C8C}"/>
    <cellStyle name="Currency 5 6 8 4" xfId="11277" xr:uid="{7F3E2137-D57A-4230-AEF7-33B334159580}"/>
    <cellStyle name="Currency 5 6 9" xfId="4662" xr:uid="{00000000-0005-0000-0000-00007F0D0000}"/>
    <cellStyle name="Currency 5 6 9 2" xfId="22392" xr:uid="{2EF9498F-9589-4677-84BC-D7E3451D0955}"/>
    <cellStyle name="Currency 5 6 9 3" xfId="13112" xr:uid="{93767D3A-DF02-43FA-AB48-1FCE3A71FD78}"/>
    <cellStyle name="Currency 5 7" xfId="222" xr:uid="{00000000-0005-0000-0000-0000800D0000}"/>
    <cellStyle name="Currency 5 7 10" xfId="18176" xr:uid="{C69083AD-9E10-402F-8A54-7A29A81D2A63}"/>
    <cellStyle name="Currency 5 7 11" xfId="17343" xr:uid="{70B67953-DACA-4A33-9B5A-A1FCE665886C}"/>
    <cellStyle name="Currency 5 7 12" xfId="8895" xr:uid="{9348CFB9-FE1D-4773-BB0B-D66FB4C8187F}"/>
    <cellStyle name="Currency 5 7 2" xfId="748" xr:uid="{00000000-0005-0000-0000-0000810D0000}"/>
    <cellStyle name="Currency 5 7 2 2" xfId="3000" xr:uid="{00000000-0005-0000-0000-0000820D0000}"/>
    <cellStyle name="Currency 5 7 2 2 2" xfId="7222" xr:uid="{00000000-0005-0000-0000-0000830D0000}"/>
    <cellStyle name="Currency 5 7 2 2 2 2" xfId="24952" xr:uid="{936DADF2-E6B9-4D4C-89B5-6BD0EA7EBE5F}"/>
    <cellStyle name="Currency 5 7 2 2 2 3" xfId="15672" xr:uid="{C261FE84-E11A-472E-AC84-1E5166143FC6}"/>
    <cellStyle name="Currency 5 7 2 2 3" xfId="20735" xr:uid="{CEB85982-E24D-417A-B7A8-32FA3A5E115F}"/>
    <cellStyle name="Currency 5 7 2 2 4" xfId="11454" xr:uid="{F922444F-5CF6-4C70-99C9-F514C153D3F1}"/>
    <cellStyle name="Currency 5 7 2 3" xfId="5077" xr:uid="{00000000-0005-0000-0000-0000840D0000}"/>
    <cellStyle name="Currency 5 7 2 3 2" xfId="22807" xr:uid="{E0167B36-4AD6-4B05-8CEB-B522A43FAE41}"/>
    <cellStyle name="Currency 5 7 2 3 3" xfId="13527" xr:uid="{B151426E-E472-4FA5-BDE4-FD88F06792B6}"/>
    <cellStyle name="Currency 5 7 2 4" xfId="18590" xr:uid="{434F9C63-0340-4622-BBF5-2C1AAFE832B1}"/>
    <cellStyle name="Currency 5 7 2 5" xfId="17760" xr:uid="{0563F55E-EC37-4490-95B8-E9AB719556AD}"/>
    <cellStyle name="Currency 5 7 2 6" xfId="9309" xr:uid="{6D487885-4D29-4B4A-BC7D-712AACEA873C}"/>
    <cellStyle name="Currency 5 7 3" xfId="1182" xr:uid="{00000000-0005-0000-0000-0000850D0000}"/>
    <cellStyle name="Currency 5 7 3 2" xfId="3413" xr:uid="{00000000-0005-0000-0000-0000860D0000}"/>
    <cellStyle name="Currency 5 7 3 2 2" xfId="7635" xr:uid="{00000000-0005-0000-0000-0000870D0000}"/>
    <cellStyle name="Currency 5 7 3 2 2 2" xfId="25365" xr:uid="{469ABFD0-CA05-4FC8-ADA2-E7CDCAFF8554}"/>
    <cellStyle name="Currency 5 7 3 2 2 3" xfId="16085" xr:uid="{BF9199C0-1004-480C-BE25-5876342DE933}"/>
    <cellStyle name="Currency 5 7 3 2 3" xfId="21148" xr:uid="{B0479DC6-065F-481C-9CE8-EFB60FF30118}"/>
    <cellStyle name="Currency 5 7 3 2 4" xfId="11867" xr:uid="{B9150B44-9BD5-4DC0-9073-6BEB82ACEA2A}"/>
    <cellStyle name="Currency 5 7 3 3" xfId="5490" xr:uid="{00000000-0005-0000-0000-0000880D0000}"/>
    <cellStyle name="Currency 5 7 3 3 2" xfId="23220" xr:uid="{C0D84AB4-702A-4343-A737-9A410BBB49A2}"/>
    <cellStyle name="Currency 5 7 3 3 3" xfId="13940" xr:uid="{1286404D-8D90-4008-B2C5-7012EEF8C623}"/>
    <cellStyle name="Currency 5 7 3 4" xfId="19003" xr:uid="{98F6B64E-4638-4A11-BEF4-5D28D056C29D}"/>
    <cellStyle name="Currency 5 7 3 5" xfId="9722" xr:uid="{52CB50DA-4E96-410E-930B-E8EE5380D245}"/>
    <cellStyle name="Currency 5 7 4" xfId="1596" xr:uid="{00000000-0005-0000-0000-0000890D0000}"/>
    <cellStyle name="Currency 5 7 4 2" xfId="3826" xr:uid="{00000000-0005-0000-0000-00008A0D0000}"/>
    <cellStyle name="Currency 5 7 4 2 2" xfId="8048" xr:uid="{00000000-0005-0000-0000-00008B0D0000}"/>
    <cellStyle name="Currency 5 7 4 2 2 2" xfId="25778" xr:uid="{AD73CF2D-0BB8-4292-AA84-6F5113025DF1}"/>
    <cellStyle name="Currency 5 7 4 2 2 3" xfId="16498" xr:uid="{06D78187-D94F-4873-83B3-BC19E88A9ED7}"/>
    <cellStyle name="Currency 5 7 4 2 3" xfId="21561" xr:uid="{44B479AD-F82E-4F2B-BA00-482391DC5332}"/>
    <cellStyle name="Currency 5 7 4 2 4" xfId="12280" xr:uid="{5B18F2C0-530D-4147-8A96-6C718B59C1B9}"/>
    <cellStyle name="Currency 5 7 4 3" xfId="5903" xr:uid="{00000000-0005-0000-0000-00008C0D0000}"/>
    <cellStyle name="Currency 5 7 4 3 2" xfId="23633" xr:uid="{A5996BCA-F8AB-4B93-A9E0-A9827DE53B35}"/>
    <cellStyle name="Currency 5 7 4 3 3" xfId="14353" xr:uid="{CAF586BE-A58B-4561-9B41-57120B5FBC78}"/>
    <cellStyle name="Currency 5 7 4 4" xfId="19416" xr:uid="{0F64D3AA-6398-4B8B-9110-00CAFF3F940F}"/>
    <cellStyle name="Currency 5 7 4 5" xfId="10135" xr:uid="{56487ECD-2C98-4CC5-A9D9-693C21A02729}"/>
    <cellStyle name="Currency 5 7 5" xfId="2010" xr:uid="{00000000-0005-0000-0000-00008D0D0000}"/>
    <cellStyle name="Currency 5 7 5 2" xfId="4239" xr:uid="{00000000-0005-0000-0000-00008E0D0000}"/>
    <cellStyle name="Currency 5 7 5 2 2" xfId="8461" xr:uid="{00000000-0005-0000-0000-00008F0D0000}"/>
    <cellStyle name="Currency 5 7 5 2 2 2" xfId="26191" xr:uid="{F2934F6B-BFC2-4472-BD1C-D057DD529D1D}"/>
    <cellStyle name="Currency 5 7 5 2 2 3" xfId="16911" xr:uid="{207859D9-E138-4C75-BB8F-CBB0E7E11E25}"/>
    <cellStyle name="Currency 5 7 5 2 3" xfId="21974" xr:uid="{F86FD84C-E8E5-4E71-9A00-027E4FA31207}"/>
    <cellStyle name="Currency 5 7 5 2 4" xfId="12693" xr:uid="{20F7138D-4E98-455B-9DFA-51A2814151FD}"/>
    <cellStyle name="Currency 5 7 5 3" xfId="6316" xr:uid="{00000000-0005-0000-0000-0000900D0000}"/>
    <cellStyle name="Currency 5 7 5 3 2" xfId="24046" xr:uid="{252815BB-C6B3-477B-88AA-2B63DC3C3FDF}"/>
    <cellStyle name="Currency 5 7 5 3 3" xfId="14766" xr:uid="{84795718-A262-4A48-AF8D-50C0C60EE1F6}"/>
    <cellStyle name="Currency 5 7 5 4" xfId="19829" xr:uid="{B053EDFF-003E-4AD2-A4F8-DC224CF4E68B}"/>
    <cellStyle name="Currency 5 7 5 5" xfId="10548" xr:uid="{512FB0B6-3379-4777-B245-D1A404E8181F}"/>
    <cellStyle name="Currency 5 7 6" xfId="2445" xr:uid="{00000000-0005-0000-0000-0000910D0000}"/>
    <cellStyle name="Currency 5 7 6 2" xfId="6729" xr:uid="{00000000-0005-0000-0000-0000920D0000}"/>
    <cellStyle name="Currency 5 7 6 2 2" xfId="24459" xr:uid="{EF98EEAC-65BF-40AD-9DD5-EEFD18C7A822}"/>
    <cellStyle name="Currency 5 7 6 2 3" xfId="15179" xr:uid="{28C55567-FE76-4218-8E94-C3DA6FEF08CC}"/>
    <cellStyle name="Currency 5 7 6 3" xfId="20242" xr:uid="{C79C595D-6ED9-4A59-B896-1DB52C2C7689}"/>
    <cellStyle name="Currency 5 7 6 4" xfId="10961" xr:uid="{E887EEBB-1967-4959-BEA7-F0891A8C7B45}"/>
    <cellStyle name="Currency 5 7 7" xfId="2742" xr:uid="{00000000-0005-0000-0000-0000930D0000}"/>
    <cellStyle name="Currency 5 7 8" xfId="2823" xr:uid="{00000000-0005-0000-0000-0000940D0000}"/>
    <cellStyle name="Currency 5 7 8 2" xfId="7046" xr:uid="{00000000-0005-0000-0000-0000950D0000}"/>
    <cellStyle name="Currency 5 7 8 2 2" xfId="24776" xr:uid="{E93400A2-872C-45D8-BC6D-41F94DBE5967}"/>
    <cellStyle name="Currency 5 7 8 2 3" xfId="15496" xr:uid="{36250E00-96AE-4D74-9783-CA33B9E030E2}"/>
    <cellStyle name="Currency 5 7 8 3" xfId="20559" xr:uid="{E05496D1-FA8D-4B09-88E3-EF83E2C84827}"/>
    <cellStyle name="Currency 5 7 8 4" xfId="11278" xr:uid="{E43A1B6D-629A-4023-AC84-EF454541093F}"/>
    <cellStyle name="Currency 5 7 9" xfId="4663" xr:uid="{00000000-0005-0000-0000-0000960D0000}"/>
    <cellStyle name="Currency 5 7 9 2" xfId="22393" xr:uid="{8613536F-4CDC-4844-8D6A-07F778811CC6}"/>
    <cellStyle name="Currency 5 7 9 3" xfId="13113" xr:uid="{3A66A974-6F95-47AC-963D-09C8CF748C31}"/>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17761" xr:uid="{D3322A8F-1D26-4FFA-BE67-33B115CB9168}"/>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24460" xr:uid="{373FE3BA-F623-45C4-AA6C-1E6397E2947B}"/>
    <cellStyle name="Normal 12 10 2 3" xfId="15180" xr:uid="{3E5DBDBF-8E6F-48AB-8886-B507E7177978}"/>
    <cellStyle name="Normal 12 10 3" xfId="20243" xr:uid="{2C7E3D67-9CA2-4231-B86C-B9D12BC2E614}"/>
    <cellStyle name="Normal 12 10 4" xfId="10962" xr:uid="{F079FD1D-CE8F-497F-9B3C-FE3275BDE69A}"/>
    <cellStyle name="Normal 12 11" xfId="4664" xr:uid="{00000000-0005-0000-0000-0000CC0D0000}"/>
    <cellStyle name="Normal 12 11 2" xfId="22394" xr:uid="{E7231401-1FDF-4589-B741-7F8AACA0AA85}"/>
    <cellStyle name="Normal 12 11 3" xfId="13114" xr:uid="{502F3A12-B9BD-4F00-8AC9-118A52956429}"/>
    <cellStyle name="Normal 12 12" xfId="18177" xr:uid="{BEF6016B-02B7-412C-A143-41586FC6557A}"/>
    <cellStyle name="Normal 12 13" xfId="17344" xr:uid="{1F74CF3F-ED88-47B9-A29E-9AE93467BBFC}"/>
    <cellStyle name="Normal 12 14" xfId="8896" xr:uid="{0818E94D-52DE-4306-884E-6A1CF336A6C3}"/>
    <cellStyle name="Normal 12 2" xfId="260" xr:uid="{00000000-0005-0000-0000-0000CD0D0000}"/>
    <cellStyle name="Normal 12 2 10" xfId="18178" xr:uid="{287FC27C-C1FD-4EB6-B333-BF2BD5F3E7F6}"/>
    <cellStyle name="Normal 12 2 11" xfId="17345" xr:uid="{4D1DF19F-A7C0-41AF-99F7-9C4832CD4BCF}"/>
    <cellStyle name="Normal 12 2 12" xfId="8897" xr:uid="{C11F9324-A279-4B76-9BCD-B03162E934D4}"/>
    <cellStyle name="Normal 12 2 2" xfId="261" xr:uid="{00000000-0005-0000-0000-0000CE0D0000}"/>
    <cellStyle name="Normal 12 2 2 10" xfId="17346" xr:uid="{AB86F93E-C72D-4593-8393-D49366DF75B3}"/>
    <cellStyle name="Normal 12 2 2 11" xfId="8898" xr:uid="{A09742CE-DCBB-4B3C-B17D-60CA82C81D55}"/>
    <cellStyle name="Normal 12 2 2 2" xfId="262" xr:uid="{00000000-0005-0000-0000-0000CF0D0000}"/>
    <cellStyle name="Normal 12 2 2 2 10" xfId="8899" xr:uid="{5F9AA292-7B47-47C7-A3B1-5F2F05B7179A}"/>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24956" xr:uid="{5CDB15D1-C1B5-4A20-8C47-86E41828D71F}"/>
    <cellStyle name="Normal 12 2 2 2 2 2 2 3" xfId="15676" xr:uid="{4CA0A4AA-FEF9-4D24-B943-F2C3475510A2}"/>
    <cellStyle name="Normal 12 2 2 2 2 2 3" xfId="20739" xr:uid="{68886F04-35AA-4656-811C-403E21B1A8E2}"/>
    <cellStyle name="Normal 12 2 2 2 2 2 4" xfId="11458" xr:uid="{69E890AB-8F33-479C-8780-5743579DE93C}"/>
    <cellStyle name="Normal 12 2 2 2 2 3" xfId="5081" xr:uid="{00000000-0005-0000-0000-0000D30D0000}"/>
    <cellStyle name="Normal 12 2 2 2 2 3 2" xfId="22811" xr:uid="{42EC64CD-7302-46B0-A36D-274E8F118D65}"/>
    <cellStyle name="Normal 12 2 2 2 2 3 3" xfId="13531" xr:uid="{44D7DAAD-E623-4766-8FFE-07CF7518355B}"/>
    <cellStyle name="Normal 12 2 2 2 2 4" xfId="18594" xr:uid="{E7FB378D-930B-4B78-838B-D943C5FC4000}"/>
    <cellStyle name="Normal 12 2 2 2 2 5" xfId="17765" xr:uid="{7749D2E4-3BC5-41D3-9E00-3EF3E4FF588B}"/>
    <cellStyle name="Normal 12 2 2 2 2 6" xfId="9313" xr:uid="{CD234B0C-A9B3-4F0A-9EAB-68D8DA79F11B}"/>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25369" xr:uid="{18C295CB-FF1A-4A83-BEC3-CD4125FABD8C}"/>
    <cellStyle name="Normal 12 2 2 2 3 2 2 3" xfId="16089" xr:uid="{24D82EE5-8492-4AD7-BDDD-C142C7691F4A}"/>
    <cellStyle name="Normal 12 2 2 2 3 2 3" xfId="21152" xr:uid="{5351C24F-11A9-4A21-AD09-F9A234D3995D}"/>
    <cellStyle name="Normal 12 2 2 2 3 2 4" xfId="11871" xr:uid="{1D53AF83-5838-4AD8-9180-D684E9BB4525}"/>
    <cellStyle name="Normal 12 2 2 2 3 3" xfId="5494" xr:uid="{00000000-0005-0000-0000-0000D70D0000}"/>
    <cellStyle name="Normal 12 2 2 2 3 3 2" xfId="23224" xr:uid="{5C060673-C985-4D76-AB94-D310C192EC45}"/>
    <cellStyle name="Normal 12 2 2 2 3 3 3" xfId="13944" xr:uid="{BA808C79-C74F-4302-9C1B-C89EC8952770}"/>
    <cellStyle name="Normal 12 2 2 2 3 4" xfId="19007" xr:uid="{1A65095E-E2AC-4E9A-B53D-CD2190299959}"/>
    <cellStyle name="Normal 12 2 2 2 3 5" xfId="9726" xr:uid="{76171956-EC35-4E18-BE0E-42FC39155843}"/>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25782" xr:uid="{3E9A1B19-4825-4213-8599-777DDFFB3EBA}"/>
    <cellStyle name="Normal 12 2 2 2 4 2 2 3" xfId="16502" xr:uid="{B5073A40-F638-4CFF-871A-75DFA7D67E05}"/>
    <cellStyle name="Normal 12 2 2 2 4 2 3" xfId="21565" xr:uid="{F6A1211D-DD29-43E9-9033-182B74F11E02}"/>
    <cellStyle name="Normal 12 2 2 2 4 2 4" xfId="12284" xr:uid="{CC7A4F22-90C7-4BFA-8161-BC326C9A4F33}"/>
    <cellStyle name="Normal 12 2 2 2 4 3" xfId="5907" xr:uid="{00000000-0005-0000-0000-0000DB0D0000}"/>
    <cellStyle name="Normal 12 2 2 2 4 3 2" xfId="23637" xr:uid="{00BDFFDF-7EAA-4F62-82E3-94C9F7E2C47C}"/>
    <cellStyle name="Normal 12 2 2 2 4 3 3" xfId="14357" xr:uid="{57A5F7A8-5704-40EB-A0F4-F2548B94C8DB}"/>
    <cellStyle name="Normal 12 2 2 2 4 4" xfId="19420" xr:uid="{1E5B531E-3501-43F1-9FD3-45F7A6808471}"/>
    <cellStyle name="Normal 12 2 2 2 4 5" xfId="10139" xr:uid="{32F5B539-CC14-43A5-9525-15110A4B951F}"/>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26195" xr:uid="{B2C1F35B-CDEF-4EC8-8225-0929B51C17F7}"/>
    <cellStyle name="Normal 12 2 2 2 5 2 2 3" xfId="16915" xr:uid="{0A3D62DD-06B5-4110-B8E3-063B33AED62D}"/>
    <cellStyle name="Normal 12 2 2 2 5 2 3" xfId="21978" xr:uid="{DB4812D3-AFAE-4C74-AD64-DF24E3AD9580}"/>
    <cellStyle name="Normal 12 2 2 2 5 2 4" xfId="12697" xr:uid="{9151A14A-630F-4380-839F-3E7533D89A20}"/>
    <cellStyle name="Normal 12 2 2 2 5 3" xfId="6320" xr:uid="{00000000-0005-0000-0000-0000DF0D0000}"/>
    <cellStyle name="Normal 12 2 2 2 5 3 2" xfId="24050" xr:uid="{2B908263-97CA-4B7B-B55A-6458FD42A5B2}"/>
    <cellStyle name="Normal 12 2 2 2 5 3 3" xfId="14770" xr:uid="{B987F89E-7EAB-4F9F-A615-23D662BB91D1}"/>
    <cellStyle name="Normal 12 2 2 2 5 4" xfId="19833" xr:uid="{1C72D2FB-B0DE-444B-B92E-CC8906355139}"/>
    <cellStyle name="Normal 12 2 2 2 5 5" xfId="10552" xr:uid="{FF16C27E-EB97-459A-9C82-040B953D36CA}"/>
    <cellStyle name="Normal 12 2 2 2 6" xfId="2450" xr:uid="{00000000-0005-0000-0000-0000E00D0000}"/>
    <cellStyle name="Normal 12 2 2 2 6 2" xfId="6733" xr:uid="{00000000-0005-0000-0000-0000E10D0000}"/>
    <cellStyle name="Normal 12 2 2 2 6 2 2" xfId="24463" xr:uid="{B711FBBF-B93C-4DC4-BBE2-4233D09FABE6}"/>
    <cellStyle name="Normal 12 2 2 2 6 2 3" xfId="15183" xr:uid="{0CEC2CA2-1272-4C78-B40C-9FC4BFB07B20}"/>
    <cellStyle name="Normal 12 2 2 2 6 3" xfId="20246" xr:uid="{8298CE07-4380-4DF0-B90B-36612C208810}"/>
    <cellStyle name="Normal 12 2 2 2 6 4" xfId="10965" xr:uid="{0B2057F9-CD26-4DBF-9571-BBF92C8A3F30}"/>
    <cellStyle name="Normal 12 2 2 2 7" xfId="4667" xr:uid="{00000000-0005-0000-0000-0000E20D0000}"/>
    <cellStyle name="Normal 12 2 2 2 7 2" xfId="22397" xr:uid="{97A89DA1-E670-43D3-B453-E19E60386D76}"/>
    <cellStyle name="Normal 12 2 2 2 7 3" xfId="13117" xr:uid="{F0B6C2BC-C1A0-4446-861C-92B8ACE636A2}"/>
    <cellStyle name="Normal 12 2 2 2 8" xfId="18180" xr:uid="{0FE37E68-FBEB-4396-85D9-74AEEC870737}"/>
    <cellStyle name="Normal 12 2 2 2 9" xfId="17347" xr:uid="{4240A563-033D-4AC2-8E73-E28CA9DF7BD2}"/>
    <cellStyle name="Normal 12 2 2 3" xfId="762" xr:uid="{00000000-0005-0000-0000-0000E30D0000}"/>
    <cellStyle name="Normal 12 2 2 3 2" xfId="3003" xr:uid="{00000000-0005-0000-0000-0000E40D0000}"/>
    <cellStyle name="Normal 12 2 2 3 2 2" xfId="7225" xr:uid="{00000000-0005-0000-0000-0000E50D0000}"/>
    <cellStyle name="Normal 12 2 2 3 2 2 2" xfId="24955" xr:uid="{49F1E72A-EF52-4EF4-9DF6-1B03FA90950A}"/>
    <cellStyle name="Normal 12 2 2 3 2 2 3" xfId="15675" xr:uid="{C1C5CA68-198C-43B3-9D1D-9C987A2C91AF}"/>
    <cellStyle name="Normal 12 2 2 3 2 3" xfId="20738" xr:uid="{AD9AAE40-B127-4245-9760-DD415B484B3B}"/>
    <cellStyle name="Normal 12 2 2 3 2 4" xfId="11457" xr:uid="{36A0A96C-3146-4A16-9A7E-8EDB44071104}"/>
    <cellStyle name="Normal 12 2 2 3 3" xfId="5080" xr:uid="{00000000-0005-0000-0000-0000E60D0000}"/>
    <cellStyle name="Normal 12 2 2 3 3 2" xfId="22810" xr:uid="{41FC92CB-788A-4DA0-A6AC-7D11B65BF366}"/>
    <cellStyle name="Normal 12 2 2 3 3 3" xfId="13530" xr:uid="{AE888FF6-3818-428C-B351-28146BA4649F}"/>
    <cellStyle name="Normal 12 2 2 3 4" xfId="18593" xr:uid="{A16148C4-2507-4721-855E-E5810AEBAF09}"/>
    <cellStyle name="Normal 12 2 2 3 5" xfId="17764" xr:uid="{0F589A0A-D615-4D64-8F7E-B675131DEE5F}"/>
    <cellStyle name="Normal 12 2 2 3 6" xfId="9312" xr:uid="{D5F45E29-F9C4-40C3-8290-862630553405}"/>
    <cellStyle name="Normal 12 2 2 4" xfId="1185" xr:uid="{00000000-0005-0000-0000-0000E70D0000}"/>
    <cellStyle name="Normal 12 2 2 4 2" xfId="3416" xr:uid="{00000000-0005-0000-0000-0000E80D0000}"/>
    <cellStyle name="Normal 12 2 2 4 2 2" xfId="7638" xr:uid="{00000000-0005-0000-0000-0000E90D0000}"/>
    <cellStyle name="Normal 12 2 2 4 2 2 2" xfId="25368" xr:uid="{8CDF6E79-C118-4FD2-A00A-14EC16F37BB2}"/>
    <cellStyle name="Normal 12 2 2 4 2 2 3" xfId="16088" xr:uid="{395F8775-A464-4E7E-A630-95D26DDDAB67}"/>
    <cellStyle name="Normal 12 2 2 4 2 3" xfId="21151" xr:uid="{AC729E50-41B5-4F86-B93B-F7A67723706C}"/>
    <cellStyle name="Normal 12 2 2 4 2 4" xfId="11870" xr:uid="{FA749A06-A517-468F-801E-D45DC3DED902}"/>
    <cellStyle name="Normal 12 2 2 4 3" xfId="5493" xr:uid="{00000000-0005-0000-0000-0000EA0D0000}"/>
    <cellStyle name="Normal 12 2 2 4 3 2" xfId="23223" xr:uid="{AA5D7477-A99D-49FB-994D-96C26946C6B2}"/>
    <cellStyle name="Normal 12 2 2 4 3 3" xfId="13943" xr:uid="{FE53C9AA-5C3D-47E3-B44C-501EA57D5C01}"/>
    <cellStyle name="Normal 12 2 2 4 4" xfId="19006" xr:uid="{52081309-723A-4932-9661-EBFEC194A2FB}"/>
    <cellStyle name="Normal 12 2 2 4 5" xfId="9725" xr:uid="{63DE06F5-B168-4B5D-9274-FE4DAC5E537F}"/>
    <cellStyle name="Normal 12 2 2 5" xfId="1599" xr:uid="{00000000-0005-0000-0000-0000EB0D0000}"/>
    <cellStyle name="Normal 12 2 2 5 2" xfId="3829" xr:uid="{00000000-0005-0000-0000-0000EC0D0000}"/>
    <cellStyle name="Normal 12 2 2 5 2 2" xfId="8051" xr:uid="{00000000-0005-0000-0000-0000ED0D0000}"/>
    <cellStyle name="Normal 12 2 2 5 2 2 2" xfId="25781" xr:uid="{5B785EC8-867D-4711-BAF3-4A1944C2C2F0}"/>
    <cellStyle name="Normal 12 2 2 5 2 2 3" xfId="16501" xr:uid="{C501452C-A292-4B59-9F3F-D96AEDBE3C8D}"/>
    <cellStyle name="Normal 12 2 2 5 2 3" xfId="21564" xr:uid="{AF106B78-DCB1-41E6-B627-03B891CAECD7}"/>
    <cellStyle name="Normal 12 2 2 5 2 4" xfId="12283" xr:uid="{0ECE954F-6176-464A-907B-FC62642A667F}"/>
    <cellStyle name="Normal 12 2 2 5 3" xfId="5906" xr:uid="{00000000-0005-0000-0000-0000EE0D0000}"/>
    <cellStyle name="Normal 12 2 2 5 3 2" xfId="23636" xr:uid="{E4452E4A-6349-4513-84F6-9F358535DE27}"/>
    <cellStyle name="Normal 12 2 2 5 3 3" xfId="14356" xr:uid="{6356F990-63C9-4D6B-AC80-AB17451F7B81}"/>
    <cellStyle name="Normal 12 2 2 5 4" xfId="19419" xr:uid="{B07C5772-1ABF-4E0C-9AAA-F340D7011023}"/>
    <cellStyle name="Normal 12 2 2 5 5" xfId="10138" xr:uid="{F7D3CF4C-8C6F-4C75-B591-7757B25E08BD}"/>
    <cellStyle name="Normal 12 2 2 6" xfId="2013" xr:uid="{00000000-0005-0000-0000-0000EF0D0000}"/>
    <cellStyle name="Normal 12 2 2 6 2" xfId="4242" xr:uid="{00000000-0005-0000-0000-0000F00D0000}"/>
    <cellStyle name="Normal 12 2 2 6 2 2" xfId="8464" xr:uid="{00000000-0005-0000-0000-0000F10D0000}"/>
    <cellStyle name="Normal 12 2 2 6 2 2 2" xfId="26194" xr:uid="{70AAE27E-39A9-492A-BE55-F177300953D5}"/>
    <cellStyle name="Normal 12 2 2 6 2 2 3" xfId="16914" xr:uid="{3C4D0D75-2C06-4FB0-9B80-782CA4D77FEB}"/>
    <cellStyle name="Normal 12 2 2 6 2 3" xfId="21977" xr:uid="{F70AF2F6-B1D1-4E03-8384-5177F65A6CEB}"/>
    <cellStyle name="Normal 12 2 2 6 2 4" xfId="12696" xr:uid="{62BDD89D-256D-444F-A9E2-16D14D605BA4}"/>
    <cellStyle name="Normal 12 2 2 6 3" xfId="6319" xr:uid="{00000000-0005-0000-0000-0000F20D0000}"/>
    <cellStyle name="Normal 12 2 2 6 3 2" xfId="24049" xr:uid="{E9E40705-CD0E-4F1E-8863-02704E96572F}"/>
    <cellStyle name="Normal 12 2 2 6 3 3" xfId="14769" xr:uid="{32E63364-D469-4259-A7A5-21DAD2E81798}"/>
    <cellStyle name="Normal 12 2 2 6 4" xfId="19832" xr:uid="{FFBCBEBB-7858-45DB-921C-DF7C7967F555}"/>
    <cellStyle name="Normal 12 2 2 6 5" xfId="10551" xr:uid="{98A74BD8-159D-43A6-A65F-CAFABC8CA6C6}"/>
    <cellStyle name="Normal 12 2 2 7" xfId="2449" xr:uid="{00000000-0005-0000-0000-0000F30D0000}"/>
    <cellStyle name="Normal 12 2 2 7 2" xfId="6732" xr:uid="{00000000-0005-0000-0000-0000F40D0000}"/>
    <cellStyle name="Normal 12 2 2 7 2 2" xfId="24462" xr:uid="{9665C476-B84C-40CD-94CA-FF4D3B5226CF}"/>
    <cellStyle name="Normal 12 2 2 7 2 3" xfId="15182" xr:uid="{1D3B8712-8A85-421C-BBB9-8C8E2EC33873}"/>
    <cellStyle name="Normal 12 2 2 7 3" xfId="20245" xr:uid="{92D26C29-D121-47F4-B53E-7CCB80690FF5}"/>
    <cellStyle name="Normal 12 2 2 7 4" xfId="10964" xr:uid="{B2C6A3C1-A546-4CE1-9799-34177059DD3E}"/>
    <cellStyle name="Normal 12 2 2 8" xfId="4666" xr:uid="{00000000-0005-0000-0000-0000F50D0000}"/>
    <cellStyle name="Normal 12 2 2 8 2" xfId="22396" xr:uid="{2840C58A-4879-40C5-AEC6-AAE626CE405B}"/>
    <cellStyle name="Normal 12 2 2 8 3" xfId="13116" xr:uid="{308C970A-131F-4D17-84DC-63305C12063E}"/>
    <cellStyle name="Normal 12 2 2 9" xfId="18179" xr:uid="{2918D531-5721-4DA9-A9FD-86ACBFBBEFF0}"/>
    <cellStyle name="Normal 12 2 3" xfId="263" xr:uid="{00000000-0005-0000-0000-0000F60D0000}"/>
    <cellStyle name="Normal 12 2 3 10" xfId="8900" xr:uid="{96FD3E12-AC6D-4B29-A23E-21D72719AAA5}"/>
    <cellStyle name="Normal 12 2 3 2" xfId="764" xr:uid="{00000000-0005-0000-0000-0000F70D0000}"/>
    <cellStyle name="Normal 12 2 3 2 2" xfId="3005" xr:uid="{00000000-0005-0000-0000-0000F80D0000}"/>
    <cellStyle name="Normal 12 2 3 2 2 2" xfId="7227" xr:uid="{00000000-0005-0000-0000-0000F90D0000}"/>
    <cellStyle name="Normal 12 2 3 2 2 2 2" xfId="24957" xr:uid="{5DAD21EB-7D27-499E-B4E9-E38D574DE509}"/>
    <cellStyle name="Normal 12 2 3 2 2 2 3" xfId="15677" xr:uid="{CDA6DD87-7A47-4A79-8E39-4750DE1D591B}"/>
    <cellStyle name="Normal 12 2 3 2 2 3" xfId="20740" xr:uid="{ADBE180F-D319-4CA7-B993-8051DDA27C72}"/>
    <cellStyle name="Normal 12 2 3 2 2 4" xfId="11459" xr:uid="{D3858EA3-330D-418F-B6C4-0A358D924375}"/>
    <cellStyle name="Normal 12 2 3 2 3" xfId="5082" xr:uid="{00000000-0005-0000-0000-0000FA0D0000}"/>
    <cellStyle name="Normal 12 2 3 2 3 2" xfId="22812" xr:uid="{84BD96B4-584B-4F28-9292-836C1025B8F1}"/>
    <cellStyle name="Normal 12 2 3 2 3 3" xfId="13532" xr:uid="{9456CDB5-FBA6-491B-8652-F76235C263CE}"/>
    <cellStyle name="Normal 12 2 3 2 4" xfId="18595" xr:uid="{FEAF87F4-C5CD-49EC-BB5C-482F7072749E}"/>
    <cellStyle name="Normal 12 2 3 2 5" xfId="17766" xr:uid="{528FFE11-44D7-45BF-A142-E72325A49EA3}"/>
    <cellStyle name="Normal 12 2 3 2 6" xfId="9314" xr:uid="{965CD8C4-3011-4EAD-84BC-A4492AF4F660}"/>
    <cellStyle name="Normal 12 2 3 3" xfId="1187" xr:uid="{00000000-0005-0000-0000-0000FB0D0000}"/>
    <cellStyle name="Normal 12 2 3 3 2" xfId="3418" xr:uid="{00000000-0005-0000-0000-0000FC0D0000}"/>
    <cellStyle name="Normal 12 2 3 3 2 2" xfId="7640" xr:uid="{00000000-0005-0000-0000-0000FD0D0000}"/>
    <cellStyle name="Normal 12 2 3 3 2 2 2" xfId="25370" xr:uid="{F4024366-83DF-4B30-94BA-5DDBB9DBEA7F}"/>
    <cellStyle name="Normal 12 2 3 3 2 2 3" xfId="16090" xr:uid="{EB32F78B-E3A6-4B4C-8BC7-84DD4532C1A7}"/>
    <cellStyle name="Normal 12 2 3 3 2 3" xfId="21153" xr:uid="{CF980FEE-4630-4DE8-AF3A-A9624AB7D7C7}"/>
    <cellStyle name="Normal 12 2 3 3 2 4" xfId="11872" xr:uid="{511C4563-36D3-48FA-B4AD-363113C81FC4}"/>
    <cellStyle name="Normal 12 2 3 3 3" xfId="5495" xr:uid="{00000000-0005-0000-0000-0000FE0D0000}"/>
    <cellStyle name="Normal 12 2 3 3 3 2" xfId="23225" xr:uid="{A17073B0-129B-4F82-A44A-0BEE197589F5}"/>
    <cellStyle name="Normal 12 2 3 3 3 3" xfId="13945" xr:uid="{D8D0689E-4D99-47C7-A31B-8AD019D56E40}"/>
    <cellStyle name="Normal 12 2 3 3 4" xfId="19008" xr:uid="{AC597337-1705-4802-BD01-A6137D537C91}"/>
    <cellStyle name="Normal 12 2 3 3 5" xfId="9727" xr:uid="{B868F190-F6CD-4D53-A367-D7B0229FC0A0}"/>
    <cellStyle name="Normal 12 2 3 4" xfId="1601" xr:uid="{00000000-0005-0000-0000-0000FF0D0000}"/>
    <cellStyle name="Normal 12 2 3 4 2" xfId="3831" xr:uid="{00000000-0005-0000-0000-0000000E0000}"/>
    <cellStyle name="Normal 12 2 3 4 2 2" xfId="8053" xr:uid="{00000000-0005-0000-0000-0000010E0000}"/>
    <cellStyle name="Normal 12 2 3 4 2 2 2" xfId="25783" xr:uid="{4E9B9325-6304-4858-8CB5-D3F827A94B9C}"/>
    <cellStyle name="Normal 12 2 3 4 2 2 3" xfId="16503" xr:uid="{9C036FB8-1056-41CB-935B-E2595C52BBF0}"/>
    <cellStyle name="Normal 12 2 3 4 2 3" xfId="21566" xr:uid="{84F5A922-835B-4613-A722-0DA1CE13359D}"/>
    <cellStyle name="Normal 12 2 3 4 2 4" xfId="12285" xr:uid="{26010995-4DD3-4221-AC14-CB7C7B558961}"/>
    <cellStyle name="Normal 12 2 3 4 3" xfId="5908" xr:uid="{00000000-0005-0000-0000-0000020E0000}"/>
    <cellStyle name="Normal 12 2 3 4 3 2" xfId="23638" xr:uid="{A77BE896-1658-40C3-AFF7-2E4B3DE8D443}"/>
    <cellStyle name="Normal 12 2 3 4 3 3" xfId="14358" xr:uid="{C125C149-B7FA-49C7-AD9F-A4B3E1D191CF}"/>
    <cellStyle name="Normal 12 2 3 4 4" xfId="19421" xr:uid="{5A991913-C324-446D-A968-DB58919CD9EE}"/>
    <cellStyle name="Normal 12 2 3 4 5" xfId="10140" xr:uid="{BD693E4C-A07B-4B36-A7E9-336A0F3B127E}"/>
    <cellStyle name="Normal 12 2 3 5" xfId="2015" xr:uid="{00000000-0005-0000-0000-0000030E0000}"/>
    <cellStyle name="Normal 12 2 3 5 2" xfId="4244" xr:uid="{00000000-0005-0000-0000-0000040E0000}"/>
    <cellStyle name="Normal 12 2 3 5 2 2" xfId="8466" xr:uid="{00000000-0005-0000-0000-0000050E0000}"/>
    <cellStyle name="Normal 12 2 3 5 2 2 2" xfId="26196" xr:uid="{FCB3235C-F60D-49AB-A191-C8B22F7F9ADF}"/>
    <cellStyle name="Normal 12 2 3 5 2 2 3" xfId="16916" xr:uid="{0360A749-CDAF-4197-AA7C-A92A9EB91DB5}"/>
    <cellStyle name="Normal 12 2 3 5 2 3" xfId="21979" xr:uid="{A60938BE-321E-416D-8C96-AC7DDF89ACD5}"/>
    <cellStyle name="Normal 12 2 3 5 2 4" xfId="12698" xr:uid="{53D2D401-251C-4278-9FFD-B68EAF6C7B48}"/>
    <cellStyle name="Normal 12 2 3 5 3" xfId="6321" xr:uid="{00000000-0005-0000-0000-0000060E0000}"/>
    <cellStyle name="Normal 12 2 3 5 3 2" xfId="24051" xr:uid="{1B5DEAAA-50A7-47B9-8BEF-4B990EBBB00F}"/>
    <cellStyle name="Normal 12 2 3 5 3 3" xfId="14771" xr:uid="{6816604A-CBC3-4DFE-A897-A1734789C279}"/>
    <cellStyle name="Normal 12 2 3 5 4" xfId="19834" xr:uid="{A2123901-7DD6-45C0-8EED-23EFB4C5F3E6}"/>
    <cellStyle name="Normal 12 2 3 5 5" xfId="10553" xr:uid="{A23F7E3B-D8AE-47C8-9335-FEDC89160BED}"/>
    <cellStyle name="Normal 12 2 3 6" xfId="2451" xr:uid="{00000000-0005-0000-0000-0000070E0000}"/>
    <cellStyle name="Normal 12 2 3 6 2" xfId="6734" xr:uid="{00000000-0005-0000-0000-0000080E0000}"/>
    <cellStyle name="Normal 12 2 3 6 2 2" xfId="24464" xr:uid="{2D1D54D9-BBEF-46CE-AED6-785660562CED}"/>
    <cellStyle name="Normal 12 2 3 6 2 3" xfId="15184" xr:uid="{4473EDF8-EE42-4C1D-B309-427E36E9C739}"/>
    <cellStyle name="Normal 12 2 3 6 3" xfId="20247" xr:uid="{838102E5-A369-4E40-B089-7608E357E95C}"/>
    <cellStyle name="Normal 12 2 3 6 4" xfId="10966" xr:uid="{E145020A-1094-49C6-BEDD-C4F36B5E70A1}"/>
    <cellStyle name="Normal 12 2 3 7" xfId="4668" xr:uid="{00000000-0005-0000-0000-0000090E0000}"/>
    <cellStyle name="Normal 12 2 3 7 2" xfId="22398" xr:uid="{BC8A40CB-FA22-4701-BC33-B55125E64BE6}"/>
    <cellStyle name="Normal 12 2 3 7 3" xfId="13118" xr:uid="{866A3AB4-7F95-4B47-A64E-27E5BCA366C8}"/>
    <cellStyle name="Normal 12 2 3 8" xfId="18181" xr:uid="{58C3C3EB-3F97-4733-8EB0-09395C6EACBE}"/>
    <cellStyle name="Normal 12 2 3 9" xfId="17348" xr:uid="{3F680679-B4DC-40D9-937A-2E8E918BC3A8}"/>
    <cellStyle name="Normal 12 2 4" xfId="761" xr:uid="{00000000-0005-0000-0000-00000A0E0000}"/>
    <cellStyle name="Normal 12 2 4 2" xfId="3002" xr:uid="{00000000-0005-0000-0000-00000B0E0000}"/>
    <cellStyle name="Normal 12 2 4 2 2" xfId="7224" xr:uid="{00000000-0005-0000-0000-00000C0E0000}"/>
    <cellStyle name="Normal 12 2 4 2 2 2" xfId="24954" xr:uid="{6280177A-8478-439E-8393-F7A2A8F8676A}"/>
    <cellStyle name="Normal 12 2 4 2 2 3" xfId="15674" xr:uid="{5FD76C1F-8C07-4430-9EE4-B7C5923FE697}"/>
    <cellStyle name="Normal 12 2 4 2 3" xfId="20737" xr:uid="{41B86CB1-B45B-4DAD-8D87-0C0D0E47E17C}"/>
    <cellStyle name="Normal 12 2 4 2 4" xfId="11456" xr:uid="{A129A074-8A23-4182-92F1-434101A1DB2C}"/>
    <cellStyle name="Normal 12 2 4 3" xfId="5079" xr:uid="{00000000-0005-0000-0000-00000D0E0000}"/>
    <cellStyle name="Normal 12 2 4 3 2" xfId="22809" xr:uid="{05C33E5D-D5F3-4331-B53B-C5FC7B29A49A}"/>
    <cellStyle name="Normal 12 2 4 3 3" xfId="13529" xr:uid="{91B4CB74-DB82-4DE4-B635-BF3AE3B6A62F}"/>
    <cellStyle name="Normal 12 2 4 4" xfId="18592" xr:uid="{9304313A-2E50-413F-B25F-FF193892A509}"/>
    <cellStyle name="Normal 12 2 4 5" xfId="17763" xr:uid="{D232B5C8-FD58-420A-ADE1-6AB4257979A7}"/>
    <cellStyle name="Normal 12 2 4 6" xfId="9311" xr:uid="{0432688E-9968-449D-AB0D-9154449CE04A}"/>
    <cellStyle name="Normal 12 2 5" xfId="1184" xr:uid="{00000000-0005-0000-0000-00000E0E0000}"/>
    <cellStyle name="Normal 12 2 5 2" xfId="3415" xr:uid="{00000000-0005-0000-0000-00000F0E0000}"/>
    <cellStyle name="Normal 12 2 5 2 2" xfId="7637" xr:uid="{00000000-0005-0000-0000-0000100E0000}"/>
    <cellStyle name="Normal 12 2 5 2 2 2" xfId="25367" xr:uid="{C0417910-3760-42AC-989B-76CF72AC0FD6}"/>
    <cellStyle name="Normal 12 2 5 2 2 3" xfId="16087" xr:uid="{2B41B4D3-DEB2-404C-8DAD-730C524CB969}"/>
    <cellStyle name="Normal 12 2 5 2 3" xfId="21150" xr:uid="{81FE447D-B184-4977-897F-355451AA99A9}"/>
    <cellStyle name="Normal 12 2 5 2 4" xfId="11869" xr:uid="{957AE885-1C79-401C-902C-F849C02EB727}"/>
    <cellStyle name="Normal 12 2 5 3" xfId="5492" xr:uid="{00000000-0005-0000-0000-0000110E0000}"/>
    <cellStyle name="Normal 12 2 5 3 2" xfId="23222" xr:uid="{55900E26-9559-48F8-A20A-87DFB2076512}"/>
    <cellStyle name="Normal 12 2 5 3 3" xfId="13942" xr:uid="{2561533E-DD0C-457E-9059-BE6BA98FBE2D}"/>
    <cellStyle name="Normal 12 2 5 4" xfId="19005" xr:uid="{08B50C3E-FEBA-440E-B9C5-B11674D510EF}"/>
    <cellStyle name="Normal 12 2 5 5" xfId="9724" xr:uid="{162E2400-78A3-469D-8982-A21B7B0D0F62}"/>
    <cellStyle name="Normal 12 2 6" xfId="1598" xr:uid="{00000000-0005-0000-0000-0000120E0000}"/>
    <cellStyle name="Normal 12 2 6 2" xfId="3828" xr:uid="{00000000-0005-0000-0000-0000130E0000}"/>
    <cellStyle name="Normal 12 2 6 2 2" xfId="8050" xr:uid="{00000000-0005-0000-0000-0000140E0000}"/>
    <cellStyle name="Normal 12 2 6 2 2 2" xfId="25780" xr:uid="{68EFB03D-6DC5-457B-B48B-97DCD4163CE6}"/>
    <cellStyle name="Normal 12 2 6 2 2 3" xfId="16500" xr:uid="{C2CE3850-27B9-4B05-A7F9-094B8770320C}"/>
    <cellStyle name="Normal 12 2 6 2 3" xfId="21563" xr:uid="{52FD0BE6-87B3-4D49-B441-08FC545642F3}"/>
    <cellStyle name="Normal 12 2 6 2 4" xfId="12282" xr:uid="{5C0BEEA1-798E-4E28-A771-A58DC9CA203F}"/>
    <cellStyle name="Normal 12 2 6 3" xfId="5905" xr:uid="{00000000-0005-0000-0000-0000150E0000}"/>
    <cellStyle name="Normal 12 2 6 3 2" xfId="23635" xr:uid="{30764731-D748-47AE-9505-931DF6F923CA}"/>
    <cellStyle name="Normal 12 2 6 3 3" xfId="14355" xr:uid="{42663C2A-2FEC-4717-9A69-81B185DF9D59}"/>
    <cellStyle name="Normal 12 2 6 4" xfId="19418" xr:uid="{9CBB72BC-98F4-496C-BC3D-0FAE8613261D}"/>
    <cellStyle name="Normal 12 2 6 5" xfId="10137" xr:uid="{ABDF301D-99B9-4E9A-B6F0-CA54DC96C10E}"/>
    <cellStyle name="Normal 12 2 7" xfId="2012" xr:uid="{00000000-0005-0000-0000-0000160E0000}"/>
    <cellStyle name="Normal 12 2 7 2" xfId="4241" xr:uid="{00000000-0005-0000-0000-0000170E0000}"/>
    <cellStyle name="Normal 12 2 7 2 2" xfId="8463" xr:uid="{00000000-0005-0000-0000-0000180E0000}"/>
    <cellStyle name="Normal 12 2 7 2 2 2" xfId="26193" xr:uid="{22A0C76A-FD57-43D4-A658-18DE93B2AAAA}"/>
    <cellStyle name="Normal 12 2 7 2 2 3" xfId="16913" xr:uid="{C9F0CF2B-BD79-4ED4-B437-C58C199DE85D}"/>
    <cellStyle name="Normal 12 2 7 2 3" xfId="21976" xr:uid="{9531A056-9821-4106-8628-D34EA22CA8A2}"/>
    <cellStyle name="Normal 12 2 7 2 4" xfId="12695" xr:uid="{3CC56458-C46C-4DD4-A5DA-4E3AB5302D28}"/>
    <cellStyle name="Normal 12 2 7 3" xfId="6318" xr:uid="{00000000-0005-0000-0000-0000190E0000}"/>
    <cellStyle name="Normal 12 2 7 3 2" xfId="24048" xr:uid="{E6E8C0B6-F122-496E-B117-471580A1BB7A}"/>
    <cellStyle name="Normal 12 2 7 3 3" xfId="14768" xr:uid="{F09FC9E9-86FE-40FC-A276-CBA762C5216A}"/>
    <cellStyle name="Normal 12 2 7 4" xfId="19831" xr:uid="{E20EA524-E06D-4FC8-8448-31400D0A6724}"/>
    <cellStyle name="Normal 12 2 7 5" xfId="10550" xr:uid="{37F37D52-9DCC-4D0D-A19B-39F80C921833}"/>
    <cellStyle name="Normal 12 2 8" xfId="2448" xr:uid="{00000000-0005-0000-0000-00001A0E0000}"/>
    <cellStyle name="Normal 12 2 8 2" xfId="6731" xr:uid="{00000000-0005-0000-0000-00001B0E0000}"/>
    <cellStyle name="Normal 12 2 8 2 2" xfId="24461" xr:uid="{3CE38A3F-0BBE-4E71-911C-75946EC07D76}"/>
    <cellStyle name="Normal 12 2 8 2 3" xfId="15181" xr:uid="{35EC1D3C-464A-4B73-8910-4F135A74F351}"/>
    <cellStyle name="Normal 12 2 8 3" xfId="20244" xr:uid="{C4D439C3-0258-4882-B65B-88532FAFC3C8}"/>
    <cellStyle name="Normal 12 2 8 4" xfId="10963" xr:uid="{5EEB644E-D08B-4F25-AA6B-FF77D8A0FD83}"/>
    <cellStyle name="Normal 12 2 9" xfId="4665" xr:uid="{00000000-0005-0000-0000-00001C0E0000}"/>
    <cellStyle name="Normal 12 2 9 2" xfId="22395" xr:uid="{C50AC221-430E-48DA-99FB-4F0A7F88FB4D}"/>
    <cellStyle name="Normal 12 2 9 3" xfId="13115" xr:uid="{94410B7D-B0D4-46DB-8AFD-3A7E51160DF7}"/>
    <cellStyle name="Normal 12 3" xfId="264" xr:uid="{00000000-0005-0000-0000-00001D0E0000}"/>
    <cellStyle name="Normal 12 3 10" xfId="17349" xr:uid="{DCCA56A5-AB89-464A-9FF4-2C51FF4CEB3B}"/>
    <cellStyle name="Normal 12 3 11" xfId="8901" xr:uid="{C012D7CE-6963-42FD-9B09-8321EE5C3B34}"/>
    <cellStyle name="Normal 12 3 2" xfId="265" xr:uid="{00000000-0005-0000-0000-00001E0E0000}"/>
    <cellStyle name="Normal 12 3 2 10" xfId="8902" xr:uid="{B2EA5482-981E-4D36-912D-B83980F7AC3B}"/>
    <cellStyle name="Normal 12 3 2 2" xfId="766" xr:uid="{00000000-0005-0000-0000-00001F0E0000}"/>
    <cellStyle name="Normal 12 3 2 2 2" xfId="3007" xr:uid="{00000000-0005-0000-0000-0000200E0000}"/>
    <cellStyle name="Normal 12 3 2 2 2 2" xfId="7229" xr:uid="{00000000-0005-0000-0000-0000210E0000}"/>
    <cellStyle name="Normal 12 3 2 2 2 2 2" xfId="24959" xr:uid="{E10A746D-21BA-4063-A88A-F733E294F0C5}"/>
    <cellStyle name="Normal 12 3 2 2 2 2 3" xfId="15679" xr:uid="{8506EAFB-3F7F-4E84-AE01-34F62F796224}"/>
    <cellStyle name="Normal 12 3 2 2 2 3" xfId="20742" xr:uid="{ED3DA839-4A36-43A9-B534-AC43B6510FC7}"/>
    <cellStyle name="Normal 12 3 2 2 2 4" xfId="11461" xr:uid="{E2331708-B743-4A79-AB9D-C295A17B78CB}"/>
    <cellStyle name="Normal 12 3 2 2 3" xfId="5084" xr:uid="{00000000-0005-0000-0000-0000220E0000}"/>
    <cellStyle name="Normal 12 3 2 2 3 2" xfId="22814" xr:uid="{2865D256-73F2-4520-A876-CC8A1AB5A4F5}"/>
    <cellStyle name="Normal 12 3 2 2 3 3" xfId="13534" xr:uid="{0C2AE2D6-C9F4-483C-A471-3F6F9CFCC898}"/>
    <cellStyle name="Normal 12 3 2 2 4" xfId="18597" xr:uid="{44366479-47C4-4725-842A-901D7726E8AC}"/>
    <cellStyle name="Normal 12 3 2 2 5" xfId="17768" xr:uid="{2E6B5BBB-569D-4886-92B2-12FD6E8E0055}"/>
    <cellStyle name="Normal 12 3 2 2 6" xfId="9316" xr:uid="{0123E9FA-51E5-46C0-AC0C-2DB016B3C053}"/>
    <cellStyle name="Normal 12 3 2 3" xfId="1189" xr:uid="{00000000-0005-0000-0000-0000230E0000}"/>
    <cellStyle name="Normal 12 3 2 3 2" xfId="3420" xr:uid="{00000000-0005-0000-0000-0000240E0000}"/>
    <cellStyle name="Normal 12 3 2 3 2 2" xfId="7642" xr:uid="{00000000-0005-0000-0000-0000250E0000}"/>
    <cellStyle name="Normal 12 3 2 3 2 2 2" xfId="25372" xr:uid="{0174C009-2AAB-4E60-B0D8-D464DFF9301F}"/>
    <cellStyle name="Normal 12 3 2 3 2 2 3" xfId="16092" xr:uid="{64FF71CF-EEC1-4ED3-934B-DC7DE292A54B}"/>
    <cellStyle name="Normal 12 3 2 3 2 3" xfId="21155" xr:uid="{8EB72649-C4C3-4004-A339-C5B93E47631D}"/>
    <cellStyle name="Normal 12 3 2 3 2 4" xfId="11874" xr:uid="{22F92359-24BB-40EE-8C49-04F67891DA80}"/>
    <cellStyle name="Normal 12 3 2 3 3" xfId="5497" xr:uid="{00000000-0005-0000-0000-0000260E0000}"/>
    <cellStyle name="Normal 12 3 2 3 3 2" xfId="23227" xr:uid="{61E7B7CD-C368-434C-A10E-D7A90FE38590}"/>
    <cellStyle name="Normal 12 3 2 3 3 3" xfId="13947" xr:uid="{0C5E0B30-BB51-42E0-9299-2075F9679829}"/>
    <cellStyle name="Normal 12 3 2 3 4" xfId="19010" xr:uid="{26302B40-2086-45A9-9B2E-3B310D5433ED}"/>
    <cellStyle name="Normal 12 3 2 3 5" xfId="9729" xr:uid="{30FD9B3F-CDAF-47C5-B867-480EFAC0EEAC}"/>
    <cellStyle name="Normal 12 3 2 4" xfId="1603" xr:uid="{00000000-0005-0000-0000-0000270E0000}"/>
    <cellStyle name="Normal 12 3 2 4 2" xfId="3833" xr:uid="{00000000-0005-0000-0000-0000280E0000}"/>
    <cellStyle name="Normal 12 3 2 4 2 2" xfId="8055" xr:uid="{00000000-0005-0000-0000-0000290E0000}"/>
    <cellStyle name="Normal 12 3 2 4 2 2 2" xfId="25785" xr:uid="{B296A7B8-7123-430D-8837-C2D91BADCF6A}"/>
    <cellStyle name="Normal 12 3 2 4 2 2 3" xfId="16505" xr:uid="{07448EE1-E51D-468D-8B90-4CEA3DEC5E01}"/>
    <cellStyle name="Normal 12 3 2 4 2 3" xfId="21568" xr:uid="{4D7B0174-FA40-43C1-882A-81AEB36D4988}"/>
    <cellStyle name="Normal 12 3 2 4 2 4" xfId="12287" xr:uid="{9D76E55A-BA6F-4609-836B-9845004469A3}"/>
    <cellStyle name="Normal 12 3 2 4 3" xfId="5910" xr:uid="{00000000-0005-0000-0000-00002A0E0000}"/>
    <cellStyle name="Normal 12 3 2 4 3 2" xfId="23640" xr:uid="{E1CEF7D4-A881-4BC8-B3D2-7775B82A6A9F}"/>
    <cellStyle name="Normal 12 3 2 4 3 3" xfId="14360" xr:uid="{CF485190-EB19-461C-86F2-7D544D072EFA}"/>
    <cellStyle name="Normal 12 3 2 4 4" xfId="19423" xr:uid="{57A727CC-FC5F-4A6C-B33A-39F38BFD0D9B}"/>
    <cellStyle name="Normal 12 3 2 4 5" xfId="10142" xr:uid="{635F0E68-A2DC-4B9B-A37D-7AD2E5F8530E}"/>
    <cellStyle name="Normal 12 3 2 5" xfId="2017" xr:uid="{00000000-0005-0000-0000-00002B0E0000}"/>
    <cellStyle name="Normal 12 3 2 5 2" xfId="4246" xr:uid="{00000000-0005-0000-0000-00002C0E0000}"/>
    <cellStyle name="Normal 12 3 2 5 2 2" xfId="8468" xr:uid="{00000000-0005-0000-0000-00002D0E0000}"/>
    <cellStyle name="Normal 12 3 2 5 2 2 2" xfId="26198" xr:uid="{01F2310B-74E3-46EE-B6E8-DA93332E9355}"/>
    <cellStyle name="Normal 12 3 2 5 2 2 3" xfId="16918" xr:uid="{2F4996D3-3981-4AC1-A42E-D2068AA18162}"/>
    <cellStyle name="Normal 12 3 2 5 2 3" xfId="21981" xr:uid="{D0A3A7B0-6C6C-4500-ACE3-BEE478F9FF25}"/>
    <cellStyle name="Normal 12 3 2 5 2 4" xfId="12700" xr:uid="{72FFE67E-98E5-41EE-A9FF-13B830ED3F0C}"/>
    <cellStyle name="Normal 12 3 2 5 3" xfId="6323" xr:uid="{00000000-0005-0000-0000-00002E0E0000}"/>
    <cellStyle name="Normal 12 3 2 5 3 2" xfId="24053" xr:uid="{F248EDCD-86EE-4254-A7B7-995456D70D49}"/>
    <cellStyle name="Normal 12 3 2 5 3 3" xfId="14773" xr:uid="{65569E0A-CE20-4DD8-BC9D-EFFCE05A8A4C}"/>
    <cellStyle name="Normal 12 3 2 5 4" xfId="19836" xr:uid="{CAB1449F-632F-4683-9B91-C9C737C5E8E2}"/>
    <cellStyle name="Normal 12 3 2 5 5" xfId="10555" xr:uid="{B06B6B8B-8489-4523-8877-B40D62577093}"/>
    <cellStyle name="Normal 12 3 2 6" xfId="2453" xr:uid="{00000000-0005-0000-0000-00002F0E0000}"/>
    <cellStyle name="Normal 12 3 2 6 2" xfId="6736" xr:uid="{00000000-0005-0000-0000-0000300E0000}"/>
    <cellStyle name="Normal 12 3 2 6 2 2" xfId="24466" xr:uid="{F355C361-797C-4ED7-9D53-F6162AD1AC9B}"/>
    <cellStyle name="Normal 12 3 2 6 2 3" xfId="15186" xr:uid="{2A1B0026-E2A0-4F40-8684-F5B067E8FEE0}"/>
    <cellStyle name="Normal 12 3 2 6 3" xfId="20249" xr:uid="{CD1F9365-9DD0-4C18-8707-6117E86CABA6}"/>
    <cellStyle name="Normal 12 3 2 6 4" xfId="10968" xr:uid="{AE6BE9F2-41FE-45C0-B905-4FA6956D4CFC}"/>
    <cellStyle name="Normal 12 3 2 7" xfId="4670" xr:uid="{00000000-0005-0000-0000-0000310E0000}"/>
    <cellStyle name="Normal 12 3 2 7 2" xfId="22400" xr:uid="{9EBA7B0A-4E20-4A5F-9946-2DF242714C32}"/>
    <cellStyle name="Normal 12 3 2 7 3" xfId="13120" xr:uid="{3F0A7A72-3771-4E57-AF69-2A4A96FC2A8E}"/>
    <cellStyle name="Normal 12 3 2 8" xfId="18183" xr:uid="{9A0D5D48-503E-4680-B8E8-A21007F37B9D}"/>
    <cellStyle name="Normal 12 3 2 9" xfId="17350" xr:uid="{4DE7291B-9F0C-4E99-B9AF-8537C0385FD5}"/>
    <cellStyle name="Normal 12 3 3" xfId="765" xr:uid="{00000000-0005-0000-0000-0000320E0000}"/>
    <cellStyle name="Normal 12 3 3 2" xfId="3006" xr:uid="{00000000-0005-0000-0000-0000330E0000}"/>
    <cellStyle name="Normal 12 3 3 2 2" xfId="7228" xr:uid="{00000000-0005-0000-0000-0000340E0000}"/>
    <cellStyle name="Normal 12 3 3 2 2 2" xfId="24958" xr:uid="{165E3D36-F7EB-41DE-B9BC-7B522588C2AF}"/>
    <cellStyle name="Normal 12 3 3 2 2 3" xfId="15678" xr:uid="{6A171E54-A7F9-4BA1-9E65-3FE7CF0539B0}"/>
    <cellStyle name="Normal 12 3 3 2 3" xfId="20741" xr:uid="{068369B3-E904-4B8F-A1D2-C0651CB10CD4}"/>
    <cellStyle name="Normal 12 3 3 2 4" xfId="11460" xr:uid="{4C22AC87-E706-4F6B-BC17-2482F1D5DF77}"/>
    <cellStyle name="Normal 12 3 3 3" xfId="5083" xr:uid="{00000000-0005-0000-0000-0000350E0000}"/>
    <cellStyle name="Normal 12 3 3 3 2" xfId="22813" xr:uid="{1F7F2BDE-A295-45E2-8274-7E8AAE35ABBA}"/>
    <cellStyle name="Normal 12 3 3 3 3" xfId="13533" xr:uid="{1A8E6C06-B6AE-4A4E-AF19-9652029CFC56}"/>
    <cellStyle name="Normal 12 3 3 4" xfId="18596" xr:uid="{D43B7F96-0C57-4162-AA51-740C8FDE8080}"/>
    <cellStyle name="Normal 12 3 3 5" xfId="17767" xr:uid="{94DFF0B3-115D-4D70-8AAA-C8CD7B5F9792}"/>
    <cellStyle name="Normal 12 3 3 6" xfId="9315" xr:uid="{981ACBAE-8CB6-476D-AA11-BB2FB465D9BF}"/>
    <cellStyle name="Normal 12 3 4" xfId="1188" xr:uid="{00000000-0005-0000-0000-0000360E0000}"/>
    <cellStyle name="Normal 12 3 4 2" xfId="3419" xr:uid="{00000000-0005-0000-0000-0000370E0000}"/>
    <cellStyle name="Normal 12 3 4 2 2" xfId="7641" xr:uid="{00000000-0005-0000-0000-0000380E0000}"/>
    <cellStyle name="Normal 12 3 4 2 2 2" xfId="25371" xr:uid="{CDDA44E2-A0DC-4E3B-BB4B-7809DA15868E}"/>
    <cellStyle name="Normal 12 3 4 2 2 3" xfId="16091" xr:uid="{A506BF36-6D30-447A-BF06-D283F8E9FDE9}"/>
    <cellStyle name="Normal 12 3 4 2 3" xfId="21154" xr:uid="{723FCEBF-DA30-4173-B3D4-338A272F998B}"/>
    <cellStyle name="Normal 12 3 4 2 4" xfId="11873" xr:uid="{DB94FC54-39C8-48B2-98CA-EF9477E07EDD}"/>
    <cellStyle name="Normal 12 3 4 3" xfId="5496" xr:uid="{00000000-0005-0000-0000-0000390E0000}"/>
    <cellStyle name="Normal 12 3 4 3 2" xfId="23226" xr:uid="{5AECD410-12AB-49CE-AF84-917E47848853}"/>
    <cellStyle name="Normal 12 3 4 3 3" xfId="13946" xr:uid="{B3AF7EBD-2855-4CD5-AD1E-6E4786CC8A69}"/>
    <cellStyle name="Normal 12 3 4 4" xfId="19009" xr:uid="{59EB6284-1A42-402D-A8B8-FA55F8D73278}"/>
    <cellStyle name="Normal 12 3 4 5" xfId="9728" xr:uid="{DF2BEF61-3D3C-4D63-8029-CF57FE8A521B}"/>
    <cellStyle name="Normal 12 3 5" xfId="1602" xr:uid="{00000000-0005-0000-0000-00003A0E0000}"/>
    <cellStyle name="Normal 12 3 5 2" xfId="3832" xr:uid="{00000000-0005-0000-0000-00003B0E0000}"/>
    <cellStyle name="Normal 12 3 5 2 2" xfId="8054" xr:uid="{00000000-0005-0000-0000-00003C0E0000}"/>
    <cellStyle name="Normal 12 3 5 2 2 2" xfId="25784" xr:uid="{F1D61CC5-9F7C-45F1-8228-5F39950C3D7F}"/>
    <cellStyle name="Normal 12 3 5 2 2 3" xfId="16504" xr:uid="{8A778A29-C29F-4207-AF84-196DA59A65BA}"/>
    <cellStyle name="Normal 12 3 5 2 3" xfId="21567" xr:uid="{1D4904F7-49F2-426D-83C6-ECF261483D4B}"/>
    <cellStyle name="Normal 12 3 5 2 4" xfId="12286" xr:uid="{4AF525A2-CF01-4AB2-A95D-755D6790BA9C}"/>
    <cellStyle name="Normal 12 3 5 3" xfId="5909" xr:uid="{00000000-0005-0000-0000-00003D0E0000}"/>
    <cellStyle name="Normal 12 3 5 3 2" xfId="23639" xr:uid="{B32D9672-3051-41B1-B57B-75FE8141534E}"/>
    <cellStyle name="Normal 12 3 5 3 3" xfId="14359" xr:uid="{3BCFBB27-A73C-4228-BA5B-2B0473EB4EEB}"/>
    <cellStyle name="Normal 12 3 5 4" xfId="19422" xr:uid="{586F6495-7CAB-4F4C-A278-BA7A95E5A793}"/>
    <cellStyle name="Normal 12 3 5 5" xfId="10141" xr:uid="{9AC57432-96C3-47D1-90BF-62827AF7E61F}"/>
    <cellStyle name="Normal 12 3 6" xfId="2016" xr:uid="{00000000-0005-0000-0000-00003E0E0000}"/>
    <cellStyle name="Normal 12 3 6 2" xfId="4245" xr:uid="{00000000-0005-0000-0000-00003F0E0000}"/>
    <cellStyle name="Normal 12 3 6 2 2" xfId="8467" xr:uid="{00000000-0005-0000-0000-0000400E0000}"/>
    <cellStyle name="Normal 12 3 6 2 2 2" xfId="26197" xr:uid="{1DB622CA-E030-4472-8F4F-80E5BCC810A5}"/>
    <cellStyle name="Normal 12 3 6 2 2 3" xfId="16917" xr:uid="{BD23C886-45DB-4AB1-B0AE-B445F6BD1D4D}"/>
    <cellStyle name="Normal 12 3 6 2 3" xfId="21980" xr:uid="{CC01F9EF-0A09-4B8B-97C3-9F9A7F0CCB8F}"/>
    <cellStyle name="Normal 12 3 6 2 4" xfId="12699" xr:uid="{83140876-081B-4677-9272-A0C2765FD8CB}"/>
    <cellStyle name="Normal 12 3 6 3" xfId="6322" xr:uid="{00000000-0005-0000-0000-0000410E0000}"/>
    <cellStyle name="Normal 12 3 6 3 2" xfId="24052" xr:uid="{7B2A0AA8-A8B0-40E5-8998-040117C1D922}"/>
    <cellStyle name="Normal 12 3 6 3 3" xfId="14772" xr:uid="{01833B56-67D8-4847-974E-F68D8E671E4E}"/>
    <cellStyle name="Normal 12 3 6 4" xfId="19835" xr:uid="{5BAEF3F6-495C-4520-8C31-B3197038F26C}"/>
    <cellStyle name="Normal 12 3 6 5" xfId="10554" xr:uid="{61B29473-5979-4F58-9352-BA7807512800}"/>
    <cellStyle name="Normal 12 3 7" xfId="2452" xr:uid="{00000000-0005-0000-0000-0000420E0000}"/>
    <cellStyle name="Normal 12 3 7 2" xfId="6735" xr:uid="{00000000-0005-0000-0000-0000430E0000}"/>
    <cellStyle name="Normal 12 3 7 2 2" xfId="24465" xr:uid="{F87083BE-684F-44EA-A054-B081F744BB60}"/>
    <cellStyle name="Normal 12 3 7 2 3" xfId="15185" xr:uid="{356BE11B-19B3-4002-80B9-EBEA1C4BD0A6}"/>
    <cellStyle name="Normal 12 3 7 3" xfId="20248" xr:uid="{418EC8F3-FFAA-4946-9232-FC4D3016CA8D}"/>
    <cellStyle name="Normal 12 3 7 4" xfId="10967" xr:uid="{F878EF9A-7285-4057-B941-FCCED0054576}"/>
    <cellStyle name="Normal 12 3 8" xfId="4669" xr:uid="{00000000-0005-0000-0000-0000440E0000}"/>
    <cellStyle name="Normal 12 3 8 2" xfId="22399" xr:uid="{52961007-F0C5-4282-8F72-92789C59641A}"/>
    <cellStyle name="Normal 12 3 8 3" xfId="13119" xr:uid="{7CE5B70C-FBE8-4451-B72C-DB4C9C750539}"/>
    <cellStyle name="Normal 12 3 9" xfId="18182" xr:uid="{1B0D7119-E40C-41EE-901F-4F2D09E7E517}"/>
    <cellStyle name="Normal 12 4" xfId="266" xr:uid="{00000000-0005-0000-0000-0000450E0000}"/>
    <cellStyle name="Normal 12 4 10" xfId="8903" xr:uid="{F833CF0C-DCC1-4F54-BA6C-BAF65AE31EA9}"/>
    <cellStyle name="Normal 12 4 2" xfId="767" xr:uid="{00000000-0005-0000-0000-0000460E0000}"/>
    <cellStyle name="Normal 12 4 2 2" xfId="3008" xr:uid="{00000000-0005-0000-0000-0000470E0000}"/>
    <cellStyle name="Normal 12 4 2 2 2" xfId="7230" xr:uid="{00000000-0005-0000-0000-0000480E0000}"/>
    <cellStyle name="Normal 12 4 2 2 2 2" xfId="24960" xr:uid="{5401E10D-7D3C-4AE2-9103-F49CBBC7ABF6}"/>
    <cellStyle name="Normal 12 4 2 2 2 3" xfId="15680" xr:uid="{0E4A962B-D0AB-4B16-B947-190B98164533}"/>
    <cellStyle name="Normal 12 4 2 2 3" xfId="20743" xr:uid="{462B1D98-7F1C-4FE3-A70F-2718FB2DE913}"/>
    <cellStyle name="Normal 12 4 2 2 4" xfId="11462" xr:uid="{409AA5A2-3175-495A-B3F1-661D13DA63BE}"/>
    <cellStyle name="Normal 12 4 2 3" xfId="5085" xr:uid="{00000000-0005-0000-0000-0000490E0000}"/>
    <cellStyle name="Normal 12 4 2 3 2" xfId="22815" xr:uid="{9F5D7281-B89A-49A9-9B43-620977813F75}"/>
    <cellStyle name="Normal 12 4 2 3 3" xfId="13535" xr:uid="{301C69A7-A7E5-43E2-B6C0-AF65AFAAE291}"/>
    <cellStyle name="Normal 12 4 2 4" xfId="18598" xr:uid="{88D2EA08-6FDC-46AC-90E5-ADBC9532BED4}"/>
    <cellStyle name="Normal 12 4 2 5" xfId="17769" xr:uid="{5B53816C-75F8-414E-96C2-B2F20B3845FA}"/>
    <cellStyle name="Normal 12 4 2 6" xfId="9317" xr:uid="{9DA1A539-16F9-4D89-B162-7603D49D8C55}"/>
    <cellStyle name="Normal 12 4 3" xfId="1190" xr:uid="{00000000-0005-0000-0000-00004A0E0000}"/>
    <cellStyle name="Normal 12 4 3 2" xfId="3421" xr:uid="{00000000-0005-0000-0000-00004B0E0000}"/>
    <cellStyle name="Normal 12 4 3 2 2" xfId="7643" xr:uid="{00000000-0005-0000-0000-00004C0E0000}"/>
    <cellStyle name="Normal 12 4 3 2 2 2" xfId="25373" xr:uid="{5DAAC687-77E9-4FB1-874F-89CBAA9E099B}"/>
    <cellStyle name="Normal 12 4 3 2 2 3" xfId="16093" xr:uid="{B87EEC22-97DD-4443-8E50-3DCF6C5D851A}"/>
    <cellStyle name="Normal 12 4 3 2 3" xfId="21156" xr:uid="{4B36B5D6-6EF4-452D-8C37-DE192B8F7AAE}"/>
    <cellStyle name="Normal 12 4 3 2 4" xfId="11875" xr:uid="{94222D23-BBD3-443F-A698-20F04B9C4672}"/>
    <cellStyle name="Normal 12 4 3 3" xfId="5498" xr:uid="{00000000-0005-0000-0000-00004D0E0000}"/>
    <cellStyle name="Normal 12 4 3 3 2" xfId="23228" xr:uid="{8E260123-824B-4AE6-9D19-018825D08C0F}"/>
    <cellStyle name="Normal 12 4 3 3 3" xfId="13948" xr:uid="{30AC627D-CB55-4327-B21C-0D6024AC2560}"/>
    <cellStyle name="Normal 12 4 3 4" xfId="19011" xr:uid="{DC8376EE-45AA-46DC-9793-32B95492C864}"/>
    <cellStyle name="Normal 12 4 3 5" xfId="9730" xr:uid="{CBC6E1B3-AF0C-44C5-B3A9-5BB0539511CC}"/>
    <cellStyle name="Normal 12 4 4" xfId="1604" xr:uid="{00000000-0005-0000-0000-00004E0E0000}"/>
    <cellStyle name="Normal 12 4 4 2" xfId="3834" xr:uid="{00000000-0005-0000-0000-00004F0E0000}"/>
    <cellStyle name="Normal 12 4 4 2 2" xfId="8056" xr:uid="{00000000-0005-0000-0000-0000500E0000}"/>
    <cellStyle name="Normal 12 4 4 2 2 2" xfId="25786" xr:uid="{D5C9F3E2-05A0-4F38-91E2-BEFA818C173C}"/>
    <cellStyle name="Normal 12 4 4 2 2 3" xfId="16506" xr:uid="{A6DED769-CEE0-4424-893C-EB88CAFBEB4A}"/>
    <cellStyle name="Normal 12 4 4 2 3" xfId="21569" xr:uid="{FCE2798E-B567-493C-B3BD-830165B83AC1}"/>
    <cellStyle name="Normal 12 4 4 2 4" xfId="12288" xr:uid="{31205CC1-CF71-4511-9862-21EE77DEC623}"/>
    <cellStyle name="Normal 12 4 4 3" xfId="5911" xr:uid="{00000000-0005-0000-0000-0000510E0000}"/>
    <cellStyle name="Normal 12 4 4 3 2" xfId="23641" xr:uid="{03EAE0D2-445E-4689-9544-02B8FC1B28BD}"/>
    <cellStyle name="Normal 12 4 4 3 3" xfId="14361" xr:uid="{6C83F412-51A9-40F4-9BB8-17715543F6B1}"/>
    <cellStyle name="Normal 12 4 4 4" xfId="19424" xr:uid="{3DC389CB-292A-4573-9E94-BC4BC37FFB3A}"/>
    <cellStyle name="Normal 12 4 4 5" xfId="10143" xr:uid="{9ECA87E4-F376-438E-BD17-E92BC3339586}"/>
    <cellStyle name="Normal 12 4 5" xfId="2018" xr:uid="{00000000-0005-0000-0000-0000520E0000}"/>
    <cellStyle name="Normal 12 4 5 2" xfId="4247" xr:uid="{00000000-0005-0000-0000-0000530E0000}"/>
    <cellStyle name="Normal 12 4 5 2 2" xfId="8469" xr:uid="{00000000-0005-0000-0000-0000540E0000}"/>
    <cellStyle name="Normal 12 4 5 2 2 2" xfId="26199" xr:uid="{6995730A-0607-4822-973B-42ED5016F877}"/>
    <cellStyle name="Normal 12 4 5 2 2 3" xfId="16919" xr:uid="{BA7F2E89-1C62-4DE4-B685-EF09155FC349}"/>
    <cellStyle name="Normal 12 4 5 2 3" xfId="21982" xr:uid="{4E6E8BDC-F769-4996-B439-30C18735B0E7}"/>
    <cellStyle name="Normal 12 4 5 2 4" xfId="12701" xr:uid="{2C6B3F2B-6B5C-42E3-89BE-B7CCEDD1023E}"/>
    <cellStyle name="Normal 12 4 5 3" xfId="6324" xr:uid="{00000000-0005-0000-0000-0000550E0000}"/>
    <cellStyle name="Normal 12 4 5 3 2" xfId="24054" xr:uid="{3824CD87-337E-409B-AC83-F4E992626BFE}"/>
    <cellStyle name="Normal 12 4 5 3 3" xfId="14774" xr:uid="{D0908AA2-B257-4DC9-88F4-DF581514D2DF}"/>
    <cellStyle name="Normal 12 4 5 4" xfId="19837" xr:uid="{B5DFCE77-FDF6-4CDE-A04E-0FF59F024D45}"/>
    <cellStyle name="Normal 12 4 5 5" xfId="10556" xr:uid="{638B185B-5038-4846-9E3F-89364334086B}"/>
    <cellStyle name="Normal 12 4 6" xfId="2454" xr:uid="{00000000-0005-0000-0000-0000560E0000}"/>
    <cellStyle name="Normal 12 4 6 2" xfId="6737" xr:uid="{00000000-0005-0000-0000-0000570E0000}"/>
    <cellStyle name="Normal 12 4 6 2 2" xfId="24467" xr:uid="{FA86036A-5455-43CD-9C71-717B36762882}"/>
    <cellStyle name="Normal 12 4 6 2 3" xfId="15187" xr:uid="{D2EF0579-06B8-4339-9743-3699F6E0452D}"/>
    <cellStyle name="Normal 12 4 6 3" xfId="20250" xr:uid="{8F7DA1C0-C0C2-475A-B495-8DA41F5D8B84}"/>
    <cellStyle name="Normal 12 4 6 4" xfId="10969" xr:uid="{06FCE249-299D-43A8-B124-0ACA2D289A69}"/>
    <cellStyle name="Normal 12 4 7" xfId="4671" xr:uid="{00000000-0005-0000-0000-0000580E0000}"/>
    <cellStyle name="Normal 12 4 7 2" xfId="22401" xr:uid="{98E1765B-E69A-473C-942F-175832215E7E}"/>
    <cellStyle name="Normal 12 4 7 3" xfId="13121" xr:uid="{D0F2E76B-5DB3-4E6A-9BB4-B29BBEA33B56}"/>
    <cellStyle name="Normal 12 4 8" xfId="18184" xr:uid="{C3E13AE3-7BC4-44DE-9A6A-C06582E0888D}"/>
    <cellStyle name="Normal 12 4 9" xfId="17351" xr:uid="{C731DEB9-7DBD-44A6-AF13-D48C87803D9C}"/>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2 2 2" xfId="24953" xr:uid="{140EBCD7-BE62-4D7F-B236-0B558C5C1D1D}"/>
    <cellStyle name="Normal 12 6 2 2 3" xfId="15673" xr:uid="{25224697-6A95-43CC-B171-8780B504F172}"/>
    <cellStyle name="Normal 12 6 2 3" xfId="20736" xr:uid="{B6C87B45-E502-4E89-903E-CE861212DC39}"/>
    <cellStyle name="Normal 12 6 2 4" xfId="11455" xr:uid="{A9757677-2825-43AA-B4A2-8AAF1C635ED0}"/>
    <cellStyle name="Normal 12 6 3" xfId="5078" xr:uid="{00000000-0005-0000-0000-00005D0E0000}"/>
    <cellStyle name="Normal 12 6 3 2" xfId="22808" xr:uid="{2CB015B1-3D47-4105-B4B5-26646A0EA21C}"/>
    <cellStyle name="Normal 12 6 3 3" xfId="13528" xr:uid="{BD9D2B6B-F7EE-48F2-BEB0-4BD49B50256C}"/>
    <cellStyle name="Normal 12 6 4" xfId="18591" xr:uid="{B05A5327-4162-4A11-9C54-06825C2EF2AE}"/>
    <cellStyle name="Normal 12 6 5" xfId="17762" xr:uid="{E5DB7AF7-6329-49E6-9C72-FF851CD4C168}"/>
    <cellStyle name="Normal 12 6 6" xfId="9310" xr:uid="{B9BD6B7B-30CE-48B6-BF35-85EC744A7FCC}"/>
    <cellStyle name="Normal 12 7" xfId="1183" xr:uid="{00000000-0005-0000-0000-00005E0E0000}"/>
    <cellStyle name="Normal 12 7 2" xfId="3414" xr:uid="{00000000-0005-0000-0000-00005F0E0000}"/>
    <cellStyle name="Normal 12 7 2 2" xfId="7636" xr:uid="{00000000-0005-0000-0000-0000600E0000}"/>
    <cellStyle name="Normal 12 7 2 2 2" xfId="25366" xr:uid="{75A64466-6DCE-4609-86C1-8B553CBB1AB3}"/>
    <cellStyle name="Normal 12 7 2 2 3" xfId="16086" xr:uid="{00B20036-FECD-4D6B-8DA6-910848A0CB8F}"/>
    <cellStyle name="Normal 12 7 2 3" xfId="21149" xr:uid="{4EBB5CD8-DDD3-4D74-8874-CA7716E466FD}"/>
    <cellStyle name="Normal 12 7 2 4" xfId="11868" xr:uid="{F09390CD-42C1-4014-8ABA-D7B19397AEB5}"/>
    <cellStyle name="Normal 12 7 3" xfId="5491" xr:uid="{00000000-0005-0000-0000-0000610E0000}"/>
    <cellStyle name="Normal 12 7 3 2" xfId="23221" xr:uid="{664CD1A8-7E7E-4D58-AF98-240DE08A9469}"/>
    <cellStyle name="Normal 12 7 3 3" xfId="13941" xr:uid="{99B807EB-25AC-4664-A4D1-89CE514532D7}"/>
    <cellStyle name="Normal 12 7 4" xfId="19004" xr:uid="{FC5CAB26-006E-4C79-927E-F9C36B560B6B}"/>
    <cellStyle name="Normal 12 7 5" xfId="9723" xr:uid="{1B659A02-8C10-43B4-8C73-9F681C082F06}"/>
    <cellStyle name="Normal 12 8" xfId="1597" xr:uid="{00000000-0005-0000-0000-0000620E0000}"/>
    <cellStyle name="Normal 12 8 2" xfId="3827" xr:uid="{00000000-0005-0000-0000-0000630E0000}"/>
    <cellStyle name="Normal 12 8 2 2" xfId="8049" xr:uid="{00000000-0005-0000-0000-0000640E0000}"/>
    <cellStyle name="Normal 12 8 2 2 2" xfId="25779" xr:uid="{F98E4A8C-A66F-4036-98C5-194E1A8E6FF7}"/>
    <cellStyle name="Normal 12 8 2 2 3" xfId="16499" xr:uid="{4790837B-8C8F-4E0D-957D-B03999339466}"/>
    <cellStyle name="Normal 12 8 2 3" xfId="21562" xr:uid="{9C164546-72D9-484C-BA44-D2B3444F487D}"/>
    <cellStyle name="Normal 12 8 2 4" xfId="12281" xr:uid="{6080B0AA-0D1E-4182-8FB7-39D1312A0B40}"/>
    <cellStyle name="Normal 12 8 3" xfId="5904" xr:uid="{00000000-0005-0000-0000-0000650E0000}"/>
    <cellStyle name="Normal 12 8 3 2" xfId="23634" xr:uid="{DC1452C3-4BCA-4791-A99A-7FB82E86F32E}"/>
    <cellStyle name="Normal 12 8 3 3" xfId="14354" xr:uid="{BD4D1171-8DBB-4680-800D-053D03EAE4A4}"/>
    <cellStyle name="Normal 12 8 4" xfId="19417" xr:uid="{48C1C685-8627-4BD8-96A5-01C13BAACE6C}"/>
    <cellStyle name="Normal 12 8 5" xfId="10136" xr:uid="{81655B25-F343-4723-9A3E-AB86CFD51A6D}"/>
    <cellStyle name="Normal 12 9" xfId="2011" xr:uid="{00000000-0005-0000-0000-0000660E0000}"/>
    <cellStyle name="Normal 12 9 2" xfId="4240" xr:uid="{00000000-0005-0000-0000-0000670E0000}"/>
    <cellStyle name="Normal 12 9 2 2" xfId="8462" xr:uid="{00000000-0005-0000-0000-0000680E0000}"/>
    <cellStyle name="Normal 12 9 2 2 2" xfId="26192" xr:uid="{7960F80B-2D57-435E-9843-F9E6D8AAD93E}"/>
    <cellStyle name="Normal 12 9 2 2 3" xfId="16912" xr:uid="{2E233CC6-0B84-4A9B-80E5-AD8847C2BE4B}"/>
    <cellStyle name="Normal 12 9 2 3" xfId="21975" xr:uid="{D3B80816-A27A-43E0-96E4-7C791A9A7CBE}"/>
    <cellStyle name="Normal 12 9 2 4" xfId="12694" xr:uid="{DE97EDBA-74CC-4CF5-95B7-EDE382C44C3A}"/>
    <cellStyle name="Normal 12 9 3" xfId="6317" xr:uid="{00000000-0005-0000-0000-0000690E0000}"/>
    <cellStyle name="Normal 12 9 3 2" xfId="24047" xr:uid="{67ACBE9E-3332-4E85-8DF4-A2D2DD9386E5}"/>
    <cellStyle name="Normal 12 9 3 3" xfId="14767" xr:uid="{9735B35E-10EB-4C0A-8B23-CCD022153880}"/>
    <cellStyle name="Normal 12 9 4" xfId="19830" xr:uid="{2BA86FB1-0302-4235-A14A-B9239751F6EA}"/>
    <cellStyle name="Normal 12 9 5" xfId="10549" xr:uid="{5070B6E7-59CC-414D-8BDC-EA9C48F55188}"/>
    <cellStyle name="Normal 13" xfId="268" xr:uid="{00000000-0005-0000-0000-00006A0E0000}"/>
    <cellStyle name="Normal 13 2" xfId="269" xr:uid="{00000000-0005-0000-0000-00006B0E0000}"/>
    <cellStyle name="Normal 14" xfId="270" xr:uid="{00000000-0005-0000-0000-00006C0E0000}"/>
    <cellStyle name="Normal 14 10" xfId="8904" xr:uid="{FD4B6C78-06E6-4C49-B8EA-066D4630168A}"/>
    <cellStyle name="Normal 14 2" xfId="768" xr:uid="{00000000-0005-0000-0000-00006D0E0000}"/>
    <cellStyle name="Normal 14 2 2" xfId="3009" xr:uid="{00000000-0005-0000-0000-00006E0E0000}"/>
    <cellStyle name="Normal 14 2 2 2" xfId="7231" xr:uid="{00000000-0005-0000-0000-00006F0E0000}"/>
    <cellStyle name="Normal 14 2 2 2 2" xfId="24961" xr:uid="{3B2C44FD-D43A-4C74-A1BC-8CA4861F239B}"/>
    <cellStyle name="Normal 14 2 2 2 3" xfId="15681" xr:uid="{5184F4CE-747A-413F-9126-060605962D69}"/>
    <cellStyle name="Normal 14 2 2 3" xfId="20744" xr:uid="{8AB58271-D62D-49BE-94A4-5D635FE1AF8A}"/>
    <cellStyle name="Normal 14 2 2 4" xfId="11463" xr:uid="{12DDE429-9BB8-48EE-ABC0-05F12EE7C12E}"/>
    <cellStyle name="Normal 14 2 3" xfId="5086" xr:uid="{00000000-0005-0000-0000-0000700E0000}"/>
    <cellStyle name="Normal 14 2 3 2" xfId="22816" xr:uid="{1574864C-6E38-4D9D-A587-7B939A302198}"/>
    <cellStyle name="Normal 14 2 3 3" xfId="13536" xr:uid="{FE6CB8BA-6151-4B1F-B00A-3E27A85FF437}"/>
    <cellStyle name="Normal 14 2 4" xfId="18599" xr:uid="{B1DA8B4D-1007-4345-BF0D-F01F5AFC9C76}"/>
    <cellStyle name="Normal 14 2 5" xfId="17770" xr:uid="{03B03801-4323-482D-8C5A-898F7AC9E30F}"/>
    <cellStyle name="Normal 14 2 6" xfId="9318" xr:uid="{45B03760-FF7E-444D-BDA2-CF15A6254032}"/>
    <cellStyle name="Normal 14 3" xfId="1191" xr:uid="{00000000-0005-0000-0000-0000710E0000}"/>
    <cellStyle name="Normal 14 3 2" xfId="3422" xr:uid="{00000000-0005-0000-0000-0000720E0000}"/>
    <cellStyle name="Normal 14 3 2 2" xfId="7644" xr:uid="{00000000-0005-0000-0000-0000730E0000}"/>
    <cellStyle name="Normal 14 3 2 2 2" xfId="25374" xr:uid="{B54FE51E-DD1B-498D-86FA-39A6709AF529}"/>
    <cellStyle name="Normal 14 3 2 2 3" xfId="16094" xr:uid="{C0E0048F-2E29-444F-967F-0DF7811B89B6}"/>
    <cellStyle name="Normal 14 3 2 3" xfId="21157" xr:uid="{87AEE538-D004-4A8E-B6D2-83245113CD5A}"/>
    <cellStyle name="Normal 14 3 2 4" xfId="11876" xr:uid="{112C8164-70E9-449F-A535-066E6064CE08}"/>
    <cellStyle name="Normal 14 3 3" xfId="5499" xr:uid="{00000000-0005-0000-0000-0000740E0000}"/>
    <cellStyle name="Normal 14 3 3 2" xfId="23229" xr:uid="{12E7329F-A182-4FC2-9A11-60470E1DF447}"/>
    <cellStyle name="Normal 14 3 3 3" xfId="13949" xr:uid="{75807D62-D46D-4AAF-90E9-EE8A79F4E5EF}"/>
    <cellStyle name="Normal 14 3 4" xfId="19012" xr:uid="{29D1F9B1-21B3-4653-B4E0-CB6920F9EC24}"/>
    <cellStyle name="Normal 14 3 5" xfId="9731" xr:uid="{B5058730-10CB-4DAE-B65D-F5071AB87EC2}"/>
    <cellStyle name="Normal 14 4" xfId="1605" xr:uid="{00000000-0005-0000-0000-0000750E0000}"/>
    <cellStyle name="Normal 14 4 2" xfId="3835" xr:uid="{00000000-0005-0000-0000-0000760E0000}"/>
    <cellStyle name="Normal 14 4 2 2" xfId="8057" xr:uid="{00000000-0005-0000-0000-0000770E0000}"/>
    <cellStyle name="Normal 14 4 2 2 2" xfId="25787" xr:uid="{CB9FA96A-EC9D-4E4F-8DC2-B0FADA5FD3E7}"/>
    <cellStyle name="Normal 14 4 2 2 3" xfId="16507" xr:uid="{438F633C-09FD-4496-B3A0-CB7A249F7844}"/>
    <cellStyle name="Normal 14 4 2 3" xfId="21570" xr:uid="{612B27B2-12EC-40F3-8643-F3D625079FE4}"/>
    <cellStyle name="Normal 14 4 2 4" xfId="12289" xr:uid="{D62E6555-0242-4A24-B03F-0646AD3FAF5B}"/>
    <cellStyle name="Normal 14 4 3" xfId="5912" xr:uid="{00000000-0005-0000-0000-0000780E0000}"/>
    <cellStyle name="Normal 14 4 3 2" xfId="23642" xr:uid="{B22B2F16-06BE-4375-BE9D-32D535A9E383}"/>
    <cellStyle name="Normal 14 4 3 3" xfId="14362" xr:uid="{4120AEE4-AE1D-4167-BD5A-6758D06A0AB8}"/>
    <cellStyle name="Normal 14 4 4" xfId="19425" xr:uid="{F93F7BA3-CD4C-49F1-BFFB-0610B01E115F}"/>
    <cellStyle name="Normal 14 4 5" xfId="10144" xr:uid="{76036031-3A4C-4EE6-9230-2B665391D17D}"/>
    <cellStyle name="Normal 14 5" xfId="2019" xr:uid="{00000000-0005-0000-0000-0000790E0000}"/>
    <cellStyle name="Normal 14 5 2" xfId="4248" xr:uid="{00000000-0005-0000-0000-00007A0E0000}"/>
    <cellStyle name="Normal 14 5 2 2" xfId="8470" xr:uid="{00000000-0005-0000-0000-00007B0E0000}"/>
    <cellStyle name="Normal 14 5 2 2 2" xfId="26200" xr:uid="{E04347A6-F841-4FC4-B466-3FCDCB091069}"/>
    <cellStyle name="Normal 14 5 2 2 3" xfId="16920" xr:uid="{A3A4F1C4-6E75-4963-8366-DDA3AAD51300}"/>
    <cellStyle name="Normal 14 5 2 3" xfId="21983" xr:uid="{D4B959B7-E197-4945-B57B-FC27628AAA95}"/>
    <cellStyle name="Normal 14 5 2 4" xfId="12702" xr:uid="{9BE7BCD0-1EDE-47A8-9E37-01F51936FB77}"/>
    <cellStyle name="Normal 14 5 3" xfId="6325" xr:uid="{00000000-0005-0000-0000-00007C0E0000}"/>
    <cellStyle name="Normal 14 5 3 2" xfId="24055" xr:uid="{DF6B46AE-92A8-4A80-8FE7-A40E16167DF9}"/>
    <cellStyle name="Normal 14 5 3 3" xfId="14775" xr:uid="{A0F12E6D-7607-484A-BF4D-C2A090F252A9}"/>
    <cellStyle name="Normal 14 5 4" xfId="19838" xr:uid="{C5637FCC-3EBB-43CB-B24F-33B8983C5D07}"/>
    <cellStyle name="Normal 14 5 5" xfId="10557" xr:uid="{D148BBC1-A5B6-49F2-86A9-5EA543E3B417}"/>
    <cellStyle name="Normal 14 6" xfId="2455" xr:uid="{00000000-0005-0000-0000-00007D0E0000}"/>
    <cellStyle name="Normal 14 6 2" xfId="6738" xr:uid="{00000000-0005-0000-0000-00007E0E0000}"/>
    <cellStyle name="Normal 14 6 2 2" xfId="24468" xr:uid="{A55EEFF8-4CB3-40D0-B999-29E9CE767A36}"/>
    <cellStyle name="Normal 14 6 2 3" xfId="15188" xr:uid="{94A1A9D6-709A-4A94-8E5F-8DDBE6ADF4AB}"/>
    <cellStyle name="Normal 14 6 3" xfId="20251" xr:uid="{E98AF908-5D36-4D07-8D72-59A67FB8122B}"/>
    <cellStyle name="Normal 14 6 4" xfId="10970" xr:uid="{805A0C2B-CD2C-4297-A242-09F25B8AE902}"/>
    <cellStyle name="Normal 14 7" xfId="4672" xr:uid="{00000000-0005-0000-0000-00007F0E0000}"/>
    <cellStyle name="Normal 14 7 2" xfId="22402" xr:uid="{333F2715-401E-47C8-B14F-6C6119B9070A}"/>
    <cellStyle name="Normal 14 7 3" xfId="13122" xr:uid="{9CBBA273-558C-4B87-A97C-484AB2B7F462}"/>
    <cellStyle name="Normal 14 8" xfId="18185" xr:uid="{0F6B2D20-A132-4C18-BD6F-508E7F7DBD2F}"/>
    <cellStyle name="Normal 14 9" xfId="17352" xr:uid="{0633FC87-4EF4-4B4D-95E3-33E235557096}"/>
    <cellStyle name="Normal 15" xfId="4496" xr:uid="{00000000-0005-0000-0000-0000800E0000}"/>
    <cellStyle name="Normal 15 2" xfId="22228" xr:uid="{FC92BCEF-3C92-42D3-B7C6-7590DCBE83D8}"/>
    <cellStyle name="Normal 15 3" xfId="17598" xr:uid="{14C486F4-37C7-4A53-883F-1E49D9A67B52}"/>
    <cellStyle name="Normal 15 4" xfId="12948" xr:uid="{53DBA170-75E2-4B18-A91C-8315C649FF2C}"/>
    <cellStyle name="Normal 16" xfId="4500" xr:uid="{00000000-0005-0000-0000-0000810E0000}"/>
    <cellStyle name="Normal 16 2" xfId="8715" xr:uid="{00000000-0005-0000-0000-0000820E0000}"/>
    <cellStyle name="Normal 16 2 2" xfId="26445" xr:uid="{58D2C888-4117-4902-B3B4-9C07849865A6}"/>
    <cellStyle name="Normal 16 2 3" xfId="17165" xr:uid="{D4EA882B-216B-4050-A554-E082C5CE42A7}"/>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26461" xr:uid="{A87EFFBD-5FFE-495F-8127-A8A0D59DB716}"/>
    <cellStyle name="Normal 16 3 2 2 2 2 3" xfId="17181" xr:uid="{5F7879D1-4CA3-4C3B-A1FA-6510D817DDF1}"/>
    <cellStyle name="Normal 16 3 2 2 2 3" xfId="26458" xr:uid="{207F9B6D-2054-4C3F-B4CB-6C3FB4C61593}"/>
    <cellStyle name="Normal 16 3 2 2 2 4" xfId="17178" xr:uid="{79485759-7A61-477A-8C7A-7767B751E379}"/>
    <cellStyle name="Normal 16 3 2 2 3" xfId="26454" xr:uid="{B742B0D5-49DC-494E-AB43-3423929887A9}"/>
    <cellStyle name="Normal 16 3 2 2 4" xfId="17174" xr:uid="{D2774672-25CE-44A4-B01E-FF73C09F9035}"/>
    <cellStyle name="Normal 16 3 2 3" xfId="26451" xr:uid="{31E8BC74-73BF-4CC4-BBD0-97F28DF9DF63}"/>
    <cellStyle name="Normal 16 3 2 4" xfId="17171" xr:uid="{DF2C5527-38F0-4C58-A7EF-529FC187D140}"/>
    <cellStyle name="Normal 16 3 3" xfId="26448" xr:uid="{0DFF2545-E05E-42FF-A20D-83E18B61C2C9}"/>
    <cellStyle name="Normal 16 3 4" xfId="17168" xr:uid="{EB41C36B-CE44-437A-AE3D-4E425D5ED5E3}"/>
    <cellStyle name="Normal 16 4" xfId="22231" xr:uid="{28E3C3BD-D6E1-4CBC-9B8C-2F0F3DECD4CA}"/>
    <cellStyle name="Normal 16 5" xfId="18016" xr:uid="{0DD900A6-FD0C-41DC-A4A6-96AB93780AFB}"/>
    <cellStyle name="Normal 16 6" xfId="12951" xr:uid="{DE8E405B-35A5-4046-8A6A-7BE6ED26D817}"/>
    <cellStyle name="Normal 17" xfId="8728" xr:uid="{3FF0972C-833B-4475-99D8-1A6907499E71}"/>
    <cellStyle name="Normal 17 2" xfId="26457" xr:uid="{2974312F-875A-49F9-9203-A88240BCEE7F}"/>
    <cellStyle name="Normal 17 3" xfId="17177" xr:uid="{8D5C9810-80C1-4FC8-BF37-C2B583DF858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17771" xr:uid="{D0EC6DE9-3520-494A-8EF5-2319F08D5521}"/>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26201" xr:uid="{B19C13ED-E952-47B3-B9C4-E8873EAE5F98}"/>
    <cellStyle name="Normal 2 4 2 10 2 2 3" xfId="16921" xr:uid="{ED7C8B11-9A12-4001-954E-675CC9830BCC}"/>
    <cellStyle name="Normal 2 4 2 10 2 3" xfId="21984" xr:uid="{D919F4D3-CEA6-440B-AC14-A276E46E07F2}"/>
    <cellStyle name="Normal 2 4 2 10 2 4" xfId="12703" xr:uid="{2AA1ADB7-6762-40F4-BF6B-D02D1CEC95BE}"/>
    <cellStyle name="Normal 2 4 2 10 3" xfId="6326" xr:uid="{00000000-0005-0000-0000-0000910E0000}"/>
    <cellStyle name="Normal 2 4 2 10 3 2" xfId="24056" xr:uid="{743A599E-FF65-4F9D-965A-A0A62F473D44}"/>
    <cellStyle name="Normal 2 4 2 10 3 3" xfId="14776" xr:uid="{9B1B5826-49DF-4EFB-B69D-F34154572954}"/>
    <cellStyle name="Normal 2 4 2 10 4" xfId="19839" xr:uid="{6DC90EC1-59CE-44A1-8D79-F22A98B8D9C0}"/>
    <cellStyle name="Normal 2 4 2 10 5" xfId="10558" xr:uid="{59FB61A5-E2F9-48CF-ADF0-7B4BC415DF39}"/>
    <cellStyle name="Normal 2 4 2 11" xfId="2456" xr:uid="{00000000-0005-0000-0000-0000920E0000}"/>
    <cellStyle name="Normal 2 4 2 11 2" xfId="6739" xr:uid="{00000000-0005-0000-0000-0000930E0000}"/>
    <cellStyle name="Normal 2 4 2 11 2 2" xfId="24469" xr:uid="{C277AC6F-4D48-468B-81D5-A83C7E918A2D}"/>
    <cellStyle name="Normal 2 4 2 11 2 3" xfId="15189" xr:uid="{60F1ED93-0021-4D2D-991B-CCDD5D79ECEE}"/>
    <cellStyle name="Normal 2 4 2 11 3" xfId="20252" xr:uid="{A20413F6-782E-42B7-BB57-FADBD9DA1559}"/>
    <cellStyle name="Normal 2 4 2 11 4" xfId="10971" xr:uid="{07E62411-19D4-4008-A696-606C317A29E3}"/>
    <cellStyle name="Normal 2 4 2 12" xfId="4673" xr:uid="{00000000-0005-0000-0000-0000940E0000}"/>
    <cellStyle name="Normal 2 4 2 12 2" xfId="22403" xr:uid="{9AB40696-6FF4-479F-AFAA-CD872A6B5CF6}"/>
    <cellStyle name="Normal 2 4 2 12 3" xfId="13123" xr:uid="{1FABB8EC-8649-4EA3-A89F-099232DFBE98}"/>
    <cellStyle name="Normal 2 4 2 13" xfId="18186" xr:uid="{ACB7DAD5-5E97-4F57-930F-EC1E83B51462}"/>
    <cellStyle name="Normal 2 4 2 14" xfId="17353" xr:uid="{800D0E71-0031-4FEE-AC28-C7B30DDF06E0}"/>
    <cellStyle name="Normal 2 4 2 15" xfId="8905" xr:uid="{AB886B90-BAAD-4679-B15F-631FBF245FD8}"/>
    <cellStyle name="Normal 2 4 2 2" xfId="280" xr:uid="{00000000-0005-0000-0000-0000950E0000}"/>
    <cellStyle name="Normal 2 4 2 3" xfId="281" xr:uid="{00000000-0005-0000-0000-0000960E0000}"/>
    <cellStyle name="Normal 2 4 2 3 10" xfId="4674" xr:uid="{00000000-0005-0000-0000-0000970E0000}"/>
    <cellStyle name="Normal 2 4 2 3 10 2" xfId="22404" xr:uid="{391E6406-4B5D-4F63-843B-E837D9EDAF07}"/>
    <cellStyle name="Normal 2 4 2 3 10 3" xfId="13124" xr:uid="{439C5FA7-19AF-42E4-9CB9-4B513B4C288B}"/>
    <cellStyle name="Normal 2 4 2 3 11" xfId="18187" xr:uid="{DC7AE04D-B0AE-4365-83C8-F4D96DBAA7AA}"/>
    <cellStyle name="Normal 2 4 2 3 12" xfId="17354" xr:uid="{C66821DD-1CDB-434C-97A4-0B94C9833912}"/>
    <cellStyle name="Normal 2 4 2 3 13" xfId="8906" xr:uid="{6F801609-1131-4670-92E2-BB5EC9C8C69B}"/>
    <cellStyle name="Normal 2 4 2 3 2" xfId="282" xr:uid="{00000000-0005-0000-0000-0000980E0000}"/>
    <cellStyle name="Normal 2 4 2 3 2 10" xfId="18188" xr:uid="{E6A05B29-AA15-4759-8CA9-E3030928B6B5}"/>
    <cellStyle name="Normal 2 4 2 3 2 11" xfId="17355" xr:uid="{5F40E796-2FD1-41F8-AC85-630F8005A3AF}"/>
    <cellStyle name="Normal 2 4 2 3 2 12" xfId="8907" xr:uid="{651FA3B7-5412-49DA-8745-5AEA3BCE8291}"/>
    <cellStyle name="Normal 2 4 2 3 2 2" xfId="283" xr:uid="{00000000-0005-0000-0000-0000990E0000}"/>
    <cellStyle name="Normal 2 4 2 3 2 2 10" xfId="17356" xr:uid="{10F94F6C-25D0-4562-96DA-738DE6BB8B26}"/>
    <cellStyle name="Normal 2 4 2 3 2 2 11" xfId="8908" xr:uid="{DF0024D8-294A-4729-BEB1-B6DC93B629E5}"/>
    <cellStyle name="Normal 2 4 2 3 2 2 2" xfId="284" xr:uid="{00000000-0005-0000-0000-00009A0E0000}"/>
    <cellStyle name="Normal 2 4 2 3 2 2 2 10" xfId="8909" xr:uid="{235BE5EE-379C-4226-BFAF-9E1B74BAC8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24966" xr:uid="{8694B68C-5158-4D68-96D1-37A75CA31F4D}"/>
    <cellStyle name="Normal 2 4 2 3 2 2 2 2 2 2 3" xfId="15686" xr:uid="{4844D336-E419-4C39-B69B-7F43CBE47B10}"/>
    <cellStyle name="Normal 2 4 2 3 2 2 2 2 2 3" xfId="20749" xr:uid="{B1C9E074-9951-4C9A-8B3D-2A4A7CE141E4}"/>
    <cellStyle name="Normal 2 4 2 3 2 2 2 2 2 4" xfId="11468" xr:uid="{4645BB4E-9EC0-4AC8-8F03-54F04762854F}"/>
    <cellStyle name="Normal 2 4 2 3 2 2 2 2 3" xfId="5091" xr:uid="{00000000-0005-0000-0000-00009E0E0000}"/>
    <cellStyle name="Normal 2 4 2 3 2 2 2 2 3 2" xfId="22821" xr:uid="{BA3A84E7-C588-44AA-B752-C85FAFB344D9}"/>
    <cellStyle name="Normal 2 4 2 3 2 2 2 2 3 3" xfId="13541" xr:uid="{CFC07B9E-1083-4A76-91AB-552B2A6A6356}"/>
    <cellStyle name="Normal 2 4 2 3 2 2 2 2 4" xfId="18604" xr:uid="{C0C9C534-A908-4FA6-BD48-769B8AC465D8}"/>
    <cellStyle name="Normal 2 4 2 3 2 2 2 2 5" xfId="17776" xr:uid="{22526536-318C-4C69-BC6E-8B0D07AE6145}"/>
    <cellStyle name="Normal 2 4 2 3 2 2 2 2 6" xfId="9323" xr:uid="{4A3E4222-7F99-44DA-8DBB-963E1453F013}"/>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25379" xr:uid="{29C192DC-50ED-4823-97D1-079E2BD5F981}"/>
    <cellStyle name="Normal 2 4 2 3 2 2 2 3 2 2 3" xfId="16099" xr:uid="{80ECE718-DFF2-46AE-836D-C7BBD2B8FE38}"/>
    <cellStyle name="Normal 2 4 2 3 2 2 2 3 2 3" xfId="21162" xr:uid="{D7636414-15A7-4EA1-8D51-AB73B5E2867B}"/>
    <cellStyle name="Normal 2 4 2 3 2 2 2 3 2 4" xfId="11881" xr:uid="{A0611212-73AD-4CE4-B14A-49A112AF219A}"/>
    <cellStyle name="Normal 2 4 2 3 2 2 2 3 3" xfId="5504" xr:uid="{00000000-0005-0000-0000-0000A20E0000}"/>
    <cellStyle name="Normal 2 4 2 3 2 2 2 3 3 2" xfId="23234" xr:uid="{0E45A964-B259-42E7-AABB-719C5568B741}"/>
    <cellStyle name="Normal 2 4 2 3 2 2 2 3 3 3" xfId="13954" xr:uid="{0BF81C5B-2157-4DAE-8368-4E9F20E70FB3}"/>
    <cellStyle name="Normal 2 4 2 3 2 2 2 3 4" xfId="19017" xr:uid="{EF0BFA2F-A7A2-4ABF-8B2B-32337A39ED29}"/>
    <cellStyle name="Normal 2 4 2 3 2 2 2 3 5" xfId="9736" xr:uid="{95FC2BAF-C77C-4246-B3C1-0667E69A3BC3}"/>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25792" xr:uid="{F6E35EC1-1C6D-43FB-8C62-F84343B9DBFE}"/>
    <cellStyle name="Normal 2 4 2 3 2 2 2 4 2 2 3" xfId="16512" xr:uid="{0C98F62F-27E9-4E9E-B4DE-53A3318CBA49}"/>
    <cellStyle name="Normal 2 4 2 3 2 2 2 4 2 3" xfId="21575" xr:uid="{4AD374D6-DC99-4039-B3C7-993CB207B41D}"/>
    <cellStyle name="Normal 2 4 2 3 2 2 2 4 2 4" xfId="12294" xr:uid="{B34159F2-75D9-4E0D-8D89-B918F33E37D2}"/>
    <cellStyle name="Normal 2 4 2 3 2 2 2 4 3" xfId="5917" xr:uid="{00000000-0005-0000-0000-0000A60E0000}"/>
    <cellStyle name="Normal 2 4 2 3 2 2 2 4 3 2" xfId="23647" xr:uid="{A7E36DAC-AB6E-4595-93E2-E7920EEF59A9}"/>
    <cellStyle name="Normal 2 4 2 3 2 2 2 4 3 3" xfId="14367" xr:uid="{E6440F95-9690-4622-B413-7F20711E1FB6}"/>
    <cellStyle name="Normal 2 4 2 3 2 2 2 4 4" xfId="19430" xr:uid="{A4AE2336-553D-4990-9147-8FBC4831C8FC}"/>
    <cellStyle name="Normal 2 4 2 3 2 2 2 4 5" xfId="10149" xr:uid="{0AFE3285-5072-4472-9AD5-248656875021}"/>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26205" xr:uid="{59ACECE1-5719-4162-8545-016EAD80F775}"/>
    <cellStyle name="Normal 2 4 2 3 2 2 2 5 2 2 3" xfId="16925" xr:uid="{7B76D334-4FC2-44E0-9B3F-E5F32B5F7367}"/>
    <cellStyle name="Normal 2 4 2 3 2 2 2 5 2 3" xfId="21988" xr:uid="{F0AE5A2C-83DA-4CF1-B629-827546A0D876}"/>
    <cellStyle name="Normal 2 4 2 3 2 2 2 5 2 4" xfId="12707" xr:uid="{6FA7AAF4-4E8C-4567-B905-3597CAFD0E20}"/>
    <cellStyle name="Normal 2 4 2 3 2 2 2 5 3" xfId="6330" xr:uid="{00000000-0005-0000-0000-0000AA0E0000}"/>
    <cellStyle name="Normal 2 4 2 3 2 2 2 5 3 2" xfId="24060" xr:uid="{D11706FC-737F-4476-9006-19CDAE7884B1}"/>
    <cellStyle name="Normal 2 4 2 3 2 2 2 5 3 3" xfId="14780" xr:uid="{6FD59FE9-72E6-4195-BE6B-FB551A54B827}"/>
    <cellStyle name="Normal 2 4 2 3 2 2 2 5 4" xfId="19843" xr:uid="{A1118443-A22A-4A4A-8537-7BAC58F8C6B8}"/>
    <cellStyle name="Normal 2 4 2 3 2 2 2 5 5" xfId="10562" xr:uid="{2253F431-8DEB-4A2D-A4B8-11413D70AA91}"/>
    <cellStyle name="Normal 2 4 2 3 2 2 2 6" xfId="2460" xr:uid="{00000000-0005-0000-0000-0000AB0E0000}"/>
    <cellStyle name="Normal 2 4 2 3 2 2 2 6 2" xfId="6743" xr:uid="{00000000-0005-0000-0000-0000AC0E0000}"/>
    <cellStyle name="Normal 2 4 2 3 2 2 2 6 2 2" xfId="24473" xr:uid="{4449903C-8F33-4680-8D91-51676727FA92}"/>
    <cellStyle name="Normal 2 4 2 3 2 2 2 6 2 3" xfId="15193" xr:uid="{CF00EE68-CBE2-4C7E-B1EF-965AA111D109}"/>
    <cellStyle name="Normal 2 4 2 3 2 2 2 6 3" xfId="20256" xr:uid="{8C326EE2-AF97-4A78-A6EE-E548E61497CC}"/>
    <cellStyle name="Normal 2 4 2 3 2 2 2 6 4" xfId="10975" xr:uid="{DD12DBC3-CEE0-423E-8A2F-6AAF12CCBEC1}"/>
    <cellStyle name="Normal 2 4 2 3 2 2 2 7" xfId="4677" xr:uid="{00000000-0005-0000-0000-0000AD0E0000}"/>
    <cellStyle name="Normal 2 4 2 3 2 2 2 7 2" xfId="22407" xr:uid="{353C33D3-E2F5-40F2-A727-69F91900F1B0}"/>
    <cellStyle name="Normal 2 4 2 3 2 2 2 7 3" xfId="13127" xr:uid="{8C252A78-7E2F-4FB4-9FD5-3658B586E90F}"/>
    <cellStyle name="Normal 2 4 2 3 2 2 2 8" xfId="18190" xr:uid="{407E3A07-9722-4BFF-B8ED-F0FB0EA2AA81}"/>
    <cellStyle name="Normal 2 4 2 3 2 2 2 9" xfId="17357" xr:uid="{701F7EF0-94F1-4FB8-BFF9-1D8C88AD0D82}"/>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24965" xr:uid="{F0DE6DB5-1AAB-40E0-ABA3-DB17A822F2AA}"/>
    <cellStyle name="Normal 2 4 2 3 2 2 3 2 2 3" xfId="15685" xr:uid="{4219693F-9BFE-4F2E-B548-09FB80B35401}"/>
    <cellStyle name="Normal 2 4 2 3 2 2 3 2 3" xfId="20748" xr:uid="{A3A5941E-76D4-4EAF-9EBF-12E39D9D9152}"/>
    <cellStyle name="Normal 2 4 2 3 2 2 3 2 4" xfId="11467" xr:uid="{B2DFCDE3-F29B-4B4D-8CAA-3D5F45F3B21B}"/>
    <cellStyle name="Normal 2 4 2 3 2 2 3 3" xfId="5090" xr:uid="{00000000-0005-0000-0000-0000B10E0000}"/>
    <cellStyle name="Normal 2 4 2 3 2 2 3 3 2" xfId="22820" xr:uid="{670E0D20-8D37-4835-9C62-3D1C86A9AD65}"/>
    <cellStyle name="Normal 2 4 2 3 2 2 3 3 3" xfId="13540" xr:uid="{3AC6EE60-9F22-4066-B20D-A0413C195F9A}"/>
    <cellStyle name="Normal 2 4 2 3 2 2 3 4" xfId="18603" xr:uid="{9B83691D-BE1E-480C-A586-D6390554693B}"/>
    <cellStyle name="Normal 2 4 2 3 2 2 3 5" xfId="17775" xr:uid="{552991F1-AD12-4120-B77D-B6F5D631C6B3}"/>
    <cellStyle name="Normal 2 4 2 3 2 2 3 6" xfId="9322" xr:uid="{08A93956-6CF1-47D6-9A64-B2DD3F68E774}"/>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25378" xr:uid="{DB109A2E-BCCA-4167-979E-884C9BA34436}"/>
    <cellStyle name="Normal 2 4 2 3 2 2 4 2 2 3" xfId="16098" xr:uid="{927229C8-91BB-4523-9D0D-BEA38E4D6793}"/>
    <cellStyle name="Normal 2 4 2 3 2 2 4 2 3" xfId="21161" xr:uid="{D2F0C4B4-A01F-4842-A244-C338AA17484F}"/>
    <cellStyle name="Normal 2 4 2 3 2 2 4 2 4" xfId="11880" xr:uid="{55661CE9-11A5-4CB8-8577-96D6B7F6121C}"/>
    <cellStyle name="Normal 2 4 2 3 2 2 4 3" xfId="5503" xr:uid="{00000000-0005-0000-0000-0000B50E0000}"/>
    <cellStyle name="Normal 2 4 2 3 2 2 4 3 2" xfId="23233" xr:uid="{C029121D-06B9-4C21-8A83-43BA2E86FBE3}"/>
    <cellStyle name="Normal 2 4 2 3 2 2 4 3 3" xfId="13953" xr:uid="{348B5A3C-BBF8-49E8-AD82-780A98112124}"/>
    <cellStyle name="Normal 2 4 2 3 2 2 4 4" xfId="19016" xr:uid="{7A1D4F57-4EE9-4724-AF31-B41A6F99129F}"/>
    <cellStyle name="Normal 2 4 2 3 2 2 4 5" xfId="9735" xr:uid="{124A4274-6AF4-4593-94E6-BE36A5447B31}"/>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25791" xr:uid="{2373BDEE-9F7C-499C-8507-5E3E2E784864}"/>
    <cellStyle name="Normal 2 4 2 3 2 2 5 2 2 3" xfId="16511" xr:uid="{6DADBD5A-AF5B-44A3-B34B-82DA7F74FB54}"/>
    <cellStyle name="Normal 2 4 2 3 2 2 5 2 3" xfId="21574" xr:uid="{4D3552BA-AD5A-4BF5-B0FA-BA5316CEA3D5}"/>
    <cellStyle name="Normal 2 4 2 3 2 2 5 2 4" xfId="12293" xr:uid="{8B13CF7E-50D7-4A7C-BF40-2DDA454A087E}"/>
    <cellStyle name="Normal 2 4 2 3 2 2 5 3" xfId="5916" xr:uid="{00000000-0005-0000-0000-0000B90E0000}"/>
    <cellStyle name="Normal 2 4 2 3 2 2 5 3 2" xfId="23646" xr:uid="{82E6C60C-FE80-455C-833C-E0BD683787DA}"/>
    <cellStyle name="Normal 2 4 2 3 2 2 5 3 3" xfId="14366" xr:uid="{AAD96C39-9B66-486D-9294-09D44E405E00}"/>
    <cellStyle name="Normal 2 4 2 3 2 2 5 4" xfId="19429" xr:uid="{74F4B9EC-C26E-4CC4-A413-2C7322BA7957}"/>
    <cellStyle name="Normal 2 4 2 3 2 2 5 5" xfId="10148" xr:uid="{07E4606A-2B42-4196-83DF-0FDECC22F0D6}"/>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26204" xr:uid="{98F2A54A-66EA-4C48-8CA1-CE6A4F202575}"/>
    <cellStyle name="Normal 2 4 2 3 2 2 6 2 2 3" xfId="16924" xr:uid="{3EED5155-B55A-4C4E-BD26-3536D0C094DD}"/>
    <cellStyle name="Normal 2 4 2 3 2 2 6 2 3" xfId="21987" xr:uid="{375D8D25-7323-46EE-9EB8-BB69AC2388C9}"/>
    <cellStyle name="Normal 2 4 2 3 2 2 6 2 4" xfId="12706" xr:uid="{72D1E9E7-AE17-45EA-8083-2C38F23E579D}"/>
    <cellStyle name="Normal 2 4 2 3 2 2 6 3" xfId="6329" xr:uid="{00000000-0005-0000-0000-0000BD0E0000}"/>
    <cellStyle name="Normal 2 4 2 3 2 2 6 3 2" xfId="24059" xr:uid="{92FE5BCB-FD79-48BC-8D99-D6C5B1D2367E}"/>
    <cellStyle name="Normal 2 4 2 3 2 2 6 3 3" xfId="14779" xr:uid="{8642AF30-6F84-4F5A-9070-F2A297A68770}"/>
    <cellStyle name="Normal 2 4 2 3 2 2 6 4" xfId="19842" xr:uid="{E1C13A63-CA83-4B89-8A14-F75FF04219E8}"/>
    <cellStyle name="Normal 2 4 2 3 2 2 6 5" xfId="10561" xr:uid="{DC5E5F9B-D2C4-47C3-803E-E7B77EADD393}"/>
    <cellStyle name="Normal 2 4 2 3 2 2 7" xfId="2459" xr:uid="{00000000-0005-0000-0000-0000BE0E0000}"/>
    <cellStyle name="Normal 2 4 2 3 2 2 7 2" xfId="6742" xr:uid="{00000000-0005-0000-0000-0000BF0E0000}"/>
    <cellStyle name="Normal 2 4 2 3 2 2 7 2 2" xfId="24472" xr:uid="{FD47184B-A157-470F-B398-C8B6D3D525EA}"/>
    <cellStyle name="Normal 2 4 2 3 2 2 7 2 3" xfId="15192" xr:uid="{AFFAB3A9-18D0-4F5E-B251-A0A06002ABD5}"/>
    <cellStyle name="Normal 2 4 2 3 2 2 7 3" xfId="20255" xr:uid="{71E80829-AE23-4085-BC3B-D0C850DE587F}"/>
    <cellStyle name="Normal 2 4 2 3 2 2 7 4" xfId="10974" xr:uid="{C1984430-39E3-46E3-9A97-FC07AB6C6058}"/>
    <cellStyle name="Normal 2 4 2 3 2 2 8" xfId="4676" xr:uid="{00000000-0005-0000-0000-0000C00E0000}"/>
    <cellStyle name="Normal 2 4 2 3 2 2 8 2" xfId="22406" xr:uid="{EDED07F5-F65C-4969-B12C-723C9185ACDA}"/>
    <cellStyle name="Normal 2 4 2 3 2 2 8 3" xfId="13126" xr:uid="{B9FCF2AA-2437-4596-A7ED-15B3821B05D4}"/>
    <cellStyle name="Normal 2 4 2 3 2 2 9" xfId="18189" xr:uid="{53405E0E-3601-4C5F-9F21-61C181827C4C}"/>
    <cellStyle name="Normal 2 4 2 3 2 3" xfId="285" xr:uid="{00000000-0005-0000-0000-0000C10E0000}"/>
    <cellStyle name="Normal 2 4 2 3 2 3 10" xfId="8910" xr:uid="{93AE7202-2C97-4CDE-993B-F8CA9A9A9BD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24967" xr:uid="{9A6960D3-3195-451A-8A9D-AE118C36C98B}"/>
    <cellStyle name="Normal 2 4 2 3 2 3 2 2 2 3" xfId="15687" xr:uid="{612693F7-3C31-4B9F-A214-3199336FE2CF}"/>
    <cellStyle name="Normal 2 4 2 3 2 3 2 2 3" xfId="20750" xr:uid="{B894F6D8-F6F8-4B25-857A-0E3B3DC3A6C6}"/>
    <cellStyle name="Normal 2 4 2 3 2 3 2 2 4" xfId="11469" xr:uid="{89D9A621-46B2-450C-BCDC-069CDB7EDC41}"/>
    <cellStyle name="Normal 2 4 2 3 2 3 2 3" xfId="5092" xr:uid="{00000000-0005-0000-0000-0000C50E0000}"/>
    <cellStyle name="Normal 2 4 2 3 2 3 2 3 2" xfId="22822" xr:uid="{A5F0271C-5FBC-41BA-9175-8B1CCD4BBAA9}"/>
    <cellStyle name="Normal 2 4 2 3 2 3 2 3 3" xfId="13542" xr:uid="{0BA31DBE-E990-43D9-8915-B0562E24DCDE}"/>
    <cellStyle name="Normal 2 4 2 3 2 3 2 4" xfId="18605" xr:uid="{92705133-6750-4B1D-8F98-60F29E7595DE}"/>
    <cellStyle name="Normal 2 4 2 3 2 3 2 5" xfId="17777" xr:uid="{09E0A747-C023-4FA2-8C32-AB181FF638FC}"/>
    <cellStyle name="Normal 2 4 2 3 2 3 2 6" xfId="9324" xr:uid="{9980F085-3333-46D0-A672-0B0D36FA97D8}"/>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25380" xr:uid="{4FFF8F8A-25C3-406C-819C-26CB9A95F68F}"/>
    <cellStyle name="Normal 2 4 2 3 2 3 3 2 2 3" xfId="16100" xr:uid="{C3AE0ED5-4699-47FD-8B90-22199CECFC9F}"/>
    <cellStyle name="Normal 2 4 2 3 2 3 3 2 3" xfId="21163" xr:uid="{CD6CACDF-0482-42A3-B2D4-2851D917C171}"/>
    <cellStyle name="Normal 2 4 2 3 2 3 3 2 4" xfId="11882" xr:uid="{65EC8A78-B842-4D4F-8C04-5CAA7D443ECB}"/>
    <cellStyle name="Normal 2 4 2 3 2 3 3 3" xfId="5505" xr:uid="{00000000-0005-0000-0000-0000C90E0000}"/>
    <cellStyle name="Normal 2 4 2 3 2 3 3 3 2" xfId="23235" xr:uid="{D986D9E8-C5DE-4A0D-988E-1252D92FAE3B}"/>
    <cellStyle name="Normal 2 4 2 3 2 3 3 3 3" xfId="13955" xr:uid="{CF922617-4E33-4844-BE07-558528D9AF87}"/>
    <cellStyle name="Normal 2 4 2 3 2 3 3 4" xfId="19018" xr:uid="{C85F8A28-549F-438B-8479-5FACA72DA3B5}"/>
    <cellStyle name="Normal 2 4 2 3 2 3 3 5" xfId="9737" xr:uid="{58410D07-E2C2-4267-9CAE-C48572B6492F}"/>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25793" xr:uid="{C85D26A1-D49E-4A36-9147-A260D2BEC9B9}"/>
    <cellStyle name="Normal 2 4 2 3 2 3 4 2 2 3" xfId="16513" xr:uid="{55429E5B-ACD2-4B2A-912F-1102F1015B65}"/>
    <cellStyle name="Normal 2 4 2 3 2 3 4 2 3" xfId="21576" xr:uid="{888BA4A2-6C94-471C-A942-08EE7EA3690F}"/>
    <cellStyle name="Normal 2 4 2 3 2 3 4 2 4" xfId="12295" xr:uid="{0068E6EC-8017-4836-8AE1-12204BE8B221}"/>
    <cellStyle name="Normal 2 4 2 3 2 3 4 3" xfId="5918" xr:uid="{00000000-0005-0000-0000-0000CD0E0000}"/>
    <cellStyle name="Normal 2 4 2 3 2 3 4 3 2" xfId="23648" xr:uid="{8350B2E0-9D8D-4FB0-A50E-42C33FBFE22E}"/>
    <cellStyle name="Normal 2 4 2 3 2 3 4 3 3" xfId="14368" xr:uid="{C0F33C32-D7F9-4C03-8A58-1DC094453A60}"/>
    <cellStyle name="Normal 2 4 2 3 2 3 4 4" xfId="19431" xr:uid="{D7F7B658-1949-4AF0-893D-4CF306E4BF27}"/>
    <cellStyle name="Normal 2 4 2 3 2 3 4 5" xfId="10150" xr:uid="{9A8799E1-19E4-4427-B102-02AC8160246B}"/>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26206" xr:uid="{77A25DED-D892-4FAB-B787-A330FF1DD6A7}"/>
    <cellStyle name="Normal 2 4 2 3 2 3 5 2 2 3" xfId="16926" xr:uid="{E5F5D1EB-E04D-46A0-BA9D-C56F211944DE}"/>
    <cellStyle name="Normal 2 4 2 3 2 3 5 2 3" xfId="21989" xr:uid="{9E78C3EF-10A6-42A3-A3C5-D06B36015E72}"/>
    <cellStyle name="Normal 2 4 2 3 2 3 5 2 4" xfId="12708" xr:uid="{4ECBFC96-0F51-46C7-A59C-529D4427DF53}"/>
    <cellStyle name="Normal 2 4 2 3 2 3 5 3" xfId="6331" xr:uid="{00000000-0005-0000-0000-0000D10E0000}"/>
    <cellStyle name="Normal 2 4 2 3 2 3 5 3 2" xfId="24061" xr:uid="{6321F8C7-7003-4672-A22C-366E4571FEF4}"/>
    <cellStyle name="Normal 2 4 2 3 2 3 5 3 3" xfId="14781" xr:uid="{302137D5-AF7A-44F9-B8E3-82FFB7564223}"/>
    <cellStyle name="Normal 2 4 2 3 2 3 5 4" xfId="19844" xr:uid="{724E0C8B-92AF-4ECE-AB42-CA889386CC68}"/>
    <cellStyle name="Normal 2 4 2 3 2 3 5 5" xfId="10563" xr:uid="{A56714D0-8C17-4D57-BB33-5EAA637E6154}"/>
    <cellStyle name="Normal 2 4 2 3 2 3 6" xfId="2461" xr:uid="{00000000-0005-0000-0000-0000D20E0000}"/>
    <cellStyle name="Normal 2 4 2 3 2 3 6 2" xfId="6744" xr:uid="{00000000-0005-0000-0000-0000D30E0000}"/>
    <cellStyle name="Normal 2 4 2 3 2 3 6 2 2" xfId="24474" xr:uid="{460EC20B-FE30-47BD-90E3-4D7514EDA72B}"/>
    <cellStyle name="Normal 2 4 2 3 2 3 6 2 3" xfId="15194" xr:uid="{C18DB53A-2BB3-4C19-A078-741A7D833B80}"/>
    <cellStyle name="Normal 2 4 2 3 2 3 6 3" xfId="20257" xr:uid="{C2B6BA7F-C67C-4F5A-8317-7F8A2C6A2F02}"/>
    <cellStyle name="Normal 2 4 2 3 2 3 6 4" xfId="10976" xr:uid="{6547827D-FA95-4101-864C-995C3A27F601}"/>
    <cellStyle name="Normal 2 4 2 3 2 3 7" xfId="4678" xr:uid="{00000000-0005-0000-0000-0000D40E0000}"/>
    <cellStyle name="Normal 2 4 2 3 2 3 7 2" xfId="22408" xr:uid="{3E3C2FF7-EAF7-45EC-B008-B6F61A8A41EA}"/>
    <cellStyle name="Normal 2 4 2 3 2 3 7 3" xfId="13128" xr:uid="{445B07AC-AC2C-4B3A-A5E1-304C79156289}"/>
    <cellStyle name="Normal 2 4 2 3 2 3 8" xfId="18191" xr:uid="{36731CBF-712E-4FB6-9970-AF8070F66A68}"/>
    <cellStyle name="Normal 2 4 2 3 2 3 9" xfId="17358" xr:uid="{E830989B-51A6-4145-95AA-1B6AD438086F}"/>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24964" xr:uid="{22E029AC-8DBC-418C-96BF-34AFC3B49069}"/>
    <cellStyle name="Normal 2 4 2 3 2 4 2 2 3" xfId="15684" xr:uid="{AD6D6870-1565-4F12-9C33-475FFCFFF998}"/>
    <cellStyle name="Normal 2 4 2 3 2 4 2 3" xfId="20747" xr:uid="{580D98EC-CEEA-4AEA-8038-4E1F30665CD1}"/>
    <cellStyle name="Normal 2 4 2 3 2 4 2 4" xfId="11466" xr:uid="{27161153-F31A-4A47-BF1E-D3954979E438}"/>
    <cellStyle name="Normal 2 4 2 3 2 4 3" xfId="5089" xr:uid="{00000000-0005-0000-0000-0000D80E0000}"/>
    <cellStyle name="Normal 2 4 2 3 2 4 3 2" xfId="22819" xr:uid="{A0F9E0DC-3076-49CB-B42D-2858BEC65873}"/>
    <cellStyle name="Normal 2 4 2 3 2 4 3 3" xfId="13539" xr:uid="{E4760241-CB70-4C85-B294-97504FAFD52D}"/>
    <cellStyle name="Normal 2 4 2 3 2 4 4" xfId="18602" xr:uid="{59C1D101-084D-4E14-B79B-F2CD772DC75B}"/>
    <cellStyle name="Normal 2 4 2 3 2 4 5" xfId="17774" xr:uid="{E9745CED-F7DD-49F9-A1B5-16CA42655C0A}"/>
    <cellStyle name="Normal 2 4 2 3 2 4 6" xfId="9321" xr:uid="{63442FA9-8CB7-4199-A01C-418950921EC5}"/>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25377" xr:uid="{D0036713-0456-4817-8419-3BC32102E0D7}"/>
    <cellStyle name="Normal 2 4 2 3 2 5 2 2 3" xfId="16097" xr:uid="{DE76AA09-7A75-41DC-A92B-4A9D33D546C5}"/>
    <cellStyle name="Normal 2 4 2 3 2 5 2 3" xfId="21160" xr:uid="{341F123D-D1EB-4CB2-BD51-89839AEC0F9D}"/>
    <cellStyle name="Normal 2 4 2 3 2 5 2 4" xfId="11879" xr:uid="{A04E896B-5363-4479-9BC8-8FA967E573E0}"/>
    <cellStyle name="Normal 2 4 2 3 2 5 3" xfId="5502" xr:uid="{00000000-0005-0000-0000-0000DC0E0000}"/>
    <cellStyle name="Normal 2 4 2 3 2 5 3 2" xfId="23232" xr:uid="{20CE4C03-308E-4C0A-A0C9-62F30FBFBBBA}"/>
    <cellStyle name="Normal 2 4 2 3 2 5 3 3" xfId="13952" xr:uid="{CEB89144-3DB9-4FFD-9F46-74A20DCB12BC}"/>
    <cellStyle name="Normal 2 4 2 3 2 5 4" xfId="19015" xr:uid="{57D27D89-A65D-414E-8788-0D654D7EFE61}"/>
    <cellStyle name="Normal 2 4 2 3 2 5 5" xfId="9734" xr:uid="{D7DEB9D5-4AF0-4771-8189-AF57E25E8E1A}"/>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25790" xr:uid="{0BA81441-9C43-4D62-A554-A5D697052A41}"/>
    <cellStyle name="Normal 2 4 2 3 2 6 2 2 3" xfId="16510" xr:uid="{A1512550-C481-4E46-9DEB-135AF9665609}"/>
    <cellStyle name="Normal 2 4 2 3 2 6 2 3" xfId="21573" xr:uid="{81824E21-598F-42F3-9FF5-DCC993F35178}"/>
    <cellStyle name="Normal 2 4 2 3 2 6 2 4" xfId="12292" xr:uid="{D18F4CBF-4BD4-472A-90AB-83E0E84580D2}"/>
    <cellStyle name="Normal 2 4 2 3 2 6 3" xfId="5915" xr:uid="{00000000-0005-0000-0000-0000E00E0000}"/>
    <cellStyle name="Normal 2 4 2 3 2 6 3 2" xfId="23645" xr:uid="{B826AD68-24CA-4424-95D8-17E3A3073521}"/>
    <cellStyle name="Normal 2 4 2 3 2 6 3 3" xfId="14365" xr:uid="{7E232F08-F70D-495C-86AC-454881DB8C69}"/>
    <cellStyle name="Normal 2 4 2 3 2 6 4" xfId="19428" xr:uid="{D2D1CC2E-24F8-4D5E-AF84-9386ABA6001D}"/>
    <cellStyle name="Normal 2 4 2 3 2 6 5" xfId="10147" xr:uid="{68E7250C-5148-42A0-A845-95B91DC2DFF6}"/>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26203" xr:uid="{EBAB6C78-2FCA-40EC-9207-FCB7B1A5FA71}"/>
    <cellStyle name="Normal 2 4 2 3 2 7 2 2 3" xfId="16923" xr:uid="{98CC2955-623C-49A0-940D-26C00A6F26C0}"/>
    <cellStyle name="Normal 2 4 2 3 2 7 2 3" xfId="21986" xr:uid="{E7CE957D-693C-4589-8BD1-85B4C4F1715E}"/>
    <cellStyle name="Normal 2 4 2 3 2 7 2 4" xfId="12705" xr:uid="{77E03B55-205E-4401-A5A4-34A4086E7815}"/>
    <cellStyle name="Normal 2 4 2 3 2 7 3" xfId="6328" xr:uid="{00000000-0005-0000-0000-0000E40E0000}"/>
    <cellStyle name="Normal 2 4 2 3 2 7 3 2" xfId="24058" xr:uid="{AEC84495-F3A7-4A4E-88B9-A4740C89EC19}"/>
    <cellStyle name="Normal 2 4 2 3 2 7 3 3" xfId="14778" xr:uid="{80B6F3B4-A569-4C3C-811A-49F6C30115E3}"/>
    <cellStyle name="Normal 2 4 2 3 2 7 4" xfId="19841" xr:uid="{48253B33-E94F-4FC6-B823-B581CFBE362C}"/>
    <cellStyle name="Normal 2 4 2 3 2 7 5" xfId="10560" xr:uid="{85564E1A-7F55-4969-8317-45659970F9F7}"/>
    <cellStyle name="Normal 2 4 2 3 2 8" xfId="2458" xr:uid="{00000000-0005-0000-0000-0000E50E0000}"/>
    <cellStyle name="Normal 2 4 2 3 2 8 2" xfId="6741" xr:uid="{00000000-0005-0000-0000-0000E60E0000}"/>
    <cellStyle name="Normal 2 4 2 3 2 8 2 2" xfId="24471" xr:uid="{3A640009-1D56-464C-8B93-0DC7A12B6143}"/>
    <cellStyle name="Normal 2 4 2 3 2 8 2 3" xfId="15191" xr:uid="{81A33FC4-119D-4BDE-AD6D-271068A6AB8E}"/>
    <cellStyle name="Normal 2 4 2 3 2 8 3" xfId="20254" xr:uid="{A6CB45C9-385C-4003-BAF5-6564F6E68F08}"/>
    <cellStyle name="Normal 2 4 2 3 2 8 4" xfId="10973" xr:uid="{9A8D9E88-7369-4E72-B6CE-0028CBF4C745}"/>
    <cellStyle name="Normal 2 4 2 3 2 9" xfId="4675" xr:uid="{00000000-0005-0000-0000-0000E70E0000}"/>
    <cellStyle name="Normal 2 4 2 3 2 9 2" xfId="22405" xr:uid="{07F97D82-D6BC-41F7-B9E2-AA46BD673D0A}"/>
    <cellStyle name="Normal 2 4 2 3 2 9 3" xfId="13125" xr:uid="{4E716AD4-B50E-4B0A-B0A2-F02E1A916017}"/>
    <cellStyle name="Normal 2 4 2 3 3" xfId="286" xr:uid="{00000000-0005-0000-0000-0000E80E0000}"/>
    <cellStyle name="Normal 2 4 2 3 3 10" xfId="17359" xr:uid="{6D8AC902-4431-4CC1-91FA-D619B08F2FC8}"/>
    <cellStyle name="Normal 2 4 2 3 3 11" xfId="8911" xr:uid="{60317A5E-9107-4A6E-BE39-E1C1F002301D}"/>
    <cellStyle name="Normal 2 4 2 3 3 2" xfId="287" xr:uid="{00000000-0005-0000-0000-0000E90E0000}"/>
    <cellStyle name="Normal 2 4 2 3 3 2 10" xfId="8912" xr:uid="{2470ABBD-BCB9-4EBE-A005-503ADC5F8E52}"/>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24969" xr:uid="{8164A33E-0E7A-4809-B99A-CF328B5A6977}"/>
    <cellStyle name="Normal 2 4 2 3 3 2 2 2 2 3" xfId="15689" xr:uid="{9D9C5445-0C86-42E0-9654-7C965D3A5699}"/>
    <cellStyle name="Normal 2 4 2 3 3 2 2 2 3" xfId="20752" xr:uid="{DCEE50E9-F802-4E65-84E9-697E15D18948}"/>
    <cellStyle name="Normal 2 4 2 3 3 2 2 2 4" xfId="11471" xr:uid="{AC95803A-BBFF-4A4A-84BF-39AB2243EF86}"/>
    <cellStyle name="Normal 2 4 2 3 3 2 2 3" xfId="5094" xr:uid="{00000000-0005-0000-0000-0000ED0E0000}"/>
    <cellStyle name="Normal 2 4 2 3 3 2 2 3 2" xfId="22824" xr:uid="{223154A0-2C35-4E78-9D73-745C50A7C8DD}"/>
    <cellStyle name="Normal 2 4 2 3 3 2 2 3 3" xfId="13544" xr:uid="{E93D6F9C-24DA-4E1E-AFF4-3B1743C9E2BC}"/>
    <cellStyle name="Normal 2 4 2 3 3 2 2 4" xfId="18607" xr:uid="{7BA112EB-6B77-4738-B150-2B1E339C08C6}"/>
    <cellStyle name="Normal 2 4 2 3 3 2 2 5" xfId="17779" xr:uid="{4CF3FB30-0CA9-4F64-8607-75415110AD4E}"/>
    <cellStyle name="Normal 2 4 2 3 3 2 2 6" xfId="9326" xr:uid="{099CE5F3-859C-4FB3-A8CC-795B57B0D418}"/>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25382" xr:uid="{9A035A91-2C00-45E8-B4D4-DD73F421009B}"/>
    <cellStyle name="Normal 2 4 2 3 3 2 3 2 2 3" xfId="16102" xr:uid="{13809A31-51E7-4F7D-91D4-26ABCE2C738F}"/>
    <cellStyle name="Normal 2 4 2 3 3 2 3 2 3" xfId="21165" xr:uid="{B00CF0E9-D857-4B9A-AD54-88E58E69A104}"/>
    <cellStyle name="Normal 2 4 2 3 3 2 3 2 4" xfId="11884" xr:uid="{3A53E90B-781B-4C46-A299-B7517CB5C02A}"/>
    <cellStyle name="Normal 2 4 2 3 3 2 3 3" xfId="5507" xr:uid="{00000000-0005-0000-0000-0000F10E0000}"/>
    <cellStyle name="Normal 2 4 2 3 3 2 3 3 2" xfId="23237" xr:uid="{E5AD7419-AEC8-42FD-926D-C572CBD8F181}"/>
    <cellStyle name="Normal 2 4 2 3 3 2 3 3 3" xfId="13957" xr:uid="{E091F81A-134B-40FE-8931-ABE149FEC644}"/>
    <cellStyle name="Normal 2 4 2 3 3 2 3 4" xfId="19020" xr:uid="{AE7BABF3-64E8-46E9-89D7-3873A288ADC7}"/>
    <cellStyle name="Normal 2 4 2 3 3 2 3 5" xfId="9739" xr:uid="{91311DBE-8F97-4B98-9764-18DECA2672FB}"/>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25795" xr:uid="{C94EC163-7955-471D-9EFB-CA2C6500F174}"/>
    <cellStyle name="Normal 2 4 2 3 3 2 4 2 2 3" xfId="16515" xr:uid="{7BCADB81-A704-45E9-9CBD-80B0C1C2AB54}"/>
    <cellStyle name="Normal 2 4 2 3 3 2 4 2 3" xfId="21578" xr:uid="{5E773DCE-8077-4809-8A9B-EA9187C76530}"/>
    <cellStyle name="Normal 2 4 2 3 3 2 4 2 4" xfId="12297" xr:uid="{2831380C-7B97-4581-AA09-474F4F979114}"/>
    <cellStyle name="Normal 2 4 2 3 3 2 4 3" xfId="5920" xr:uid="{00000000-0005-0000-0000-0000F50E0000}"/>
    <cellStyle name="Normal 2 4 2 3 3 2 4 3 2" xfId="23650" xr:uid="{F2F8517D-2873-4A53-BB8D-EBD04C94B5EC}"/>
    <cellStyle name="Normal 2 4 2 3 3 2 4 3 3" xfId="14370" xr:uid="{A462A21C-C9E1-4FE2-AFA5-EE3D3355E983}"/>
    <cellStyle name="Normal 2 4 2 3 3 2 4 4" xfId="19433" xr:uid="{D3769357-5CB6-4B1B-8315-787112A73E3A}"/>
    <cellStyle name="Normal 2 4 2 3 3 2 4 5" xfId="10152" xr:uid="{52C67C68-B7ED-44C7-8989-9BB7ACA13EED}"/>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26208" xr:uid="{70C13BDB-45A6-4BB7-AB8D-BD8422214AD7}"/>
    <cellStyle name="Normal 2 4 2 3 3 2 5 2 2 3" xfId="16928" xr:uid="{93FFA80B-6981-4688-A7EB-420F530108DD}"/>
    <cellStyle name="Normal 2 4 2 3 3 2 5 2 3" xfId="21991" xr:uid="{204134FA-ED0A-4038-B925-8B7F0549C47C}"/>
    <cellStyle name="Normal 2 4 2 3 3 2 5 2 4" xfId="12710" xr:uid="{9BFD3372-4AD6-4928-8789-82FEA7BC0C86}"/>
    <cellStyle name="Normal 2 4 2 3 3 2 5 3" xfId="6333" xr:uid="{00000000-0005-0000-0000-0000F90E0000}"/>
    <cellStyle name="Normal 2 4 2 3 3 2 5 3 2" xfId="24063" xr:uid="{F629E3FE-F0F3-4270-9761-AF4430057BF1}"/>
    <cellStyle name="Normal 2 4 2 3 3 2 5 3 3" xfId="14783" xr:uid="{4FD68F35-DBC6-46CE-A3DE-5939C837A8E9}"/>
    <cellStyle name="Normal 2 4 2 3 3 2 5 4" xfId="19846" xr:uid="{68021A63-A84D-4D20-AFF5-756BAE66207D}"/>
    <cellStyle name="Normal 2 4 2 3 3 2 5 5" xfId="10565" xr:uid="{15C2360A-4139-4FA0-B1C8-7E4AAB2D1D28}"/>
    <cellStyle name="Normal 2 4 2 3 3 2 6" xfId="2463" xr:uid="{00000000-0005-0000-0000-0000FA0E0000}"/>
    <cellStyle name="Normal 2 4 2 3 3 2 6 2" xfId="6746" xr:uid="{00000000-0005-0000-0000-0000FB0E0000}"/>
    <cellStyle name="Normal 2 4 2 3 3 2 6 2 2" xfId="24476" xr:uid="{71C3025D-ED41-4E6C-8113-9889F9A60E1E}"/>
    <cellStyle name="Normal 2 4 2 3 3 2 6 2 3" xfId="15196" xr:uid="{0CF53E9E-6EB0-4225-AEC1-36A1AF8E4545}"/>
    <cellStyle name="Normal 2 4 2 3 3 2 6 3" xfId="20259" xr:uid="{086079C7-E68C-4152-9C6A-D105D6F93768}"/>
    <cellStyle name="Normal 2 4 2 3 3 2 6 4" xfId="10978" xr:uid="{CE55E401-EF1D-4B95-91FC-BB136B2A3542}"/>
    <cellStyle name="Normal 2 4 2 3 3 2 7" xfId="4680" xr:uid="{00000000-0005-0000-0000-0000FC0E0000}"/>
    <cellStyle name="Normal 2 4 2 3 3 2 7 2" xfId="22410" xr:uid="{C49641AE-13D5-4E28-8170-2665F9F8CE7A}"/>
    <cellStyle name="Normal 2 4 2 3 3 2 7 3" xfId="13130" xr:uid="{E9B61B17-D7FD-43B0-99E8-396F02A4D0B6}"/>
    <cellStyle name="Normal 2 4 2 3 3 2 8" xfId="18193" xr:uid="{9EE0DF79-5617-4FA5-A095-F9CD6B18EEE0}"/>
    <cellStyle name="Normal 2 4 2 3 3 2 9" xfId="17360" xr:uid="{F6A7F48C-B2FD-4322-B908-1E7CA90CC17F}"/>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24968" xr:uid="{950E3BB1-4B91-4514-9091-59CDDEC078A0}"/>
    <cellStyle name="Normal 2 4 2 3 3 3 2 2 3" xfId="15688" xr:uid="{5B5BC25F-6300-4125-B5EE-BE552977CBFA}"/>
    <cellStyle name="Normal 2 4 2 3 3 3 2 3" xfId="20751" xr:uid="{E2ACA0A1-8356-4256-9B43-B4901593E7D8}"/>
    <cellStyle name="Normal 2 4 2 3 3 3 2 4" xfId="11470" xr:uid="{76B4DDAF-0929-42CC-A052-5DB0F531CF55}"/>
    <cellStyle name="Normal 2 4 2 3 3 3 3" xfId="5093" xr:uid="{00000000-0005-0000-0000-0000000F0000}"/>
    <cellStyle name="Normal 2 4 2 3 3 3 3 2" xfId="22823" xr:uid="{2E052B39-5589-4F55-852C-413242EC95BA}"/>
    <cellStyle name="Normal 2 4 2 3 3 3 3 3" xfId="13543" xr:uid="{8DF48219-716B-450D-ABBF-B5E4B090C415}"/>
    <cellStyle name="Normal 2 4 2 3 3 3 4" xfId="18606" xr:uid="{558945D5-C983-4562-94FB-FB7701541979}"/>
    <cellStyle name="Normal 2 4 2 3 3 3 5" xfId="17778" xr:uid="{EDC8F334-F58A-4FFB-9115-DCC794F35405}"/>
    <cellStyle name="Normal 2 4 2 3 3 3 6" xfId="9325" xr:uid="{72F19FCB-C105-45D7-9D7B-1C0C5A6F78E7}"/>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25381" xr:uid="{E220FC04-2E65-45E8-9CC0-DA70C9ADE909}"/>
    <cellStyle name="Normal 2 4 2 3 3 4 2 2 3" xfId="16101" xr:uid="{20F6C12F-27AA-47C6-B60B-985352CD9519}"/>
    <cellStyle name="Normal 2 4 2 3 3 4 2 3" xfId="21164" xr:uid="{D51F7867-4FA6-40BA-8004-628853063A4F}"/>
    <cellStyle name="Normal 2 4 2 3 3 4 2 4" xfId="11883" xr:uid="{6E698992-8AE6-4779-A7AF-4FD11B983B7F}"/>
    <cellStyle name="Normal 2 4 2 3 3 4 3" xfId="5506" xr:uid="{00000000-0005-0000-0000-0000040F0000}"/>
    <cellStyle name="Normal 2 4 2 3 3 4 3 2" xfId="23236" xr:uid="{AF9E8D66-9F3B-4A66-B5DD-A224AACD1EB1}"/>
    <cellStyle name="Normal 2 4 2 3 3 4 3 3" xfId="13956" xr:uid="{71310400-4775-40CD-BDE6-9C0DFA3CC9A4}"/>
    <cellStyle name="Normal 2 4 2 3 3 4 4" xfId="19019" xr:uid="{D4A44051-C654-4D25-8014-A7612B79053D}"/>
    <cellStyle name="Normal 2 4 2 3 3 4 5" xfId="9738" xr:uid="{153C76B4-20F5-4A5B-AF53-8ABAFE7BC9D1}"/>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25794" xr:uid="{F87BD8E6-0585-46A0-BDFD-396EBAD907F0}"/>
    <cellStyle name="Normal 2 4 2 3 3 5 2 2 3" xfId="16514" xr:uid="{974489B3-6B00-4A9B-AA1D-0C6514A03C19}"/>
    <cellStyle name="Normal 2 4 2 3 3 5 2 3" xfId="21577" xr:uid="{9397DE6E-D9B4-40D8-B38D-14AB3D735C00}"/>
    <cellStyle name="Normal 2 4 2 3 3 5 2 4" xfId="12296" xr:uid="{AB357874-A0D3-46B3-9897-54C163829AF8}"/>
    <cellStyle name="Normal 2 4 2 3 3 5 3" xfId="5919" xr:uid="{00000000-0005-0000-0000-0000080F0000}"/>
    <cellStyle name="Normal 2 4 2 3 3 5 3 2" xfId="23649" xr:uid="{F4A58F95-EA2F-4D7B-B8A8-B80B0FEB7574}"/>
    <cellStyle name="Normal 2 4 2 3 3 5 3 3" xfId="14369" xr:uid="{B1834CE6-DD85-4354-BF40-C2A6F707DA45}"/>
    <cellStyle name="Normal 2 4 2 3 3 5 4" xfId="19432" xr:uid="{71AC76DA-0775-4987-BD74-85566A2CCEBA}"/>
    <cellStyle name="Normal 2 4 2 3 3 5 5" xfId="10151" xr:uid="{8E1A303E-E9A7-4298-B6D4-7703758BAE4C}"/>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26207" xr:uid="{BB7ED4D9-9925-4B25-AB05-F1DF0E622EE2}"/>
    <cellStyle name="Normal 2 4 2 3 3 6 2 2 3" xfId="16927" xr:uid="{BCA48168-566E-439B-A752-A4D72351EA71}"/>
    <cellStyle name="Normal 2 4 2 3 3 6 2 3" xfId="21990" xr:uid="{03BF138F-24C7-4287-B785-2541BCAF72AB}"/>
    <cellStyle name="Normal 2 4 2 3 3 6 2 4" xfId="12709" xr:uid="{38FCCB00-6F84-4331-947D-18181BE0F1FA}"/>
    <cellStyle name="Normal 2 4 2 3 3 6 3" xfId="6332" xr:uid="{00000000-0005-0000-0000-00000C0F0000}"/>
    <cellStyle name="Normal 2 4 2 3 3 6 3 2" xfId="24062" xr:uid="{6D443E8C-AA65-4642-9414-A40668A44430}"/>
    <cellStyle name="Normal 2 4 2 3 3 6 3 3" xfId="14782" xr:uid="{0147B1AF-1845-4970-BBD7-9B4991734F68}"/>
    <cellStyle name="Normal 2 4 2 3 3 6 4" xfId="19845" xr:uid="{0C8417CD-C5C3-4FCE-9555-684462E2D110}"/>
    <cellStyle name="Normal 2 4 2 3 3 6 5" xfId="10564" xr:uid="{034E700D-F71D-4F44-A12E-D149C9FE5D67}"/>
    <cellStyle name="Normal 2 4 2 3 3 7" xfId="2462" xr:uid="{00000000-0005-0000-0000-00000D0F0000}"/>
    <cellStyle name="Normal 2 4 2 3 3 7 2" xfId="6745" xr:uid="{00000000-0005-0000-0000-00000E0F0000}"/>
    <cellStyle name="Normal 2 4 2 3 3 7 2 2" xfId="24475" xr:uid="{AB6A1A24-BFD2-46C2-AD55-CF290342E4B4}"/>
    <cellStyle name="Normal 2 4 2 3 3 7 2 3" xfId="15195" xr:uid="{2140D9F1-D9FD-4FB9-8439-4196CB33141D}"/>
    <cellStyle name="Normal 2 4 2 3 3 7 3" xfId="20258" xr:uid="{1F4B7BD8-F1BA-4643-BB74-6ED750C26194}"/>
    <cellStyle name="Normal 2 4 2 3 3 7 4" xfId="10977" xr:uid="{736AC009-8FA4-40B0-8AA5-391ACB86DC9D}"/>
    <cellStyle name="Normal 2 4 2 3 3 8" xfId="4679" xr:uid="{00000000-0005-0000-0000-00000F0F0000}"/>
    <cellStyle name="Normal 2 4 2 3 3 8 2" xfId="22409" xr:uid="{87F85506-D15E-43ED-B7E6-5061F80AEFE6}"/>
    <cellStyle name="Normal 2 4 2 3 3 8 3" xfId="13129" xr:uid="{41A64986-8213-4C1C-B022-53E7F2061440}"/>
    <cellStyle name="Normal 2 4 2 3 3 9" xfId="18192" xr:uid="{68762FBF-0F98-4C4A-9B53-C6DD10E60536}"/>
    <cellStyle name="Normal 2 4 2 3 4" xfId="288" xr:uid="{00000000-0005-0000-0000-0000100F0000}"/>
    <cellStyle name="Normal 2 4 2 3 4 10" xfId="8913" xr:uid="{254648B5-7153-4D05-B7EC-7971EE2EF62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24970" xr:uid="{5831E87E-9FB9-431C-91D5-0AC234E5FF99}"/>
    <cellStyle name="Normal 2 4 2 3 4 2 2 2 3" xfId="15690" xr:uid="{2E2AC034-A902-4400-BDB4-2FF7C0D95361}"/>
    <cellStyle name="Normal 2 4 2 3 4 2 2 3" xfId="20753" xr:uid="{EC13D33E-6538-4C0B-BB96-92294B57B47D}"/>
    <cellStyle name="Normal 2 4 2 3 4 2 2 4" xfId="11472" xr:uid="{6EDD3911-7AC3-451C-9681-434E2373DEF1}"/>
    <cellStyle name="Normal 2 4 2 3 4 2 3" xfId="5095" xr:uid="{00000000-0005-0000-0000-0000140F0000}"/>
    <cellStyle name="Normal 2 4 2 3 4 2 3 2" xfId="22825" xr:uid="{594CCCA6-EEDB-4D51-8512-D2D85E24CDED}"/>
    <cellStyle name="Normal 2 4 2 3 4 2 3 3" xfId="13545" xr:uid="{2FA2C124-593E-4747-9357-A44F3778D1FB}"/>
    <cellStyle name="Normal 2 4 2 3 4 2 4" xfId="18608" xr:uid="{486ABDAD-7A7E-44F1-B5CC-764EC6FEC266}"/>
    <cellStyle name="Normal 2 4 2 3 4 2 5" xfId="17780" xr:uid="{189D8804-160C-4C5A-B777-DD530A0D16F8}"/>
    <cellStyle name="Normal 2 4 2 3 4 2 6" xfId="9327" xr:uid="{25165125-DCD3-4312-AB6A-46DC98A58E2F}"/>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25383" xr:uid="{A88BCC74-DD08-4A9F-BBFD-2A5A9C8B6362}"/>
    <cellStyle name="Normal 2 4 2 3 4 3 2 2 3" xfId="16103" xr:uid="{0BB2FE4D-3C27-49FF-B54B-572F9DCC724E}"/>
    <cellStyle name="Normal 2 4 2 3 4 3 2 3" xfId="21166" xr:uid="{60037C52-C742-4B42-8B40-1C9983DD907F}"/>
    <cellStyle name="Normal 2 4 2 3 4 3 2 4" xfId="11885" xr:uid="{DBFD96DD-AE1D-42A0-95A9-4D678DA0364E}"/>
    <cellStyle name="Normal 2 4 2 3 4 3 3" xfId="5508" xr:uid="{00000000-0005-0000-0000-0000180F0000}"/>
    <cellStyle name="Normal 2 4 2 3 4 3 3 2" xfId="23238" xr:uid="{51FAE102-7FBD-40F0-86E8-5D231089A086}"/>
    <cellStyle name="Normal 2 4 2 3 4 3 3 3" xfId="13958" xr:uid="{A5A8B1A9-D19B-410A-979D-3F8CD6A67356}"/>
    <cellStyle name="Normal 2 4 2 3 4 3 4" xfId="19021" xr:uid="{799D0EB4-06BD-4D83-ADDD-1F631790AE35}"/>
    <cellStyle name="Normal 2 4 2 3 4 3 5" xfId="9740" xr:uid="{8977FABE-1BB9-4C8E-AE1D-42E1FB8D1573}"/>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25796" xr:uid="{6DEC5F67-F37F-4E0B-83F9-603618A5DD39}"/>
    <cellStyle name="Normal 2 4 2 3 4 4 2 2 3" xfId="16516" xr:uid="{47EBC516-A4C3-4317-8E18-1B7DA32C9F62}"/>
    <cellStyle name="Normal 2 4 2 3 4 4 2 3" xfId="21579" xr:uid="{09BD9888-0145-4073-8C90-56687CBF4A55}"/>
    <cellStyle name="Normal 2 4 2 3 4 4 2 4" xfId="12298" xr:uid="{03588519-7CD0-4428-860F-A43EF1E45148}"/>
    <cellStyle name="Normal 2 4 2 3 4 4 3" xfId="5921" xr:uid="{00000000-0005-0000-0000-00001C0F0000}"/>
    <cellStyle name="Normal 2 4 2 3 4 4 3 2" xfId="23651" xr:uid="{EC5E9BED-67D7-4ACF-A44E-98824A054309}"/>
    <cellStyle name="Normal 2 4 2 3 4 4 3 3" xfId="14371" xr:uid="{DFC23729-6B45-4D67-B35F-4F0D1BC2780B}"/>
    <cellStyle name="Normal 2 4 2 3 4 4 4" xfId="19434" xr:uid="{4E27D42E-4B5B-4C37-BC3B-E0E3692509AC}"/>
    <cellStyle name="Normal 2 4 2 3 4 4 5" xfId="10153" xr:uid="{7E4F735E-16EC-492E-A92D-62EE85EC2216}"/>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26209" xr:uid="{EEA39860-B5B6-4AD6-A65E-765E2A2B7154}"/>
    <cellStyle name="Normal 2 4 2 3 4 5 2 2 3" xfId="16929" xr:uid="{97E73F5C-EA1F-4B59-985F-F120E1F5031C}"/>
    <cellStyle name="Normal 2 4 2 3 4 5 2 3" xfId="21992" xr:uid="{EDC005EA-C9DB-4A84-8BFB-29080DDD83AF}"/>
    <cellStyle name="Normal 2 4 2 3 4 5 2 4" xfId="12711" xr:uid="{1CCFF98F-1A52-4B15-AE13-D61EAA56046D}"/>
    <cellStyle name="Normal 2 4 2 3 4 5 3" xfId="6334" xr:uid="{00000000-0005-0000-0000-0000200F0000}"/>
    <cellStyle name="Normal 2 4 2 3 4 5 3 2" xfId="24064" xr:uid="{38533A55-303A-4CFF-8E6B-C53761CB5FCF}"/>
    <cellStyle name="Normal 2 4 2 3 4 5 3 3" xfId="14784" xr:uid="{9835E506-6512-46CA-BDDC-22544D7B666D}"/>
    <cellStyle name="Normal 2 4 2 3 4 5 4" xfId="19847" xr:uid="{9F6DAB55-44B5-46A2-84DF-C80451A8D2B3}"/>
    <cellStyle name="Normal 2 4 2 3 4 5 5" xfId="10566" xr:uid="{F052A705-2B7F-4DEC-A5E8-1B00C1249364}"/>
    <cellStyle name="Normal 2 4 2 3 4 6" xfId="2464" xr:uid="{00000000-0005-0000-0000-0000210F0000}"/>
    <cellStyle name="Normal 2 4 2 3 4 6 2" xfId="6747" xr:uid="{00000000-0005-0000-0000-0000220F0000}"/>
    <cellStyle name="Normal 2 4 2 3 4 6 2 2" xfId="24477" xr:uid="{8E600A44-56FD-43A0-83F3-74D3DDC9646F}"/>
    <cellStyle name="Normal 2 4 2 3 4 6 2 3" xfId="15197" xr:uid="{9AE22483-85EC-46E7-A632-1BDB8A225D40}"/>
    <cellStyle name="Normal 2 4 2 3 4 6 3" xfId="20260" xr:uid="{46707C3D-1427-492B-B05F-A650DA1F57FF}"/>
    <cellStyle name="Normal 2 4 2 3 4 6 4" xfId="10979" xr:uid="{55DF2600-F139-41A1-A8FB-2D7EA7350789}"/>
    <cellStyle name="Normal 2 4 2 3 4 7" xfId="4681" xr:uid="{00000000-0005-0000-0000-0000230F0000}"/>
    <cellStyle name="Normal 2 4 2 3 4 7 2" xfId="22411" xr:uid="{A8C4DAFF-54B9-4A4A-B9B1-D192F1E1B1F4}"/>
    <cellStyle name="Normal 2 4 2 3 4 7 3" xfId="13131" xr:uid="{3C31F9EF-C596-4A69-A4F0-F3525CC1D9C8}"/>
    <cellStyle name="Normal 2 4 2 3 4 8" xfId="18194" xr:uid="{90B381B0-92F9-467C-96BC-CE1651BBCFB1}"/>
    <cellStyle name="Normal 2 4 2 3 4 9" xfId="17361" xr:uid="{E1E24CE2-36EF-4B9D-9F2E-338802E90E4C}"/>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24963" xr:uid="{96E9A554-6D64-4500-84A8-0EE7E407ECDE}"/>
    <cellStyle name="Normal 2 4 2 3 5 2 2 3" xfId="15683" xr:uid="{D3F72BD8-1EDA-4161-9DE3-AC1C4966AE9E}"/>
    <cellStyle name="Normal 2 4 2 3 5 2 3" xfId="20746" xr:uid="{4F219E58-5A21-40D2-8761-023123E15579}"/>
    <cellStyle name="Normal 2 4 2 3 5 2 4" xfId="11465" xr:uid="{D6057D83-AB09-4C08-971A-BB0FB83F34AC}"/>
    <cellStyle name="Normal 2 4 2 3 5 3" xfId="5088" xr:uid="{00000000-0005-0000-0000-0000270F0000}"/>
    <cellStyle name="Normal 2 4 2 3 5 3 2" xfId="22818" xr:uid="{DFB5355F-F9C4-4FC9-B05B-F570DADA8238}"/>
    <cellStyle name="Normal 2 4 2 3 5 3 3" xfId="13538" xr:uid="{87B3F1DB-8266-4E73-B47C-9064FED0BEFF}"/>
    <cellStyle name="Normal 2 4 2 3 5 4" xfId="18601" xr:uid="{60706891-A002-4ACD-8BD0-64DC60161448}"/>
    <cellStyle name="Normal 2 4 2 3 5 5" xfId="17773" xr:uid="{03FA005D-692F-4B9A-86AD-F22D5D41D3F9}"/>
    <cellStyle name="Normal 2 4 2 3 5 6" xfId="9320" xr:uid="{F671FDC0-465C-4B00-9275-83079470777D}"/>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25376" xr:uid="{326F7B13-C927-41AE-8F9E-65B7CB65BCBC}"/>
    <cellStyle name="Normal 2 4 2 3 6 2 2 3" xfId="16096" xr:uid="{95C50276-4B52-482D-9919-8D817EA0E759}"/>
    <cellStyle name="Normal 2 4 2 3 6 2 3" xfId="21159" xr:uid="{7636FDA4-B806-4452-B676-840CFD4B844D}"/>
    <cellStyle name="Normal 2 4 2 3 6 2 4" xfId="11878" xr:uid="{61EB89C7-5495-4277-995A-28B8381A7FB0}"/>
    <cellStyle name="Normal 2 4 2 3 6 3" xfId="5501" xr:uid="{00000000-0005-0000-0000-00002B0F0000}"/>
    <cellStyle name="Normal 2 4 2 3 6 3 2" xfId="23231" xr:uid="{415D3F64-9174-4764-9BF9-A4AB278D5348}"/>
    <cellStyle name="Normal 2 4 2 3 6 3 3" xfId="13951" xr:uid="{4FF8E009-B2AA-441A-BA40-C451DEDF0BF9}"/>
    <cellStyle name="Normal 2 4 2 3 6 4" xfId="19014" xr:uid="{8FA97F4E-0B82-40EE-A0C2-553F2FA1748B}"/>
    <cellStyle name="Normal 2 4 2 3 6 5" xfId="9733" xr:uid="{793D9C2D-08A8-4AEC-9670-EB51BF3ED0CB}"/>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25789" xr:uid="{B60443AA-28DC-4219-9234-12D030E59A9F}"/>
    <cellStyle name="Normal 2 4 2 3 7 2 2 3" xfId="16509" xr:uid="{10D2EEBA-1FD7-4168-AAAB-F0F500249D4B}"/>
    <cellStyle name="Normal 2 4 2 3 7 2 3" xfId="21572" xr:uid="{4B9FD074-D6FC-4E10-B7B4-E4B31EC348CF}"/>
    <cellStyle name="Normal 2 4 2 3 7 2 4" xfId="12291" xr:uid="{DC1AFFCE-BFA4-4EE8-A20D-E92AF334AA3C}"/>
    <cellStyle name="Normal 2 4 2 3 7 3" xfId="5914" xr:uid="{00000000-0005-0000-0000-00002F0F0000}"/>
    <cellStyle name="Normal 2 4 2 3 7 3 2" xfId="23644" xr:uid="{1018E292-5062-45D8-9978-AEA61212A422}"/>
    <cellStyle name="Normal 2 4 2 3 7 3 3" xfId="14364" xr:uid="{61A9D975-E024-420F-AD9D-FDFF1D7A55F4}"/>
    <cellStyle name="Normal 2 4 2 3 7 4" xfId="19427" xr:uid="{3775420D-90AB-456E-B3C2-7E719AFFF70A}"/>
    <cellStyle name="Normal 2 4 2 3 7 5" xfId="10146" xr:uid="{68A78A03-A550-4E30-8FC6-13EF1397EEFA}"/>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26202" xr:uid="{A9A615CF-1F45-4E50-AD2B-EA0FB07E7D13}"/>
    <cellStyle name="Normal 2 4 2 3 8 2 2 3" xfId="16922" xr:uid="{D6DE4095-36E8-4CAE-BFCC-A5C809CD263A}"/>
    <cellStyle name="Normal 2 4 2 3 8 2 3" xfId="21985" xr:uid="{4F65376A-CB56-44EE-A53C-755F0E9FEA73}"/>
    <cellStyle name="Normal 2 4 2 3 8 2 4" xfId="12704" xr:uid="{1C09198B-68EC-4AE7-AB88-076C7597D666}"/>
    <cellStyle name="Normal 2 4 2 3 8 3" xfId="6327" xr:uid="{00000000-0005-0000-0000-0000330F0000}"/>
    <cellStyle name="Normal 2 4 2 3 8 3 2" xfId="24057" xr:uid="{DA96FDDE-8FED-4366-BA0E-F291319AB40F}"/>
    <cellStyle name="Normal 2 4 2 3 8 3 3" xfId="14777" xr:uid="{D47E1185-745F-4891-AE2E-7B656D57AC7A}"/>
    <cellStyle name="Normal 2 4 2 3 8 4" xfId="19840" xr:uid="{023EB8CD-098C-4BFA-B315-7E6CBB7CB719}"/>
    <cellStyle name="Normal 2 4 2 3 8 5" xfId="10559" xr:uid="{5CB080FB-73C1-4612-B7E8-B460C385AD63}"/>
    <cellStyle name="Normal 2 4 2 3 9" xfId="2457" xr:uid="{00000000-0005-0000-0000-0000340F0000}"/>
    <cellStyle name="Normal 2 4 2 3 9 2" xfId="6740" xr:uid="{00000000-0005-0000-0000-0000350F0000}"/>
    <cellStyle name="Normal 2 4 2 3 9 2 2" xfId="24470" xr:uid="{CD628BC3-07E0-485A-A5D4-481E07896F40}"/>
    <cellStyle name="Normal 2 4 2 3 9 2 3" xfId="15190" xr:uid="{076B4D65-63F7-4312-BB70-2C56C8C0C001}"/>
    <cellStyle name="Normal 2 4 2 3 9 3" xfId="20253" xr:uid="{23765392-546B-4A40-A330-546112D92027}"/>
    <cellStyle name="Normal 2 4 2 3 9 4" xfId="10972" xr:uid="{0C0475C6-66B0-4DAF-8D5A-8077D6257CF6}"/>
    <cellStyle name="Normal 2 4 2 4" xfId="289" xr:uid="{00000000-0005-0000-0000-0000360F0000}"/>
    <cellStyle name="Normal 2 4 2 4 10" xfId="18195" xr:uid="{C818DE96-BBAB-41A2-B91E-2A529FCE9902}"/>
    <cellStyle name="Normal 2 4 2 4 11" xfId="17362" xr:uid="{40C4BA59-2210-44F0-A090-65516D10F7F9}"/>
    <cellStyle name="Normal 2 4 2 4 12" xfId="8914" xr:uid="{2D675D3E-0932-4C8C-811F-4AA557E9BAD2}"/>
    <cellStyle name="Normal 2 4 2 4 2" xfId="290" xr:uid="{00000000-0005-0000-0000-0000370F0000}"/>
    <cellStyle name="Normal 2 4 2 4 2 10" xfId="17363" xr:uid="{3C6C133C-E7DE-4C91-AEE5-EB2EF085EAD9}"/>
    <cellStyle name="Normal 2 4 2 4 2 11" xfId="8915" xr:uid="{A6E4FA79-5586-415D-8D3C-7262D1201C8A}"/>
    <cellStyle name="Normal 2 4 2 4 2 2" xfId="291" xr:uid="{00000000-0005-0000-0000-0000380F0000}"/>
    <cellStyle name="Normal 2 4 2 4 2 2 10" xfId="8916" xr:uid="{360C578C-D2E1-42C0-966E-2755A7CE8975}"/>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24973" xr:uid="{5BB88E2F-8554-476A-BA72-EDBC29AA9E32}"/>
    <cellStyle name="Normal 2 4 2 4 2 2 2 2 2 3" xfId="15693" xr:uid="{2E4CF3FB-248D-414E-905C-F8C6E90604A6}"/>
    <cellStyle name="Normal 2 4 2 4 2 2 2 2 3" xfId="20756" xr:uid="{D9B17FB1-2286-431E-8A0C-B146539FF05B}"/>
    <cellStyle name="Normal 2 4 2 4 2 2 2 2 4" xfId="11475" xr:uid="{CCA21190-5AB8-49A3-BAA4-FA6BCBE3D78A}"/>
    <cellStyle name="Normal 2 4 2 4 2 2 2 3" xfId="5098" xr:uid="{00000000-0005-0000-0000-00003C0F0000}"/>
    <cellStyle name="Normal 2 4 2 4 2 2 2 3 2" xfId="22828" xr:uid="{4F4317EE-E7FE-4368-94ED-1FC12CCE3DC5}"/>
    <cellStyle name="Normal 2 4 2 4 2 2 2 3 3" xfId="13548" xr:uid="{952F9D65-50FF-4B6A-A9D1-D06CA2278E5F}"/>
    <cellStyle name="Normal 2 4 2 4 2 2 2 4" xfId="18611" xr:uid="{F33B1B43-159C-4BF7-88B5-837384836DC0}"/>
    <cellStyle name="Normal 2 4 2 4 2 2 2 5" xfId="17783" xr:uid="{A0E2594E-D562-465D-8302-43FFDEDAC66C}"/>
    <cellStyle name="Normal 2 4 2 4 2 2 2 6" xfId="9330" xr:uid="{9B35A87C-C150-482A-A56E-F341CE9F7643}"/>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25386" xr:uid="{31A653E5-2B45-4E85-A20F-DF0BBD36BBD7}"/>
    <cellStyle name="Normal 2 4 2 4 2 2 3 2 2 3" xfId="16106" xr:uid="{872EA021-2824-49F5-A146-6EDB840041AE}"/>
    <cellStyle name="Normal 2 4 2 4 2 2 3 2 3" xfId="21169" xr:uid="{D9CF1ADB-3077-47AA-A30E-8D73F2AF71FD}"/>
    <cellStyle name="Normal 2 4 2 4 2 2 3 2 4" xfId="11888" xr:uid="{D7B94D81-2FE2-4662-99BA-BA87F6FA84B3}"/>
    <cellStyle name="Normal 2 4 2 4 2 2 3 3" xfId="5511" xr:uid="{00000000-0005-0000-0000-0000400F0000}"/>
    <cellStyle name="Normal 2 4 2 4 2 2 3 3 2" xfId="23241" xr:uid="{E6E2B052-666D-43CC-8587-AC12DB49595E}"/>
    <cellStyle name="Normal 2 4 2 4 2 2 3 3 3" xfId="13961" xr:uid="{805929D3-E9BF-461E-AD77-D0E86CAF2704}"/>
    <cellStyle name="Normal 2 4 2 4 2 2 3 4" xfId="19024" xr:uid="{90C143DE-7AC8-4AAA-A20B-405F4482299E}"/>
    <cellStyle name="Normal 2 4 2 4 2 2 3 5" xfId="9743" xr:uid="{B6192AB9-E0C1-4887-BF17-70EA19A3EEE6}"/>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25799" xr:uid="{5E029006-40AF-415C-B390-59535F8FBFF1}"/>
    <cellStyle name="Normal 2 4 2 4 2 2 4 2 2 3" xfId="16519" xr:uid="{D05F2AED-2A76-4621-B943-2E943CF10E89}"/>
    <cellStyle name="Normal 2 4 2 4 2 2 4 2 3" xfId="21582" xr:uid="{19C835F4-2BF5-4A90-8488-1366E50015E6}"/>
    <cellStyle name="Normal 2 4 2 4 2 2 4 2 4" xfId="12301" xr:uid="{04E00B0D-6E82-4C38-8408-386F98E54D67}"/>
    <cellStyle name="Normal 2 4 2 4 2 2 4 3" xfId="5924" xr:uid="{00000000-0005-0000-0000-0000440F0000}"/>
    <cellStyle name="Normal 2 4 2 4 2 2 4 3 2" xfId="23654" xr:uid="{89674B73-AAFB-4851-9A86-AC7CFD32E9D8}"/>
    <cellStyle name="Normal 2 4 2 4 2 2 4 3 3" xfId="14374" xr:uid="{F9C3FAC1-C356-401F-ADB2-7A6E31F9EE55}"/>
    <cellStyle name="Normal 2 4 2 4 2 2 4 4" xfId="19437" xr:uid="{C2E9250C-34B9-45AC-8996-8AFC206BF31B}"/>
    <cellStyle name="Normal 2 4 2 4 2 2 4 5" xfId="10156" xr:uid="{0CCB11AC-18AC-4810-9000-6989A344E18D}"/>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26212" xr:uid="{F2790369-E4D4-4F85-8B15-6BD370A7159A}"/>
    <cellStyle name="Normal 2 4 2 4 2 2 5 2 2 3" xfId="16932" xr:uid="{AFB1A717-9E3F-4623-A9CC-5ECEA17ACF76}"/>
    <cellStyle name="Normal 2 4 2 4 2 2 5 2 3" xfId="21995" xr:uid="{567B28E6-B5CE-4729-AB21-CDDE08117BAB}"/>
    <cellStyle name="Normal 2 4 2 4 2 2 5 2 4" xfId="12714" xr:uid="{FF8A49DB-3BDC-4BE1-A11E-2E02DC6861FE}"/>
    <cellStyle name="Normal 2 4 2 4 2 2 5 3" xfId="6337" xr:uid="{00000000-0005-0000-0000-0000480F0000}"/>
    <cellStyle name="Normal 2 4 2 4 2 2 5 3 2" xfId="24067" xr:uid="{C44AD841-6BD7-4DE2-88C1-EBB03E5C1226}"/>
    <cellStyle name="Normal 2 4 2 4 2 2 5 3 3" xfId="14787" xr:uid="{19287265-6D78-42E9-8E52-91777FBE80A5}"/>
    <cellStyle name="Normal 2 4 2 4 2 2 5 4" xfId="19850" xr:uid="{03FD4EBD-72B1-4367-B946-1E35684DEEB7}"/>
    <cellStyle name="Normal 2 4 2 4 2 2 5 5" xfId="10569" xr:uid="{D1764545-006E-4056-A6E8-7E9E2EDA96D9}"/>
    <cellStyle name="Normal 2 4 2 4 2 2 6" xfId="2467" xr:uid="{00000000-0005-0000-0000-0000490F0000}"/>
    <cellStyle name="Normal 2 4 2 4 2 2 6 2" xfId="6750" xr:uid="{00000000-0005-0000-0000-00004A0F0000}"/>
    <cellStyle name="Normal 2 4 2 4 2 2 6 2 2" xfId="24480" xr:uid="{81CE1EBF-E9E3-4070-BA29-79B864D53DDF}"/>
    <cellStyle name="Normal 2 4 2 4 2 2 6 2 3" xfId="15200" xr:uid="{62DF8415-4D61-48C6-8E4A-ECE8677FFA79}"/>
    <cellStyle name="Normal 2 4 2 4 2 2 6 3" xfId="20263" xr:uid="{5A80A18E-9595-4E49-A51A-4A60CDA22B88}"/>
    <cellStyle name="Normal 2 4 2 4 2 2 6 4" xfId="10982" xr:uid="{F190291B-03D2-4575-8587-AC3214E86F71}"/>
    <cellStyle name="Normal 2 4 2 4 2 2 7" xfId="4684" xr:uid="{00000000-0005-0000-0000-00004B0F0000}"/>
    <cellStyle name="Normal 2 4 2 4 2 2 7 2" xfId="22414" xr:uid="{DED35405-EF8C-4258-8FEC-84FCB217B99E}"/>
    <cellStyle name="Normal 2 4 2 4 2 2 7 3" xfId="13134" xr:uid="{01131B92-6B08-424A-96F5-731E9249976E}"/>
    <cellStyle name="Normal 2 4 2 4 2 2 8" xfId="18197" xr:uid="{F31DF0CC-2876-479D-90C9-55C153C698FD}"/>
    <cellStyle name="Normal 2 4 2 4 2 2 9" xfId="17364" xr:uid="{606887BF-C744-44C0-8BC9-4B7447E39AE8}"/>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24972" xr:uid="{AB9A24D9-0FDE-4FEE-9BC2-350E3DFB5F8B}"/>
    <cellStyle name="Normal 2 4 2 4 2 3 2 2 3" xfId="15692" xr:uid="{3964188D-3760-474F-A2D7-5627DE75CA3C}"/>
    <cellStyle name="Normal 2 4 2 4 2 3 2 3" xfId="20755" xr:uid="{5FE01DB6-602E-485B-B622-EEC54151C072}"/>
    <cellStyle name="Normal 2 4 2 4 2 3 2 4" xfId="11474" xr:uid="{EE1B0F06-39AC-42D5-A83D-D4976B738B98}"/>
    <cellStyle name="Normal 2 4 2 4 2 3 3" xfId="5097" xr:uid="{00000000-0005-0000-0000-00004F0F0000}"/>
    <cellStyle name="Normal 2 4 2 4 2 3 3 2" xfId="22827" xr:uid="{B6394902-1E26-48A7-8F6E-69B3A835B065}"/>
    <cellStyle name="Normal 2 4 2 4 2 3 3 3" xfId="13547" xr:uid="{B1907E76-1604-4D5D-8C22-A5C613FE430E}"/>
    <cellStyle name="Normal 2 4 2 4 2 3 4" xfId="18610" xr:uid="{79E78612-C463-4A97-8358-365C841EE55A}"/>
    <cellStyle name="Normal 2 4 2 4 2 3 5" xfId="17782" xr:uid="{9E6BB619-C87D-49BD-AA7B-D8502C33D828}"/>
    <cellStyle name="Normal 2 4 2 4 2 3 6" xfId="9329" xr:uid="{8316B431-BA26-41EF-9D3B-1E68F395A144}"/>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25385" xr:uid="{FD360FE4-0A4D-4A0F-A0E2-29582DD349DC}"/>
    <cellStyle name="Normal 2 4 2 4 2 4 2 2 3" xfId="16105" xr:uid="{F3D79E72-BE82-43BA-B5F7-B5C0C8B8DB9C}"/>
    <cellStyle name="Normal 2 4 2 4 2 4 2 3" xfId="21168" xr:uid="{AC8005AC-C3E2-4F73-90C6-8764FEAAA276}"/>
    <cellStyle name="Normal 2 4 2 4 2 4 2 4" xfId="11887" xr:uid="{DEBC95DC-0B63-4211-A3E1-B771F89E05D5}"/>
    <cellStyle name="Normal 2 4 2 4 2 4 3" xfId="5510" xr:uid="{00000000-0005-0000-0000-0000530F0000}"/>
    <cellStyle name="Normal 2 4 2 4 2 4 3 2" xfId="23240" xr:uid="{87C69A2F-BBA7-4F1E-9B4D-59A47025097D}"/>
    <cellStyle name="Normal 2 4 2 4 2 4 3 3" xfId="13960" xr:uid="{51D5F6DA-CC10-4F5A-9318-73FEEAA76D81}"/>
    <cellStyle name="Normal 2 4 2 4 2 4 4" xfId="19023" xr:uid="{C6DA129D-D6B7-4C5B-AEAB-259AA82AF8B3}"/>
    <cellStyle name="Normal 2 4 2 4 2 4 5" xfId="9742" xr:uid="{83B83423-9026-4B97-8384-1FBE08548DC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25798" xr:uid="{0C81C13A-1A1B-4B2E-B96B-F663A6475355}"/>
    <cellStyle name="Normal 2 4 2 4 2 5 2 2 3" xfId="16518" xr:uid="{C9167E77-0D7F-4F3F-9087-A9CCC6AA479A}"/>
    <cellStyle name="Normal 2 4 2 4 2 5 2 3" xfId="21581" xr:uid="{3EF49964-7A6A-486C-8B04-B45E275682F1}"/>
    <cellStyle name="Normal 2 4 2 4 2 5 2 4" xfId="12300" xr:uid="{D6896A95-847F-428D-9CDB-681CA7D8EF15}"/>
    <cellStyle name="Normal 2 4 2 4 2 5 3" xfId="5923" xr:uid="{00000000-0005-0000-0000-0000570F0000}"/>
    <cellStyle name="Normal 2 4 2 4 2 5 3 2" xfId="23653" xr:uid="{C6073C38-B94F-4622-BAF0-F676E747E5A6}"/>
    <cellStyle name="Normal 2 4 2 4 2 5 3 3" xfId="14373" xr:uid="{F2541A82-21D1-4CE6-855E-CA8F4C6D73AE}"/>
    <cellStyle name="Normal 2 4 2 4 2 5 4" xfId="19436" xr:uid="{EC0D251E-E592-49E5-98D1-7BF45582FE00}"/>
    <cellStyle name="Normal 2 4 2 4 2 5 5" xfId="10155" xr:uid="{931B1CDF-7712-4AA1-BC1A-DAC1C81DEAE3}"/>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26211" xr:uid="{20DD6DEC-6DA6-474D-A25A-30E3F244E19A}"/>
    <cellStyle name="Normal 2 4 2 4 2 6 2 2 3" xfId="16931" xr:uid="{9F2B7F98-C762-4790-8E3F-8A789C33FCDC}"/>
    <cellStyle name="Normal 2 4 2 4 2 6 2 3" xfId="21994" xr:uid="{3823A7B7-50C0-41CE-8BC7-1872F639812E}"/>
    <cellStyle name="Normal 2 4 2 4 2 6 2 4" xfId="12713" xr:uid="{39DF1DAD-95E1-4C06-959D-10ED97DAB1FD}"/>
    <cellStyle name="Normal 2 4 2 4 2 6 3" xfId="6336" xr:uid="{00000000-0005-0000-0000-00005B0F0000}"/>
    <cellStyle name="Normal 2 4 2 4 2 6 3 2" xfId="24066" xr:uid="{A3D22F45-DC3D-4DEA-BEEE-C2A7670DFEBC}"/>
    <cellStyle name="Normal 2 4 2 4 2 6 3 3" xfId="14786" xr:uid="{F6F258C0-F952-46EA-91B6-6BF7B0A920B0}"/>
    <cellStyle name="Normal 2 4 2 4 2 6 4" xfId="19849" xr:uid="{380B6CF0-3191-48F5-89B5-393B7F74FE84}"/>
    <cellStyle name="Normal 2 4 2 4 2 6 5" xfId="10568" xr:uid="{BC487932-1740-47AE-85DD-8C6D67A35023}"/>
    <cellStyle name="Normal 2 4 2 4 2 7" xfId="2466" xr:uid="{00000000-0005-0000-0000-00005C0F0000}"/>
    <cellStyle name="Normal 2 4 2 4 2 7 2" xfId="6749" xr:uid="{00000000-0005-0000-0000-00005D0F0000}"/>
    <cellStyle name="Normal 2 4 2 4 2 7 2 2" xfId="24479" xr:uid="{0DA4B6B5-1B12-4430-B3A6-C76C5E9E262C}"/>
    <cellStyle name="Normal 2 4 2 4 2 7 2 3" xfId="15199" xr:uid="{D9C029BE-1275-4EBD-AC3C-30E2E948CC72}"/>
    <cellStyle name="Normal 2 4 2 4 2 7 3" xfId="20262" xr:uid="{1F411657-A388-48DC-B4FA-E6693E15C3BF}"/>
    <cellStyle name="Normal 2 4 2 4 2 7 4" xfId="10981" xr:uid="{D1B78724-B0F4-4EBE-B2A8-C822C9C8B33D}"/>
    <cellStyle name="Normal 2 4 2 4 2 8" xfId="4683" xr:uid="{00000000-0005-0000-0000-00005E0F0000}"/>
    <cellStyle name="Normal 2 4 2 4 2 8 2" xfId="22413" xr:uid="{7EDD5EDA-37B4-40F0-A660-B72A207FDDD6}"/>
    <cellStyle name="Normal 2 4 2 4 2 8 3" xfId="13133" xr:uid="{9825B60E-72FD-498B-BAAF-242D4C671FC7}"/>
    <cellStyle name="Normal 2 4 2 4 2 9" xfId="18196" xr:uid="{87BAEBD2-AC23-4AEC-A8B6-27544A76EAA0}"/>
    <cellStyle name="Normal 2 4 2 4 3" xfId="292" xr:uid="{00000000-0005-0000-0000-00005F0F0000}"/>
    <cellStyle name="Normal 2 4 2 4 3 10" xfId="8917" xr:uid="{E329588F-0B22-497B-A5E0-DF4B2A0B80A2}"/>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24974" xr:uid="{7F64A1BD-2753-42AD-ACE6-2D6B002F0F5E}"/>
    <cellStyle name="Normal 2 4 2 4 3 2 2 2 3" xfId="15694" xr:uid="{3CA3D7EA-5E46-455D-9D61-6BE10C23048C}"/>
    <cellStyle name="Normal 2 4 2 4 3 2 2 3" xfId="20757" xr:uid="{D1410521-9A66-48CF-9981-98163B589A28}"/>
    <cellStyle name="Normal 2 4 2 4 3 2 2 4" xfId="11476" xr:uid="{4F9CE9F8-474A-4809-B4BF-20B0CB0F4F90}"/>
    <cellStyle name="Normal 2 4 2 4 3 2 3" xfId="5099" xr:uid="{00000000-0005-0000-0000-0000630F0000}"/>
    <cellStyle name="Normal 2 4 2 4 3 2 3 2" xfId="22829" xr:uid="{A8C70BD0-5B30-4CB0-B0A6-FE1E58F18233}"/>
    <cellStyle name="Normal 2 4 2 4 3 2 3 3" xfId="13549" xr:uid="{FECCBC68-B7E5-4CDA-B250-6090CD10F85B}"/>
    <cellStyle name="Normal 2 4 2 4 3 2 4" xfId="18612" xr:uid="{FCFE9364-E7B1-4391-9077-794F793EF162}"/>
    <cellStyle name="Normal 2 4 2 4 3 2 5" xfId="17784" xr:uid="{BF4D2AC8-4836-40FF-AEFC-F6AEAEAEB18F}"/>
    <cellStyle name="Normal 2 4 2 4 3 2 6" xfId="9331" xr:uid="{16E46875-2E6C-485B-9344-3A84FD869071}"/>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25387" xr:uid="{1D6FD8A4-6256-4321-B09D-CC5CD7B46F96}"/>
    <cellStyle name="Normal 2 4 2 4 3 3 2 2 3" xfId="16107" xr:uid="{29840BAE-93C8-42C4-ABFB-57740F6CD6A5}"/>
    <cellStyle name="Normal 2 4 2 4 3 3 2 3" xfId="21170" xr:uid="{90607467-9FB6-4AD7-A6DC-5E3CEA31A630}"/>
    <cellStyle name="Normal 2 4 2 4 3 3 2 4" xfId="11889" xr:uid="{D0923318-737F-4BAB-A8A3-ED88E4750143}"/>
    <cellStyle name="Normal 2 4 2 4 3 3 3" xfId="5512" xr:uid="{00000000-0005-0000-0000-0000670F0000}"/>
    <cellStyle name="Normal 2 4 2 4 3 3 3 2" xfId="23242" xr:uid="{70EB27A9-1AF8-4627-814A-369A5032EC11}"/>
    <cellStyle name="Normal 2 4 2 4 3 3 3 3" xfId="13962" xr:uid="{B8CAF251-2442-4BAB-A5A5-7E7768905FB4}"/>
    <cellStyle name="Normal 2 4 2 4 3 3 4" xfId="19025" xr:uid="{D9C8043D-3689-48DB-96AE-E52ABB0540E8}"/>
    <cellStyle name="Normal 2 4 2 4 3 3 5" xfId="9744" xr:uid="{3069C04F-37F4-45F5-B037-873948CD6F7C}"/>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25800" xr:uid="{129BA231-479C-435E-B7D4-82092F1744B5}"/>
    <cellStyle name="Normal 2 4 2 4 3 4 2 2 3" xfId="16520" xr:uid="{9F339A3D-EACD-4330-ADFB-FE037736BE21}"/>
    <cellStyle name="Normal 2 4 2 4 3 4 2 3" xfId="21583" xr:uid="{F253E317-A15F-4EAB-8867-55BC3C360C28}"/>
    <cellStyle name="Normal 2 4 2 4 3 4 2 4" xfId="12302" xr:uid="{31AE8A3A-00C4-4847-86AF-E0893DA759C2}"/>
    <cellStyle name="Normal 2 4 2 4 3 4 3" xfId="5925" xr:uid="{00000000-0005-0000-0000-00006B0F0000}"/>
    <cellStyle name="Normal 2 4 2 4 3 4 3 2" xfId="23655" xr:uid="{BE0D0161-8EE8-483B-89EF-F84A3A9B7B8B}"/>
    <cellStyle name="Normal 2 4 2 4 3 4 3 3" xfId="14375" xr:uid="{902ACBF3-7689-413D-8BE0-98703BDACAC0}"/>
    <cellStyle name="Normal 2 4 2 4 3 4 4" xfId="19438" xr:uid="{EACB4C65-698A-460A-AD54-C2774AA2C224}"/>
    <cellStyle name="Normal 2 4 2 4 3 4 5" xfId="10157" xr:uid="{3FC08534-E953-42D4-8731-DABA1FA97A2A}"/>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26213" xr:uid="{EC0AF6BA-3B9C-4805-BB26-99D58B62665F}"/>
    <cellStyle name="Normal 2 4 2 4 3 5 2 2 3" xfId="16933" xr:uid="{1B538307-8109-42FA-B601-C64318895C37}"/>
    <cellStyle name="Normal 2 4 2 4 3 5 2 3" xfId="21996" xr:uid="{CB45847D-76B5-4C6D-A150-8C9D5CA42CDE}"/>
    <cellStyle name="Normal 2 4 2 4 3 5 2 4" xfId="12715" xr:uid="{812CA716-94A3-4F94-B0FA-5384245D922D}"/>
    <cellStyle name="Normal 2 4 2 4 3 5 3" xfId="6338" xr:uid="{00000000-0005-0000-0000-00006F0F0000}"/>
    <cellStyle name="Normal 2 4 2 4 3 5 3 2" xfId="24068" xr:uid="{09D87CEB-8DDA-4398-BB9E-7E0C48E23EE8}"/>
    <cellStyle name="Normal 2 4 2 4 3 5 3 3" xfId="14788" xr:uid="{84145A23-9924-4C1F-9CB0-1DFD3EFEDE72}"/>
    <cellStyle name="Normal 2 4 2 4 3 5 4" xfId="19851" xr:uid="{F2C6FAC5-9CF5-4C38-91FC-774F73C59A18}"/>
    <cellStyle name="Normal 2 4 2 4 3 5 5" xfId="10570" xr:uid="{68CD97B4-0ADD-4D92-A5C4-A37A2730CABC}"/>
    <cellStyle name="Normal 2 4 2 4 3 6" xfId="2468" xr:uid="{00000000-0005-0000-0000-0000700F0000}"/>
    <cellStyle name="Normal 2 4 2 4 3 6 2" xfId="6751" xr:uid="{00000000-0005-0000-0000-0000710F0000}"/>
    <cellStyle name="Normal 2 4 2 4 3 6 2 2" xfId="24481" xr:uid="{772242B1-363E-4298-A28B-8B2BE4C5C9C8}"/>
    <cellStyle name="Normal 2 4 2 4 3 6 2 3" xfId="15201" xr:uid="{733E40F3-19C5-4AC3-B654-8CF33982E789}"/>
    <cellStyle name="Normal 2 4 2 4 3 6 3" xfId="20264" xr:uid="{103F481B-E31A-472B-B245-A95CA82E0C84}"/>
    <cellStyle name="Normal 2 4 2 4 3 6 4" xfId="10983" xr:uid="{44CAD11A-1516-47C2-8C0B-AB48BDE09EEF}"/>
    <cellStyle name="Normal 2 4 2 4 3 7" xfId="4685" xr:uid="{00000000-0005-0000-0000-0000720F0000}"/>
    <cellStyle name="Normal 2 4 2 4 3 7 2" xfId="22415" xr:uid="{B7D75C4A-3440-4381-B012-CBCF5436AB77}"/>
    <cellStyle name="Normal 2 4 2 4 3 7 3" xfId="13135" xr:uid="{8300A10D-0A9C-4660-AE7E-C5E06D862A82}"/>
    <cellStyle name="Normal 2 4 2 4 3 8" xfId="18198" xr:uid="{1B022B02-9A94-41AE-B45B-0186CE01DDB7}"/>
    <cellStyle name="Normal 2 4 2 4 3 9" xfId="17365" xr:uid="{458977E2-88B8-457A-AE51-10F775C39B45}"/>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24971" xr:uid="{120068FF-E6AF-4085-BC17-045BD328959C}"/>
    <cellStyle name="Normal 2 4 2 4 4 2 2 3" xfId="15691" xr:uid="{39DC5F83-390A-4CDB-A78C-F6452A65CB5E}"/>
    <cellStyle name="Normal 2 4 2 4 4 2 3" xfId="20754" xr:uid="{370C7496-83FD-416A-B09D-E74DD7E5E26D}"/>
    <cellStyle name="Normal 2 4 2 4 4 2 4" xfId="11473" xr:uid="{41D03193-F98F-4699-9413-5F7A7EF01318}"/>
    <cellStyle name="Normal 2 4 2 4 4 3" xfId="5096" xr:uid="{00000000-0005-0000-0000-0000760F0000}"/>
    <cellStyle name="Normal 2 4 2 4 4 3 2" xfId="22826" xr:uid="{2FE14870-D904-4D86-99D6-24FDE4742ED9}"/>
    <cellStyle name="Normal 2 4 2 4 4 3 3" xfId="13546" xr:uid="{A54D0F60-C0E0-4110-B505-E2B56744D6AB}"/>
    <cellStyle name="Normal 2 4 2 4 4 4" xfId="18609" xr:uid="{314B0B4E-129B-422E-A8E1-675722F14A11}"/>
    <cellStyle name="Normal 2 4 2 4 4 5" xfId="17781" xr:uid="{145BC175-8C6F-457E-B79E-CE35456DE51E}"/>
    <cellStyle name="Normal 2 4 2 4 4 6" xfId="9328" xr:uid="{8CFF190D-5916-4A92-B96B-756EA71E401D}"/>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25384" xr:uid="{42DF727E-8F72-40A5-A6CC-F6E4034B91F8}"/>
    <cellStyle name="Normal 2 4 2 4 5 2 2 3" xfId="16104" xr:uid="{6548C6B7-F136-4DF8-85F3-34A7C4A14141}"/>
    <cellStyle name="Normal 2 4 2 4 5 2 3" xfId="21167" xr:uid="{3A6AB1D9-E5E7-4502-9DFA-7E4FCFD6644A}"/>
    <cellStyle name="Normal 2 4 2 4 5 2 4" xfId="11886" xr:uid="{99D14F6D-921E-4869-9D75-14D00E476AD0}"/>
    <cellStyle name="Normal 2 4 2 4 5 3" xfId="5509" xr:uid="{00000000-0005-0000-0000-00007A0F0000}"/>
    <cellStyle name="Normal 2 4 2 4 5 3 2" xfId="23239" xr:uid="{5E6809CD-60B3-44F1-9436-C90B3F8F968C}"/>
    <cellStyle name="Normal 2 4 2 4 5 3 3" xfId="13959" xr:uid="{D4C66D83-0912-4E43-A11C-75F41574D4E8}"/>
    <cellStyle name="Normal 2 4 2 4 5 4" xfId="19022" xr:uid="{5AE8CB60-3A88-4234-B943-E621AF30ECCB}"/>
    <cellStyle name="Normal 2 4 2 4 5 5" xfId="9741" xr:uid="{A3ADFE25-FAD3-4666-9033-43C9BD1AEDFC}"/>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25797" xr:uid="{A6E01F6D-A459-498D-9C1B-236E9102A10B}"/>
    <cellStyle name="Normal 2 4 2 4 6 2 2 3" xfId="16517" xr:uid="{B2EF386B-51EB-48A7-84DC-8C6A8552B7EA}"/>
    <cellStyle name="Normal 2 4 2 4 6 2 3" xfId="21580" xr:uid="{DE49EADB-4A98-4572-B994-725CBC0D10B9}"/>
    <cellStyle name="Normal 2 4 2 4 6 2 4" xfId="12299" xr:uid="{9DD1D7A8-F0A1-424C-91D2-992186AA2E3D}"/>
    <cellStyle name="Normal 2 4 2 4 6 3" xfId="5922" xr:uid="{00000000-0005-0000-0000-00007E0F0000}"/>
    <cellStyle name="Normal 2 4 2 4 6 3 2" xfId="23652" xr:uid="{5D70B4DD-FDE6-418C-916A-84D0F91613A3}"/>
    <cellStyle name="Normal 2 4 2 4 6 3 3" xfId="14372" xr:uid="{B3391050-2279-4F35-813A-82E2907B4288}"/>
    <cellStyle name="Normal 2 4 2 4 6 4" xfId="19435" xr:uid="{CE1DE9C4-5A05-4D29-BF07-437DA3D2F6E7}"/>
    <cellStyle name="Normal 2 4 2 4 6 5" xfId="10154" xr:uid="{62AE24DC-618E-43C2-8B8F-684F505B5BD7}"/>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26210" xr:uid="{7EC14919-016C-436E-A237-647AFC653EBB}"/>
    <cellStyle name="Normal 2 4 2 4 7 2 2 3" xfId="16930" xr:uid="{C884F820-69AB-487E-855F-69843A9D5286}"/>
    <cellStyle name="Normal 2 4 2 4 7 2 3" xfId="21993" xr:uid="{657F7682-6F03-4206-B1F5-A712FB1B5821}"/>
    <cellStyle name="Normal 2 4 2 4 7 2 4" xfId="12712" xr:uid="{CDD5332E-6472-40CD-A61C-5F14B9CD9825}"/>
    <cellStyle name="Normal 2 4 2 4 7 3" xfId="6335" xr:uid="{00000000-0005-0000-0000-0000820F0000}"/>
    <cellStyle name="Normal 2 4 2 4 7 3 2" xfId="24065" xr:uid="{769D65AD-4253-4A6A-A285-4648F736D811}"/>
    <cellStyle name="Normal 2 4 2 4 7 3 3" xfId="14785" xr:uid="{F27D415F-1AF2-454C-9B60-9289E4272215}"/>
    <cellStyle name="Normal 2 4 2 4 7 4" xfId="19848" xr:uid="{BE9F6237-555C-477C-963C-8A6B0F89C6D0}"/>
    <cellStyle name="Normal 2 4 2 4 7 5" xfId="10567" xr:uid="{7DD52DD0-7231-4111-A8FE-E41E731FB762}"/>
    <cellStyle name="Normal 2 4 2 4 8" xfId="2465" xr:uid="{00000000-0005-0000-0000-0000830F0000}"/>
    <cellStyle name="Normal 2 4 2 4 8 2" xfId="6748" xr:uid="{00000000-0005-0000-0000-0000840F0000}"/>
    <cellStyle name="Normal 2 4 2 4 8 2 2" xfId="24478" xr:uid="{B3DA50BD-1786-42AA-9ED7-E871CFA86510}"/>
    <cellStyle name="Normal 2 4 2 4 8 2 3" xfId="15198" xr:uid="{30EA2A9A-98C7-4391-BD8B-84D2E0D8757E}"/>
    <cellStyle name="Normal 2 4 2 4 8 3" xfId="20261" xr:uid="{5CCBFFF2-47E1-4AE7-A680-E3AA46BCF4A2}"/>
    <cellStyle name="Normal 2 4 2 4 8 4" xfId="10980" xr:uid="{3AED3A62-5F66-4E8E-9BBC-3D4BDBED9BF1}"/>
    <cellStyle name="Normal 2 4 2 4 9" xfId="4682" xr:uid="{00000000-0005-0000-0000-0000850F0000}"/>
    <cellStyle name="Normal 2 4 2 4 9 2" xfId="22412" xr:uid="{DAD65D1E-1DB0-4742-A24F-A43F429F75DD}"/>
    <cellStyle name="Normal 2 4 2 4 9 3" xfId="13132" xr:uid="{4C6F48B6-B048-49D2-A1E4-6DABA0084434}"/>
    <cellStyle name="Normal 2 4 2 5" xfId="293" xr:uid="{00000000-0005-0000-0000-0000860F0000}"/>
    <cellStyle name="Normal 2 4 2 5 10" xfId="17366" xr:uid="{51725A8C-2C46-442D-B9CF-A2A73A4AA801}"/>
    <cellStyle name="Normal 2 4 2 5 11" xfId="8918" xr:uid="{C697EE7A-7573-4A5F-AAA3-25A618184607}"/>
    <cellStyle name="Normal 2 4 2 5 2" xfId="294" xr:uid="{00000000-0005-0000-0000-0000870F0000}"/>
    <cellStyle name="Normal 2 4 2 5 2 10" xfId="8919" xr:uid="{A09BB9C5-85FD-475D-B93D-BA7377D43F81}"/>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24976" xr:uid="{08A54320-D1AC-4753-A4CC-D9718D9399E7}"/>
    <cellStyle name="Normal 2 4 2 5 2 2 2 2 3" xfId="15696" xr:uid="{B0C430DA-A2DC-45C4-8905-B13DEF265C6E}"/>
    <cellStyle name="Normal 2 4 2 5 2 2 2 3" xfId="20759" xr:uid="{4FFEE8AE-F4D4-4F58-9F84-B0CD6C6BD7DB}"/>
    <cellStyle name="Normal 2 4 2 5 2 2 2 4" xfId="11478" xr:uid="{C61C56F7-3596-49B6-AF45-52DB1AF03853}"/>
    <cellStyle name="Normal 2 4 2 5 2 2 3" xfId="5101" xr:uid="{00000000-0005-0000-0000-00008B0F0000}"/>
    <cellStyle name="Normal 2 4 2 5 2 2 3 2" xfId="22831" xr:uid="{877660B9-D62B-4313-AAE4-7D4D2A236D2C}"/>
    <cellStyle name="Normal 2 4 2 5 2 2 3 3" xfId="13551" xr:uid="{90A40DD8-1CFE-43B7-AD4E-F8D0F7E744A4}"/>
    <cellStyle name="Normal 2 4 2 5 2 2 4" xfId="18614" xr:uid="{B6B7203B-A0EF-476F-A7CA-835ED22E7DEE}"/>
    <cellStyle name="Normal 2 4 2 5 2 2 5" xfId="17786" xr:uid="{D38B9514-AB06-4758-BF8E-CC4D0DC8B9D0}"/>
    <cellStyle name="Normal 2 4 2 5 2 2 6" xfId="9333" xr:uid="{8DAC3F40-FDE3-40CC-A9A8-C312BE2F17A4}"/>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25389" xr:uid="{B0FA7AA4-D443-4B89-A79E-E5F9E4AD5B79}"/>
    <cellStyle name="Normal 2 4 2 5 2 3 2 2 3" xfId="16109" xr:uid="{612DDC87-A9D7-4DC9-962D-34493A2EDFFF}"/>
    <cellStyle name="Normal 2 4 2 5 2 3 2 3" xfId="21172" xr:uid="{2634E3E8-A004-4FFB-BBD9-976F8AD63B10}"/>
    <cellStyle name="Normal 2 4 2 5 2 3 2 4" xfId="11891" xr:uid="{0C14471B-E388-4B83-AFD2-10357B055392}"/>
    <cellStyle name="Normal 2 4 2 5 2 3 3" xfId="5514" xr:uid="{00000000-0005-0000-0000-00008F0F0000}"/>
    <cellStyle name="Normal 2 4 2 5 2 3 3 2" xfId="23244" xr:uid="{138850A7-53B9-47EA-BD56-5B69F2D96483}"/>
    <cellStyle name="Normal 2 4 2 5 2 3 3 3" xfId="13964" xr:uid="{FEAD5B34-8046-4481-96DD-0F668C699E33}"/>
    <cellStyle name="Normal 2 4 2 5 2 3 4" xfId="19027" xr:uid="{A286CDBE-A3F5-4D9B-9477-A783389D4C3B}"/>
    <cellStyle name="Normal 2 4 2 5 2 3 5" xfId="9746" xr:uid="{236C09EC-4C4D-4534-8A77-C6FBA1C45597}"/>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25802" xr:uid="{956C8DD9-03E2-4C54-A903-2B7235F79B8F}"/>
    <cellStyle name="Normal 2 4 2 5 2 4 2 2 3" xfId="16522" xr:uid="{338B1DC2-CBC7-4E10-A5E8-4BE938852850}"/>
    <cellStyle name="Normal 2 4 2 5 2 4 2 3" xfId="21585" xr:uid="{3F99D2BE-182B-46C1-80EE-BF31636D4062}"/>
    <cellStyle name="Normal 2 4 2 5 2 4 2 4" xfId="12304" xr:uid="{1F8764DA-F24D-4FBC-A114-A4A9CF24CC58}"/>
    <cellStyle name="Normal 2 4 2 5 2 4 3" xfId="5927" xr:uid="{00000000-0005-0000-0000-0000930F0000}"/>
    <cellStyle name="Normal 2 4 2 5 2 4 3 2" xfId="23657" xr:uid="{F16E594D-DDBF-40A6-98C3-D7841F0EDE57}"/>
    <cellStyle name="Normal 2 4 2 5 2 4 3 3" xfId="14377" xr:uid="{4C04F0A7-0CBB-43B1-95DA-3C3EB4E6EB8D}"/>
    <cellStyle name="Normal 2 4 2 5 2 4 4" xfId="19440" xr:uid="{73CC31FF-C53A-43D5-BBE5-93A61A9034D9}"/>
    <cellStyle name="Normal 2 4 2 5 2 4 5" xfId="10159" xr:uid="{71C371AB-3231-4D39-A140-238C9582648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26215" xr:uid="{2146C1FF-2478-4861-B38C-8FFBB31F2A64}"/>
    <cellStyle name="Normal 2 4 2 5 2 5 2 2 3" xfId="16935" xr:uid="{EAEFB9A0-4AFA-4F6A-984D-C8F18314A1A2}"/>
    <cellStyle name="Normal 2 4 2 5 2 5 2 3" xfId="21998" xr:uid="{090C377E-D02A-4D95-BA93-276A3EDA4205}"/>
    <cellStyle name="Normal 2 4 2 5 2 5 2 4" xfId="12717" xr:uid="{65494EC5-BE64-4FA3-877F-EAF996ECA02D}"/>
    <cellStyle name="Normal 2 4 2 5 2 5 3" xfId="6340" xr:uid="{00000000-0005-0000-0000-0000970F0000}"/>
    <cellStyle name="Normal 2 4 2 5 2 5 3 2" xfId="24070" xr:uid="{C8D9C046-DED5-4CA0-9583-43BC0F0298C2}"/>
    <cellStyle name="Normal 2 4 2 5 2 5 3 3" xfId="14790" xr:uid="{D06299C1-A845-4E99-ACF2-BAF57D37C897}"/>
    <cellStyle name="Normal 2 4 2 5 2 5 4" xfId="19853" xr:uid="{B88C3DFA-D337-47C7-BCA8-ABDD14E8BB37}"/>
    <cellStyle name="Normal 2 4 2 5 2 5 5" xfId="10572" xr:uid="{1E00E1AA-1DDC-416F-A62C-5EE45C8FDA00}"/>
    <cellStyle name="Normal 2 4 2 5 2 6" xfId="2470" xr:uid="{00000000-0005-0000-0000-0000980F0000}"/>
    <cellStyle name="Normal 2 4 2 5 2 6 2" xfId="6753" xr:uid="{00000000-0005-0000-0000-0000990F0000}"/>
    <cellStyle name="Normal 2 4 2 5 2 6 2 2" xfId="24483" xr:uid="{B3C1D430-2746-4D82-8466-23228A2121A4}"/>
    <cellStyle name="Normal 2 4 2 5 2 6 2 3" xfId="15203" xr:uid="{7B612A25-A918-46B0-8404-66CFFA376991}"/>
    <cellStyle name="Normal 2 4 2 5 2 6 3" xfId="20266" xr:uid="{73E48EF5-3699-48B3-9D9E-206B43E77B54}"/>
    <cellStyle name="Normal 2 4 2 5 2 6 4" xfId="10985" xr:uid="{6780E049-0B19-46EF-9A79-D29B22422715}"/>
    <cellStyle name="Normal 2 4 2 5 2 7" xfId="4687" xr:uid="{00000000-0005-0000-0000-00009A0F0000}"/>
    <cellStyle name="Normal 2 4 2 5 2 7 2" xfId="22417" xr:uid="{D7734E95-77E6-48DC-88CB-F4B1BFF45A5D}"/>
    <cellStyle name="Normal 2 4 2 5 2 7 3" xfId="13137" xr:uid="{F3B6B081-4704-4BF6-B5FE-3598E3C9F4FC}"/>
    <cellStyle name="Normal 2 4 2 5 2 8" xfId="18200" xr:uid="{8A1A1E21-4DCF-44B6-B58D-658A90482900}"/>
    <cellStyle name="Normal 2 4 2 5 2 9" xfId="17367" xr:uid="{A48C3339-3F19-4844-868B-B3E0C92BF92A}"/>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24975" xr:uid="{C93D6B2D-17EB-4E1F-A0BB-699FCAAFC4D7}"/>
    <cellStyle name="Normal 2 4 2 5 3 2 2 3" xfId="15695" xr:uid="{940A5AA8-0DE8-45EE-99C1-468120457120}"/>
    <cellStyle name="Normal 2 4 2 5 3 2 3" xfId="20758" xr:uid="{5B1C1315-4C05-4FA8-ADFF-32BE9B2D3296}"/>
    <cellStyle name="Normal 2 4 2 5 3 2 4" xfId="11477" xr:uid="{B8D2AB6A-7946-4E15-BEFF-9D048FD4D9D0}"/>
    <cellStyle name="Normal 2 4 2 5 3 3" xfId="5100" xr:uid="{00000000-0005-0000-0000-00009E0F0000}"/>
    <cellStyle name="Normal 2 4 2 5 3 3 2" xfId="22830" xr:uid="{BE1FE4E2-D673-4028-AEA3-C50209664D92}"/>
    <cellStyle name="Normal 2 4 2 5 3 3 3" xfId="13550" xr:uid="{EBD4885C-2E23-4974-A27B-50B65E3DD250}"/>
    <cellStyle name="Normal 2 4 2 5 3 4" xfId="18613" xr:uid="{06FE5121-0579-4D96-9D50-2E4C1478819A}"/>
    <cellStyle name="Normal 2 4 2 5 3 5" xfId="17785" xr:uid="{CAC7F958-50B7-4046-98AC-AFF38498BCD9}"/>
    <cellStyle name="Normal 2 4 2 5 3 6" xfId="9332" xr:uid="{DC1AB293-8E8A-4503-9D8D-CE810E1C3B8E}"/>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25388" xr:uid="{425BFCD9-D5D4-499B-8408-A584C876A3F5}"/>
    <cellStyle name="Normal 2 4 2 5 4 2 2 3" xfId="16108" xr:uid="{B16CDAC7-A3CC-4738-BAB9-1A2345B1B663}"/>
    <cellStyle name="Normal 2 4 2 5 4 2 3" xfId="21171" xr:uid="{12E56872-F05C-4C11-ACFE-486D5E3BD517}"/>
    <cellStyle name="Normal 2 4 2 5 4 2 4" xfId="11890" xr:uid="{A8CD3C90-AA31-449C-AD0C-DC84D8391C03}"/>
    <cellStyle name="Normal 2 4 2 5 4 3" xfId="5513" xr:uid="{00000000-0005-0000-0000-0000A20F0000}"/>
    <cellStyle name="Normal 2 4 2 5 4 3 2" xfId="23243" xr:uid="{24F28197-93B1-459D-A72E-A118D458EA8D}"/>
    <cellStyle name="Normal 2 4 2 5 4 3 3" xfId="13963" xr:uid="{01AD1510-43EA-4B36-A1F7-2EF3229BD472}"/>
    <cellStyle name="Normal 2 4 2 5 4 4" xfId="19026" xr:uid="{52EC80FE-9874-4323-AC07-84EBE91AA14A}"/>
    <cellStyle name="Normal 2 4 2 5 4 5" xfId="9745" xr:uid="{1D150405-A82E-417A-BEDF-44F0D2A9C8AE}"/>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25801" xr:uid="{070A1A78-8A33-4C91-8DA4-254C8D49DB95}"/>
    <cellStyle name="Normal 2 4 2 5 5 2 2 3" xfId="16521" xr:uid="{719CE0A9-CD9F-400A-BEE7-05666E851212}"/>
    <cellStyle name="Normal 2 4 2 5 5 2 3" xfId="21584" xr:uid="{1F767606-B43C-4E44-BD89-AC0FF0166C8C}"/>
    <cellStyle name="Normal 2 4 2 5 5 2 4" xfId="12303" xr:uid="{CDCBB63F-5CD7-4DC0-A779-F473F139E4E3}"/>
    <cellStyle name="Normal 2 4 2 5 5 3" xfId="5926" xr:uid="{00000000-0005-0000-0000-0000A60F0000}"/>
    <cellStyle name="Normal 2 4 2 5 5 3 2" xfId="23656" xr:uid="{E560E37A-F273-4E92-AB63-929FED6A85CE}"/>
    <cellStyle name="Normal 2 4 2 5 5 3 3" xfId="14376" xr:uid="{733D0899-6AE7-4D8D-8C59-DB739484F85D}"/>
    <cellStyle name="Normal 2 4 2 5 5 4" xfId="19439" xr:uid="{28350F15-8A48-402F-B8BE-624B2862B5C6}"/>
    <cellStyle name="Normal 2 4 2 5 5 5" xfId="10158" xr:uid="{1E18FC7A-D7E5-43D1-A54F-F967A2E444BA}"/>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26214" xr:uid="{21C18700-F8F0-4F19-9E65-2362E46C05F9}"/>
    <cellStyle name="Normal 2 4 2 5 6 2 2 3" xfId="16934" xr:uid="{BEB28737-5BA5-4A28-BE9C-123244414514}"/>
    <cellStyle name="Normal 2 4 2 5 6 2 3" xfId="21997" xr:uid="{397E6A8E-3130-4B16-BA3F-5934F335BF0A}"/>
    <cellStyle name="Normal 2 4 2 5 6 2 4" xfId="12716" xr:uid="{B2D06A49-3CE0-4B45-B70C-2AF70EE0C74F}"/>
    <cellStyle name="Normal 2 4 2 5 6 3" xfId="6339" xr:uid="{00000000-0005-0000-0000-0000AA0F0000}"/>
    <cellStyle name="Normal 2 4 2 5 6 3 2" xfId="24069" xr:uid="{5BA11F58-8948-4A9A-88D6-4A28A194083B}"/>
    <cellStyle name="Normal 2 4 2 5 6 3 3" xfId="14789" xr:uid="{F98566E6-DF95-4158-ADCC-8F5E8697E64D}"/>
    <cellStyle name="Normal 2 4 2 5 6 4" xfId="19852" xr:uid="{678D99E6-10E4-4412-8874-EF001287ED23}"/>
    <cellStyle name="Normal 2 4 2 5 6 5" xfId="10571" xr:uid="{8E5AA43B-E555-4A9F-AB83-DCC5008016B5}"/>
    <cellStyle name="Normal 2 4 2 5 7" xfId="2469" xr:uid="{00000000-0005-0000-0000-0000AB0F0000}"/>
    <cellStyle name="Normal 2 4 2 5 7 2" xfId="6752" xr:uid="{00000000-0005-0000-0000-0000AC0F0000}"/>
    <cellStyle name="Normal 2 4 2 5 7 2 2" xfId="24482" xr:uid="{E3453BC8-9B58-4287-8B7C-E78E900D44DC}"/>
    <cellStyle name="Normal 2 4 2 5 7 2 3" xfId="15202" xr:uid="{BE5DABC9-4DB9-4252-8834-30EA4121389B}"/>
    <cellStyle name="Normal 2 4 2 5 7 3" xfId="20265" xr:uid="{587A9482-2BC4-4C9B-8F32-9FCC3DD7F728}"/>
    <cellStyle name="Normal 2 4 2 5 7 4" xfId="10984" xr:uid="{03A3314F-C153-425A-866A-00EFDDEB0634}"/>
    <cellStyle name="Normal 2 4 2 5 8" xfId="4686" xr:uid="{00000000-0005-0000-0000-0000AD0F0000}"/>
    <cellStyle name="Normal 2 4 2 5 8 2" xfId="22416" xr:uid="{C0C6A768-B039-4E4C-839D-6E070DFD28C7}"/>
    <cellStyle name="Normal 2 4 2 5 8 3" xfId="13136" xr:uid="{20EF94EB-AD17-423E-80A8-272F0A1DBA9F}"/>
    <cellStyle name="Normal 2 4 2 5 9" xfId="18199" xr:uid="{E26989BD-088B-4ACD-93D0-BA7084D9ABE9}"/>
    <cellStyle name="Normal 2 4 2 6" xfId="295" xr:uid="{00000000-0005-0000-0000-0000AE0F0000}"/>
    <cellStyle name="Normal 2 4 2 6 10" xfId="8920" xr:uid="{19AC806C-C771-4CF0-B8E1-BB6F1DFAE8E6}"/>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24977" xr:uid="{10ECFE9B-9D94-4E23-A251-AB6F217F142D}"/>
    <cellStyle name="Normal 2 4 2 6 2 2 2 3" xfId="15697" xr:uid="{91177A01-7497-4B01-BC9C-8D54B7A3A557}"/>
    <cellStyle name="Normal 2 4 2 6 2 2 3" xfId="20760" xr:uid="{7F5FDCF1-6B1A-4FCC-9861-EFEBF127E4F2}"/>
    <cellStyle name="Normal 2 4 2 6 2 2 4" xfId="11479" xr:uid="{F01A75E8-464C-4CF0-BF2C-67E3EA23F659}"/>
    <cellStyle name="Normal 2 4 2 6 2 3" xfId="5102" xr:uid="{00000000-0005-0000-0000-0000B20F0000}"/>
    <cellStyle name="Normal 2 4 2 6 2 3 2" xfId="22832" xr:uid="{DA12CBCB-790A-454A-B3D6-4DBDA90867AF}"/>
    <cellStyle name="Normal 2 4 2 6 2 3 3" xfId="13552" xr:uid="{C7E733E8-C1BA-47ED-83FA-97E90E501325}"/>
    <cellStyle name="Normal 2 4 2 6 2 4" xfId="18615" xr:uid="{52E35DE9-421E-4A41-8CAF-67F2A5D667B8}"/>
    <cellStyle name="Normal 2 4 2 6 2 5" xfId="17787" xr:uid="{314F7058-8C4A-4D3B-9D5E-0C6AA5C4B456}"/>
    <cellStyle name="Normal 2 4 2 6 2 6" xfId="9334" xr:uid="{C822C2F6-6C80-474C-BED0-AF8106A5F3BB}"/>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25390" xr:uid="{FA3CF32F-3DD5-461B-BF79-89A161B77C1E}"/>
    <cellStyle name="Normal 2 4 2 6 3 2 2 3" xfId="16110" xr:uid="{CF9815C6-49AB-4B13-861B-81FB3D1F1AC8}"/>
    <cellStyle name="Normal 2 4 2 6 3 2 3" xfId="21173" xr:uid="{F91BB10A-9032-4383-BFCD-2A682FE4FCD9}"/>
    <cellStyle name="Normal 2 4 2 6 3 2 4" xfId="11892" xr:uid="{CBBAE21E-1FD4-4D3D-9D5F-DFCF7E72593C}"/>
    <cellStyle name="Normal 2 4 2 6 3 3" xfId="5515" xr:uid="{00000000-0005-0000-0000-0000B60F0000}"/>
    <cellStyle name="Normal 2 4 2 6 3 3 2" xfId="23245" xr:uid="{086A27FD-72ED-41C5-8C73-62ECE9CC59CD}"/>
    <cellStyle name="Normal 2 4 2 6 3 3 3" xfId="13965" xr:uid="{8DF82267-07B2-46E7-8331-5FE6104FF185}"/>
    <cellStyle name="Normal 2 4 2 6 3 4" xfId="19028" xr:uid="{2DC18AF1-E24D-44E4-96F8-8125C0B74FF9}"/>
    <cellStyle name="Normal 2 4 2 6 3 5" xfId="9747" xr:uid="{861F06C1-700C-41D4-BAA2-72D65CB98494}"/>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25803" xr:uid="{67AB0B87-2DA3-4269-8CD8-2A256CD427D1}"/>
    <cellStyle name="Normal 2 4 2 6 4 2 2 3" xfId="16523" xr:uid="{34A1BFB8-8BD3-4B01-82A5-4C75853A4F0A}"/>
    <cellStyle name="Normal 2 4 2 6 4 2 3" xfId="21586" xr:uid="{5224E928-CD0D-453C-B231-4CE0E51FB63A}"/>
    <cellStyle name="Normal 2 4 2 6 4 2 4" xfId="12305" xr:uid="{BE6C0778-CF08-4D50-94B1-4C9E0C2FE6B5}"/>
    <cellStyle name="Normal 2 4 2 6 4 3" xfId="5928" xr:uid="{00000000-0005-0000-0000-0000BA0F0000}"/>
    <cellStyle name="Normal 2 4 2 6 4 3 2" xfId="23658" xr:uid="{B2454BE3-C00A-4918-9584-B5B979BB2ADB}"/>
    <cellStyle name="Normal 2 4 2 6 4 3 3" xfId="14378" xr:uid="{FEA8FE97-CF45-445F-B594-B276742B7249}"/>
    <cellStyle name="Normal 2 4 2 6 4 4" xfId="19441" xr:uid="{7738AFED-02AA-4708-92A7-DCA7553EBAF0}"/>
    <cellStyle name="Normal 2 4 2 6 4 5" xfId="10160" xr:uid="{7E75D3BB-0D71-42B2-B1A9-B617CFE80669}"/>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26216" xr:uid="{687D7417-E022-46D4-A7CD-489B36DAF3FA}"/>
    <cellStyle name="Normal 2 4 2 6 5 2 2 3" xfId="16936" xr:uid="{BF958729-AA15-44D4-A680-7DF2D3CE9765}"/>
    <cellStyle name="Normal 2 4 2 6 5 2 3" xfId="21999" xr:uid="{578B51DE-42CD-48F8-9866-336421378BDF}"/>
    <cellStyle name="Normal 2 4 2 6 5 2 4" xfId="12718" xr:uid="{A9245BD8-206C-489E-8C58-587BA0EE68C9}"/>
    <cellStyle name="Normal 2 4 2 6 5 3" xfId="6341" xr:uid="{00000000-0005-0000-0000-0000BE0F0000}"/>
    <cellStyle name="Normal 2 4 2 6 5 3 2" xfId="24071" xr:uid="{5A3E8786-608D-4D2D-B4B4-814A650E5930}"/>
    <cellStyle name="Normal 2 4 2 6 5 3 3" xfId="14791" xr:uid="{DCB0CE78-6C30-476D-A69D-193740BD5B2A}"/>
    <cellStyle name="Normal 2 4 2 6 5 4" xfId="19854" xr:uid="{D545F607-8837-455E-B392-31F0BCBE6CC3}"/>
    <cellStyle name="Normal 2 4 2 6 5 5" xfId="10573" xr:uid="{C320A06C-4CB2-449E-8AC6-D4F64C25996F}"/>
    <cellStyle name="Normal 2 4 2 6 6" xfId="2471" xr:uid="{00000000-0005-0000-0000-0000BF0F0000}"/>
    <cellStyle name="Normal 2 4 2 6 6 2" xfId="6754" xr:uid="{00000000-0005-0000-0000-0000C00F0000}"/>
    <cellStyle name="Normal 2 4 2 6 6 2 2" xfId="24484" xr:uid="{46F51103-F60E-4AA0-8EA0-FE0F4D5907E1}"/>
    <cellStyle name="Normal 2 4 2 6 6 2 3" xfId="15204" xr:uid="{37FB1686-A990-46F8-8125-988DFA573D53}"/>
    <cellStyle name="Normal 2 4 2 6 6 3" xfId="20267" xr:uid="{18DD4541-199A-47F3-AB22-E62C53CCF86B}"/>
    <cellStyle name="Normal 2 4 2 6 6 4" xfId="10986" xr:uid="{D053E086-4E18-46E2-8F44-4030FA16BCF3}"/>
    <cellStyle name="Normal 2 4 2 6 7" xfId="4688" xr:uid="{00000000-0005-0000-0000-0000C10F0000}"/>
    <cellStyle name="Normal 2 4 2 6 7 2" xfId="22418" xr:uid="{F3BF7C78-89E6-41B9-9ED1-D91365B4A09E}"/>
    <cellStyle name="Normal 2 4 2 6 7 3" xfId="13138" xr:uid="{0BA4F81A-F9DA-4C32-AC3E-0246EB12B735}"/>
    <cellStyle name="Normal 2 4 2 6 8" xfId="18201" xr:uid="{B2D0C2EA-69DC-49E9-BE70-C1A79109295C}"/>
    <cellStyle name="Normal 2 4 2 6 9" xfId="17368" xr:uid="{7FAC7C48-5121-45D8-9972-EB2D41E08A3F}"/>
    <cellStyle name="Normal 2 4 2 7" xfId="771" xr:uid="{00000000-0005-0000-0000-0000C20F0000}"/>
    <cellStyle name="Normal 2 4 2 7 2" xfId="3010" xr:uid="{00000000-0005-0000-0000-0000C30F0000}"/>
    <cellStyle name="Normal 2 4 2 7 2 2" xfId="7232" xr:uid="{00000000-0005-0000-0000-0000C40F0000}"/>
    <cellStyle name="Normal 2 4 2 7 2 2 2" xfId="24962" xr:uid="{ADD4652A-025E-44C9-A9A6-685A8E4139A0}"/>
    <cellStyle name="Normal 2 4 2 7 2 2 3" xfId="15682" xr:uid="{FC0EBCD0-0B84-46BF-A463-1437FD9FE70D}"/>
    <cellStyle name="Normal 2 4 2 7 2 3" xfId="20745" xr:uid="{5C61183C-A6D0-4AE3-9093-F3D83C1C520D}"/>
    <cellStyle name="Normal 2 4 2 7 2 4" xfId="11464" xr:uid="{FA46F4EE-45CA-474D-86BA-DF8BC89727C8}"/>
    <cellStyle name="Normal 2 4 2 7 3" xfId="5087" xr:uid="{00000000-0005-0000-0000-0000C50F0000}"/>
    <cellStyle name="Normal 2 4 2 7 3 2" xfId="22817" xr:uid="{DD673E0E-A942-436C-8B4B-13EAF56116EF}"/>
    <cellStyle name="Normal 2 4 2 7 3 3" xfId="13537" xr:uid="{22BDA49C-9ED2-467D-A8D4-E5D77FE9F213}"/>
    <cellStyle name="Normal 2 4 2 7 4" xfId="18600" xr:uid="{FAA851A4-86A6-44D1-A691-3DA1BA5C1696}"/>
    <cellStyle name="Normal 2 4 2 7 5" xfId="17772" xr:uid="{B0B1B380-0F8A-4C42-85CB-F8D93E33B2DE}"/>
    <cellStyle name="Normal 2 4 2 7 6" xfId="9319" xr:uid="{5E818F0C-97D3-4528-86AD-E312A207FE7B}"/>
    <cellStyle name="Normal 2 4 2 8" xfId="1193" xr:uid="{00000000-0005-0000-0000-0000C60F0000}"/>
    <cellStyle name="Normal 2 4 2 8 2" xfId="3423" xr:uid="{00000000-0005-0000-0000-0000C70F0000}"/>
    <cellStyle name="Normal 2 4 2 8 2 2" xfId="7645" xr:uid="{00000000-0005-0000-0000-0000C80F0000}"/>
    <cellStyle name="Normal 2 4 2 8 2 2 2" xfId="25375" xr:uid="{6A78DFAF-DAF7-45AD-A6FD-655819681834}"/>
    <cellStyle name="Normal 2 4 2 8 2 2 3" xfId="16095" xr:uid="{9DCC2B2D-7518-45C7-A032-A7DA1DE00327}"/>
    <cellStyle name="Normal 2 4 2 8 2 3" xfId="21158" xr:uid="{552417F4-E76D-47C4-A3AE-3F1A5AB520E5}"/>
    <cellStyle name="Normal 2 4 2 8 2 4" xfId="11877" xr:uid="{01582CC6-29AA-4E2E-AD30-FBB66BA9C7D0}"/>
    <cellStyle name="Normal 2 4 2 8 3" xfId="5500" xr:uid="{00000000-0005-0000-0000-0000C90F0000}"/>
    <cellStyle name="Normal 2 4 2 8 3 2" xfId="23230" xr:uid="{993BC3B5-F350-4E9C-A627-498CD7BE1C71}"/>
    <cellStyle name="Normal 2 4 2 8 3 3" xfId="13950" xr:uid="{57F868D0-C757-4C80-9A16-6C42956AE5A7}"/>
    <cellStyle name="Normal 2 4 2 8 4" xfId="19013" xr:uid="{E7D33F6E-0FF8-4B33-A62E-776A4D115914}"/>
    <cellStyle name="Normal 2 4 2 8 5" xfId="9732" xr:uid="{80CFF717-4562-42EB-94AF-C0D8613C8119}"/>
    <cellStyle name="Normal 2 4 2 9" xfId="1606" xr:uid="{00000000-0005-0000-0000-0000CA0F0000}"/>
    <cellStyle name="Normal 2 4 2 9 2" xfId="3836" xr:uid="{00000000-0005-0000-0000-0000CB0F0000}"/>
    <cellStyle name="Normal 2 4 2 9 2 2" xfId="8058" xr:uid="{00000000-0005-0000-0000-0000CC0F0000}"/>
    <cellStyle name="Normal 2 4 2 9 2 2 2" xfId="25788" xr:uid="{1B548578-9634-4568-8A4A-84BC744A76CA}"/>
    <cellStyle name="Normal 2 4 2 9 2 2 3" xfId="16508" xr:uid="{DF5CF55D-DE5B-4424-8ECE-1064B2BFFFC6}"/>
    <cellStyle name="Normal 2 4 2 9 2 3" xfId="21571" xr:uid="{05E90A6E-2E3B-47B9-A957-2116BE411CCF}"/>
    <cellStyle name="Normal 2 4 2 9 2 4" xfId="12290" xr:uid="{0B5E1B36-6921-4F0D-B5A9-215DA14EF074}"/>
    <cellStyle name="Normal 2 4 2 9 3" xfId="5913" xr:uid="{00000000-0005-0000-0000-0000CD0F0000}"/>
    <cellStyle name="Normal 2 4 2 9 3 2" xfId="23643" xr:uid="{089A7036-FF3B-449A-9A20-3BA1F9B501EF}"/>
    <cellStyle name="Normal 2 4 2 9 3 3" xfId="14363" xr:uid="{310DEF3E-C6E1-4CB1-9CDA-8B8A346E986C}"/>
    <cellStyle name="Normal 2 4 2 9 4" xfId="19426" xr:uid="{32FDC0A2-14D2-4A8B-AD0E-F14F8E47A1CC}"/>
    <cellStyle name="Normal 2 4 2 9 5" xfId="10145" xr:uid="{95D6D30B-BD70-408F-90A5-50865974E75E}"/>
    <cellStyle name="Normal 2 4 3" xfId="296" xr:uid="{00000000-0005-0000-0000-0000CE0F0000}"/>
    <cellStyle name="Normal 2 4 3 10" xfId="18202" xr:uid="{299D0B37-B9F0-4964-B9F5-3150664DC8C7}"/>
    <cellStyle name="Normal 2 4 3 11" xfId="17369" xr:uid="{2550ABBC-A834-4B90-8213-BF75D3BAFD08}"/>
    <cellStyle name="Normal 2 4 3 12" xfId="8921" xr:uid="{41E40FCF-EDDD-4331-9F72-2D8420C8F968}"/>
    <cellStyle name="Normal 2 4 3 2" xfId="297" xr:uid="{00000000-0005-0000-0000-0000CF0F0000}"/>
    <cellStyle name="Normal 2 4 3 3" xfId="298" xr:uid="{00000000-0005-0000-0000-0000D00F0000}"/>
    <cellStyle name="Normal 2 4 3 3 10" xfId="18203" xr:uid="{3AE1607D-F842-4171-A176-3223C4EC920B}"/>
    <cellStyle name="Normal 2 4 3 3 11" xfId="17370" xr:uid="{8A437BB6-7208-4F1A-BBA7-0229FEACAEE0}"/>
    <cellStyle name="Normal 2 4 3 3 12" xfId="8922" xr:uid="{3846D458-EFD4-4613-B6BA-3F87AC0C9A7F}"/>
    <cellStyle name="Normal 2 4 3 3 2" xfId="299" xr:uid="{00000000-0005-0000-0000-0000D10F0000}"/>
    <cellStyle name="Normal 2 4 3 3 2 10" xfId="17371" xr:uid="{B5C0D100-9DD5-4817-BBC7-1B4FA89F4574}"/>
    <cellStyle name="Normal 2 4 3 3 2 11" xfId="8923" xr:uid="{1D8544B2-F79F-409A-8897-BCC95FBECB71}"/>
    <cellStyle name="Normal 2 4 3 3 2 2" xfId="300" xr:uid="{00000000-0005-0000-0000-0000D20F0000}"/>
    <cellStyle name="Normal 2 4 3 3 2 2 10" xfId="8924" xr:uid="{64ED675F-8D05-46FE-BA5E-5ADBA3C3A584}"/>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24981" xr:uid="{083A7BA2-B4FB-47AC-BE3D-5F97B96E4C27}"/>
    <cellStyle name="Normal 2 4 3 3 2 2 2 2 2 3" xfId="15701" xr:uid="{5B533EC4-EA2F-48F8-9706-F60370662DC8}"/>
    <cellStyle name="Normal 2 4 3 3 2 2 2 2 3" xfId="20764" xr:uid="{C24065EE-9909-4931-9F75-4336B8FADD76}"/>
    <cellStyle name="Normal 2 4 3 3 2 2 2 2 4" xfId="11483" xr:uid="{21AADF7A-FFAB-4880-BCCA-1500B367C11F}"/>
    <cellStyle name="Normal 2 4 3 3 2 2 2 3" xfId="5106" xr:uid="{00000000-0005-0000-0000-0000D60F0000}"/>
    <cellStyle name="Normal 2 4 3 3 2 2 2 3 2" xfId="22836" xr:uid="{2C04B7DA-D23F-4AF7-A5B0-DFE257F61C08}"/>
    <cellStyle name="Normal 2 4 3 3 2 2 2 3 3" xfId="13556" xr:uid="{F97A89E7-0943-47E9-83AA-C392B5C84A58}"/>
    <cellStyle name="Normal 2 4 3 3 2 2 2 4" xfId="18619" xr:uid="{CDEC54FC-8FAA-4237-BF3A-6AD444B72064}"/>
    <cellStyle name="Normal 2 4 3 3 2 2 2 5" xfId="17791" xr:uid="{9B730B5B-3413-45B8-AD5D-7C4B87F9457F}"/>
    <cellStyle name="Normal 2 4 3 3 2 2 2 6" xfId="9338" xr:uid="{2110F1E2-6B31-4DEE-B4A1-EFF9D17C784D}"/>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25394" xr:uid="{A3B24D8A-BE7F-45F9-AFB3-372B9105AF0C}"/>
    <cellStyle name="Normal 2 4 3 3 2 2 3 2 2 3" xfId="16114" xr:uid="{A6360F94-5D3E-4AC3-9090-71CB6B022D00}"/>
    <cellStyle name="Normal 2 4 3 3 2 2 3 2 3" xfId="21177" xr:uid="{6A7E923C-8CCF-4E14-A37A-345334BA44F8}"/>
    <cellStyle name="Normal 2 4 3 3 2 2 3 2 4" xfId="11896" xr:uid="{CBFD3016-B0CC-4D3F-8139-C74CE862C325}"/>
    <cellStyle name="Normal 2 4 3 3 2 2 3 3" xfId="5519" xr:uid="{00000000-0005-0000-0000-0000DA0F0000}"/>
    <cellStyle name="Normal 2 4 3 3 2 2 3 3 2" xfId="23249" xr:uid="{21193832-DA2A-4836-B02F-57039F3995DB}"/>
    <cellStyle name="Normal 2 4 3 3 2 2 3 3 3" xfId="13969" xr:uid="{BC97D05F-3F2B-4C1B-B0A6-F38FBE7E66D8}"/>
    <cellStyle name="Normal 2 4 3 3 2 2 3 4" xfId="19032" xr:uid="{74BA0C74-547F-475C-A5F5-D2A3BEC3CE37}"/>
    <cellStyle name="Normal 2 4 3 3 2 2 3 5" xfId="9751" xr:uid="{FA86B59A-3888-427B-A523-9267D6EA1A9A}"/>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25807" xr:uid="{E1D9BA84-6A3C-45C9-AA97-213E761059FD}"/>
    <cellStyle name="Normal 2 4 3 3 2 2 4 2 2 3" xfId="16527" xr:uid="{F416E228-4DF5-40CA-81E2-CE044131D96B}"/>
    <cellStyle name="Normal 2 4 3 3 2 2 4 2 3" xfId="21590" xr:uid="{E92BDF59-C22C-42F1-AA11-DAE13A611361}"/>
    <cellStyle name="Normal 2 4 3 3 2 2 4 2 4" xfId="12309" xr:uid="{F2B0687E-70A6-4631-AB5C-71E867A0CABB}"/>
    <cellStyle name="Normal 2 4 3 3 2 2 4 3" xfId="5932" xr:uid="{00000000-0005-0000-0000-0000DE0F0000}"/>
    <cellStyle name="Normal 2 4 3 3 2 2 4 3 2" xfId="23662" xr:uid="{2CF61CFE-4C4A-447D-9F85-3E1637F327C5}"/>
    <cellStyle name="Normal 2 4 3 3 2 2 4 3 3" xfId="14382" xr:uid="{01E59B57-6FB0-49F6-B6E8-C6147DA18697}"/>
    <cellStyle name="Normal 2 4 3 3 2 2 4 4" xfId="19445" xr:uid="{31970306-5BC9-473D-889D-22791A96B3B0}"/>
    <cellStyle name="Normal 2 4 3 3 2 2 4 5" xfId="10164" xr:uid="{8350A0A9-F33D-48EF-BCBC-58957E37FEE7}"/>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26220" xr:uid="{9B3C3FF9-3E38-4667-914D-66F7BB76B78D}"/>
    <cellStyle name="Normal 2 4 3 3 2 2 5 2 2 3" xfId="16940" xr:uid="{94A47249-D772-402B-811B-16EEE9C37C57}"/>
    <cellStyle name="Normal 2 4 3 3 2 2 5 2 3" xfId="22003" xr:uid="{B5481509-5AFB-430E-B4FB-3AD849A349C6}"/>
    <cellStyle name="Normal 2 4 3 3 2 2 5 2 4" xfId="12722" xr:uid="{EBB996DC-EDBE-4D92-A5CD-14B1EF60184E}"/>
    <cellStyle name="Normal 2 4 3 3 2 2 5 3" xfId="6345" xr:uid="{00000000-0005-0000-0000-0000E20F0000}"/>
    <cellStyle name="Normal 2 4 3 3 2 2 5 3 2" xfId="24075" xr:uid="{51A4F967-D34E-4746-A389-D7CBF4965199}"/>
    <cellStyle name="Normal 2 4 3 3 2 2 5 3 3" xfId="14795" xr:uid="{AB27E454-DC86-4A48-A3ED-564BED4717E4}"/>
    <cellStyle name="Normal 2 4 3 3 2 2 5 4" xfId="19858" xr:uid="{517EA7C4-9AF2-4D3B-8639-BA4440888D5C}"/>
    <cellStyle name="Normal 2 4 3 3 2 2 5 5" xfId="10577" xr:uid="{0D05808B-10F1-4A44-9BB3-057279F3BF64}"/>
    <cellStyle name="Normal 2 4 3 3 2 2 6" xfId="2475" xr:uid="{00000000-0005-0000-0000-0000E30F0000}"/>
    <cellStyle name="Normal 2 4 3 3 2 2 6 2" xfId="6758" xr:uid="{00000000-0005-0000-0000-0000E40F0000}"/>
    <cellStyle name="Normal 2 4 3 3 2 2 6 2 2" xfId="24488" xr:uid="{BB5A8720-69C2-4096-B960-FB0DF17410C0}"/>
    <cellStyle name="Normal 2 4 3 3 2 2 6 2 3" xfId="15208" xr:uid="{A9C53FAD-D2A7-484C-8FF9-D4FC316910BF}"/>
    <cellStyle name="Normal 2 4 3 3 2 2 6 3" xfId="20271" xr:uid="{A64AD3ED-3E7C-4E8F-AC62-881C4C038EB5}"/>
    <cellStyle name="Normal 2 4 3 3 2 2 6 4" xfId="10990" xr:uid="{668C2A50-FAC3-401D-BB31-DE62A3964719}"/>
    <cellStyle name="Normal 2 4 3 3 2 2 7" xfId="4692" xr:uid="{00000000-0005-0000-0000-0000E50F0000}"/>
    <cellStyle name="Normal 2 4 3 3 2 2 7 2" xfId="22422" xr:uid="{79E6AC31-455E-4247-AEA0-05F608172B24}"/>
    <cellStyle name="Normal 2 4 3 3 2 2 7 3" xfId="13142" xr:uid="{E99B74B1-5068-4857-A2DE-4D0180C87EEF}"/>
    <cellStyle name="Normal 2 4 3 3 2 2 8" xfId="18205" xr:uid="{EF8C7D9C-347A-42FD-9DC6-58BC16237057}"/>
    <cellStyle name="Normal 2 4 3 3 2 2 9" xfId="17372" xr:uid="{037FF22B-AC69-4E54-B172-727016C3C404}"/>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24980" xr:uid="{B4BFDDD3-BF20-4385-AD4E-A0FE5C5D67E8}"/>
    <cellStyle name="Normal 2 4 3 3 2 3 2 2 3" xfId="15700" xr:uid="{E44B02D2-CF8E-4F95-8325-23A995FECF0F}"/>
    <cellStyle name="Normal 2 4 3 3 2 3 2 3" xfId="20763" xr:uid="{464DAFCF-94AB-4CD1-ABF2-DB63C03478FC}"/>
    <cellStyle name="Normal 2 4 3 3 2 3 2 4" xfId="11482" xr:uid="{5388732A-B443-43A1-9ED2-71ED82900392}"/>
    <cellStyle name="Normal 2 4 3 3 2 3 3" xfId="5105" xr:uid="{00000000-0005-0000-0000-0000E90F0000}"/>
    <cellStyle name="Normal 2 4 3 3 2 3 3 2" xfId="22835" xr:uid="{5B456C82-8CC5-4499-AB9C-7D638C3FB17A}"/>
    <cellStyle name="Normal 2 4 3 3 2 3 3 3" xfId="13555" xr:uid="{33AEA1FA-E745-4486-B4EA-A240BE43DB1F}"/>
    <cellStyle name="Normal 2 4 3 3 2 3 4" xfId="18618" xr:uid="{7C962A7B-8CB8-4FA3-B070-B09C4AB161F4}"/>
    <cellStyle name="Normal 2 4 3 3 2 3 5" xfId="17790" xr:uid="{E0EA4B71-3940-4879-ADD3-BD1A17055475}"/>
    <cellStyle name="Normal 2 4 3 3 2 3 6" xfId="9337" xr:uid="{6B700229-F68D-4326-B812-3A7A8992171E}"/>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25393" xr:uid="{92EA1F0B-483E-43B4-A307-C4676B031664}"/>
    <cellStyle name="Normal 2 4 3 3 2 4 2 2 3" xfId="16113" xr:uid="{6E50E2F1-06AB-4E1C-B55B-07608033F7C4}"/>
    <cellStyle name="Normal 2 4 3 3 2 4 2 3" xfId="21176" xr:uid="{A2EAC217-4DF7-44E3-9DA9-5A0FB2F296A1}"/>
    <cellStyle name="Normal 2 4 3 3 2 4 2 4" xfId="11895" xr:uid="{4D239B93-AB73-4502-A706-CCB06813FC6C}"/>
    <cellStyle name="Normal 2 4 3 3 2 4 3" xfId="5518" xr:uid="{00000000-0005-0000-0000-0000ED0F0000}"/>
    <cellStyle name="Normal 2 4 3 3 2 4 3 2" xfId="23248" xr:uid="{483B9DA2-3FE0-43F6-A1EE-199CEACA1DBB}"/>
    <cellStyle name="Normal 2 4 3 3 2 4 3 3" xfId="13968" xr:uid="{C69DB3EC-2D7A-4BBF-928E-283FF44ED62D}"/>
    <cellStyle name="Normal 2 4 3 3 2 4 4" xfId="19031" xr:uid="{C1F1D5A1-57BE-48F1-915A-7653C6A78391}"/>
    <cellStyle name="Normal 2 4 3 3 2 4 5" xfId="9750" xr:uid="{FEED318A-ED92-424B-B0EA-925AE15DE2D6}"/>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25806" xr:uid="{C28D4C70-4E08-497E-B88B-22A81F137803}"/>
    <cellStyle name="Normal 2 4 3 3 2 5 2 2 3" xfId="16526" xr:uid="{E5008EC0-7C69-406A-B0EC-D97DE0FE62DD}"/>
    <cellStyle name="Normal 2 4 3 3 2 5 2 3" xfId="21589" xr:uid="{6FFAD433-EE84-4387-A054-9B60CD91C92C}"/>
    <cellStyle name="Normal 2 4 3 3 2 5 2 4" xfId="12308" xr:uid="{9B8C4445-204C-4281-8A0F-6FD9F297A1F2}"/>
    <cellStyle name="Normal 2 4 3 3 2 5 3" xfId="5931" xr:uid="{00000000-0005-0000-0000-0000F10F0000}"/>
    <cellStyle name="Normal 2 4 3 3 2 5 3 2" xfId="23661" xr:uid="{0A5C070E-43DF-48F3-8190-35680DB11E8B}"/>
    <cellStyle name="Normal 2 4 3 3 2 5 3 3" xfId="14381" xr:uid="{89D3682F-D002-4C64-A2D5-6833E37A9762}"/>
    <cellStyle name="Normal 2 4 3 3 2 5 4" xfId="19444" xr:uid="{A65EEDD3-A8EC-4A7E-8386-1B5E1B44B73F}"/>
    <cellStyle name="Normal 2 4 3 3 2 5 5" xfId="10163" xr:uid="{DB070B14-0450-4827-AB17-08D0DBB1D2AA}"/>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26219" xr:uid="{DF30768F-2C36-461F-9874-F1CE4159C247}"/>
    <cellStyle name="Normal 2 4 3 3 2 6 2 2 3" xfId="16939" xr:uid="{73B68C59-6294-461B-BD40-947747DBD636}"/>
    <cellStyle name="Normal 2 4 3 3 2 6 2 3" xfId="22002" xr:uid="{DCF77DA4-F0CD-47EE-8501-9F2070BBE0DD}"/>
    <cellStyle name="Normal 2 4 3 3 2 6 2 4" xfId="12721" xr:uid="{ECB0B720-5E35-42A5-9EA3-A2C4CFA52DE8}"/>
    <cellStyle name="Normal 2 4 3 3 2 6 3" xfId="6344" xr:uid="{00000000-0005-0000-0000-0000F50F0000}"/>
    <cellStyle name="Normal 2 4 3 3 2 6 3 2" xfId="24074" xr:uid="{4ACDD787-1E98-49A4-AB68-A32BBB5821B7}"/>
    <cellStyle name="Normal 2 4 3 3 2 6 3 3" xfId="14794" xr:uid="{09CF8288-D1B1-4233-83EC-253ECA32D865}"/>
    <cellStyle name="Normal 2 4 3 3 2 6 4" xfId="19857" xr:uid="{F06D0ECC-6DFF-4CEC-B0A6-64849792C430}"/>
    <cellStyle name="Normal 2 4 3 3 2 6 5" xfId="10576" xr:uid="{EEA25705-2691-41EB-BBD3-316095FB9BA7}"/>
    <cellStyle name="Normal 2 4 3 3 2 7" xfId="2474" xr:uid="{00000000-0005-0000-0000-0000F60F0000}"/>
    <cellStyle name="Normal 2 4 3 3 2 7 2" xfId="6757" xr:uid="{00000000-0005-0000-0000-0000F70F0000}"/>
    <cellStyle name="Normal 2 4 3 3 2 7 2 2" xfId="24487" xr:uid="{9FEB2A85-933D-4657-A3DD-AC0DF4F09CC4}"/>
    <cellStyle name="Normal 2 4 3 3 2 7 2 3" xfId="15207" xr:uid="{7233FF20-E10E-4AAE-AE92-D54685A2DF18}"/>
    <cellStyle name="Normal 2 4 3 3 2 7 3" xfId="20270" xr:uid="{A1DB3435-874B-48A5-A51A-E9CFC8515A70}"/>
    <cellStyle name="Normal 2 4 3 3 2 7 4" xfId="10989" xr:uid="{7C08F7E9-F7F8-4250-AD80-F01726749342}"/>
    <cellStyle name="Normal 2 4 3 3 2 8" xfId="4691" xr:uid="{00000000-0005-0000-0000-0000F80F0000}"/>
    <cellStyle name="Normal 2 4 3 3 2 8 2" xfId="22421" xr:uid="{2D4B8BED-53F7-4146-AE8A-B3F86B3573EF}"/>
    <cellStyle name="Normal 2 4 3 3 2 8 3" xfId="13141" xr:uid="{AA2AC9CF-566E-4D22-B402-46E3CFEFB4F9}"/>
    <cellStyle name="Normal 2 4 3 3 2 9" xfId="18204" xr:uid="{8D89446D-A4D8-48B7-829C-04FEF9917160}"/>
    <cellStyle name="Normal 2 4 3 3 3" xfId="301" xr:uid="{00000000-0005-0000-0000-0000F90F0000}"/>
    <cellStyle name="Normal 2 4 3 3 3 10" xfId="8925" xr:uid="{63CA9556-357D-499C-BFA0-EA0E13719412}"/>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24982" xr:uid="{F5865A43-64C7-4C1A-BB6D-1D184B5F2423}"/>
    <cellStyle name="Normal 2 4 3 3 3 2 2 2 3" xfId="15702" xr:uid="{08F7592B-716C-42B4-B6EF-12AB27B37773}"/>
    <cellStyle name="Normal 2 4 3 3 3 2 2 3" xfId="20765" xr:uid="{03E05C5B-EAE1-4FCE-996D-253F9E7C5013}"/>
    <cellStyle name="Normal 2 4 3 3 3 2 2 4" xfId="11484" xr:uid="{AE0372AD-65DF-4B84-BB19-738D379E16C4}"/>
    <cellStyle name="Normal 2 4 3 3 3 2 3" xfId="5107" xr:uid="{00000000-0005-0000-0000-0000FD0F0000}"/>
    <cellStyle name="Normal 2 4 3 3 3 2 3 2" xfId="22837" xr:uid="{6844DE28-3DD7-4469-BEE4-F39980F08FC3}"/>
    <cellStyle name="Normal 2 4 3 3 3 2 3 3" xfId="13557" xr:uid="{7AC46407-09B9-49C9-98AB-C5CD36FADB04}"/>
    <cellStyle name="Normal 2 4 3 3 3 2 4" xfId="18620" xr:uid="{BAAA5566-8F61-4704-AF52-B7B4897B1A76}"/>
    <cellStyle name="Normal 2 4 3 3 3 2 5" xfId="17792" xr:uid="{01FB0D20-D8C4-40E7-B7C6-8BE9DBF8AFBF}"/>
    <cellStyle name="Normal 2 4 3 3 3 2 6" xfId="9339" xr:uid="{FACEABB3-2D7B-4B1A-85F8-329C8BD7F142}"/>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25395" xr:uid="{A2D4C4A7-CBB6-43F3-A76D-014BD1D50E67}"/>
    <cellStyle name="Normal 2 4 3 3 3 3 2 2 3" xfId="16115" xr:uid="{8F0C9C7D-1425-4D81-A572-4EE3B722775A}"/>
    <cellStyle name="Normal 2 4 3 3 3 3 2 3" xfId="21178" xr:uid="{A9A06BC1-9786-461E-80DA-6463B75F8E37}"/>
    <cellStyle name="Normal 2 4 3 3 3 3 2 4" xfId="11897" xr:uid="{F9E32116-2D98-42EB-9B62-2A490C86781A}"/>
    <cellStyle name="Normal 2 4 3 3 3 3 3" xfId="5520" xr:uid="{00000000-0005-0000-0000-000001100000}"/>
    <cellStyle name="Normal 2 4 3 3 3 3 3 2" xfId="23250" xr:uid="{A6DC380F-A0BC-45A1-AD17-3F4398145200}"/>
    <cellStyle name="Normal 2 4 3 3 3 3 3 3" xfId="13970" xr:uid="{64B95F6F-429C-418A-9038-E3EDE36ED551}"/>
    <cellStyle name="Normal 2 4 3 3 3 3 4" xfId="19033" xr:uid="{846792C0-B3EE-4607-A39A-B80CFE204817}"/>
    <cellStyle name="Normal 2 4 3 3 3 3 5" xfId="9752" xr:uid="{5B4E6F5D-41D5-44EF-9BD8-83C0D437B00F}"/>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25808" xr:uid="{7F177C8A-967E-48BE-A711-8482335D96AF}"/>
    <cellStyle name="Normal 2 4 3 3 3 4 2 2 3" xfId="16528" xr:uid="{2B620308-B265-49DF-8DD4-65D6CA17EE8B}"/>
    <cellStyle name="Normal 2 4 3 3 3 4 2 3" xfId="21591" xr:uid="{FBBDCC68-AB35-4C68-AB84-6F2BE55DFC78}"/>
    <cellStyle name="Normal 2 4 3 3 3 4 2 4" xfId="12310" xr:uid="{EAE9E5FB-73F2-4FBE-8BF8-02C1C3AC27D5}"/>
    <cellStyle name="Normal 2 4 3 3 3 4 3" xfId="5933" xr:uid="{00000000-0005-0000-0000-000005100000}"/>
    <cellStyle name="Normal 2 4 3 3 3 4 3 2" xfId="23663" xr:uid="{547BC5A4-E75E-401D-9016-4C4EE8F16D81}"/>
    <cellStyle name="Normal 2 4 3 3 3 4 3 3" xfId="14383" xr:uid="{9045F125-5CF0-4DD9-92AB-66F5342264CA}"/>
    <cellStyle name="Normal 2 4 3 3 3 4 4" xfId="19446" xr:uid="{8A7C55ED-DDC1-4270-A373-2BA9549E1CE6}"/>
    <cellStyle name="Normal 2 4 3 3 3 4 5" xfId="10165" xr:uid="{37D66643-A318-4232-B4AA-67F0077BA21F}"/>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26221" xr:uid="{9A80CAD8-A485-4BBD-ACF9-6FA3CF0A3850}"/>
    <cellStyle name="Normal 2 4 3 3 3 5 2 2 3" xfId="16941" xr:uid="{9DFD4EAF-7DF7-4FEF-B24D-2F61E6A33DE2}"/>
    <cellStyle name="Normal 2 4 3 3 3 5 2 3" xfId="22004" xr:uid="{D3E20458-61BB-4369-AD5C-F912FEF49195}"/>
    <cellStyle name="Normal 2 4 3 3 3 5 2 4" xfId="12723" xr:uid="{FF743960-D08E-45BC-9DAC-6550BCFFC65B}"/>
    <cellStyle name="Normal 2 4 3 3 3 5 3" xfId="6346" xr:uid="{00000000-0005-0000-0000-000009100000}"/>
    <cellStyle name="Normal 2 4 3 3 3 5 3 2" xfId="24076" xr:uid="{E8BDDA97-07D3-4896-A9D6-B8D33C8FD9C6}"/>
    <cellStyle name="Normal 2 4 3 3 3 5 3 3" xfId="14796" xr:uid="{FF1F6F0E-8FEA-4A90-A870-C567099222A0}"/>
    <cellStyle name="Normal 2 4 3 3 3 5 4" xfId="19859" xr:uid="{0DC32974-8C5E-4DF5-A2FA-6B04C78871E5}"/>
    <cellStyle name="Normal 2 4 3 3 3 5 5" xfId="10578" xr:uid="{AD381D7A-FE71-419F-9044-AAA20876797D}"/>
    <cellStyle name="Normal 2 4 3 3 3 6" xfId="2476" xr:uid="{00000000-0005-0000-0000-00000A100000}"/>
    <cellStyle name="Normal 2 4 3 3 3 6 2" xfId="6759" xr:uid="{00000000-0005-0000-0000-00000B100000}"/>
    <cellStyle name="Normal 2 4 3 3 3 6 2 2" xfId="24489" xr:uid="{669AC463-7B01-4C6E-823C-7C8ED411E2C1}"/>
    <cellStyle name="Normal 2 4 3 3 3 6 2 3" xfId="15209" xr:uid="{E1851029-CF77-449E-9BB5-D568EA5558AE}"/>
    <cellStyle name="Normal 2 4 3 3 3 6 3" xfId="20272" xr:uid="{D3B8141A-DD4F-4ABA-A4CB-34E8CFE24792}"/>
    <cellStyle name="Normal 2 4 3 3 3 6 4" xfId="10991" xr:uid="{8604AE1D-9005-402C-AF0B-963FFCA0DC3F}"/>
    <cellStyle name="Normal 2 4 3 3 3 7" xfId="4693" xr:uid="{00000000-0005-0000-0000-00000C100000}"/>
    <cellStyle name="Normal 2 4 3 3 3 7 2" xfId="22423" xr:uid="{8CEA867D-EBF0-43D5-BFAE-1C6B01E5652C}"/>
    <cellStyle name="Normal 2 4 3 3 3 7 3" xfId="13143" xr:uid="{9C575D96-7EA8-468F-AE72-18278359400E}"/>
    <cellStyle name="Normal 2 4 3 3 3 8" xfId="18206" xr:uid="{67EBCC84-F8A2-4C2E-8737-55002044DB27}"/>
    <cellStyle name="Normal 2 4 3 3 3 9" xfId="17373" xr:uid="{9EFD55BD-6E1B-411F-98CC-9EAB1D593459}"/>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24979" xr:uid="{D5F2AD4C-48F7-41D2-89C7-AA442275D9D8}"/>
    <cellStyle name="Normal 2 4 3 3 4 2 2 3" xfId="15699" xr:uid="{324DE1B8-18A5-40E6-B22B-E115EFDD5DF5}"/>
    <cellStyle name="Normal 2 4 3 3 4 2 3" xfId="20762" xr:uid="{DC971817-AA48-4C83-8F85-D282F35C7A72}"/>
    <cellStyle name="Normal 2 4 3 3 4 2 4" xfId="11481" xr:uid="{999BC6FF-A109-46D4-9CFC-FA40CF15DBF9}"/>
    <cellStyle name="Normal 2 4 3 3 4 3" xfId="5104" xr:uid="{00000000-0005-0000-0000-000010100000}"/>
    <cellStyle name="Normal 2 4 3 3 4 3 2" xfId="22834" xr:uid="{3CD03C44-3A2B-4D71-8EE8-95E8035D59B7}"/>
    <cellStyle name="Normal 2 4 3 3 4 3 3" xfId="13554" xr:uid="{9AEB4497-30BD-4B47-8425-98818A2C9A0B}"/>
    <cellStyle name="Normal 2 4 3 3 4 4" xfId="18617" xr:uid="{5A807B46-9644-4F51-B076-35DA6CBBE316}"/>
    <cellStyle name="Normal 2 4 3 3 4 5" xfId="17789" xr:uid="{C877D776-1B51-4E67-BE3E-FD21BE136273}"/>
    <cellStyle name="Normal 2 4 3 3 4 6" xfId="9336" xr:uid="{F0446BE5-B583-4118-897C-CAE5FBAF1580}"/>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25392" xr:uid="{E05609EB-BCC2-4A08-B2E8-3B73BC30F5D7}"/>
    <cellStyle name="Normal 2 4 3 3 5 2 2 3" xfId="16112" xr:uid="{24270512-6CDC-40E7-A830-58429E5D44EC}"/>
    <cellStyle name="Normal 2 4 3 3 5 2 3" xfId="21175" xr:uid="{7F08A92C-004F-422D-A416-62FAC806ECDF}"/>
    <cellStyle name="Normal 2 4 3 3 5 2 4" xfId="11894" xr:uid="{276E4DB0-9039-4D8B-BEBB-4D865568D3D6}"/>
    <cellStyle name="Normal 2 4 3 3 5 3" xfId="5517" xr:uid="{00000000-0005-0000-0000-000014100000}"/>
    <cellStyle name="Normal 2 4 3 3 5 3 2" xfId="23247" xr:uid="{F80B4840-9DB4-4304-A35A-EC1F56C19BFF}"/>
    <cellStyle name="Normal 2 4 3 3 5 3 3" xfId="13967" xr:uid="{009AAE91-DBB5-4222-803B-CB79C610C572}"/>
    <cellStyle name="Normal 2 4 3 3 5 4" xfId="19030" xr:uid="{D2D684B7-D212-4BE9-8D18-AEFD41699101}"/>
    <cellStyle name="Normal 2 4 3 3 5 5" xfId="9749" xr:uid="{9662EA0B-F96D-4895-A3FD-B969370F0D2C}"/>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25805" xr:uid="{D6DE13EC-FE5A-453C-93F9-0BDB60913182}"/>
    <cellStyle name="Normal 2 4 3 3 6 2 2 3" xfId="16525" xr:uid="{06573A53-A79B-4B70-A7A1-F3A7D0CFC45A}"/>
    <cellStyle name="Normal 2 4 3 3 6 2 3" xfId="21588" xr:uid="{EE93EE14-F1FC-444E-AC1D-BEE721A89245}"/>
    <cellStyle name="Normal 2 4 3 3 6 2 4" xfId="12307" xr:uid="{72F710D4-C9CB-4D25-BB23-B49C75F8DC56}"/>
    <cellStyle name="Normal 2 4 3 3 6 3" xfId="5930" xr:uid="{00000000-0005-0000-0000-000018100000}"/>
    <cellStyle name="Normal 2 4 3 3 6 3 2" xfId="23660" xr:uid="{1E658A9D-52C0-4A9D-90B3-6A2B3C2A6F69}"/>
    <cellStyle name="Normal 2 4 3 3 6 3 3" xfId="14380" xr:uid="{2D19C765-C0E4-476F-8AD7-71BAAE911D9A}"/>
    <cellStyle name="Normal 2 4 3 3 6 4" xfId="19443" xr:uid="{C99302B3-2561-4F59-9C18-52DF0DE6B67B}"/>
    <cellStyle name="Normal 2 4 3 3 6 5" xfId="10162" xr:uid="{AAA9AC81-B537-4D6E-962F-C8840CDBE7E5}"/>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26218" xr:uid="{4E97B24C-1B3F-47C7-83B0-9D24850D2E73}"/>
    <cellStyle name="Normal 2 4 3 3 7 2 2 3" xfId="16938" xr:uid="{EBCF1385-E2D8-495D-912E-2F929EAC94A8}"/>
    <cellStyle name="Normal 2 4 3 3 7 2 3" xfId="22001" xr:uid="{23FCF0C8-781A-452F-9FCA-7313D4CFCAEB}"/>
    <cellStyle name="Normal 2 4 3 3 7 2 4" xfId="12720" xr:uid="{A649BECE-3C33-4D01-9F06-F2784E26A0CE}"/>
    <cellStyle name="Normal 2 4 3 3 7 3" xfId="6343" xr:uid="{00000000-0005-0000-0000-00001C100000}"/>
    <cellStyle name="Normal 2 4 3 3 7 3 2" xfId="24073" xr:uid="{4DD131D8-925A-4E13-B09F-636D6AACB6E2}"/>
    <cellStyle name="Normal 2 4 3 3 7 3 3" xfId="14793" xr:uid="{29B89318-F9D6-4F4A-AC67-D4BE8A943167}"/>
    <cellStyle name="Normal 2 4 3 3 7 4" xfId="19856" xr:uid="{EAFCF2AE-C33C-40BD-980B-2094062231B4}"/>
    <cellStyle name="Normal 2 4 3 3 7 5" xfId="10575" xr:uid="{AD108427-14CE-4653-A0B6-621830FD5866}"/>
    <cellStyle name="Normal 2 4 3 3 8" xfId="2473" xr:uid="{00000000-0005-0000-0000-00001D100000}"/>
    <cellStyle name="Normal 2 4 3 3 8 2" xfId="6756" xr:uid="{00000000-0005-0000-0000-00001E100000}"/>
    <cellStyle name="Normal 2 4 3 3 8 2 2" xfId="24486" xr:uid="{1FF98D40-FC4E-4A3B-BC72-5AEF9424EF45}"/>
    <cellStyle name="Normal 2 4 3 3 8 2 3" xfId="15206" xr:uid="{946666C3-BB8D-4E16-8A54-88F1D7C6A16A}"/>
    <cellStyle name="Normal 2 4 3 3 8 3" xfId="20269" xr:uid="{C418134F-9E30-43E8-B9AD-D109C551E690}"/>
    <cellStyle name="Normal 2 4 3 3 8 4" xfId="10988" xr:uid="{9BD71034-BF6B-4E74-B23E-656230F6F159}"/>
    <cellStyle name="Normal 2 4 3 3 9" xfId="4690" xr:uid="{00000000-0005-0000-0000-00001F100000}"/>
    <cellStyle name="Normal 2 4 3 3 9 2" xfId="22420" xr:uid="{CB968AFD-61F3-4B03-9B94-D18FF3094F27}"/>
    <cellStyle name="Normal 2 4 3 3 9 3" xfId="13140" xr:uid="{ED97408A-90DF-4B2C-8850-1D155A9D1B8F}"/>
    <cellStyle name="Normal 2 4 3 4" xfId="787" xr:uid="{00000000-0005-0000-0000-000020100000}"/>
    <cellStyle name="Normal 2 4 3 4 2" xfId="3026" xr:uid="{00000000-0005-0000-0000-000021100000}"/>
    <cellStyle name="Normal 2 4 3 4 2 2" xfId="7248" xr:uid="{00000000-0005-0000-0000-000022100000}"/>
    <cellStyle name="Normal 2 4 3 4 2 2 2" xfId="24978" xr:uid="{3F1139E9-85D0-4CA2-BDBB-6FA38661D6EB}"/>
    <cellStyle name="Normal 2 4 3 4 2 2 3" xfId="15698" xr:uid="{35431F0A-E439-4634-90DE-51019EF0C418}"/>
    <cellStyle name="Normal 2 4 3 4 2 3" xfId="20761" xr:uid="{B72929FA-8F89-4F47-AB0E-5313F89DD8F3}"/>
    <cellStyle name="Normal 2 4 3 4 2 4" xfId="11480" xr:uid="{4BCF4C48-CA03-4626-ACD9-1AC71F2D1AF1}"/>
    <cellStyle name="Normal 2 4 3 4 3" xfId="5103" xr:uid="{00000000-0005-0000-0000-000023100000}"/>
    <cellStyle name="Normal 2 4 3 4 3 2" xfId="22833" xr:uid="{695B8476-C452-48EF-B624-B8A34D9031FC}"/>
    <cellStyle name="Normal 2 4 3 4 3 3" xfId="13553" xr:uid="{04A06676-3061-4282-A526-48922C2FAE00}"/>
    <cellStyle name="Normal 2 4 3 4 4" xfId="18616" xr:uid="{5CECD1E9-8ED4-4ED9-9463-AD6AFF47FBC4}"/>
    <cellStyle name="Normal 2 4 3 4 5" xfId="17788" xr:uid="{628FD387-6C4E-467F-A663-15008C573294}"/>
    <cellStyle name="Normal 2 4 3 4 6" xfId="9335" xr:uid="{1AFB4C71-8F27-4ABE-A84E-BD381FA12A8C}"/>
    <cellStyle name="Normal 2 4 3 5" xfId="1209" xr:uid="{00000000-0005-0000-0000-000024100000}"/>
    <cellStyle name="Normal 2 4 3 5 2" xfId="3439" xr:uid="{00000000-0005-0000-0000-000025100000}"/>
    <cellStyle name="Normal 2 4 3 5 2 2" xfId="7661" xr:uid="{00000000-0005-0000-0000-000026100000}"/>
    <cellStyle name="Normal 2 4 3 5 2 2 2" xfId="25391" xr:uid="{D3228014-D1C0-4F3E-B7A6-4A1A1F99329D}"/>
    <cellStyle name="Normal 2 4 3 5 2 2 3" xfId="16111" xr:uid="{E6833845-9255-4C1A-AEA3-30D72F8565C9}"/>
    <cellStyle name="Normal 2 4 3 5 2 3" xfId="21174" xr:uid="{B46725AE-DAB1-4555-A424-FEA335D1F5D4}"/>
    <cellStyle name="Normal 2 4 3 5 2 4" xfId="11893" xr:uid="{C50D64FC-603D-49E4-8872-7914ED5EB0C7}"/>
    <cellStyle name="Normal 2 4 3 5 3" xfId="5516" xr:uid="{00000000-0005-0000-0000-000027100000}"/>
    <cellStyle name="Normal 2 4 3 5 3 2" xfId="23246" xr:uid="{A312C25C-FF56-41F7-9A5F-11A4D7EF111F}"/>
    <cellStyle name="Normal 2 4 3 5 3 3" xfId="13966" xr:uid="{6B014718-8BA3-4DB0-AB97-1A5927EAEE06}"/>
    <cellStyle name="Normal 2 4 3 5 4" xfId="19029" xr:uid="{8B3E3240-EA41-47B8-9F60-7F0AEB3C822F}"/>
    <cellStyle name="Normal 2 4 3 5 5" xfId="9748" xr:uid="{5435B9EC-DCD7-4907-8BDF-1258C1A4F7C8}"/>
    <cellStyle name="Normal 2 4 3 6" xfId="1622" xr:uid="{00000000-0005-0000-0000-000028100000}"/>
    <cellStyle name="Normal 2 4 3 6 2" xfId="3852" xr:uid="{00000000-0005-0000-0000-000029100000}"/>
    <cellStyle name="Normal 2 4 3 6 2 2" xfId="8074" xr:uid="{00000000-0005-0000-0000-00002A100000}"/>
    <cellStyle name="Normal 2 4 3 6 2 2 2" xfId="25804" xr:uid="{2835A549-E271-4E9F-B11C-349F314FACAD}"/>
    <cellStyle name="Normal 2 4 3 6 2 2 3" xfId="16524" xr:uid="{18DFF724-D0D1-42D2-8044-567BD987FE61}"/>
    <cellStyle name="Normal 2 4 3 6 2 3" xfId="21587" xr:uid="{DBED5F0F-1305-45FE-8BB7-9F130938FEEA}"/>
    <cellStyle name="Normal 2 4 3 6 2 4" xfId="12306" xr:uid="{6D8F8D2A-2B64-4987-982F-E0307E05A0E5}"/>
    <cellStyle name="Normal 2 4 3 6 3" xfId="5929" xr:uid="{00000000-0005-0000-0000-00002B100000}"/>
    <cellStyle name="Normal 2 4 3 6 3 2" xfId="23659" xr:uid="{8990A820-DBA8-4028-ABD8-FEFA6190E069}"/>
    <cellStyle name="Normal 2 4 3 6 3 3" xfId="14379" xr:uid="{A8B357CB-B575-4D15-8959-1B8AD641373E}"/>
    <cellStyle name="Normal 2 4 3 6 4" xfId="19442" xr:uid="{3BD3D822-6168-4B74-AF47-A16AC61647C5}"/>
    <cellStyle name="Normal 2 4 3 6 5" xfId="10161" xr:uid="{171859B2-9BFA-4149-902C-DB473E613234}"/>
    <cellStyle name="Normal 2 4 3 7" xfId="2036" xr:uid="{00000000-0005-0000-0000-00002C100000}"/>
    <cellStyle name="Normal 2 4 3 7 2" xfId="4265" xr:uid="{00000000-0005-0000-0000-00002D100000}"/>
    <cellStyle name="Normal 2 4 3 7 2 2" xfId="8487" xr:uid="{00000000-0005-0000-0000-00002E100000}"/>
    <cellStyle name="Normal 2 4 3 7 2 2 2" xfId="26217" xr:uid="{18E56E2B-8141-4EDA-839D-13C27335154C}"/>
    <cellStyle name="Normal 2 4 3 7 2 2 3" xfId="16937" xr:uid="{EC3FC17C-8BC9-445E-949E-5EC133E939A6}"/>
    <cellStyle name="Normal 2 4 3 7 2 3" xfId="22000" xr:uid="{45A27324-5F13-461C-960A-9530635CE221}"/>
    <cellStyle name="Normal 2 4 3 7 2 4" xfId="12719" xr:uid="{EC17DC5A-0177-4A3A-A70E-304174439BF9}"/>
    <cellStyle name="Normal 2 4 3 7 3" xfId="6342" xr:uid="{00000000-0005-0000-0000-00002F100000}"/>
    <cellStyle name="Normal 2 4 3 7 3 2" xfId="24072" xr:uid="{5B6066D7-E5A8-46B0-89F2-1AD410BD82B1}"/>
    <cellStyle name="Normal 2 4 3 7 3 3" xfId="14792" xr:uid="{CF264A08-932C-421A-9E08-1614525E5B4C}"/>
    <cellStyle name="Normal 2 4 3 7 4" xfId="19855" xr:uid="{7A82D36F-7FF7-4FCF-83E5-39BD49302B34}"/>
    <cellStyle name="Normal 2 4 3 7 5" xfId="10574" xr:uid="{3A6B3662-15E4-4EB2-8F3B-7C2E9EDFD5AE}"/>
    <cellStyle name="Normal 2 4 3 8" xfId="2472" xr:uid="{00000000-0005-0000-0000-000030100000}"/>
    <cellStyle name="Normal 2 4 3 8 2" xfId="6755" xr:uid="{00000000-0005-0000-0000-000031100000}"/>
    <cellStyle name="Normal 2 4 3 8 2 2" xfId="24485" xr:uid="{80167A70-78A4-498B-9222-46C63DBB0185}"/>
    <cellStyle name="Normal 2 4 3 8 2 3" xfId="15205" xr:uid="{87909BBC-ED38-4848-8B46-72614AD45F40}"/>
    <cellStyle name="Normal 2 4 3 8 3" xfId="20268" xr:uid="{8C4CBCFF-9766-4CEF-AF03-881879CCAAB8}"/>
    <cellStyle name="Normal 2 4 3 8 4" xfId="10987" xr:uid="{ECACE1BF-9BAA-4442-A249-DB39A64D7199}"/>
    <cellStyle name="Normal 2 4 3 9" xfId="4689" xr:uid="{00000000-0005-0000-0000-000032100000}"/>
    <cellStyle name="Normal 2 4 3 9 2" xfId="22419" xr:uid="{CE7764C1-63BB-47CF-8DE4-0E6BB70C150C}"/>
    <cellStyle name="Normal 2 4 3 9 3" xfId="13139" xr:uid="{49D26D3B-163B-4F1F-A5EE-C4C8E4396A0D}"/>
    <cellStyle name="Normal 2 4 4" xfId="302" xr:uid="{00000000-0005-0000-0000-000033100000}"/>
    <cellStyle name="Normal 2 4 5" xfId="303" xr:uid="{00000000-0005-0000-0000-000034100000}"/>
    <cellStyle name="Normal 2 4 5 10" xfId="4694" xr:uid="{00000000-0005-0000-0000-000035100000}"/>
    <cellStyle name="Normal 2 4 5 10 2" xfId="22424" xr:uid="{474D1A5E-1D14-4E45-B486-1E9803D8503E}"/>
    <cellStyle name="Normal 2 4 5 10 3" xfId="13144" xr:uid="{B29E6A03-F1EB-4376-9964-B231E68D2D5E}"/>
    <cellStyle name="Normal 2 4 5 11" xfId="18207" xr:uid="{C99911C1-3739-40C4-821E-D4B2ADA8D257}"/>
    <cellStyle name="Normal 2 4 5 12" xfId="17374" xr:uid="{7D5EC4E7-D715-4EEE-ADDA-8F8ECD281494}"/>
    <cellStyle name="Normal 2 4 5 13" xfId="8926" xr:uid="{45D618B4-D59B-45DB-B461-D0D4E59FEBD3}"/>
    <cellStyle name="Normal 2 4 5 2" xfId="304" xr:uid="{00000000-0005-0000-0000-000036100000}"/>
    <cellStyle name="Normal 2 4 5 2 10" xfId="18208" xr:uid="{3304259A-151B-4B64-95CE-8B0C4D9B8ABC}"/>
    <cellStyle name="Normal 2 4 5 2 11" xfId="17375" xr:uid="{01AEBD79-B978-4855-B182-409238CA0B8F}"/>
    <cellStyle name="Normal 2 4 5 2 12" xfId="8927" xr:uid="{20D52967-1BBE-41E2-9522-1390A40DDB19}"/>
    <cellStyle name="Normal 2 4 5 2 2" xfId="305" xr:uid="{00000000-0005-0000-0000-000037100000}"/>
    <cellStyle name="Normal 2 4 5 2 2 10" xfId="17376" xr:uid="{E894EB4A-299B-478C-A43E-45FD3A21E25B}"/>
    <cellStyle name="Normal 2 4 5 2 2 11" xfId="8928" xr:uid="{B5858203-2445-4DF7-9F4F-D230F9814FC1}"/>
    <cellStyle name="Normal 2 4 5 2 2 2" xfId="306" xr:uid="{00000000-0005-0000-0000-000038100000}"/>
    <cellStyle name="Normal 2 4 5 2 2 2 10" xfId="8929" xr:uid="{96CDF8FF-FF5F-4E12-BE12-A8CDEC43EED2}"/>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24986" xr:uid="{DA64ABAF-8659-4D12-B781-631DCEFE864E}"/>
    <cellStyle name="Normal 2 4 5 2 2 2 2 2 2 3" xfId="15706" xr:uid="{92974CE3-ABFE-4876-8079-DE9C5F81B354}"/>
    <cellStyle name="Normal 2 4 5 2 2 2 2 2 3" xfId="20769" xr:uid="{E443C53D-89AA-446D-B1E8-15EEF40779FB}"/>
    <cellStyle name="Normal 2 4 5 2 2 2 2 2 4" xfId="11488" xr:uid="{CDB5C0D9-A3D2-4291-8AD7-EB41EBEDDBFD}"/>
    <cellStyle name="Normal 2 4 5 2 2 2 2 3" xfId="5111" xr:uid="{00000000-0005-0000-0000-00003C100000}"/>
    <cellStyle name="Normal 2 4 5 2 2 2 2 3 2" xfId="22841" xr:uid="{64E925EC-ED16-4EA3-8A61-3F710121F871}"/>
    <cellStyle name="Normal 2 4 5 2 2 2 2 3 3" xfId="13561" xr:uid="{1D75B941-903B-406C-902B-C704328BCE49}"/>
    <cellStyle name="Normal 2 4 5 2 2 2 2 4" xfId="18624" xr:uid="{CB4D2D56-93C2-4176-A12C-A5FF113332FF}"/>
    <cellStyle name="Normal 2 4 5 2 2 2 2 5" xfId="17796" xr:uid="{81BECA8F-05D4-47DD-8024-3E9751FB8C76}"/>
    <cellStyle name="Normal 2 4 5 2 2 2 2 6" xfId="9343" xr:uid="{1D51F0C7-CAB0-4598-BD9F-F3096D33B768}"/>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25399" xr:uid="{6724BCFD-2044-4617-A8F8-4199E4879462}"/>
    <cellStyle name="Normal 2 4 5 2 2 2 3 2 2 3" xfId="16119" xr:uid="{26D4711F-FBED-4510-8ACC-97649A7AA382}"/>
    <cellStyle name="Normal 2 4 5 2 2 2 3 2 3" xfId="21182" xr:uid="{49B7C5DE-8E83-4085-BDD4-09E677177519}"/>
    <cellStyle name="Normal 2 4 5 2 2 2 3 2 4" xfId="11901" xr:uid="{DCF68187-2337-4980-8355-95D9C7429037}"/>
    <cellStyle name="Normal 2 4 5 2 2 2 3 3" xfId="5524" xr:uid="{00000000-0005-0000-0000-000040100000}"/>
    <cellStyle name="Normal 2 4 5 2 2 2 3 3 2" xfId="23254" xr:uid="{F94943DE-4990-4444-8806-E412AE2CE7D4}"/>
    <cellStyle name="Normal 2 4 5 2 2 2 3 3 3" xfId="13974" xr:uid="{B6017C4F-1AB4-44F3-82C3-C1A162AFC22E}"/>
    <cellStyle name="Normal 2 4 5 2 2 2 3 4" xfId="19037" xr:uid="{AC74F3A2-F745-40EB-B1DA-AD4B398AC689}"/>
    <cellStyle name="Normal 2 4 5 2 2 2 3 5" xfId="9756" xr:uid="{CB06C864-7AD4-4B16-9F52-787F0CC9E91C}"/>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25812" xr:uid="{16BCC0FE-7B70-442A-A062-19E9D11D9FC6}"/>
    <cellStyle name="Normal 2 4 5 2 2 2 4 2 2 3" xfId="16532" xr:uid="{2248EC71-D9E5-4DDA-A0E5-2A280A584CBE}"/>
    <cellStyle name="Normal 2 4 5 2 2 2 4 2 3" xfId="21595" xr:uid="{36017354-136E-4420-8C56-17CC27E931C2}"/>
    <cellStyle name="Normal 2 4 5 2 2 2 4 2 4" xfId="12314" xr:uid="{CEFEF37E-7A00-46EA-8C27-8FE54E5AF378}"/>
    <cellStyle name="Normal 2 4 5 2 2 2 4 3" xfId="5937" xr:uid="{00000000-0005-0000-0000-000044100000}"/>
    <cellStyle name="Normal 2 4 5 2 2 2 4 3 2" xfId="23667" xr:uid="{5934BE46-B241-4013-A4F9-39FFA4146B9D}"/>
    <cellStyle name="Normal 2 4 5 2 2 2 4 3 3" xfId="14387" xr:uid="{9F61F222-F89D-4243-9B01-2CAE2A0011AF}"/>
    <cellStyle name="Normal 2 4 5 2 2 2 4 4" xfId="19450" xr:uid="{FCBCA92B-2A04-48E7-A174-3BE254B9C230}"/>
    <cellStyle name="Normal 2 4 5 2 2 2 4 5" xfId="10169" xr:uid="{27DAA03D-63B3-4976-B7F9-7B98B1F683A1}"/>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26225" xr:uid="{B1B4A079-EEE8-4A22-B016-C39A3EAA841A}"/>
    <cellStyle name="Normal 2 4 5 2 2 2 5 2 2 3" xfId="16945" xr:uid="{232FD05B-FDB8-42D2-B914-D3168A36FF8E}"/>
    <cellStyle name="Normal 2 4 5 2 2 2 5 2 3" xfId="22008" xr:uid="{499134DC-5640-4500-976A-6042F40C00D6}"/>
    <cellStyle name="Normal 2 4 5 2 2 2 5 2 4" xfId="12727" xr:uid="{6FDBFD8A-73AB-4266-B771-1C30190C83A7}"/>
    <cellStyle name="Normal 2 4 5 2 2 2 5 3" xfId="6350" xr:uid="{00000000-0005-0000-0000-000048100000}"/>
    <cellStyle name="Normal 2 4 5 2 2 2 5 3 2" xfId="24080" xr:uid="{95E7D6DF-7030-41A5-9C70-B8DDE8D91BDC}"/>
    <cellStyle name="Normal 2 4 5 2 2 2 5 3 3" xfId="14800" xr:uid="{73EA5ACE-81A8-4DF8-9344-59899662B60C}"/>
    <cellStyle name="Normal 2 4 5 2 2 2 5 4" xfId="19863" xr:uid="{D2FBDE3C-560D-4E83-91BA-34E4F8650DEB}"/>
    <cellStyle name="Normal 2 4 5 2 2 2 5 5" xfId="10582" xr:uid="{97E8B09B-0E6F-4222-9C77-73E389FBB8FF}"/>
    <cellStyle name="Normal 2 4 5 2 2 2 6" xfId="2480" xr:uid="{00000000-0005-0000-0000-000049100000}"/>
    <cellStyle name="Normal 2 4 5 2 2 2 6 2" xfId="6763" xr:uid="{00000000-0005-0000-0000-00004A100000}"/>
    <cellStyle name="Normal 2 4 5 2 2 2 6 2 2" xfId="24493" xr:uid="{CA714673-37A3-4A18-8F72-4D7325968A35}"/>
    <cellStyle name="Normal 2 4 5 2 2 2 6 2 3" xfId="15213" xr:uid="{82D28C65-BBD1-4A99-9658-4A88A02BA664}"/>
    <cellStyle name="Normal 2 4 5 2 2 2 6 3" xfId="20276" xr:uid="{95836D22-1326-4139-9564-C26751A26532}"/>
    <cellStyle name="Normal 2 4 5 2 2 2 6 4" xfId="10995" xr:uid="{209B5801-13BF-492C-B28D-05D632CCF4B8}"/>
    <cellStyle name="Normal 2 4 5 2 2 2 7" xfId="4697" xr:uid="{00000000-0005-0000-0000-00004B100000}"/>
    <cellStyle name="Normal 2 4 5 2 2 2 7 2" xfId="22427" xr:uid="{565346FC-6EE7-4638-9300-0ECB0C6EAE0F}"/>
    <cellStyle name="Normal 2 4 5 2 2 2 7 3" xfId="13147" xr:uid="{4923757B-4725-46F4-A7E8-DF65106342A6}"/>
    <cellStyle name="Normal 2 4 5 2 2 2 8" xfId="18210" xr:uid="{F6C2A246-EB58-44C9-A5FF-4C69730F9DB1}"/>
    <cellStyle name="Normal 2 4 5 2 2 2 9" xfId="17377" xr:uid="{8A026DD7-E8E8-4BEB-8810-E92710A3EAF8}"/>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24985" xr:uid="{7BD67964-6CFB-43AB-AEBC-F9DBFE793F55}"/>
    <cellStyle name="Normal 2 4 5 2 2 3 2 2 3" xfId="15705" xr:uid="{885A4D7D-0664-4DE4-9E19-136FC0E18671}"/>
    <cellStyle name="Normal 2 4 5 2 2 3 2 3" xfId="20768" xr:uid="{445B53FF-FC83-4193-B6B6-44D31FE2921F}"/>
    <cellStyle name="Normal 2 4 5 2 2 3 2 4" xfId="11487" xr:uid="{95AB38E4-BE59-4B6C-8506-ED1A74BA5A23}"/>
    <cellStyle name="Normal 2 4 5 2 2 3 3" xfId="5110" xr:uid="{00000000-0005-0000-0000-00004F100000}"/>
    <cellStyle name="Normal 2 4 5 2 2 3 3 2" xfId="22840" xr:uid="{D9398C26-D46C-405C-8868-19559730B412}"/>
    <cellStyle name="Normal 2 4 5 2 2 3 3 3" xfId="13560" xr:uid="{0363D89F-5A78-4D32-ABE3-CC4A312F573F}"/>
    <cellStyle name="Normal 2 4 5 2 2 3 4" xfId="18623" xr:uid="{719A16CC-CFC2-4F4D-88BF-D27B8D50F3F9}"/>
    <cellStyle name="Normal 2 4 5 2 2 3 5" xfId="17795" xr:uid="{91E671E3-E186-43EC-8504-79BF73E8FA66}"/>
    <cellStyle name="Normal 2 4 5 2 2 3 6" xfId="9342" xr:uid="{3BBD1EA1-8AAF-40EF-A15C-216BCBAD3219}"/>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25398" xr:uid="{04D511E6-B0D2-4532-B3C8-F48C899972D7}"/>
    <cellStyle name="Normal 2 4 5 2 2 4 2 2 3" xfId="16118" xr:uid="{B1D2B4CF-80B7-48D4-AB71-87304C7C2A7E}"/>
    <cellStyle name="Normal 2 4 5 2 2 4 2 3" xfId="21181" xr:uid="{CE51177A-23CB-42E1-B0A5-55F978984797}"/>
    <cellStyle name="Normal 2 4 5 2 2 4 2 4" xfId="11900" xr:uid="{F605239B-AED0-48F3-9271-18D36FD668FA}"/>
    <cellStyle name="Normal 2 4 5 2 2 4 3" xfId="5523" xr:uid="{00000000-0005-0000-0000-000053100000}"/>
    <cellStyle name="Normal 2 4 5 2 2 4 3 2" xfId="23253" xr:uid="{8AF62EC0-6807-474B-BDB5-F9D03114D7CC}"/>
    <cellStyle name="Normal 2 4 5 2 2 4 3 3" xfId="13973" xr:uid="{76699062-1C96-4E18-98E5-FB619EC60556}"/>
    <cellStyle name="Normal 2 4 5 2 2 4 4" xfId="19036" xr:uid="{6947C36E-F9B8-4D22-999F-9C3AEAD3E74D}"/>
    <cellStyle name="Normal 2 4 5 2 2 4 5" xfId="9755" xr:uid="{1E856B3C-EA35-4871-AE4C-BFED5FC44685}"/>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25811" xr:uid="{2B7086DB-0933-4DCD-BC30-BF697E318369}"/>
    <cellStyle name="Normal 2 4 5 2 2 5 2 2 3" xfId="16531" xr:uid="{2E49C4F9-EC54-4E66-BDFA-F23DE48F6352}"/>
    <cellStyle name="Normal 2 4 5 2 2 5 2 3" xfId="21594" xr:uid="{D837D1BB-5C50-488B-B374-81237C4C89D0}"/>
    <cellStyle name="Normal 2 4 5 2 2 5 2 4" xfId="12313" xr:uid="{EFDE38A3-F4F5-4E17-BBE8-041A00C3C918}"/>
    <cellStyle name="Normal 2 4 5 2 2 5 3" xfId="5936" xr:uid="{00000000-0005-0000-0000-000057100000}"/>
    <cellStyle name="Normal 2 4 5 2 2 5 3 2" xfId="23666" xr:uid="{5CC9A28C-71D6-428C-B203-2DF453C7B52F}"/>
    <cellStyle name="Normal 2 4 5 2 2 5 3 3" xfId="14386" xr:uid="{250D3EE1-DBF1-4396-A33E-FA6CBFC91007}"/>
    <cellStyle name="Normal 2 4 5 2 2 5 4" xfId="19449" xr:uid="{AD9A0C8B-A79A-4D4E-9960-075A7BAE480D}"/>
    <cellStyle name="Normal 2 4 5 2 2 5 5" xfId="10168" xr:uid="{36F2EB29-0166-4953-8F40-9BAF17F2B8BB}"/>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26224" xr:uid="{BD2EAA61-01EE-4A2E-B313-89B3E706C9BE}"/>
    <cellStyle name="Normal 2 4 5 2 2 6 2 2 3" xfId="16944" xr:uid="{764E541E-D49B-4DB5-B73B-ACBC09709638}"/>
    <cellStyle name="Normal 2 4 5 2 2 6 2 3" xfId="22007" xr:uid="{501AB09F-4F4B-4891-B45A-C6D80DDDD3E8}"/>
    <cellStyle name="Normal 2 4 5 2 2 6 2 4" xfId="12726" xr:uid="{EB1CD170-C5E9-4924-8423-C2342DA1FE3C}"/>
    <cellStyle name="Normal 2 4 5 2 2 6 3" xfId="6349" xr:uid="{00000000-0005-0000-0000-00005B100000}"/>
    <cellStyle name="Normal 2 4 5 2 2 6 3 2" xfId="24079" xr:uid="{028E6FCD-44B6-489A-B5D5-0C419F7CEF72}"/>
    <cellStyle name="Normal 2 4 5 2 2 6 3 3" xfId="14799" xr:uid="{BA3B7AAB-DE24-4973-9017-090E6A967E1B}"/>
    <cellStyle name="Normal 2 4 5 2 2 6 4" xfId="19862" xr:uid="{A19CE4BE-3534-4620-B2BE-F7C2D7D5D078}"/>
    <cellStyle name="Normal 2 4 5 2 2 6 5" xfId="10581" xr:uid="{F6A064BE-C233-4675-888F-3CFC07274E51}"/>
    <cellStyle name="Normal 2 4 5 2 2 7" xfId="2479" xr:uid="{00000000-0005-0000-0000-00005C100000}"/>
    <cellStyle name="Normal 2 4 5 2 2 7 2" xfId="6762" xr:uid="{00000000-0005-0000-0000-00005D100000}"/>
    <cellStyle name="Normal 2 4 5 2 2 7 2 2" xfId="24492" xr:uid="{12BB95E9-E440-44D9-8DA5-1402A26F51E5}"/>
    <cellStyle name="Normal 2 4 5 2 2 7 2 3" xfId="15212" xr:uid="{46A31F89-29A7-43E1-899C-F40B7785DB56}"/>
    <cellStyle name="Normal 2 4 5 2 2 7 3" xfId="20275" xr:uid="{EFB7EE0C-202F-4D06-926A-8D707887FEC9}"/>
    <cellStyle name="Normal 2 4 5 2 2 7 4" xfId="10994" xr:uid="{58D6238B-C044-46F6-8A86-BC69C92D75EC}"/>
    <cellStyle name="Normal 2 4 5 2 2 8" xfId="4696" xr:uid="{00000000-0005-0000-0000-00005E100000}"/>
    <cellStyle name="Normal 2 4 5 2 2 8 2" xfId="22426" xr:uid="{73A02D7E-3B51-403B-99FB-1115817302CD}"/>
    <cellStyle name="Normal 2 4 5 2 2 8 3" xfId="13146" xr:uid="{064E3A0E-6C39-4C50-AF08-906E34DBFB31}"/>
    <cellStyle name="Normal 2 4 5 2 2 9" xfId="18209" xr:uid="{329286F6-2FDB-4862-9659-D1C99FE7AB8A}"/>
    <cellStyle name="Normal 2 4 5 2 3" xfId="307" xr:uid="{00000000-0005-0000-0000-00005F100000}"/>
    <cellStyle name="Normal 2 4 5 2 3 10" xfId="8930" xr:uid="{58AA4496-2CDF-42AF-B6B7-CF31EDFCEEF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24987" xr:uid="{B946914C-7D45-4611-B2FC-DB9D28773820}"/>
    <cellStyle name="Normal 2 4 5 2 3 2 2 2 3" xfId="15707" xr:uid="{399E68D8-8BF1-4F76-825D-AD2BE1D57F78}"/>
    <cellStyle name="Normal 2 4 5 2 3 2 2 3" xfId="20770" xr:uid="{EC24FF81-5970-44CD-81B4-E01F9F7B2F6D}"/>
    <cellStyle name="Normal 2 4 5 2 3 2 2 4" xfId="11489" xr:uid="{60A9F45B-CE31-4371-B72C-091634F752A5}"/>
    <cellStyle name="Normal 2 4 5 2 3 2 3" xfId="5112" xr:uid="{00000000-0005-0000-0000-000063100000}"/>
    <cellStyle name="Normal 2 4 5 2 3 2 3 2" xfId="22842" xr:uid="{B0DDB5B8-A2B1-4838-90F3-AF940542ABA7}"/>
    <cellStyle name="Normal 2 4 5 2 3 2 3 3" xfId="13562" xr:uid="{3B7F22B1-E613-49B3-AC2E-D7819D419AF1}"/>
    <cellStyle name="Normal 2 4 5 2 3 2 4" xfId="18625" xr:uid="{786FFBB6-CE78-4BB5-9A36-687954C2F880}"/>
    <cellStyle name="Normal 2 4 5 2 3 2 5" xfId="17797" xr:uid="{EB8FBE07-EDE1-43D1-A147-7A686CA3089C}"/>
    <cellStyle name="Normal 2 4 5 2 3 2 6" xfId="9344" xr:uid="{E24593DF-53DB-43DC-AE3C-384AF7604A99}"/>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25400" xr:uid="{9067AA38-A107-4651-A62F-65A7241319EF}"/>
    <cellStyle name="Normal 2 4 5 2 3 3 2 2 3" xfId="16120" xr:uid="{E7C072E5-D6BB-4964-A245-672320CB4129}"/>
    <cellStyle name="Normal 2 4 5 2 3 3 2 3" xfId="21183" xr:uid="{E1E276E6-15B4-407E-85B2-05529AF98730}"/>
    <cellStyle name="Normal 2 4 5 2 3 3 2 4" xfId="11902" xr:uid="{CAD7DA85-920F-418E-A8C9-16DE10719EEB}"/>
    <cellStyle name="Normal 2 4 5 2 3 3 3" xfId="5525" xr:uid="{00000000-0005-0000-0000-000067100000}"/>
    <cellStyle name="Normal 2 4 5 2 3 3 3 2" xfId="23255" xr:uid="{B89449F8-7D4F-46D0-8B40-ECF75427CFC0}"/>
    <cellStyle name="Normal 2 4 5 2 3 3 3 3" xfId="13975" xr:uid="{3AB74FF1-0C60-4D62-8449-673F10DF8600}"/>
    <cellStyle name="Normal 2 4 5 2 3 3 4" xfId="19038" xr:uid="{5C0144F4-4D16-4BFE-B1A8-AF5A876EF6B7}"/>
    <cellStyle name="Normal 2 4 5 2 3 3 5" xfId="9757" xr:uid="{688D924D-9341-42CD-A8C6-75F1E05A995A}"/>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25813" xr:uid="{D080A2EF-1768-4A7E-96BD-4FDE2426210C}"/>
    <cellStyle name="Normal 2 4 5 2 3 4 2 2 3" xfId="16533" xr:uid="{1528BF9E-4869-4649-A417-8C00D611FC4E}"/>
    <cellStyle name="Normal 2 4 5 2 3 4 2 3" xfId="21596" xr:uid="{E8B83F41-2760-4305-B22B-7FD852B41E19}"/>
    <cellStyle name="Normal 2 4 5 2 3 4 2 4" xfId="12315" xr:uid="{5185B2AF-A966-4963-8EE4-199FBA5CE244}"/>
    <cellStyle name="Normal 2 4 5 2 3 4 3" xfId="5938" xr:uid="{00000000-0005-0000-0000-00006B100000}"/>
    <cellStyle name="Normal 2 4 5 2 3 4 3 2" xfId="23668" xr:uid="{0333E456-A442-4705-A06C-FE90FC8FC318}"/>
    <cellStyle name="Normal 2 4 5 2 3 4 3 3" xfId="14388" xr:uid="{200EEF0B-AEBA-406F-8356-0CD63AB2C0B9}"/>
    <cellStyle name="Normal 2 4 5 2 3 4 4" xfId="19451" xr:uid="{727E144F-4761-4FA1-A531-0AAD76F5D65A}"/>
    <cellStyle name="Normal 2 4 5 2 3 4 5" xfId="10170" xr:uid="{DF1CEEB5-3579-44F8-8E78-3B1E7C490E35}"/>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26226" xr:uid="{E59AEA46-7921-49C3-A720-E3D1E53A1AA3}"/>
    <cellStyle name="Normal 2 4 5 2 3 5 2 2 3" xfId="16946" xr:uid="{038F9D13-1985-455B-B917-EEA207570018}"/>
    <cellStyle name="Normal 2 4 5 2 3 5 2 3" xfId="22009" xr:uid="{A88E4EB5-77DC-4F38-BDBB-A6777B42E1B3}"/>
    <cellStyle name="Normal 2 4 5 2 3 5 2 4" xfId="12728" xr:uid="{00455FC8-619A-435C-BF6D-D218EAAA294B}"/>
    <cellStyle name="Normal 2 4 5 2 3 5 3" xfId="6351" xr:uid="{00000000-0005-0000-0000-00006F100000}"/>
    <cellStyle name="Normal 2 4 5 2 3 5 3 2" xfId="24081" xr:uid="{5C7AE584-984A-4483-8B25-8772416D64C6}"/>
    <cellStyle name="Normal 2 4 5 2 3 5 3 3" xfId="14801" xr:uid="{02D8CE27-CAED-4BB4-A8BA-EE7E80C8D493}"/>
    <cellStyle name="Normal 2 4 5 2 3 5 4" xfId="19864" xr:uid="{82E07FAB-341E-4D5E-96BF-B8BDA7DEE211}"/>
    <cellStyle name="Normal 2 4 5 2 3 5 5" xfId="10583" xr:uid="{0B61599B-BEF7-4E0B-8214-AFAE9BC87238}"/>
    <cellStyle name="Normal 2 4 5 2 3 6" xfId="2481" xr:uid="{00000000-0005-0000-0000-000070100000}"/>
    <cellStyle name="Normal 2 4 5 2 3 6 2" xfId="6764" xr:uid="{00000000-0005-0000-0000-000071100000}"/>
    <cellStyle name="Normal 2 4 5 2 3 6 2 2" xfId="24494" xr:uid="{7F6A79D8-11DD-4607-B286-8CC537A79C4A}"/>
    <cellStyle name="Normal 2 4 5 2 3 6 2 3" xfId="15214" xr:uid="{73BBF04E-B6F4-499A-A1D8-21136D782EFD}"/>
    <cellStyle name="Normal 2 4 5 2 3 6 3" xfId="20277" xr:uid="{D261EAAC-9F56-4528-93FE-72153C2C4B20}"/>
    <cellStyle name="Normal 2 4 5 2 3 6 4" xfId="10996" xr:uid="{B196F9AF-DD99-483B-B4E7-561C2FEE2639}"/>
    <cellStyle name="Normal 2 4 5 2 3 7" xfId="4698" xr:uid="{00000000-0005-0000-0000-000072100000}"/>
    <cellStyle name="Normal 2 4 5 2 3 7 2" xfId="22428" xr:uid="{23C9765E-3426-4642-978D-E63D9BEE9EF2}"/>
    <cellStyle name="Normal 2 4 5 2 3 7 3" xfId="13148" xr:uid="{CA99B787-8B8D-4C16-B295-6432B9E12AC8}"/>
    <cellStyle name="Normal 2 4 5 2 3 8" xfId="18211" xr:uid="{2ED4A4F2-255C-45D8-ACFD-C8F55C0BEF40}"/>
    <cellStyle name="Normal 2 4 5 2 3 9" xfId="17378" xr:uid="{4AC6D4A7-1E12-42A5-8A29-DD55E0B313E0}"/>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24984" xr:uid="{F76C6C12-8404-4C44-B6C6-B7DBD6D3375E}"/>
    <cellStyle name="Normal 2 4 5 2 4 2 2 3" xfId="15704" xr:uid="{75FF660F-C63E-4578-A2FE-3F9EED72F648}"/>
    <cellStyle name="Normal 2 4 5 2 4 2 3" xfId="20767" xr:uid="{D162DAFB-8F25-4E43-A149-8064A1C949C2}"/>
    <cellStyle name="Normal 2 4 5 2 4 2 4" xfId="11486" xr:uid="{732E1BF8-0055-4818-B82D-895CF36420AE}"/>
    <cellStyle name="Normal 2 4 5 2 4 3" xfId="5109" xr:uid="{00000000-0005-0000-0000-000076100000}"/>
    <cellStyle name="Normal 2 4 5 2 4 3 2" xfId="22839" xr:uid="{D0877811-FEDF-4043-BD8A-7ED7C5E9E2BC}"/>
    <cellStyle name="Normal 2 4 5 2 4 3 3" xfId="13559" xr:uid="{259184A8-CAA0-4E87-B78D-E4E59D4C6A5B}"/>
    <cellStyle name="Normal 2 4 5 2 4 4" xfId="18622" xr:uid="{F476E12C-2B72-4A60-86B1-51322726C2A6}"/>
    <cellStyle name="Normal 2 4 5 2 4 5" xfId="17794" xr:uid="{576EE722-28FE-49B7-B2FD-0B82E8969122}"/>
    <cellStyle name="Normal 2 4 5 2 4 6" xfId="9341" xr:uid="{C3880C48-13A3-4404-B28A-FAA6EA699B76}"/>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25397" xr:uid="{C301FBF4-077B-42D7-93F5-139B630826FF}"/>
    <cellStyle name="Normal 2 4 5 2 5 2 2 3" xfId="16117" xr:uid="{8D759C61-946B-47D4-9936-58721C0E913C}"/>
    <cellStyle name="Normal 2 4 5 2 5 2 3" xfId="21180" xr:uid="{3FF2BDFF-6885-4DEA-B038-AA63040E0B61}"/>
    <cellStyle name="Normal 2 4 5 2 5 2 4" xfId="11899" xr:uid="{9E364421-7D81-4550-BEDD-347A68C9F32D}"/>
    <cellStyle name="Normal 2 4 5 2 5 3" xfId="5522" xr:uid="{00000000-0005-0000-0000-00007A100000}"/>
    <cellStyle name="Normal 2 4 5 2 5 3 2" xfId="23252" xr:uid="{1712D318-C6B4-49FC-BC9A-255EEB3B3C8B}"/>
    <cellStyle name="Normal 2 4 5 2 5 3 3" xfId="13972" xr:uid="{BAF3B2D3-BC3A-43E6-911C-80CBCDD9429E}"/>
    <cellStyle name="Normal 2 4 5 2 5 4" xfId="19035" xr:uid="{7C206F3A-A122-476D-912A-11119B4F57A8}"/>
    <cellStyle name="Normal 2 4 5 2 5 5" xfId="9754" xr:uid="{F1F66793-CA2E-4CF7-938A-7A693B04196F}"/>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25810" xr:uid="{E463A1F9-4475-4204-8C3B-0061E7AD6371}"/>
    <cellStyle name="Normal 2 4 5 2 6 2 2 3" xfId="16530" xr:uid="{AC637553-A8E7-4437-AFE2-E065C565F70C}"/>
    <cellStyle name="Normal 2 4 5 2 6 2 3" xfId="21593" xr:uid="{9461E128-1E22-493E-868F-B1C27E471E3F}"/>
    <cellStyle name="Normal 2 4 5 2 6 2 4" xfId="12312" xr:uid="{5B86FBBF-B71A-4AE4-AAE1-CB36D8527052}"/>
    <cellStyle name="Normal 2 4 5 2 6 3" xfId="5935" xr:uid="{00000000-0005-0000-0000-00007E100000}"/>
    <cellStyle name="Normal 2 4 5 2 6 3 2" xfId="23665" xr:uid="{B600C8FA-4404-4579-A434-43AE6F3AEBD4}"/>
    <cellStyle name="Normal 2 4 5 2 6 3 3" xfId="14385" xr:uid="{A7B8A5B3-8D1F-4D74-BE91-57B96A607FA9}"/>
    <cellStyle name="Normal 2 4 5 2 6 4" xfId="19448" xr:uid="{F73296FE-94AF-4754-A255-63075F3826BD}"/>
    <cellStyle name="Normal 2 4 5 2 6 5" xfId="10167" xr:uid="{8C9F86CE-A1A7-4C4A-AB40-090FD5BE6387}"/>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26223" xr:uid="{9C31C45C-E9EE-4ED9-85EA-D3221E64A565}"/>
    <cellStyle name="Normal 2 4 5 2 7 2 2 3" xfId="16943" xr:uid="{CBD776C6-24B0-4054-BAFC-3602BE3A0B73}"/>
    <cellStyle name="Normal 2 4 5 2 7 2 3" xfId="22006" xr:uid="{CE1E0088-1A36-479F-AFBB-32D5A0B9F0C6}"/>
    <cellStyle name="Normal 2 4 5 2 7 2 4" xfId="12725" xr:uid="{3ED062CC-3A69-4B60-98D4-F60241D53592}"/>
    <cellStyle name="Normal 2 4 5 2 7 3" xfId="6348" xr:uid="{00000000-0005-0000-0000-000082100000}"/>
    <cellStyle name="Normal 2 4 5 2 7 3 2" xfId="24078" xr:uid="{F9BFB2BB-7609-4BE2-86AD-81D0B5E011F2}"/>
    <cellStyle name="Normal 2 4 5 2 7 3 3" xfId="14798" xr:uid="{8317749F-0EC5-4564-B0FF-92087B4715A8}"/>
    <cellStyle name="Normal 2 4 5 2 7 4" xfId="19861" xr:uid="{03E12821-0DC6-4BD8-97E0-4C0CEFE35B26}"/>
    <cellStyle name="Normal 2 4 5 2 7 5" xfId="10580" xr:uid="{557E61FA-B5D3-4751-9E39-E975C1B19F7D}"/>
    <cellStyle name="Normal 2 4 5 2 8" xfId="2478" xr:uid="{00000000-0005-0000-0000-000083100000}"/>
    <cellStyle name="Normal 2 4 5 2 8 2" xfId="6761" xr:uid="{00000000-0005-0000-0000-000084100000}"/>
    <cellStyle name="Normal 2 4 5 2 8 2 2" xfId="24491" xr:uid="{E2686316-4675-4EC6-A13D-0BD9B0CFA902}"/>
    <cellStyle name="Normal 2 4 5 2 8 2 3" xfId="15211" xr:uid="{3B5B8D28-8329-4FB4-A0FC-AA8A4E3D7D9C}"/>
    <cellStyle name="Normal 2 4 5 2 8 3" xfId="20274" xr:uid="{828A6CE6-0DC7-445D-BC25-0BC7B519AC1C}"/>
    <cellStyle name="Normal 2 4 5 2 8 4" xfId="10993" xr:uid="{E8D066B2-61AE-4A68-873F-86B1FFF83F6D}"/>
    <cellStyle name="Normal 2 4 5 2 9" xfId="4695" xr:uid="{00000000-0005-0000-0000-000085100000}"/>
    <cellStyle name="Normal 2 4 5 2 9 2" xfId="22425" xr:uid="{45C1E8BC-D5EC-4EDC-938E-4554DF001037}"/>
    <cellStyle name="Normal 2 4 5 2 9 3" xfId="13145" xr:uid="{AD7850F7-1E80-4175-8805-7C33B5F1FB6F}"/>
    <cellStyle name="Normal 2 4 5 3" xfId="308" xr:uid="{00000000-0005-0000-0000-000086100000}"/>
    <cellStyle name="Normal 2 4 5 3 10" xfId="17379" xr:uid="{91E3EAD1-5FBC-4204-B1FE-E90DEB6D40D5}"/>
    <cellStyle name="Normal 2 4 5 3 11" xfId="8931" xr:uid="{DBC13FDC-8F7F-433F-892B-68D622F81F94}"/>
    <cellStyle name="Normal 2 4 5 3 2" xfId="309" xr:uid="{00000000-0005-0000-0000-000087100000}"/>
    <cellStyle name="Normal 2 4 5 3 2 10" xfId="8932" xr:uid="{530FEBB2-6BAE-45D9-A1E7-62DD0FD4EF5D}"/>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24989" xr:uid="{72D3CF45-D30F-4D2C-B62B-CCF6A222111F}"/>
    <cellStyle name="Normal 2 4 5 3 2 2 2 2 3" xfId="15709" xr:uid="{03223176-678F-4B40-BD07-B3D0EB5C7C11}"/>
    <cellStyle name="Normal 2 4 5 3 2 2 2 3" xfId="20772" xr:uid="{0F791392-D96F-4873-9C37-AFD0B5B0D587}"/>
    <cellStyle name="Normal 2 4 5 3 2 2 2 4" xfId="11491" xr:uid="{0003526E-7EE8-400F-9231-0EDC2E15C06D}"/>
    <cellStyle name="Normal 2 4 5 3 2 2 3" xfId="5114" xr:uid="{00000000-0005-0000-0000-00008B100000}"/>
    <cellStyle name="Normal 2 4 5 3 2 2 3 2" xfId="22844" xr:uid="{C1ACBFD1-3460-4C1C-91F7-7CF466F30CF2}"/>
    <cellStyle name="Normal 2 4 5 3 2 2 3 3" xfId="13564" xr:uid="{945BB095-1DEB-4D80-B967-0CC8F2C4F1C4}"/>
    <cellStyle name="Normal 2 4 5 3 2 2 4" xfId="18627" xr:uid="{7F2CFD04-6277-412D-96E5-E4A6772DB859}"/>
    <cellStyle name="Normal 2 4 5 3 2 2 5" xfId="17799" xr:uid="{6E619A03-2CBA-48A8-8E3B-CB354ED76C62}"/>
    <cellStyle name="Normal 2 4 5 3 2 2 6" xfId="9346" xr:uid="{DE055549-E78E-48D7-9357-6F3A418A57D3}"/>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25402" xr:uid="{5B45406E-ED81-4D96-8451-2C643B0BBB85}"/>
    <cellStyle name="Normal 2 4 5 3 2 3 2 2 3" xfId="16122" xr:uid="{208ED4B4-978D-4776-A8DA-BAD9C0CBA506}"/>
    <cellStyle name="Normal 2 4 5 3 2 3 2 3" xfId="21185" xr:uid="{4A12D7D1-EE25-47F8-AAF1-DD7E08794E6F}"/>
    <cellStyle name="Normal 2 4 5 3 2 3 2 4" xfId="11904" xr:uid="{A3735144-5FB2-4D63-8AD3-1D84E45ED3A7}"/>
    <cellStyle name="Normal 2 4 5 3 2 3 3" xfId="5527" xr:uid="{00000000-0005-0000-0000-00008F100000}"/>
    <cellStyle name="Normal 2 4 5 3 2 3 3 2" xfId="23257" xr:uid="{81E18554-EBBE-4A35-8870-D9DE7DC703D9}"/>
    <cellStyle name="Normal 2 4 5 3 2 3 3 3" xfId="13977" xr:uid="{F4DC1667-246A-4A23-95B4-AB9B3419546B}"/>
    <cellStyle name="Normal 2 4 5 3 2 3 4" xfId="19040" xr:uid="{CC2E3B5C-4EA3-405E-9518-7178A492F80C}"/>
    <cellStyle name="Normal 2 4 5 3 2 3 5" xfId="9759" xr:uid="{FAC14CF1-F591-4EC4-AF57-0DFAECDFC0EC}"/>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25815" xr:uid="{CD5A56EB-4B09-4968-A3FA-A6F85A5BA4CB}"/>
    <cellStyle name="Normal 2 4 5 3 2 4 2 2 3" xfId="16535" xr:uid="{6765A959-EECC-40E1-AB4C-4B6293EAD765}"/>
    <cellStyle name="Normal 2 4 5 3 2 4 2 3" xfId="21598" xr:uid="{15ACDE2D-7231-46A8-A588-F3BB2E1E4E3A}"/>
    <cellStyle name="Normal 2 4 5 3 2 4 2 4" xfId="12317" xr:uid="{D21FCC2B-E286-4DCD-9BED-5578E72B52D3}"/>
    <cellStyle name="Normal 2 4 5 3 2 4 3" xfId="5940" xr:uid="{00000000-0005-0000-0000-000093100000}"/>
    <cellStyle name="Normal 2 4 5 3 2 4 3 2" xfId="23670" xr:uid="{10A7AB1D-685A-4664-8FA2-3881D58C2ABF}"/>
    <cellStyle name="Normal 2 4 5 3 2 4 3 3" xfId="14390" xr:uid="{1370DB71-9C87-4794-B26E-7BAA3629D8D3}"/>
    <cellStyle name="Normal 2 4 5 3 2 4 4" xfId="19453" xr:uid="{0FAEE1F7-F8C5-49AE-B817-D29E21FACA95}"/>
    <cellStyle name="Normal 2 4 5 3 2 4 5" xfId="10172" xr:uid="{41E1010D-3C2D-47AE-8695-B6B682C9D727}"/>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26228" xr:uid="{988C6DB5-5CC2-4793-BA15-EE3461D0295F}"/>
    <cellStyle name="Normal 2 4 5 3 2 5 2 2 3" xfId="16948" xr:uid="{87978D17-8AAA-459A-9060-7E8AA34FE2AB}"/>
    <cellStyle name="Normal 2 4 5 3 2 5 2 3" xfId="22011" xr:uid="{8B5C39A1-D68E-4058-925A-1E4C6A74B20B}"/>
    <cellStyle name="Normal 2 4 5 3 2 5 2 4" xfId="12730" xr:uid="{E9E36413-0934-4580-BAD6-667D3A8A1E3E}"/>
    <cellStyle name="Normal 2 4 5 3 2 5 3" xfId="6353" xr:uid="{00000000-0005-0000-0000-000097100000}"/>
    <cellStyle name="Normal 2 4 5 3 2 5 3 2" xfId="24083" xr:uid="{A95FCBAE-2980-40DF-B307-D626C6B43FDF}"/>
    <cellStyle name="Normal 2 4 5 3 2 5 3 3" xfId="14803" xr:uid="{933D66BB-EF58-4EC3-BA03-E54ED8CF13AF}"/>
    <cellStyle name="Normal 2 4 5 3 2 5 4" xfId="19866" xr:uid="{9CC64430-20BC-4524-9B05-F9D630B6B8D1}"/>
    <cellStyle name="Normal 2 4 5 3 2 5 5" xfId="10585" xr:uid="{A7F8F2C8-D3E8-4893-BF86-B94A399B400E}"/>
    <cellStyle name="Normal 2 4 5 3 2 6" xfId="2483" xr:uid="{00000000-0005-0000-0000-000098100000}"/>
    <cellStyle name="Normal 2 4 5 3 2 6 2" xfId="6766" xr:uid="{00000000-0005-0000-0000-000099100000}"/>
    <cellStyle name="Normal 2 4 5 3 2 6 2 2" xfId="24496" xr:uid="{DAB32241-37C2-47C9-B6BF-F733A62C4A32}"/>
    <cellStyle name="Normal 2 4 5 3 2 6 2 3" xfId="15216" xr:uid="{AC9E7722-0CB6-4DD6-BCBA-7F85452526CD}"/>
    <cellStyle name="Normal 2 4 5 3 2 6 3" xfId="20279" xr:uid="{FB233144-8D0C-422C-B7C2-69D8A460A1BD}"/>
    <cellStyle name="Normal 2 4 5 3 2 6 4" xfId="10998" xr:uid="{6EB23DDA-F021-443D-9DB0-1757C7B0D493}"/>
    <cellStyle name="Normal 2 4 5 3 2 7" xfId="4700" xr:uid="{00000000-0005-0000-0000-00009A100000}"/>
    <cellStyle name="Normal 2 4 5 3 2 7 2" xfId="22430" xr:uid="{168BFF93-AC50-4632-8AF8-36F5CA38DD04}"/>
    <cellStyle name="Normal 2 4 5 3 2 7 3" xfId="13150" xr:uid="{12D14511-4EF9-4029-BF0D-7C001505453A}"/>
    <cellStyle name="Normal 2 4 5 3 2 8" xfId="18213" xr:uid="{A49597BB-D6E7-424A-B934-58C17940E6AE}"/>
    <cellStyle name="Normal 2 4 5 3 2 9" xfId="17380" xr:uid="{D6D8471C-CE48-4A85-B396-716B6DBD186F}"/>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24988" xr:uid="{B093A4BA-A5D2-4D69-9512-4405BB5AF6D7}"/>
    <cellStyle name="Normal 2 4 5 3 3 2 2 3" xfId="15708" xr:uid="{6624C01D-8B3F-45E0-861A-E387790815B1}"/>
    <cellStyle name="Normal 2 4 5 3 3 2 3" xfId="20771" xr:uid="{C94731EC-121E-4847-9212-7B630E70065E}"/>
    <cellStyle name="Normal 2 4 5 3 3 2 4" xfId="11490" xr:uid="{C851C07D-C44D-487E-8EB2-B725699E5D45}"/>
    <cellStyle name="Normal 2 4 5 3 3 3" xfId="5113" xr:uid="{00000000-0005-0000-0000-00009E100000}"/>
    <cellStyle name="Normal 2 4 5 3 3 3 2" xfId="22843" xr:uid="{43CB8B6D-2DEF-48A8-B99D-DC6966D25A9A}"/>
    <cellStyle name="Normal 2 4 5 3 3 3 3" xfId="13563" xr:uid="{F3A69B4F-095B-4D25-8C44-DA72E9BD4480}"/>
    <cellStyle name="Normal 2 4 5 3 3 4" xfId="18626" xr:uid="{8B2BB900-4058-449D-A5E9-BAF7A33EDAAA}"/>
    <cellStyle name="Normal 2 4 5 3 3 5" xfId="17798" xr:uid="{54106448-7224-4D40-88E2-221F37D41E9B}"/>
    <cellStyle name="Normal 2 4 5 3 3 6" xfId="9345" xr:uid="{241C15EC-35A8-4E83-A9EE-446E050B77CF}"/>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25401" xr:uid="{B92374AE-C1D0-4710-AA80-D1EC405159DE}"/>
    <cellStyle name="Normal 2 4 5 3 4 2 2 3" xfId="16121" xr:uid="{67BF15F5-EF97-4543-9680-34FA80657E08}"/>
    <cellStyle name="Normal 2 4 5 3 4 2 3" xfId="21184" xr:uid="{E2AD66FA-8B36-455B-B40C-10B41A6A1AEC}"/>
    <cellStyle name="Normal 2 4 5 3 4 2 4" xfId="11903" xr:uid="{037A5DA8-04E3-4994-B3E6-93EA0E7D5F70}"/>
    <cellStyle name="Normal 2 4 5 3 4 3" xfId="5526" xr:uid="{00000000-0005-0000-0000-0000A2100000}"/>
    <cellStyle name="Normal 2 4 5 3 4 3 2" xfId="23256" xr:uid="{612826EF-42C2-477F-B41C-D8A10678C0F2}"/>
    <cellStyle name="Normal 2 4 5 3 4 3 3" xfId="13976" xr:uid="{1DC20A9F-833D-41CC-8107-0474EB0F81EE}"/>
    <cellStyle name="Normal 2 4 5 3 4 4" xfId="19039" xr:uid="{AB269E1B-BCEF-4654-B736-FA5D8A7AF025}"/>
    <cellStyle name="Normal 2 4 5 3 4 5" xfId="9758" xr:uid="{13F05D99-C0D6-43B2-80FC-71B9F4FE13A5}"/>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25814" xr:uid="{E0872ADB-5301-44C0-A9DD-F321D8DD4866}"/>
    <cellStyle name="Normal 2 4 5 3 5 2 2 3" xfId="16534" xr:uid="{FE14E5EA-91C0-42BC-AF98-707F55D0116B}"/>
    <cellStyle name="Normal 2 4 5 3 5 2 3" xfId="21597" xr:uid="{8ED7CE88-D592-4905-85A0-E78E1EE92BA1}"/>
    <cellStyle name="Normal 2 4 5 3 5 2 4" xfId="12316" xr:uid="{0ACB0149-7CFE-4561-A6BA-7333676C8E03}"/>
    <cellStyle name="Normal 2 4 5 3 5 3" xfId="5939" xr:uid="{00000000-0005-0000-0000-0000A6100000}"/>
    <cellStyle name="Normal 2 4 5 3 5 3 2" xfId="23669" xr:uid="{3BDBD370-079A-408A-A7F5-46373FE23E6A}"/>
    <cellStyle name="Normal 2 4 5 3 5 3 3" xfId="14389" xr:uid="{0B55671E-BCD1-44FC-88E2-52BDA8CE5C6B}"/>
    <cellStyle name="Normal 2 4 5 3 5 4" xfId="19452" xr:uid="{B6AE25E9-A39D-435D-A955-9B8CBD711CA4}"/>
    <cellStyle name="Normal 2 4 5 3 5 5" xfId="10171" xr:uid="{85AC41B9-B066-45CB-A52A-77B445B54D68}"/>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26227" xr:uid="{16120489-027D-4209-A7E3-477264D21111}"/>
    <cellStyle name="Normal 2 4 5 3 6 2 2 3" xfId="16947" xr:uid="{25A25D84-5BBF-4F03-A28C-9E2BCD13DB7D}"/>
    <cellStyle name="Normal 2 4 5 3 6 2 3" xfId="22010" xr:uid="{753734B1-EA61-40BD-99B8-5C5EDD482F6A}"/>
    <cellStyle name="Normal 2 4 5 3 6 2 4" xfId="12729" xr:uid="{5886CF1F-A110-4A75-A749-DCC65F3C2428}"/>
    <cellStyle name="Normal 2 4 5 3 6 3" xfId="6352" xr:uid="{00000000-0005-0000-0000-0000AA100000}"/>
    <cellStyle name="Normal 2 4 5 3 6 3 2" xfId="24082" xr:uid="{4F7AAB13-D868-495D-81DC-E94878959DAE}"/>
    <cellStyle name="Normal 2 4 5 3 6 3 3" xfId="14802" xr:uid="{5CECDA94-B162-4C24-BD65-BF7E0D0E12C7}"/>
    <cellStyle name="Normal 2 4 5 3 6 4" xfId="19865" xr:uid="{C8FA02DA-6A7A-4F44-936A-202E7ACDC0E1}"/>
    <cellStyle name="Normal 2 4 5 3 6 5" xfId="10584" xr:uid="{E52B8AF9-C17F-4D17-B8C6-D1DAE8F7E74F}"/>
    <cellStyle name="Normal 2 4 5 3 7" xfId="2482" xr:uid="{00000000-0005-0000-0000-0000AB100000}"/>
    <cellStyle name="Normal 2 4 5 3 7 2" xfId="6765" xr:uid="{00000000-0005-0000-0000-0000AC100000}"/>
    <cellStyle name="Normal 2 4 5 3 7 2 2" xfId="24495" xr:uid="{BE59D7C5-1379-477E-B13D-324416861044}"/>
    <cellStyle name="Normal 2 4 5 3 7 2 3" xfId="15215" xr:uid="{E0415BF0-3893-4AA4-A683-05DB4105EE6C}"/>
    <cellStyle name="Normal 2 4 5 3 7 3" xfId="20278" xr:uid="{8007B53C-D115-4C96-9C3E-04C0589D3F4F}"/>
    <cellStyle name="Normal 2 4 5 3 7 4" xfId="10997" xr:uid="{8AF521E9-6E81-43C8-8005-061AFF653B06}"/>
    <cellStyle name="Normal 2 4 5 3 8" xfId="4699" xr:uid="{00000000-0005-0000-0000-0000AD100000}"/>
    <cellStyle name="Normal 2 4 5 3 8 2" xfId="22429" xr:uid="{8E20C7ED-AE83-489E-AA87-0A92D5220D2C}"/>
    <cellStyle name="Normal 2 4 5 3 8 3" xfId="13149" xr:uid="{105BBD53-4F91-4F9C-930E-074C03D8D4F7}"/>
    <cellStyle name="Normal 2 4 5 3 9" xfId="18212" xr:uid="{77F80BC0-BB74-4485-9031-3907C6793D46}"/>
    <cellStyle name="Normal 2 4 5 4" xfId="310" xr:uid="{00000000-0005-0000-0000-0000AE100000}"/>
    <cellStyle name="Normal 2 4 5 4 10" xfId="8933" xr:uid="{591D1F6D-F32F-47F0-9102-97BD3B896675}"/>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24990" xr:uid="{D0ABAEC2-00DC-4EC6-AC84-A6F0F050B3D8}"/>
    <cellStyle name="Normal 2 4 5 4 2 2 2 3" xfId="15710" xr:uid="{CCCA4FFA-EF6E-451C-9C36-9BF8D9905198}"/>
    <cellStyle name="Normal 2 4 5 4 2 2 3" xfId="20773" xr:uid="{B8E66A7F-19BA-4149-A4A6-37B653D45819}"/>
    <cellStyle name="Normal 2 4 5 4 2 2 4" xfId="11492" xr:uid="{D27CD600-77AA-48A6-B0D3-2D302712D0A2}"/>
    <cellStyle name="Normal 2 4 5 4 2 3" xfId="5115" xr:uid="{00000000-0005-0000-0000-0000B2100000}"/>
    <cellStyle name="Normal 2 4 5 4 2 3 2" xfId="22845" xr:uid="{2CE184D7-030A-454A-BCD5-FB0652CECECD}"/>
    <cellStyle name="Normal 2 4 5 4 2 3 3" xfId="13565" xr:uid="{5FAE20DB-6B1A-4786-BD3D-478518BBD967}"/>
    <cellStyle name="Normal 2 4 5 4 2 4" xfId="18628" xr:uid="{3889B9AF-8B47-45E7-B37E-F26B317D2296}"/>
    <cellStyle name="Normal 2 4 5 4 2 5" xfId="17800" xr:uid="{DC812382-DAE3-49BE-9A9C-F8676DD8FFBB}"/>
    <cellStyle name="Normal 2 4 5 4 2 6" xfId="9347" xr:uid="{181A2F27-8684-408A-B153-B9477DE6D9A7}"/>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25403" xr:uid="{0FB42C25-6CA4-4B2C-9BE2-1E202F2137FB}"/>
    <cellStyle name="Normal 2 4 5 4 3 2 2 3" xfId="16123" xr:uid="{9625B834-5D2D-4B22-B14F-B50D95CE82F2}"/>
    <cellStyle name="Normal 2 4 5 4 3 2 3" xfId="21186" xr:uid="{B6473EFD-1D2A-43AB-AE52-D7B694C4432E}"/>
    <cellStyle name="Normal 2 4 5 4 3 2 4" xfId="11905" xr:uid="{98C24C10-E867-4CC7-8AC8-211EF89AE382}"/>
    <cellStyle name="Normal 2 4 5 4 3 3" xfId="5528" xr:uid="{00000000-0005-0000-0000-0000B6100000}"/>
    <cellStyle name="Normal 2 4 5 4 3 3 2" xfId="23258" xr:uid="{C26F8DE0-2FD2-4BB8-ABE1-CED0B1621820}"/>
    <cellStyle name="Normal 2 4 5 4 3 3 3" xfId="13978" xr:uid="{F76454B2-AB44-463F-AC09-2706F718CD99}"/>
    <cellStyle name="Normal 2 4 5 4 3 4" xfId="19041" xr:uid="{5F1D73F6-8597-41BF-882B-3651A5A829D6}"/>
    <cellStyle name="Normal 2 4 5 4 3 5" xfId="9760" xr:uid="{15CC1786-D392-4F10-B563-2AC722B37215}"/>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25816" xr:uid="{A73B2AE5-5070-48E4-A04C-F88E20868029}"/>
    <cellStyle name="Normal 2 4 5 4 4 2 2 3" xfId="16536" xr:uid="{0ACC81FB-7BA9-4695-9C33-3C6794595B88}"/>
    <cellStyle name="Normal 2 4 5 4 4 2 3" xfId="21599" xr:uid="{30746271-C60A-4A70-9B96-5099BC415ECC}"/>
    <cellStyle name="Normal 2 4 5 4 4 2 4" xfId="12318" xr:uid="{0D5ED72E-94A7-4F52-A3E1-C7A8178F0FDF}"/>
    <cellStyle name="Normal 2 4 5 4 4 3" xfId="5941" xr:uid="{00000000-0005-0000-0000-0000BA100000}"/>
    <cellStyle name="Normal 2 4 5 4 4 3 2" xfId="23671" xr:uid="{09460421-A9BC-4036-ADC4-82329A45D69C}"/>
    <cellStyle name="Normal 2 4 5 4 4 3 3" xfId="14391" xr:uid="{6C58957D-A455-4A37-A430-BAA336A9139D}"/>
    <cellStyle name="Normal 2 4 5 4 4 4" xfId="19454" xr:uid="{AE5F7BAC-8950-4AA9-91B3-876DFA6402ED}"/>
    <cellStyle name="Normal 2 4 5 4 4 5" xfId="10173" xr:uid="{12B81879-1443-4C47-894D-47D0A8A45BC3}"/>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26229" xr:uid="{F25B945F-A418-4605-A1C5-CF31DC4A1153}"/>
    <cellStyle name="Normal 2 4 5 4 5 2 2 3" xfId="16949" xr:uid="{0B824B13-FF9F-4C4C-B52B-712BBBBBED2F}"/>
    <cellStyle name="Normal 2 4 5 4 5 2 3" xfId="22012" xr:uid="{20A16D75-6B8B-41D2-8723-16D08C0807A6}"/>
    <cellStyle name="Normal 2 4 5 4 5 2 4" xfId="12731" xr:uid="{DE64DE29-A808-4338-9504-D49526B2C513}"/>
    <cellStyle name="Normal 2 4 5 4 5 3" xfId="6354" xr:uid="{00000000-0005-0000-0000-0000BE100000}"/>
    <cellStyle name="Normal 2 4 5 4 5 3 2" xfId="24084" xr:uid="{9FA21ACC-DBA5-4D37-B1B6-727B4D1CEAD0}"/>
    <cellStyle name="Normal 2 4 5 4 5 3 3" xfId="14804" xr:uid="{021434C9-EDDE-4C3B-B478-ACBD92A3F362}"/>
    <cellStyle name="Normal 2 4 5 4 5 4" xfId="19867" xr:uid="{5E281E00-AB57-4AA9-B62A-AA007C0066FB}"/>
    <cellStyle name="Normal 2 4 5 4 5 5" xfId="10586" xr:uid="{A1B8B87A-9738-46A8-B170-0B3899A0C271}"/>
    <cellStyle name="Normal 2 4 5 4 6" xfId="2484" xr:uid="{00000000-0005-0000-0000-0000BF100000}"/>
    <cellStyle name="Normal 2 4 5 4 6 2" xfId="6767" xr:uid="{00000000-0005-0000-0000-0000C0100000}"/>
    <cellStyle name="Normal 2 4 5 4 6 2 2" xfId="24497" xr:uid="{4F3D13D0-11D6-4556-B290-E3F17E131F14}"/>
    <cellStyle name="Normal 2 4 5 4 6 2 3" xfId="15217" xr:uid="{2B502B25-06DA-47F5-86C8-A90A5B7DB0BF}"/>
    <cellStyle name="Normal 2 4 5 4 6 3" xfId="20280" xr:uid="{4656FC62-3FE2-4626-BDE7-20D6B7927D58}"/>
    <cellStyle name="Normal 2 4 5 4 6 4" xfId="10999" xr:uid="{8DAE572A-3B02-4907-AC0E-A0BF70603109}"/>
    <cellStyle name="Normal 2 4 5 4 7" xfId="4701" xr:uid="{00000000-0005-0000-0000-0000C1100000}"/>
    <cellStyle name="Normal 2 4 5 4 7 2" xfId="22431" xr:uid="{18FE939A-66FB-4F6D-A250-B78BDD4D2D00}"/>
    <cellStyle name="Normal 2 4 5 4 7 3" xfId="13151" xr:uid="{B0F5C9E3-C8B6-4A66-901A-306212D9DDD7}"/>
    <cellStyle name="Normal 2 4 5 4 8" xfId="18214" xr:uid="{C26385BD-3174-40CC-9957-79836409A3EE}"/>
    <cellStyle name="Normal 2 4 5 4 9" xfId="17381" xr:uid="{A3DC3DAB-276E-452C-AE17-A0ADDA547C37}"/>
    <cellStyle name="Normal 2 4 5 5" xfId="792" xr:uid="{00000000-0005-0000-0000-0000C2100000}"/>
    <cellStyle name="Normal 2 4 5 5 2" xfId="3031" xr:uid="{00000000-0005-0000-0000-0000C3100000}"/>
    <cellStyle name="Normal 2 4 5 5 2 2" xfId="7253" xr:uid="{00000000-0005-0000-0000-0000C4100000}"/>
    <cellStyle name="Normal 2 4 5 5 2 2 2" xfId="24983" xr:uid="{D59EA86A-4C50-4108-A3EC-E4E4EA71776E}"/>
    <cellStyle name="Normal 2 4 5 5 2 2 3" xfId="15703" xr:uid="{F3FB9D67-880A-49AE-A314-712850E9FCF3}"/>
    <cellStyle name="Normal 2 4 5 5 2 3" xfId="20766" xr:uid="{65F0776A-C626-4795-B3C3-5870D2F9B3F8}"/>
    <cellStyle name="Normal 2 4 5 5 2 4" xfId="11485" xr:uid="{3A9470D3-32A4-4737-A0BF-B5326EEB4773}"/>
    <cellStyle name="Normal 2 4 5 5 3" xfId="5108" xr:uid="{00000000-0005-0000-0000-0000C5100000}"/>
    <cellStyle name="Normal 2 4 5 5 3 2" xfId="22838" xr:uid="{E47D646D-B382-4C81-B060-762AE46DAA2A}"/>
    <cellStyle name="Normal 2 4 5 5 3 3" xfId="13558" xr:uid="{4AF66A85-EF1E-45CC-83D0-E98DF64C9CB5}"/>
    <cellStyle name="Normal 2 4 5 5 4" xfId="18621" xr:uid="{2D6085E3-6DDB-4996-88AB-35785CEEF19B}"/>
    <cellStyle name="Normal 2 4 5 5 5" xfId="17793" xr:uid="{BB6F620D-60DA-43C7-A3DA-2977A9E878E0}"/>
    <cellStyle name="Normal 2 4 5 5 6" xfId="9340" xr:uid="{89A3E75B-9C59-48B6-B7EE-ABFB25D29453}"/>
    <cellStyle name="Normal 2 4 5 6" xfId="1214" xr:uid="{00000000-0005-0000-0000-0000C6100000}"/>
    <cellStyle name="Normal 2 4 5 6 2" xfId="3444" xr:uid="{00000000-0005-0000-0000-0000C7100000}"/>
    <cellStyle name="Normal 2 4 5 6 2 2" xfId="7666" xr:uid="{00000000-0005-0000-0000-0000C8100000}"/>
    <cellStyle name="Normal 2 4 5 6 2 2 2" xfId="25396" xr:uid="{7B7810C7-2737-4A02-9A52-8E0AFB222CA1}"/>
    <cellStyle name="Normal 2 4 5 6 2 2 3" xfId="16116" xr:uid="{48994507-8E61-46C0-B743-0D43F6B3541E}"/>
    <cellStyle name="Normal 2 4 5 6 2 3" xfId="21179" xr:uid="{B380F18C-E3C0-479B-81FB-40EAAC7F1372}"/>
    <cellStyle name="Normal 2 4 5 6 2 4" xfId="11898" xr:uid="{A935ECAF-6803-4102-8B06-EDF0B6A9C564}"/>
    <cellStyle name="Normal 2 4 5 6 3" xfId="5521" xr:uid="{00000000-0005-0000-0000-0000C9100000}"/>
    <cellStyle name="Normal 2 4 5 6 3 2" xfId="23251" xr:uid="{ED17B562-A080-4622-98C7-A175CC1D4E26}"/>
    <cellStyle name="Normal 2 4 5 6 3 3" xfId="13971" xr:uid="{7CB69052-A765-46AB-947B-1E060BAE02DA}"/>
    <cellStyle name="Normal 2 4 5 6 4" xfId="19034" xr:uid="{4660A258-9276-402C-B584-308E64932C87}"/>
    <cellStyle name="Normal 2 4 5 6 5" xfId="9753" xr:uid="{D0B960DC-63C7-4766-89E2-26B43296CEDD}"/>
    <cellStyle name="Normal 2 4 5 7" xfId="1627" xr:uid="{00000000-0005-0000-0000-0000CA100000}"/>
    <cellStyle name="Normal 2 4 5 7 2" xfId="3857" xr:uid="{00000000-0005-0000-0000-0000CB100000}"/>
    <cellStyle name="Normal 2 4 5 7 2 2" xfId="8079" xr:uid="{00000000-0005-0000-0000-0000CC100000}"/>
    <cellStyle name="Normal 2 4 5 7 2 2 2" xfId="25809" xr:uid="{5F578DD7-C742-45A9-8985-F548602F09CC}"/>
    <cellStyle name="Normal 2 4 5 7 2 2 3" xfId="16529" xr:uid="{02162A09-775A-4C1C-88A8-D7D624D68DA0}"/>
    <cellStyle name="Normal 2 4 5 7 2 3" xfId="21592" xr:uid="{DAB0A51C-534F-44BD-94EC-A355658540B9}"/>
    <cellStyle name="Normal 2 4 5 7 2 4" xfId="12311" xr:uid="{ECF8D7F8-0E8C-42A7-B4A3-E905B66E30C5}"/>
    <cellStyle name="Normal 2 4 5 7 3" xfId="5934" xr:uid="{00000000-0005-0000-0000-0000CD100000}"/>
    <cellStyle name="Normal 2 4 5 7 3 2" xfId="23664" xr:uid="{BBB3CFE0-CA88-4610-83C6-6B56CA9B2D7E}"/>
    <cellStyle name="Normal 2 4 5 7 3 3" xfId="14384" xr:uid="{C54DF973-BF57-41F5-8A11-D239C8718920}"/>
    <cellStyle name="Normal 2 4 5 7 4" xfId="19447" xr:uid="{AF07F7FF-DC38-4044-8E00-C8B092EC6223}"/>
    <cellStyle name="Normal 2 4 5 7 5" xfId="10166" xr:uid="{902D25F5-29B3-46F2-B0D6-CE17114FC202}"/>
    <cellStyle name="Normal 2 4 5 8" xfId="2041" xr:uid="{00000000-0005-0000-0000-0000CE100000}"/>
    <cellStyle name="Normal 2 4 5 8 2" xfId="4270" xr:uid="{00000000-0005-0000-0000-0000CF100000}"/>
    <cellStyle name="Normal 2 4 5 8 2 2" xfId="8492" xr:uid="{00000000-0005-0000-0000-0000D0100000}"/>
    <cellStyle name="Normal 2 4 5 8 2 2 2" xfId="26222" xr:uid="{1BF94DFD-F2E8-495F-AC8F-5D8658B81A0E}"/>
    <cellStyle name="Normal 2 4 5 8 2 2 3" xfId="16942" xr:uid="{D8B02B14-A8EE-4492-B661-161296464BBF}"/>
    <cellStyle name="Normal 2 4 5 8 2 3" xfId="22005" xr:uid="{65D04A54-CE27-450E-A89E-8CE3FE4C9A16}"/>
    <cellStyle name="Normal 2 4 5 8 2 4" xfId="12724" xr:uid="{E0049F52-497C-4D93-9B38-EF49936F6F91}"/>
    <cellStyle name="Normal 2 4 5 8 3" xfId="6347" xr:uid="{00000000-0005-0000-0000-0000D1100000}"/>
    <cellStyle name="Normal 2 4 5 8 3 2" xfId="24077" xr:uid="{62A26C2A-5DDF-4AEA-A815-C6141A05C4C6}"/>
    <cellStyle name="Normal 2 4 5 8 3 3" xfId="14797" xr:uid="{9A91602B-910A-4F6A-98DC-A6AF326871CC}"/>
    <cellStyle name="Normal 2 4 5 8 4" xfId="19860" xr:uid="{FDC8A420-54A9-416E-9BFC-4FF6A76D9528}"/>
    <cellStyle name="Normal 2 4 5 8 5" xfId="10579" xr:uid="{13F3E352-6DD8-4CF2-AFED-FB01B06B38A3}"/>
    <cellStyle name="Normal 2 4 5 9" xfId="2477" xr:uid="{00000000-0005-0000-0000-0000D2100000}"/>
    <cellStyle name="Normal 2 4 5 9 2" xfId="6760" xr:uid="{00000000-0005-0000-0000-0000D3100000}"/>
    <cellStyle name="Normal 2 4 5 9 2 2" xfId="24490" xr:uid="{C20ED678-14D5-407B-AAB5-BCCC67265FCF}"/>
    <cellStyle name="Normal 2 4 5 9 2 3" xfId="15210" xr:uid="{D35718F5-EB4B-4FDD-9842-C3C459B1FC5C}"/>
    <cellStyle name="Normal 2 4 5 9 3" xfId="20273" xr:uid="{767AC871-548C-4EBA-B2FC-84A278D19B29}"/>
    <cellStyle name="Normal 2 4 5 9 4" xfId="10992" xr:uid="{FFD368BD-343B-4E26-8C64-C3A0C5511CCF}"/>
    <cellStyle name="Normal 2 4 6" xfId="311" xr:uid="{00000000-0005-0000-0000-0000D4100000}"/>
    <cellStyle name="Normal 2 4 7" xfId="312" xr:uid="{00000000-0005-0000-0000-0000D5100000}"/>
    <cellStyle name="Normal 2 4 7 10" xfId="17382" xr:uid="{B4FB9E08-7A0C-41CE-BD91-1AFDB1A991D2}"/>
    <cellStyle name="Normal 2 4 7 11" xfId="8934" xr:uid="{1AA4C98B-1AD0-4871-A36C-9B4FE69EF5EC}"/>
    <cellStyle name="Normal 2 4 7 2" xfId="313" xr:uid="{00000000-0005-0000-0000-0000D6100000}"/>
    <cellStyle name="Normal 2 4 7 2 10" xfId="8935" xr:uid="{DAC37D0E-E9A4-420A-907A-837DFF265C72}"/>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24992" xr:uid="{A25AB113-88F6-4D85-9AC6-0B082BB1F715}"/>
    <cellStyle name="Normal 2 4 7 2 2 2 2 3" xfId="15712" xr:uid="{D108DE43-3238-4183-9ACE-71C443CEDBA9}"/>
    <cellStyle name="Normal 2 4 7 2 2 2 3" xfId="20775" xr:uid="{87DE75B3-7610-4B5A-BD2F-39593B4D8CDB}"/>
    <cellStyle name="Normal 2 4 7 2 2 2 4" xfId="11494" xr:uid="{B7E949E9-F1B4-4021-B5C3-27DAD8301E78}"/>
    <cellStyle name="Normal 2 4 7 2 2 3" xfId="5117" xr:uid="{00000000-0005-0000-0000-0000DA100000}"/>
    <cellStyle name="Normal 2 4 7 2 2 3 2" xfId="22847" xr:uid="{7F7885DB-C08C-40FB-9765-F47559DF1460}"/>
    <cellStyle name="Normal 2 4 7 2 2 3 3" xfId="13567" xr:uid="{F1FA43D9-E7BB-4A50-B49E-20A91C4E5DA9}"/>
    <cellStyle name="Normal 2 4 7 2 2 4" xfId="18630" xr:uid="{F0ACF87F-3002-45E7-BBAE-516392BDFA70}"/>
    <cellStyle name="Normal 2 4 7 2 2 5" xfId="17802" xr:uid="{E15407F2-47B9-4F60-8F89-3177F64C0D2E}"/>
    <cellStyle name="Normal 2 4 7 2 2 6" xfId="9349" xr:uid="{CCD539C0-47BB-464D-BC0B-93C8C5A96A51}"/>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25405" xr:uid="{E7C87233-AAD0-44CE-897E-FA0F5CEB3601}"/>
    <cellStyle name="Normal 2 4 7 2 3 2 2 3" xfId="16125" xr:uid="{D0E39821-AC6C-4A5E-A016-34FFEDE07E2F}"/>
    <cellStyle name="Normal 2 4 7 2 3 2 3" xfId="21188" xr:uid="{61D34617-430A-4854-8572-CC19FC9ABBF4}"/>
    <cellStyle name="Normal 2 4 7 2 3 2 4" xfId="11907" xr:uid="{F63C761C-756A-46EC-A973-DFEE0D015C51}"/>
    <cellStyle name="Normal 2 4 7 2 3 3" xfId="5530" xr:uid="{00000000-0005-0000-0000-0000DE100000}"/>
    <cellStyle name="Normal 2 4 7 2 3 3 2" xfId="23260" xr:uid="{63F2B5BB-5996-41C8-B862-52AFF32F48DB}"/>
    <cellStyle name="Normal 2 4 7 2 3 3 3" xfId="13980" xr:uid="{963F5C73-D6CB-4857-819B-079DDC7EFD55}"/>
    <cellStyle name="Normal 2 4 7 2 3 4" xfId="19043" xr:uid="{CB7EFC7D-0104-4E95-AA42-D33276E53599}"/>
    <cellStyle name="Normal 2 4 7 2 3 5" xfId="9762" xr:uid="{F67F4D95-4BFA-4BF6-A1C5-9FF746CBA8E7}"/>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25818" xr:uid="{8A4626A0-F8AE-45AD-83EC-8FCE09EB49E4}"/>
    <cellStyle name="Normal 2 4 7 2 4 2 2 3" xfId="16538" xr:uid="{643CFD04-9F01-4DF4-82D3-404F73902D6F}"/>
    <cellStyle name="Normal 2 4 7 2 4 2 3" xfId="21601" xr:uid="{BD01260A-E326-42FE-86A4-AB56767BA4F8}"/>
    <cellStyle name="Normal 2 4 7 2 4 2 4" xfId="12320" xr:uid="{B635A424-8229-48EF-A694-4964FE1C6008}"/>
    <cellStyle name="Normal 2 4 7 2 4 3" xfId="5943" xr:uid="{00000000-0005-0000-0000-0000E2100000}"/>
    <cellStyle name="Normal 2 4 7 2 4 3 2" xfId="23673" xr:uid="{240F5E68-FDA4-493C-8A31-6D9F949630DF}"/>
    <cellStyle name="Normal 2 4 7 2 4 3 3" xfId="14393" xr:uid="{2ACE246C-DD69-41CD-9C07-D73E76917E1E}"/>
    <cellStyle name="Normal 2 4 7 2 4 4" xfId="19456" xr:uid="{713697C1-00F4-472A-A042-03EB05EB2ADD}"/>
    <cellStyle name="Normal 2 4 7 2 4 5" xfId="10175" xr:uid="{19622C7A-38C8-4FC6-B5E2-1E764E56C9B0}"/>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26231" xr:uid="{CEBC9327-2692-4E57-985C-F16225B5E5E0}"/>
    <cellStyle name="Normal 2 4 7 2 5 2 2 3" xfId="16951" xr:uid="{FA4707BA-82E4-4B9B-8653-1D6802C0E5BC}"/>
    <cellStyle name="Normal 2 4 7 2 5 2 3" xfId="22014" xr:uid="{3CAF40B7-7E90-4F9C-877D-3C11A9A480EA}"/>
    <cellStyle name="Normal 2 4 7 2 5 2 4" xfId="12733" xr:uid="{F7020034-8005-437C-A674-F7BD3B272052}"/>
    <cellStyle name="Normal 2 4 7 2 5 3" xfId="6356" xr:uid="{00000000-0005-0000-0000-0000E6100000}"/>
    <cellStyle name="Normal 2 4 7 2 5 3 2" xfId="24086" xr:uid="{806A4869-9B38-4B5F-BB86-771A6C4A3F39}"/>
    <cellStyle name="Normal 2 4 7 2 5 3 3" xfId="14806" xr:uid="{64C14BFB-8394-4492-9E92-48EA046F7F2D}"/>
    <cellStyle name="Normal 2 4 7 2 5 4" xfId="19869" xr:uid="{8790E000-3909-431A-9B3B-ACFEFEE69CEC}"/>
    <cellStyle name="Normal 2 4 7 2 5 5" xfId="10588" xr:uid="{4D44618F-21D6-4C6D-8A96-2C8D1A9A534C}"/>
    <cellStyle name="Normal 2 4 7 2 6" xfId="2486" xr:uid="{00000000-0005-0000-0000-0000E7100000}"/>
    <cellStyle name="Normal 2 4 7 2 6 2" xfId="6769" xr:uid="{00000000-0005-0000-0000-0000E8100000}"/>
    <cellStyle name="Normal 2 4 7 2 6 2 2" xfId="24499" xr:uid="{745C4FCC-0659-4840-B7C1-603A36BEFB45}"/>
    <cellStyle name="Normal 2 4 7 2 6 2 3" xfId="15219" xr:uid="{408C8BEF-B130-4FDE-BDD1-868858EB0367}"/>
    <cellStyle name="Normal 2 4 7 2 6 3" xfId="20282" xr:uid="{30BC7B0B-E46F-4ACB-95B3-E19D4C839051}"/>
    <cellStyle name="Normal 2 4 7 2 6 4" xfId="11001" xr:uid="{60CD8E63-75B8-4542-A002-D4D5D733F594}"/>
    <cellStyle name="Normal 2 4 7 2 7" xfId="4703" xr:uid="{00000000-0005-0000-0000-0000E9100000}"/>
    <cellStyle name="Normal 2 4 7 2 7 2" xfId="22433" xr:uid="{FD235075-71A7-4E61-B817-C26A97695BA2}"/>
    <cellStyle name="Normal 2 4 7 2 7 3" xfId="13153" xr:uid="{C2694EE4-AE29-49FB-BA46-FB77A1F38F50}"/>
    <cellStyle name="Normal 2 4 7 2 8" xfId="18216" xr:uid="{7BA74217-C913-4371-B059-1BDED34DBD52}"/>
    <cellStyle name="Normal 2 4 7 2 9" xfId="17383" xr:uid="{D11CA07A-A238-4F36-966A-BCC5C917A9E4}"/>
    <cellStyle name="Normal 2 4 7 3" xfId="800" xr:uid="{00000000-0005-0000-0000-0000EA100000}"/>
    <cellStyle name="Normal 2 4 7 3 2" xfId="3039" xr:uid="{00000000-0005-0000-0000-0000EB100000}"/>
    <cellStyle name="Normal 2 4 7 3 2 2" xfId="7261" xr:uid="{00000000-0005-0000-0000-0000EC100000}"/>
    <cellStyle name="Normal 2 4 7 3 2 2 2" xfId="24991" xr:uid="{E3356F7C-B8D8-401D-951F-ABA40DF90943}"/>
    <cellStyle name="Normal 2 4 7 3 2 2 3" xfId="15711" xr:uid="{870DE688-FFBB-452B-9A50-68BB1F8FCCF7}"/>
    <cellStyle name="Normal 2 4 7 3 2 3" xfId="20774" xr:uid="{2FBDD95B-C093-4A34-884B-C6FEEA3D37CA}"/>
    <cellStyle name="Normal 2 4 7 3 2 4" xfId="11493" xr:uid="{A4637D27-7582-427A-BE5A-1A217AE38EF9}"/>
    <cellStyle name="Normal 2 4 7 3 3" xfId="5116" xr:uid="{00000000-0005-0000-0000-0000ED100000}"/>
    <cellStyle name="Normal 2 4 7 3 3 2" xfId="22846" xr:uid="{E483F361-C0D1-421A-8606-768FCA09CD4C}"/>
    <cellStyle name="Normal 2 4 7 3 3 3" xfId="13566" xr:uid="{1E7EE389-99BE-445E-830B-1A824F9014A5}"/>
    <cellStyle name="Normal 2 4 7 3 4" xfId="18629" xr:uid="{2703E9CE-5B86-4F24-B893-EEA23BAF3320}"/>
    <cellStyle name="Normal 2 4 7 3 5" xfId="17801" xr:uid="{8946E34B-8ACB-4575-8DA2-098D991DDD1B}"/>
    <cellStyle name="Normal 2 4 7 3 6" xfId="9348" xr:uid="{F100DDC7-D6D6-4248-AC1F-C0196043FCBB}"/>
    <cellStyle name="Normal 2 4 7 4" xfId="1222" xr:uid="{00000000-0005-0000-0000-0000EE100000}"/>
    <cellStyle name="Normal 2 4 7 4 2" xfId="3452" xr:uid="{00000000-0005-0000-0000-0000EF100000}"/>
    <cellStyle name="Normal 2 4 7 4 2 2" xfId="7674" xr:uid="{00000000-0005-0000-0000-0000F0100000}"/>
    <cellStyle name="Normal 2 4 7 4 2 2 2" xfId="25404" xr:uid="{1B2974F4-6FA8-4D94-8E64-3912FA739A17}"/>
    <cellStyle name="Normal 2 4 7 4 2 2 3" xfId="16124" xr:uid="{45F1D7E7-CBAC-4096-9BB6-39D57DB50996}"/>
    <cellStyle name="Normal 2 4 7 4 2 3" xfId="21187" xr:uid="{D33A240D-9D16-48F4-B874-7296D7E8205C}"/>
    <cellStyle name="Normal 2 4 7 4 2 4" xfId="11906" xr:uid="{8AD5A555-3248-4187-89D5-47CCFD7F9FF1}"/>
    <cellStyle name="Normal 2 4 7 4 3" xfId="5529" xr:uid="{00000000-0005-0000-0000-0000F1100000}"/>
    <cellStyle name="Normal 2 4 7 4 3 2" xfId="23259" xr:uid="{94FE7DCF-0692-4DA5-BD38-1C5E80A2A2FE}"/>
    <cellStyle name="Normal 2 4 7 4 3 3" xfId="13979" xr:uid="{ED6AEFC8-E64C-4202-B9E2-4B2BE58F745F}"/>
    <cellStyle name="Normal 2 4 7 4 4" xfId="19042" xr:uid="{3DF09273-FD0A-4245-B7C5-CD37AA6DB8B6}"/>
    <cellStyle name="Normal 2 4 7 4 5" xfId="9761" xr:uid="{1A2D5F0C-DF50-46A2-AF98-4069D01FE29B}"/>
    <cellStyle name="Normal 2 4 7 5" xfId="1635" xr:uid="{00000000-0005-0000-0000-0000F2100000}"/>
    <cellStyle name="Normal 2 4 7 5 2" xfId="3865" xr:uid="{00000000-0005-0000-0000-0000F3100000}"/>
    <cellStyle name="Normal 2 4 7 5 2 2" xfId="8087" xr:uid="{00000000-0005-0000-0000-0000F4100000}"/>
    <cellStyle name="Normal 2 4 7 5 2 2 2" xfId="25817" xr:uid="{168ABE09-833B-4D09-BBA3-62EB0014733A}"/>
    <cellStyle name="Normal 2 4 7 5 2 2 3" xfId="16537" xr:uid="{742A4B27-2584-4E8C-88C3-8F37768C9099}"/>
    <cellStyle name="Normal 2 4 7 5 2 3" xfId="21600" xr:uid="{6F4FA164-79B3-4B9E-BD48-4FFB01D777CC}"/>
    <cellStyle name="Normal 2 4 7 5 2 4" xfId="12319" xr:uid="{57FF78A1-6BE5-481A-B67E-F026640DDDB6}"/>
    <cellStyle name="Normal 2 4 7 5 3" xfId="5942" xr:uid="{00000000-0005-0000-0000-0000F5100000}"/>
    <cellStyle name="Normal 2 4 7 5 3 2" xfId="23672" xr:uid="{E40BD855-3552-4B2C-9966-D53D74BAA063}"/>
    <cellStyle name="Normal 2 4 7 5 3 3" xfId="14392" xr:uid="{F01F8A26-4D48-4B5F-9C42-B4F0B1FCA047}"/>
    <cellStyle name="Normal 2 4 7 5 4" xfId="19455" xr:uid="{5D9F0ACC-F9C0-423A-B123-77E584953111}"/>
    <cellStyle name="Normal 2 4 7 5 5" xfId="10174" xr:uid="{77AA3381-2531-44EA-9E38-917AEB042053}"/>
    <cellStyle name="Normal 2 4 7 6" xfId="2049" xr:uid="{00000000-0005-0000-0000-0000F6100000}"/>
    <cellStyle name="Normal 2 4 7 6 2" xfId="4278" xr:uid="{00000000-0005-0000-0000-0000F7100000}"/>
    <cellStyle name="Normal 2 4 7 6 2 2" xfId="8500" xr:uid="{00000000-0005-0000-0000-0000F8100000}"/>
    <cellStyle name="Normal 2 4 7 6 2 2 2" xfId="26230" xr:uid="{727385ED-4354-4F13-9C53-3368F3959907}"/>
    <cellStyle name="Normal 2 4 7 6 2 2 3" xfId="16950" xr:uid="{62D214A8-051D-4D39-9A9B-DE0E1A54F97E}"/>
    <cellStyle name="Normal 2 4 7 6 2 3" xfId="22013" xr:uid="{48CEC559-A0D9-4AF8-94C1-F0DDF1DC1DA1}"/>
    <cellStyle name="Normal 2 4 7 6 2 4" xfId="12732" xr:uid="{B8B380D8-E57D-4A9A-89CA-0511DFD4B9F6}"/>
    <cellStyle name="Normal 2 4 7 6 3" xfId="6355" xr:uid="{00000000-0005-0000-0000-0000F9100000}"/>
    <cellStyle name="Normal 2 4 7 6 3 2" xfId="24085" xr:uid="{5CCD7096-C083-48D2-A744-761FC084F57F}"/>
    <cellStyle name="Normal 2 4 7 6 3 3" xfId="14805" xr:uid="{0CB2F2AF-DE08-4860-B843-7CC6B2ECF820}"/>
    <cellStyle name="Normal 2 4 7 6 4" xfId="19868" xr:uid="{7044AE01-F741-4E94-9A4E-2C5A3180DF47}"/>
    <cellStyle name="Normal 2 4 7 6 5" xfId="10587" xr:uid="{9DC2C9FD-8ADE-46F9-A3FF-C0AE9A211263}"/>
    <cellStyle name="Normal 2 4 7 7" xfId="2485" xr:uid="{00000000-0005-0000-0000-0000FA100000}"/>
    <cellStyle name="Normal 2 4 7 7 2" xfId="6768" xr:uid="{00000000-0005-0000-0000-0000FB100000}"/>
    <cellStyle name="Normal 2 4 7 7 2 2" xfId="24498" xr:uid="{923899CE-A424-421A-8027-49ECF2FD876F}"/>
    <cellStyle name="Normal 2 4 7 7 2 3" xfId="15218" xr:uid="{D0535A45-066B-481B-9985-7DED19FC2B59}"/>
    <cellStyle name="Normal 2 4 7 7 3" xfId="20281" xr:uid="{2F351F74-1632-4704-BB6F-DADB06AB7E90}"/>
    <cellStyle name="Normal 2 4 7 7 4" xfId="11000" xr:uid="{C85F8AC6-A86C-4719-A063-3A5AB24DD47D}"/>
    <cellStyle name="Normal 2 4 7 8" xfId="4702" xr:uid="{00000000-0005-0000-0000-0000FC100000}"/>
    <cellStyle name="Normal 2 4 7 8 2" xfId="22432" xr:uid="{DBFBF839-A0A6-44C0-9D34-ECA52223E2DA}"/>
    <cellStyle name="Normal 2 4 7 8 3" xfId="13152" xr:uid="{2BADC3B2-B6EB-493B-998C-49DFD9707AF8}"/>
    <cellStyle name="Normal 2 4 7 9" xfId="18215" xr:uid="{233F425E-057C-494F-9316-A64E9A3BB7CE}"/>
    <cellStyle name="Normal 2 4 8" xfId="314" xr:uid="{00000000-0005-0000-0000-0000FD100000}"/>
    <cellStyle name="Normal 2 4 8 10" xfId="8936" xr:uid="{3B87B6D8-2BAA-4282-9EC1-A5C826DC8669}"/>
    <cellStyle name="Normal 2 4 8 2" xfId="802" xr:uid="{00000000-0005-0000-0000-0000FE100000}"/>
    <cellStyle name="Normal 2 4 8 2 2" xfId="3041" xr:uid="{00000000-0005-0000-0000-0000FF100000}"/>
    <cellStyle name="Normal 2 4 8 2 2 2" xfId="7263" xr:uid="{00000000-0005-0000-0000-000000110000}"/>
    <cellStyle name="Normal 2 4 8 2 2 2 2" xfId="24993" xr:uid="{1CD7BD68-A032-48BA-9359-305E1B39A73C}"/>
    <cellStyle name="Normal 2 4 8 2 2 2 3" xfId="15713" xr:uid="{C2693012-09B1-4B29-B76E-AFA6B3A837C3}"/>
    <cellStyle name="Normal 2 4 8 2 2 3" xfId="20776" xr:uid="{E6DA00C1-0CC2-4A68-9A36-11FAF8D0B741}"/>
    <cellStyle name="Normal 2 4 8 2 2 4" xfId="11495" xr:uid="{0046726F-EF22-48D0-93D9-CE07B428D71E}"/>
    <cellStyle name="Normal 2 4 8 2 3" xfId="5118" xr:uid="{00000000-0005-0000-0000-000001110000}"/>
    <cellStyle name="Normal 2 4 8 2 3 2" xfId="22848" xr:uid="{B2F0522B-7D12-449A-B8AC-44797310E0C3}"/>
    <cellStyle name="Normal 2 4 8 2 3 3" xfId="13568" xr:uid="{3D3C792C-B33B-4A03-A869-EC87B005CAD9}"/>
    <cellStyle name="Normal 2 4 8 2 4" xfId="18631" xr:uid="{50F96862-67D8-4042-B152-E35330BC8CB2}"/>
    <cellStyle name="Normal 2 4 8 2 5" xfId="17803" xr:uid="{EDC94FE8-5A65-47C7-B3AA-021B51F1272C}"/>
    <cellStyle name="Normal 2 4 8 2 6" xfId="9350" xr:uid="{0738C154-B4C0-49A3-A5EA-94A6864ED321}"/>
    <cellStyle name="Normal 2 4 8 3" xfId="1224" xr:uid="{00000000-0005-0000-0000-000002110000}"/>
    <cellStyle name="Normal 2 4 8 3 2" xfId="3454" xr:uid="{00000000-0005-0000-0000-000003110000}"/>
    <cellStyle name="Normal 2 4 8 3 2 2" xfId="7676" xr:uid="{00000000-0005-0000-0000-000004110000}"/>
    <cellStyle name="Normal 2 4 8 3 2 2 2" xfId="25406" xr:uid="{323E6960-CE86-49B3-9394-C18235078D2B}"/>
    <cellStyle name="Normal 2 4 8 3 2 2 3" xfId="16126" xr:uid="{5E39880B-FB64-436C-AA83-F22DA527B4ED}"/>
    <cellStyle name="Normal 2 4 8 3 2 3" xfId="21189" xr:uid="{707153FF-3520-4FB7-9326-D7DA6BD256CC}"/>
    <cellStyle name="Normal 2 4 8 3 2 4" xfId="11908" xr:uid="{A3928BF4-47CF-4FC7-BC3D-CF8B057F5D93}"/>
    <cellStyle name="Normal 2 4 8 3 3" xfId="5531" xr:uid="{00000000-0005-0000-0000-000005110000}"/>
    <cellStyle name="Normal 2 4 8 3 3 2" xfId="23261" xr:uid="{24A0F0F4-CCE3-41E9-B4D7-1C0051D85283}"/>
    <cellStyle name="Normal 2 4 8 3 3 3" xfId="13981" xr:uid="{01AE927D-3C3F-4095-AE29-6C4F89D6CF09}"/>
    <cellStyle name="Normal 2 4 8 3 4" xfId="19044" xr:uid="{317CE9C4-8FE1-4BD2-8E38-7F08C0982FF0}"/>
    <cellStyle name="Normal 2 4 8 3 5" xfId="9763" xr:uid="{9E46C5D0-8D4E-4B7E-A5D9-EEA1B8D81372}"/>
    <cellStyle name="Normal 2 4 8 4" xfId="1637" xr:uid="{00000000-0005-0000-0000-000006110000}"/>
    <cellStyle name="Normal 2 4 8 4 2" xfId="3867" xr:uid="{00000000-0005-0000-0000-000007110000}"/>
    <cellStyle name="Normal 2 4 8 4 2 2" xfId="8089" xr:uid="{00000000-0005-0000-0000-000008110000}"/>
    <cellStyle name="Normal 2 4 8 4 2 2 2" xfId="25819" xr:uid="{447FA197-08A9-4D6C-AA2B-26B4A7343E1F}"/>
    <cellStyle name="Normal 2 4 8 4 2 2 3" xfId="16539" xr:uid="{6CCA1982-A4E4-4166-8A46-51DC67BE363E}"/>
    <cellStyle name="Normal 2 4 8 4 2 3" xfId="21602" xr:uid="{8BCB2389-D463-4595-A085-183C815ABBD6}"/>
    <cellStyle name="Normal 2 4 8 4 2 4" xfId="12321" xr:uid="{143228A9-B984-42EB-A8BD-3E5D4D1A5909}"/>
    <cellStyle name="Normal 2 4 8 4 3" xfId="5944" xr:uid="{00000000-0005-0000-0000-000009110000}"/>
    <cellStyle name="Normal 2 4 8 4 3 2" xfId="23674" xr:uid="{276E8C48-B104-432C-AA5C-CC15CA241F4E}"/>
    <cellStyle name="Normal 2 4 8 4 3 3" xfId="14394" xr:uid="{F5D3BFC9-C949-4650-B16A-CB8558FEB449}"/>
    <cellStyle name="Normal 2 4 8 4 4" xfId="19457" xr:uid="{F63033F1-ED03-4C90-A6F4-FE981F5E8A63}"/>
    <cellStyle name="Normal 2 4 8 4 5" xfId="10176" xr:uid="{DD350024-B83F-4226-B43B-208021B11C57}"/>
    <cellStyle name="Normal 2 4 8 5" xfId="2051" xr:uid="{00000000-0005-0000-0000-00000A110000}"/>
    <cellStyle name="Normal 2 4 8 5 2" xfId="4280" xr:uid="{00000000-0005-0000-0000-00000B110000}"/>
    <cellStyle name="Normal 2 4 8 5 2 2" xfId="8502" xr:uid="{00000000-0005-0000-0000-00000C110000}"/>
    <cellStyle name="Normal 2 4 8 5 2 2 2" xfId="26232" xr:uid="{EAD2222A-4C3E-4697-8C76-3FD1AE56A4E7}"/>
    <cellStyle name="Normal 2 4 8 5 2 2 3" xfId="16952" xr:uid="{8F19793F-1396-4DD0-A108-1790674F41D7}"/>
    <cellStyle name="Normal 2 4 8 5 2 3" xfId="22015" xr:uid="{0B499E52-F4B1-4C37-80B2-286D9FA94FD6}"/>
    <cellStyle name="Normal 2 4 8 5 2 4" xfId="12734" xr:uid="{4F3E835C-6890-47B4-92E7-DB375D54A023}"/>
    <cellStyle name="Normal 2 4 8 5 3" xfId="6357" xr:uid="{00000000-0005-0000-0000-00000D110000}"/>
    <cellStyle name="Normal 2 4 8 5 3 2" xfId="24087" xr:uid="{C9E760E6-C403-4E60-AB6F-89164FC0F9B3}"/>
    <cellStyle name="Normal 2 4 8 5 3 3" xfId="14807" xr:uid="{607E532D-5444-4719-932C-70951362CFDD}"/>
    <cellStyle name="Normal 2 4 8 5 4" xfId="19870" xr:uid="{53350B9D-4D0A-499F-9120-AA58967C6356}"/>
    <cellStyle name="Normal 2 4 8 5 5" xfId="10589" xr:uid="{9E92F52D-6D13-4142-9C77-9A926D81873D}"/>
    <cellStyle name="Normal 2 4 8 6" xfId="2487" xr:uid="{00000000-0005-0000-0000-00000E110000}"/>
    <cellStyle name="Normal 2 4 8 6 2" xfId="6770" xr:uid="{00000000-0005-0000-0000-00000F110000}"/>
    <cellStyle name="Normal 2 4 8 6 2 2" xfId="24500" xr:uid="{13329393-7EB9-4A81-AC62-689D6EFDADB1}"/>
    <cellStyle name="Normal 2 4 8 6 2 3" xfId="15220" xr:uid="{F1379948-036B-410A-9E68-D46719A466FE}"/>
    <cellStyle name="Normal 2 4 8 6 3" xfId="20283" xr:uid="{4EC53057-44D7-4B85-894E-9906011ECCD4}"/>
    <cellStyle name="Normal 2 4 8 6 4" xfId="11002" xr:uid="{5BF6ED9A-2B41-4C29-8202-2834C53DF221}"/>
    <cellStyle name="Normal 2 4 8 7" xfId="4704" xr:uid="{00000000-0005-0000-0000-000010110000}"/>
    <cellStyle name="Normal 2 4 8 7 2" xfId="22434" xr:uid="{F298E92F-6751-428A-9D05-72BA46DEA2E7}"/>
    <cellStyle name="Normal 2 4 8 7 3" xfId="13154" xr:uid="{DB2CB5B4-E472-4D31-B3E7-2BF23D94CAB6}"/>
    <cellStyle name="Normal 2 4 8 8" xfId="18217" xr:uid="{26F87A32-B30A-46E2-8B29-1094EEF9FF73}"/>
    <cellStyle name="Normal 2 4 8 9" xfId="17384" xr:uid="{A11EA989-4161-40AA-9678-D2B86EDBB6E8}"/>
    <cellStyle name="Normal 2 5" xfId="315" xr:uid="{00000000-0005-0000-0000-000011110000}"/>
    <cellStyle name="Normal 2 5 10" xfId="4705" xr:uid="{00000000-0005-0000-0000-000012110000}"/>
    <cellStyle name="Normal 2 5 10 2" xfId="22435" xr:uid="{94F0C8B6-6BEA-4467-9DFD-967B331A1061}"/>
    <cellStyle name="Normal 2 5 10 3" xfId="13155" xr:uid="{FBC273DE-64C6-466B-B400-EF1AD79038FB}"/>
    <cellStyle name="Normal 2 5 11" xfId="18218" xr:uid="{95A79E97-718A-4FFE-90EC-89DF7C778262}"/>
    <cellStyle name="Normal 2 5 12" xfId="17385" xr:uid="{64A568D2-C8EB-4CA4-B29C-1ED4A742454E}"/>
    <cellStyle name="Normal 2 5 13" xfId="8937" xr:uid="{1146EBB9-255A-4D0E-AF8C-AF17DDF187C8}"/>
    <cellStyle name="Normal 2 5 2" xfId="316" xr:uid="{00000000-0005-0000-0000-000013110000}"/>
    <cellStyle name="Normal 2 5 3" xfId="317" xr:uid="{00000000-0005-0000-0000-000014110000}"/>
    <cellStyle name="Normal 2 5 4" xfId="318" xr:uid="{00000000-0005-0000-0000-000015110000}"/>
    <cellStyle name="Normal 2 5 4 10" xfId="18219" xr:uid="{A79312CA-E7F3-4381-871A-122E3AC07C91}"/>
    <cellStyle name="Normal 2 5 4 11" xfId="17386" xr:uid="{B6D95C2B-E64B-4309-939F-12CF88E639A7}"/>
    <cellStyle name="Normal 2 5 4 12" xfId="8938" xr:uid="{23FE4DFB-7C8F-4EFB-8158-7FA0551A8110}"/>
    <cellStyle name="Normal 2 5 4 2" xfId="319" xr:uid="{00000000-0005-0000-0000-000016110000}"/>
    <cellStyle name="Normal 2 5 4 2 10" xfId="17387" xr:uid="{1C777873-60BF-4A49-9518-CBF1266CF425}"/>
    <cellStyle name="Normal 2 5 4 2 11" xfId="8939" xr:uid="{0264F70F-72BD-49AF-80B4-2D902E349590}"/>
    <cellStyle name="Normal 2 5 4 2 2" xfId="320" xr:uid="{00000000-0005-0000-0000-000017110000}"/>
    <cellStyle name="Normal 2 5 4 2 2 10" xfId="8940" xr:uid="{E85D8D48-39A8-4B2A-9F81-D463C9C18628}"/>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24997" xr:uid="{F6A73CBF-6969-4323-B852-E5F96E842C20}"/>
    <cellStyle name="Normal 2 5 4 2 2 2 2 2 3" xfId="15717" xr:uid="{BF80759A-069C-43F0-8BDA-BBBC734E6E40}"/>
    <cellStyle name="Normal 2 5 4 2 2 2 2 3" xfId="20780" xr:uid="{AE01D031-2504-4390-AA48-05F49BE3A1AA}"/>
    <cellStyle name="Normal 2 5 4 2 2 2 2 4" xfId="11499" xr:uid="{DE1211D0-634A-4642-B3A9-05CAC02D5899}"/>
    <cellStyle name="Normal 2 5 4 2 2 2 3" xfId="5122" xr:uid="{00000000-0005-0000-0000-00001B110000}"/>
    <cellStyle name="Normal 2 5 4 2 2 2 3 2" xfId="22852" xr:uid="{F5805069-3461-44D7-835C-9BB8D558020E}"/>
    <cellStyle name="Normal 2 5 4 2 2 2 3 3" xfId="13572" xr:uid="{13E1D233-66DC-44F2-8A58-D065952D93B9}"/>
    <cellStyle name="Normal 2 5 4 2 2 2 4" xfId="18635" xr:uid="{24CAE5A5-240E-455B-BBAA-3A73D0F105A0}"/>
    <cellStyle name="Normal 2 5 4 2 2 2 5" xfId="17807" xr:uid="{81F1A844-CCED-4E0B-8192-A1EC3ADB31AB}"/>
    <cellStyle name="Normal 2 5 4 2 2 2 6" xfId="9354" xr:uid="{C0556B21-C8B9-4321-A243-D7BDE1339578}"/>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25410" xr:uid="{241D99F1-1E29-416D-A4A8-5A2D03449BE1}"/>
    <cellStyle name="Normal 2 5 4 2 2 3 2 2 3" xfId="16130" xr:uid="{B189EDC0-7B6C-4460-B494-7BC3C325E4F3}"/>
    <cellStyle name="Normal 2 5 4 2 2 3 2 3" xfId="21193" xr:uid="{CA3E4E09-628F-4278-9B1A-CE4B5BDDD567}"/>
    <cellStyle name="Normal 2 5 4 2 2 3 2 4" xfId="11912" xr:uid="{D0038EA8-7762-45DA-B80F-3B2D9AA8A020}"/>
    <cellStyle name="Normal 2 5 4 2 2 3 3" xfId="5535" xr:uid="{00000000-0005-0000-0000-00001F110000}"/>
    <cellStyle name="Normal 2 5 4 2 2 3 3 2" xfId="23265" xr:uid="{F8EE4415-1EA5-4FDF-A7C6-A349BEAD972D}"/>
    <cellStyle name="Normal 2 5 4 2 2 3 3 3" xfId="13985" xr:uid="{E08FFA9E-57F6-4F88-ADF3-6A100C9BD540}"/>
    <cellStyle name="Normal 2 5 4 2 2 3 4" xfId="19048" xr:uid="{7268A223-CABA-46F2-BE0E-6C243F5CB1AA}"/>
    <cellStyle name="Normal 2 5 4 2 2 3 5" xfId="9767" xr:uid="{2E9D3DE2-D23C-4D1F-81F8-C5E25C81D6CC}"/>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25823" xr:uid="{DDADC34C-6DA0-4D54-8A24-ED2C1539A0E2}"/>
    <cellStyle name="Normal 2 5 4 2 2 4 2 2 3" xfId="16543" xr:uid="{76EBB01F-3082-4EC3-82D3-FA2A40539136}"/>
    <cellStyle name="Normal 2 5 4 2 2 4 2 3" xfId="21606" xr:uid="{18E24555-98F6-4ED6-9541-1EE032F10112}"/>
    <cellStyle name="Normal 2 5 4 2 2 4 2 4" xfId="12325" xr:uid="{A20A40F4-9287-430D-A60C-B63F282845AA}"/>
    <cellStyle name="Normal 2 5 4 2 2 4 3" xfId="5948" xr:uid="{00000000-0005-0000-0000-000023110000}"/>
    <cellStyle name="Normal 2 5 4 2 2 4 3 2" xfId="23678" xr:uid="{5CF72216-6CA7-486C-BCE7-CFADC1CED038}"/>
    <cellStyle name="Normal 2 5 4 2 2 4 3 3" xfId="14398" xr:uid="{2DF658A1-96C4-4CA3-8809-97685A93333D}"/>
    <cellStyle name="Normal 2 5 4 2 2 4 4" xfId="19461" xr:uid="{FDB644B0-567D-4D77-8647-70FEE49809FF}"/>
    <cellStyle name="Normal 2 5 4 2 2 4 5" xfId="10180" xr:uid="{7FB90FDC-28B1-43B6-93BA-27AD35B7D7E4}"/>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26236" xr:uid="{8B4B4E8C-2236-412C-BC65-B44FAC5EC179}"/>
    <cellStyle name="Normal 2 5 4 2 2 5 2 2 3" xfId="16956" xr:uid="{3381E3AF-6FAB-4442-836A-559F235BB2D3}"/>
    <cellStyle name="Normal 2 5 4 2 2 5 2 3" xfId="22019" xr:uid="{BC457FBD-241D-4CAE-9C55-0BB74C1EEEFD}"/>
    <cellStyle name="Normal 2 5 4 2 2 5 2 4" xfId="12738" xr:uid="{FC966027-E659-41E4-8EA4-23ED8756CA86}"/>
    <cellStyle name="Normal 2 5 4 2 2 5 3" xfId="6361" xr:uid="{00000000-0005-0000-0000-000027110000}"/>
    <cellStyle name="Normal 2 5 4 2 2 5 3 2" xfId="24091" xr:uid="{510D8E87-F49B-4AC1-A349-43E074B4850C}"/>
    <cellStyle name="Normal 2 5 4 2 2 5 3 3" xfId="14811" xr:uid="{EC80F247-FE3A-4CC0-BB19-BD9BCF716C4A}"/>
    <cellStyle name="Normal 2 5 4 2 2 5 4" xfId="19874" xr:uid="{73F725F0-D3A6-4EC5-A87B-59CD228F85C3}"/>
    <cellStyle name="Normal 2 5 4 2 2 5 5" xfId="10593" xr:uid="{C7087539-95FE-43DF-94C1-E8845706D387}"/>
    <cellStyle name="Normal 2 5 4 2 2 6" xfId="2491" xr:uid="{00000000-0005-0000-0000-000028110000}"/>
    <cellStyle name="Normal 2 5 4 2 2 6 2" xfId="6774" xr:uid="{00000000-0005-0000-0000-000029110000}"/>
    <cellStyle name="Normal 2 5 4 2 2 6 2 2" xfId="24504" xr:uid="{376ECCE1-5BE2-49D8-BA61-92405B48A8C8}"/>
    <cellStyle name="Normal 2 5 4 2 2 6 2 3" xfId="15224" xr:uid="{5F16FDE8-D431-419E-96F4-963866E3BA02}"/>
    <cellStyle name="Normal 2 5 4 2 2 6 3" xfId="20287" xr:uid="{D81FE813-12FC-4B45-9E79-906F6DB1D3BD}"/>
    <cellStyle name="Normal 2 5 4 2 2 6 4" xfId="11006" xr:uid="{9804927A-1FB6-4E66-91B2-00C413B624C6}"/>
    <cellStyle name="Normal 2 5 4 2 2 7" xfId="4708" xr:uid="{00000000-0005-0000-0000-00002A110000}"/>
    <cellStyle name="Normal 2 5 4 2 2 7 2" xfId="22438" xr:uid="{6DC0A12D-0FBA-4942-996B-62D0F24B6188}"/>
    <cellStyle name="Normal 2 5 4 2 2 7 3" xfId="13158" xr:uid="{2C1E9A24-7B40-48D9-8BAF-A6EE9BE495B0}"/>
    <cellStyle name="Normal 2 5 4 2 2 8" xfId="18221" xr:uid="{AB096A82-EBEA-4EEA-8508-5FF09A4CBBB5}"/>
    <cellStyle name="Normal 2 5 4 2 2 9" xfId="17388" xr:uid="{77033501-CE2A-4993-84D4-8C4C203EA0FE}"/>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24996" xr:uid="{AC7AAFB8-E430-4F92-8DB6-EAD6B657D39A}"/>
    <cellStyle name="Normal 2 5 4 2 3 2 2 3" xfId="15716" xr:uid="{557C9294-B39B-4BCA-AFB7-5B274F0645CA}"/>
    <cellStyle name="Normal 2 5 4 2 3 2 3" xfId="20779" xr:uid="{E77BECB9-1124-4AF3-B6E8-C1D9A7ED06F9}"/>
    <cellStyle name="Normal 2 5 4 2 3 2 4" xfId="11498" xr:uid="{39F5EB71-611E-4E32-A3E6-E91F5E5BD8F2}"/>
    <cellStyle name="Normal 2 5 4 2 3 3" xfId="5121" xr:uid="{00000000-0005-0000-0000-00002E110000}"/>
    <cellStyle name="Normal 2 5 4 2 3 3 2" xfId="22851" xr:uid="{7F1F0DCB-5069-4E30-BB04-BCB233A1976A}"/>
    <cellStyle name="Normal 2 5 4 2 3 3 3" xfId="13571" xr:uid="{433A5ECA-B988-4041-9EDD-AD0B92685316}"/>
    <cellStyle name="Normal 2 5 4 2 3 4" xfId="18634" xr:uid="{96C52686-58BF-4DCD-B625-07D5EA84FAF3}"/>
    <cellStyle name="Normal 2 5 4 2 3 5" xfId="17806" xr:uid="{4AB3E36E-88C0-4C9E-AFA0-6781810D48F6}"/>
    <cellStyle name="Normal 2 5 4 2 3 6" xfId="9353" xr:uid="{BC6C5C31-C984-4E23-89B4-276CBB4C71E5}"/>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25409" xr:uid="{869CC17A-C5DC-45F8-BC66-A4E3DD292F2F}"/>
    <cellStyle name="Normal 2 5 4 2 4 2 2 3" xfId="16129" xr:uid="{CAE7BF2D-28B2-4953-B615-B1F37B31F7F6}"/>
    <cellStyle name="Normal 2 5 4 2 4 2 3" xfId="21192" xr:uid="{8C4206E4-43E1-4BDB-8287-6F526F145636}"/>
    <cellStyle name="Normal 2 5 4 2 4 2 4" xfId="11911" xr:uid="{2A5AC413-5506-49FB-96CF-4C0AFA876F97}"/>
    <cellStyle name="Normal 2 5 4 2 4 3" xfId="5534" xr:uid="{00000000-0005-0000-0000-000032110000}"/>
    <cellStyle name="Normal 2 5 4 2 4 3 2" xfId="23264" xr:uid="{5EBC7B3A-9021-4AC4-9014-14D7BDCC38C1}"/>
    <cellStyle name="Normal 2 5 4 2 4 3 3" xfId="13984" xr:uid="{AB0132DB-9E3F-4978-8142-C88249558AC3}"/>
    <cellStyle name="Normal 2 5 4 2 4 4" xfId="19047" xr:uid="{3A750D06-63CD-40A6-BB68-51ACBCE87E88}"/>
    <cellStyle name="Normal 2 5 4 2 4 5" xfId="9766" xr:uid="{63004E16-EA73-456F-BFC7-65D8CC0223D3}"/>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25822" xr:uid="{BFCC658E-17EA-4473-A178-16D581F2364D}"/>
    <cellStyle name="Normal 2 5 4 2 5 2 2 3" xfId="16542" xr:uid="{0FFBDD4B-7FEB-4765-A028-819D24FCB39D}"/>
    <cellStyle name="Normal 2 5 4 2 5 2 3" xfId="21605" xr:uid="{DCA84A0A-268B-4026-AAFB-15139F00ADF1}"/>
    <cellStyle name="Normal 2 5 4 2 5 2 4" xfId="12324" xr:uid="{085E3E17-69BA-4E42-A03F-28590180838F}"/>
    <cellStyle name="Normal 2 5 4 2 5 3" xfId="5947" xr:uid="{00000000-0005-0000-0000-000036110000}"/>
    <cellStyle name="Normal 2 5 4 2 5 3 2" xfId="23677" xr:uid="{86B09938-1A46-41B2-A855-A22F3DFB08EC}"/>
    <cellStyle name="Normal 2 5 4 2 5 3 3" xfId="14397" xr:uid="{FA53CC03-C88A-4D91-85C9-5067B65208D7}"/>
    <cellStyle name="Normal 2 5 4 2 5 4" xfId="19460" xr:uid="{724BD463-9B04-4318-B94A-91E7F9DBBF26}"/>
    <cellStyle name="Normal 2 5 4 2 5 5" xfId="10179" xr:uid="{5B5A2700-9356-4AD5-B195-C523DDB65CED}"/>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26235" xr:uid="{2E4ECF8B-98ED-4209-B24E-D16E0D9B14D7}"/>
    <cellStyle name="Normal 2 5 4 2 6 2 2 3" xfId="16955" xr:uid="{74BCF5D4-069F-46F6-A2FA-E92E1E2C4DF2}"/>
    <cellStyle name="Normal 2 5 4 2 6 2 3" xfId="22018" xr:uid="{2024818B-7C22-48C6-AC52-43FFB9042629}"/>
    <cellStyle name="Normal 2 5 4 2 6 2 4" xfId="12737" xr:uid="{D7EAB439-D2FF-4B30-85B3-ED563E3226AA}"/>
    <cellStyle name="Normal 2 5 4 2 6 3" xfId="6360" xr:uid="{00000000-0005-0000-0000-00003A110000}"/>
    <cellStyle name="Normal 2 5 4 2 6 3 2" xfId="24090" xr:uid="{7E91EF00-7BC2-4C23-970E-B161024F1F88}"/>
    <cellStyle name="Normal 2 5 4 2 6 3 3" xfId="14810" xr:uid="{F31C6456-3B7B-4C57-85CD-6604A311D620}"/>
    <cellStyle name="Normal 2 5 4 2 6 4" xfId="19873" xr:uid="{AA8FBD38-A9A1-49B3-8793-52AE987942D5}"/>
    <cellStyle name="Normal 2 5 4 2 6 5" xfId="10592" xr:uid="{F337305F-88D2-440A-ADE2-9772D3BAE226}"/>
    <cellStyle name="Normal 2 5 4 2 7" xfId="2490" xr:uid="{00000000-0005-0000-0000-00003B110000}"/>
    <cellStyle name="Normal 2 5 4 2 7 2" xfId="6773" xr:uid="{00000000-0005-0000-0000-00003C110000}"/>
    <cellStyle name="Normal 2 5 4 2 7 2 2" xfId="24503" xr:uid="{2FC3D850-CDA1-443C-B4E5-F031DD470B47}"/>
    <cellStyle name="Normal 2 5 4 2 7 2 3" xfId="15223" xr:uid="{1BD5327F-41E1-48BE-9DE2-7D822D47A537}"/>
    <cellStyle name="Normal 2 5 4 2 7 3" xfId="20286" xr:uid="{ED508042-3665-41AE-8A18-88020646C2B2}"/>
    <cellStyle name="Normal 2 5 4 2 7 4" xfId="11005" xr:uid="{15CC8F14-0933-4E38-88F4-AD8A147811A4}"/>
    <cellStyle name="Normal 2 5 4 2 8" xfId="4707" xr:uid="{00000000-0005-0000-0000-00003D110000}"/>
    <cellStyle name="Normal 2 5 4 2 8 2" xfId="22437" xr:uid="{5C8811AF-D264-4A45-A6A2-DACFB4368503}"/>
    <cellStyle name="Normal 2 5 4 2 8 3" xfId="13157" xr:uid="{BE3C68F0-0421-410E-BFE8-2BECB8061EB8}"/>
    <cellStyle name="Normal 2 5 4 2 9" xfId="18220" xr:uid="{6D418235-8E13-41FB-8CDB-359AFCCF0A31}"/>
    <cellStyle name="Normal 2 5 4 3" xfId="321" xr:uid="{00000000-0005-0000-0000-00003E110000}"/>
    <cellStyle name="Normal 2 5 4 3 10" xfId="8941" xr:uid="{1B8C1072-0981-4520-ACF3-EA525E9D4E85}"/>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24998" xr:uid="{EA9D7FFB-9D76-4A8F-8AD6-2EE19FEF76AE}"/>
    <cellStyle name="Normal 2 5 4 3 2 2 2 3" xfId="15718" xr:uid="{D10406E1-E9CA-4F95-ACAB-91CD0AE05017}"/>
    <cellStyle name="Normal 2 5 4 3 2 2 3" xfId="20781" xr:uid="{DB38920F-F386-4015-AFF9-57F933BF0CD7}"/>
    <cellStyle name="Normal 2 5 4 3 2 2 4" xfId="11500" xr:uid="{5E2F897B-E094-4246-A6F8-98AD9D2D6598}"/>
    <cellStyle name="Normal 2 5 4 3 2 3" xfId="5123" xr:uid="{00000000-0005-0000-0000-000042110000}"/>
    <cellStyle name="Normal 2 5 4 3 2 3 2" xfId="22853" xr:uid="{159F6DC2-C149-4ECF-82C5-C3DE4DDF780C}"/>
    <cellStyle name="Normal 2 5 4 3 2 3 3" xfId="13573" xr:uid="{2B006935-72A0-4840-AD6E-D004164B7C89}"/>
    <cellStyle name="Normal 2 5 4 3 2 4" xfId="18636" xr:uid="{521787F8-0BAA-41C6-AC64-0F415788D938}"/>
    <cellStyle name="Normal 2 5 4 3 2 5" xfId="17808" xr:uid="{4AC9910F-58A8-4F7C-ADC9-2A1978A6938F}"/>
    <cellStyle name="Normal 2 5 4 3 2 6" xfId="9355" xr:uid="{0BFE1824-250A-4642-B5F6-10F1D8AF4B19}"/>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25411" xr:uid="{2615E3D2-459B-4080-9CF7-770AD23007EA}"/>
    <cellStyle name="Normal 2 5 4 3 3 2 2 3" xfId="16131" xr:uid="{4E9FCA31-799A-494B-923F-737C37DD7C77}"/>
    <cellStyle name="Normal 2 5 4 3 3 2 3" xfId="21194" xr:uid="{CD4B6FA0-80DC-44E9-BAE8-A181DC27CD5C}"/>
    <cellStyle name="Normal 2 5 4 3 3 2 4" xfId="11913" xr:uid="{49209BCE-C593-42AD-AD70-F75851FF9FA0}"/>
    <cellStyle name="Normal 2 5 4 3 3 3" xfId="5536" xr:uid="{00000000-0005-0000-0000-000046110000}"/>
    <cellStyle name="Normal 2 5 4 3 3 3 2" xfId="23266" xr:uid="{A477E919-590E-4CD8-8FAF-6F9A3E69A533}"/>
    <cellStyle name="Normal 2 5 4 3 3 3 3" xfId="13986" xr:uid="{68A24435-EA18-455F-81FB-F17EED57B55A}"/>
    <cellStyle name="Normal 2 5 4 3 3 4" xfId="19049" xr:uid="{A49DC877-5BCD-416F-B8A0-5E099CB30776}"/>
    <cellStyle name="Normal 2 5 4 3 3 5" xfId="9768" xr:uid="{F1F745A8-273A-4AD5-879C-231A087055F1}"/>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25824" xr:uid="{E8C1F4CF-D83F-40F7-BF99-6CBCDAB56812}"/>
    <cellStyle name="Normal 2 5 4 3 4 2 2 3" xfId="16544" xr:uid="{EE67C304-F327-409A-B7EF-0AE35A22EF48}"/>
    <cellStyle name="Normal 2 5 4 3 4 2 3" xfId="21607" xr:uid="{8EBBB748-6E87-482F-8FAD-EE62185C8902}"/>
    <cellStyle name="Normal 2 5 4 3 4 2 4" xfId="12326" xr:uid="{885A919D-8CE6-4BA8-9C29-83772F892A49}"/>
    <cellStyle name="Normal 2 5 4 3 4 3" xfId="5949" xr:uid="{00000000-0005-0000-0000-00004A110000}"/>
    <cellStyle name="Normal 2 5 4 3 4 3 2" xfId="23679" xr:uid="{131D54A5-E884-4770-B48C-315B26A7F949}"/>
    <cellStyle name="Normal 2 5 4 3 4 3 3" xfId="14399" xr:uid="{DFE3E415-46A9-481D-9DFE-BFD6B9418305}"/>
    <cellStyle name="Normal 2 5 4 3 4 4" xfId="19462" xr:uid="{AB9D7E09-1D23-446D-95FF-394A9E91A99A}"/>
    <cellStyle name="Normal 2 5 4 3 4 5" xfId="10181" xr:uid="{3FC6189F-444E-4A79-BDB6-A8FC21A32D32}"/>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26237" xr:uid="{3BC8AD68-1358-4A3E-B2F1-0155B774FD1F}"/>
    <cellStyle name="Normal 2 5 4 3 5 2 2 3" xfId="16957" xr:uid="{DF5EA68E-D872-4555-BDE2-E110489CCA7B}"/>
    <cellStyle name="Normal 2 5 4 3 5 2 3" xfId="22020" xr:uid="{62E5E269-D52A-4DD2-80E7-5354EFB405A6}"/>
    <cellStyle name="Normal 2 5 4 3 5 2 4" xfId="12739" xr:uid="{72D7EC0E-F708-40A7-B81B-FDCDE4796298}"/>
    <cellStyle name="Normal 2 5 4 3 5 3" xfId="6362" xr:uid="{00000000-0005-0000-0000-00004E110000}"/>
    <cellStyle name="Normal 2 5 4 3 5 3 2" xfId="24092" xr:uid="{F6762C24-6629-402A-9AF5-44613161848A}"/>
    <cellStyle name="Normal 2 5 4 3 5 3 3" xfId="14812" xr:uid="{EA1DD586-52A4-4710-87DC-31924C4EFBC6}"/>
    <cellStyle name="Normal 2 5 4 3 5 4" xfId="19875" xr:uid="{BD2584A8-5D98-4006-B5D1-0858EA134B84}"/>
    <cellStyle name="Normal 2 5 4 3 5 5" xfId="10594" xr:uid="{71C800DA-BECA-473F-80A1-F308240C0A3D}"/>
    <cellStyle name="Normal 2 5 4 3 6" xfId="2492" xr:uid="{00000000-0005-0000-0000-00004F110000}"/>
    <cellStyle name="Normal 2 5 4 3 6 2" xfId="6775" xr:uid="{00000000-0005-0000-0000-000050110000}"/>
    <cellStyle name="Normal 2 5 4 3 6 2 2" xfId="24505" xr:uid="{3A5E751C-09E2-474A-B1B4-E607C08A42AF}"/>
    <cellStyle name="Normal 2 5 4 3 6 2 3" xfId="15225" xr:uid="{EA58797B-E992-4D43-AD18-455EAAF0F317}"/>
    <cellStyle name="Normal 2 5 4 3 6 3" xfId="20288" xr:uid="{4FBA959B-C6BE-4E3E-BD31-1BB9BCF83FBF}"/>
    <cellStyle name="Normal 2 5 4 3 6 4" xfId="11007" xr:uid="{49E0D9B1-CB62-473B-B446-64885C245732}"/>
    <cellStyle name="Normal 2 5 4 3 7" xfId="4709" xr:uid="{00000000-0005-0000-0000-000051110000}"/>
    <cellStyle name="Normal 2 5 4 3 7 2" xfId="22439" xr:uid="{A2F37146-6281-4E91-9761-4CC2A54CC6BB}"/>
    <cellStyle name="Normal 2 5 4 3 7 3" xfId="13159" xr:uid="{19BEA46A-02C5-4FFB-A2F4-9CBEF380602C}"/>
    <cellStyle name="Normal 2 5 4 3 8" xfId="18222" xr:uid="{8DA03C50-D3E7-4C6E-AE51-047E39A7C60B}"/>
    <cellStyle name="Normal 2 5 4 3 9" xfId="17389" xr:uid="{E76F35D5-045D-44DF-A8BB-4949A444B140}"/>
    <cellStyle name="Normal 2 5 4 4" xfId="804" xr:uid="{00000000-0005-0000-0000-000052110000}"/>
    <cellStyle name="Normal 2 5 4 4 2" xfId="3043" xr:uid="{00000000-0005-0000-0000-000053110000}"/>
    <cellStyle name="Normal 2 5 4 4 2 2" xfId="7265" xr:uid="{00000000-0005-0000-0000-000054110000}"/>
    <cellStyle name="Normal 2 5 4 4 2 2 2" xfId="24995" xr:uid="{756BCAEC-573E-46B2-B4FF-82127D3DFBD7}"/>
    <cellStyle name="Normal 2 5 4 4 2 2 3" xfId="15715" xr:uid="{89805D74-3C31-4837-8D55-752F433A88C4}"/>
    <cellStyle name="Normal 2 5 4 4 2 3" xfId="20778" xr:uid="{02E6DE63-4D10-461A-95F2-A9BB4797B24C}"/>
    <cellStyle name="Normal 2 5 4 4 2 4" xfId="11497" xr:uid="{8932A117-EB96-4F6B-9475-15D3BF22BE2B}"/>
    <cellStyle name="Normal 2 5 4 4 3" xfId="5120" xr:uid="{00000000-0005-0000-0000-000055110000}"/>
    <cellStyle name="Normal 2 5 4 4 3 2" xfId="22850" xr:uid="{3B9DFC92-E970-414C-8F73-1E620137B768}"/>
    <cellStyle name="Normal 2 5 4 4 3 3" xfId="13570" xr:uid="{074B8B8B-01BD-41C3-ACF5-9545A52ADE02}"/>
    <cellStyle name="Normal 2 5 4 4 4" xfId="18633" xr:uid="{5C1BA57B-0EDF-4BF9-9794-D142D3B3BE3F}"/>
    <cellStyle name="Normal 2 5 4 4 5" xfId="17805" xr:uid="{BFBF9BB1-AA49-4974-85B1-64846EE6FA30}"/>
    <cellStyle name="Normal 2 5 4 4 6" xfId="9352" xr:uid="{17ADA92E-77E0-467C-961D-984E7268293B}"/>
    <cellStyle name="Normal 2 5 4 5" xfId="1226" xr:uid="{00000000-0005-0000-0000-000056110000}"/>
    <cellStyle name="Normal 2 5 4 5 2" xfId="3456" xr:uid="{00000000-0005-0000-0000-000057110000}"/>
    <cellStyle name="Normal 2 5 4 5 2 2" xfId="7678" xr:uid="{00000000-0005-0000-0000-000058110000}"/>
    <cellStyle name="Normal 2 5 4 5 2 2 2" xfId="25408" xr:uid="{492AE517-501A-41A2-9B19-1DB23A923F3D}"/>
    <cellStyle name="Normal 2 5 4 5 2 2 3" xfId="16128" xr:uid="{0802C9A2-CABD-49AB-9849-F0B40AC69CD2}"/>
    <cellStyle name="Normal 2 5 4 5 2 3" xfId="21191" xr:uid="{155570A3-E03B-4A42-999B-46BF5C1098DA}"/>
    <cellStyle name="Normal 2 5 4 5 2 4" xfId="11910" xr:uid="{FB3C4775-557F-4DAD-9D7A-A0A9D9F8B864}"/>
    <cellStyle name="Normal 2 5 4 5 3" xfId="5533" xr:uid="{00000000-0005-0000-0000-000059110000}"/>
    <cellStyle name="Normal 2 5 4 5 3 2" xfId="23263" xr:uid="{3A4EBF25-89FB-4F56-BD06-8868FCF10603}"/>
    <cellStyle name="Normal 2 5 4 5 3 3" xfId="13983" xr:uid="{6ABB3342-39F5-4913-B11E-FE6C1CD9DEC8}"/>
    <cellStyle name="Normal 2 5 4 5 4" xfId="19046" xr:uid="{B91D0BE7-739D-4D50-AE96-47C091F7F6C9}"/>
    <cellStyle name="Normal 2 5 4 5 5" xfId="9765" xr:uid="{B5A2A05F-4CFC-4AA8-901F-588672EB2E7A}"/>
    <cellStyle name="Normal 2 5 4 6" xfId="1639" xr:uid="{00000000-0005-0000-0000-00005A110000}"/>
    <cellStyle name="Normal 2 5 4 6 2" xfId="3869" xr:uid="{00000000-0005-0000-0000-00005B110000}"/>
    <cellStyle name="Normal 2 5 4 6 2 2" xfId="8091" xr:uid="{00000000-0005-0000-0000-00005C110000}"/>
    <cellStyle name="Normal 2 5 4 6 2 2 2" xfId="25821" xr:uid="{02ABB522-79F1-4CB8-AEC8-FF1B75A3B419}"/>
    <cellStyle name="Normal 2 5 4 6 2 2 3" xfId="16541" xr:uid="{484B7D8C-FD5B-4A6B-AC36-AB819FE4F207}"/>
    <cellStyle name="Normal 2 5 4 6 2 3" xfId="21604" xr:uid="{63189CDD-BBD9-4FA7-B434-8E7C59511EA9}"/>
    <cellStyle name="Normal 2 5 4 6 2 4" xfId="12323" xr:uid="{E8992A1D-39F3-485A-B9D1-26CA69B936A3}"/>
    <cellStyle name="Normal 2 5 4 6 3" xfId="5946" xr:uid="{00000000-0005-0000-0000-00005D110000}"/>
    <cellStyle name="Normal 2 5 4 6 3 2" xfId="23676" xr:uid="{FEE2D64E-B7FD-4529-823A-2430DFF6078F}"/>
    <cellStyle name="Normal 2 5 4 6 3 3" xfId="14396" xr:uid="{75768602-C277-4259-8BFB-FE9AA9DB09EC}"/>
    <cellStyle name="Normal 2 5 4 6 4" xfId="19459" xr:uid="{DD3108D5-C494-49B1-B72D-B8E1C018D7E2}"/>
    <cellStyle name="Normal 2 5 4 6 5" xfId="10178" xr:uid="{50AAD7A9-DF15-4D43-BADD-BD22E160F1CF}"/>
    <cellStyle name="Normal 2 5 4 7" xfId="2053" xr:uid="{00000000-0005-0000-0000-00005E110000}"/>
    <cellStyle name="Normal 2 5 4 7 2" xfId="4282" xr:uid="{00000000-0005-0000-0000-00005F110000}"/>
    <cellStyle name="Normal 2 5 4 7 2 2" xfId="8504" xr:uid="{00000000-0005-0000-0000-000060110000}"/>
    <cellStyle name="Normal 2 5 4 7 2 2 2" xfId="26234" xr:uid="{702A06C6-9535-4B73-BCCD-26C28964C706}"/>
    <cellStyle name="Normal 2 5 4 7 2 2 3" xfId="16954" xr:uid="{A72301DC-C9FC-4493-8816-F8A123473533}"/>
    <cellStyle name="Normal 2 5 4 7 2 3" xfId="22017" xr:uid="{E29195F4-8212-499F-AEE2-E39429CCD384}"/>
    <cellStyle name="Normal 2 5 4 7 2 4" xfId="12736" xr:uid="{C07CC815-4F5C-46FB-8F1C-9613DE2C12F4}"/>
    <cellStyle name="Normal 2 5 4 7 3" xfId="6359" xr:uid="{00000000-0005-0000-0000-000061110000}"/>
    <cellStyle name="Normal 2 5 4 7 3 2" xfId="24089" xr:uid="{E60C960C-69EC-4204-AF0D-7672DC1BE162}"/>
    <cellStyle name="Normal 2 5 4 7 3 3" xfId="14809" xr:uid="{AA805A3F-05F7-4C56-8895-077F9C78F530}"/>
    <cellStyle name="Normal 2 5 4 7 4" xfId="19872" xr:uid="{85D6416E-5C95-4CCD-81A4-61625675A923}"/>
    <cellStyle name="Normal 2 5 4 7 5" xfId="10591" xr:uid="{A453720B-E2A9-4716-9F3E-A24C0BB8C5A4}"/>
    <cellStyle name="Normal 2 5 4 8" xfId="2489" xr:uid="{00000000-0005-0000-0000-000062110000}"/>
    <cellStyle name="Normal 2 5 4 8 2" xfId="6772" xr:uid="{00000000-0005-0000-0000-000063110000}"/>
    <cellStyle name="Normal 2 5 4 8 2 2" xfId="24502" xr:uid="{CFF28B46-D9E3-43F1-B452-F0B56BC2A585}"/>
    <cellStyle name="Normal 2 5 4 8 2 3" xfId="15222" xr:uid="{DF27F0B5-3100-4D98-8885-E9D642A1F167}"/>
    <cellStyle name="Normal 2 5 4 8 3" xfId="20285" xr:uid="{9EA4A56B-C062-40E4-973E-672F5F9F581F}"/>
    <cellStyle name="Normal 2 5 4 8 4" xfId="11004" xr:uid="{DAAF1F18-D4CC-4D09-BC93-5EFBCC69E5D8}"/>
    <cellStyle name="Normal 2 5 4 9" xfId="4706" xr:uid="{00000000-0005-0000-0000-000064110000}"/>
    <cellStyle name="Normal 2 5 4 9 2" xfId="22436" xr:uid="{836CA569-893F-4D4D-AE25-B22262A0B2A8}"/>
    <cellStyle name="Normal 2 5 4 9 3" xfId="13156" xr:uid="{3028B9B7-3D4E-4E86-A15A-E6B55C05E171}"/>
    <cellStyle name="Normal 2 5 5" xfId="803" xr:uid="{00000000-0005-0000-0000-000065110000}"/>
    <cellStyle name="Normal 2 5 5 2" xfId="3042" xr:uid="{00000000-0005-0000-0000-000066110000}"/>
    <cellStyle name="Normal 2 5 5 2 2" xfId="7264" xr:uid="{00000000-0005-0000-0000-000067110000}"/>
    <cellStyle name="Normal 2 5 5 2 2 2" xfId="24994" xr:uid="{D764FB71-8817-4C4B-A371-7266EB595B6E}"/>
    <cellStyle name="Normal 2 5 5 2 2 3" xfId="15714" xr:uid="{4F52F8C5-679D-4992-83E6-82F8F52BF36E}"/>
    <cellStyle name="Normal 2 5 5 2 3" xfId="20777" xr:uid="{82970102-7DD4-4E7A-9361-78DE8774585E}"/>
    <cellStyle name="Normal 2 5 5 2 4" xfId="11496" xr:uid="{CDE7E1F6-7F62-45D0-ACC1-ECDCF4A293CB}"/>
    <cellStyle name="Normal 2 5 5 3" xfId="5119" xr:uid="{00000000-0005-0000-0000-000068110000}"/>
    <cellStyle name="Normal 2 5 5 3 2" xfId="22849" xr:uid="{A8562A57-50FA-4A7C-8FF0-A7571C4FA51B}"/>
    <cellStyle name="Normal 2 5 5 3 3" xfId="13569" xr:uid="{C681B310-8A53-4A9B-8199-795B240FFFCE}"/>
    <cellStyle name="Normal 2 5 5 4" xfId="18632" xr:uid="{7FB97393-709B-4967-B072-2C0C399DCC99}"/>
    <cellStyle name="Normal 2 5 5 5" xfId="17804" xr:uid="{93D5E916-3AF2-4139-90A7-4B349B8DEB2F}"/>
    <cellStyle name="Normal 2 5 5 6" xfId="9351" xr:uid="{F4362F0C-9A9F-47C4-8AFC-17E7E7D64753}"/>
    <cellStyle name="Normal 2 5 6" xfId="1225" xr:uid="{00000000-0005-0000-0000-000069110000}"/>
    <cellStyle name="Normal 2 5 6 2" xfId="3455" xr:uid="{00000000-0005-0000-0000-00006A110000}"/>
    <cellStyle name="Normal 2 5 6 2 2" xfId="7677" xr:uid="{00000000-0005-0000-0000-00006B110000}"/>
    <cellStyle name="Normal 2 5 6 2 2 2" xfId="25407" xr:uid="{0AD79EE6-BDA7-4EF7-A4A7-AE92C4C1C0B3}"/>
    <cellStyle name="Normal 2 5 6 2 2 3" xfId="16127" xr:uid="{2BA3CC29-1B77-482F-B486-26ADFC925F55}"/>
    <cellStyle name="Normal 2 5 6 2 3" xfId="21190" xr:uid="{34536277-928D-4DB7-88C3-9A438366AAE9}"/>
    <cellStyle name="Normal 2 5 6 2 4" xfId="11909" xr:uid="{C193BFD0-E069-43D9-AC5D-15483BEC78F4}"/>
    <cellStyle name="Normal 2 5 6 3" xfId="5532" xr:uid="{00000000-0005-0000-0000-00006C110000}"/>
    <cellStyle name="Normal 2 5 6 3 2" xfId="23262" xr:uid="{95745597-9599-4451-8874-A37A6116C2D5}"/>
    <cellStyle name="Normal 2 5 6 3 3" xfId="13982" xr:uid="{A8CF73DE-F8E1-4684-AB3F-BB3F4A30FC30}"/>
    <cellStyle name="Normal 2 5 6 4" xfId="19045" xr:uid="{C3F757EC-35E8-439D-A92F-6CFB1CC204BC}"/>
    <cellStyle name="Normal 2 5 6 5" xfId="9764" xr:uid="{D928E7DB-FA17-40E0-BE40-F059ECC89568}"/>
    <cellStyle name="Normal 2 5 7" xfId="1638" xr:uid="{00000000-0005-0000-0000-00006D110000}"/>
    <cellStyle name="Normal 2 5 7 2" xfId="3868" xr:uid="{00000000-0005-0000-0000-00006E110000}"/>
    <cellStyle name="Normal 2 5 7 2 2" xfId="8090" xr:uid="{00000000-0005-0000-0000-00006F110000}"/>
    <cellStyle name="Normal 2 5 7 2 2 2" xfId="25820" xr:uid="{F836A5D0-9886-47BD-B5CC-B0B87485C7AF}"/>
    <cellStyle name="Normal 2 5 7 2 2 3" xfId="16540" xr:uid="{6B279342-4490-42A9-B508-6D1C17F4176D}"/>
    <cellStyle name="Normal 2 5 7 2 3" xfId="21603" xr:uid="{611FE034-7ADA-474A-9F5E-EFD1F8E96A53}"/>
    <cellStyle name="Normal 2 5 7 2 4" xfId="12322" xr:uid="{08E1E88F-D8FE-4B81-8A49-4F0818FB3796}"/>
    <cellStyle name="Normal 2 5 7 3" xfId="5945" xr:uid="{00000000-0005-0000-0000-000070110000}"/>
    <cellStyle name="Normal 2 5 7 3 2" xfId="23675" xr:uid="{6A137FFB-4EC1-4FAC-A4F6-084899FAD2CE}"/>
    <cellStyle name="Normal 2 5 7 3 3" xfId="14395" xr:uid="{64D61F05-12CA-44A1-8CD9-FAF3FB564F1E}"/>
    <cellStyle name="Normal 2 5 7 4" xfId="19458" xr:uid="{056A4948-9B01-42ED-9F83-A5F3ABEBF7A5}"/>
    <cellStyle name="Normal 2 5 7 5" xfId="10177" xr:uid="{A679FC7F-DFA8-460B-803D-1C8091B4054A}"/>
    <cellStyle name="Normal 2 5 8" xfId="2052" xr:uid="{00000000-0005-0000-0000-000071110000}"/>
    <cellStyle name="Normal 2 5 8 2" xfId="4281" xr:uid="{00000000-0005-0000-0000-000072110000}"/>
    <cellStyle name="Normal 2 5 8 2 2" xfId="8503" xr:uid="{00000000-0005-0000-0000-000073110000}"/>
    <cellStyle name="Normal 2 5 8 2 2 2" xfId="26233" xr:uid="{B2A5E1E1-95C3-4DAD-BC7C-3F1DE2DCB650}"/>
    <cellStyle name="Normal 2 5 8 2 2 3" xfId="16953" xr:uid="{225D6D5A-A008-4662-815E-90DA7CDF83F2}"/>
    <cellStyle name="Normal 2 5 8 2 3" xfId="22016" xr:uid="{A389D560-E79A-434A-A544-ED301906C0F6}"/>
    <cellStyle name="Normal 2 5 8 2 4" xfId="12735" xr:uid="{A84DB9D1-B771-4C06-BE3C-A868E0203F06}"/>
    <cellStyle name="Normal 2 5 8 3" xfId="6358" xr:uid="{00000000-0005-0000-0000-000074110000}"/>
    <cellStyle name="Normal 2 5 8 3 2" xfId="24088" xr:uid="{093864A6-BD55-41F9-AB9F-C2FD7EA32634}"/>
    <cellStyle name="Normal 2 5 8 3 3" xfId="14808" xr:uid="{9E81DBC8-198B-44A9-AFD3-3AA779801B58}"/>
    <cellStyle name="Normal 2 5 8 4" xfId="19871" xr:uid="{A6CED07B-F14A-4A30-84D8-31A6CCF3E732}"/>
    <cellStyle name="Normal 2 5 8 5" xfId="10590" xr:uid="{F177E6DE-9B46-49A3-B279-0E2399E3E6BD}"/>
    <cellStyle name="Normal 2 5 9" xfId="2488" xr:uid="{00000000-0005-0000-0000-000075110000}"/>
    <cellStyle name="Normal 2 5 9 2" xfId="6771" xr:uid="{00000000-0005-0000-0000-000076110000}"/>
    <cellStyle name="Normal 2 5 9 2 2" xfId="24501" xr:uid="{2DF25588-2E61-494F-9F22-66E066A2508B}"/>
    <cellStyle name="Normal 2 5 9 2 3" xfId="15221" xr:uid="{CDBD35C3-01A5-4859-BB3C-8E38463E3F6A}"/>
    <cellStyle name="Normal 2 5 9 3" xfId="20284" xr:uid="{70B7BDE1-DF6F-4BE4-85F5-EFD362DBEAA9}"/>
    <cellStyle name="Normal 2 5 9 4" xfId="11003" xr:uid="{9B57CB94-B83F-45C1-948B-5FCDF02B9300}"/>
    <cellStyle name="Normal 2 6" xfId="322" xr:uid="{00000000-0005-0000-0000-000077110000}"/>
    <cellStyle name="Normal 2 7" xfId="769" xr:uid="{00000000-0005-0000-0000-000078110000}"/>
    <cellStyle name="Normal 2 8" xfId="4495" xr:uid="{00000000-0005-0000-0000-000079110000}"/>
    <cellStyle name="Normal 2 8 2" xfId="17597" xr:uid="{7CC3FA3B-5393-462C-BC19-24F90A383523}"/>
    <cellStyle name="Normal 2 8 3" xfId="12947" xr:uid="{2EAD95C1-EC69-413C-80A1-7AD702B8C693}"/>
    <cellStyle name="Normal 3" xfId="323" xr:uid="{00000000-0005-0000-0000-00007A110000}"/>
    <cellStyle name="Normal 3 2" xfId="324" xr:uid="{00000000-0005-0000-0000-00007B110000}"/>
    <cellStyle name="Normal 3 2 10" xfId="18223" xr:uid="{AF3BFFA5-E4E3-45F7-B183-DE68CF298299}"/>
    <cellStyle name="Normal 3 2 11" xfId="17390" xr:uid="{50BA8B59-0B9D-4E6F-A0EC-3444369F2F0A}"/>
    <cellStyle name="Normal 3 2 12" xfId="8942" xr:uid="{14D00524-D28C-4C9E-8459-FCB6EB3AA51B}"/>
    <cellStyle name="Normal 3 2 2" xfId="325" xr:uid="{00000000-0005-0000-0000-00007C110000}"/>
    <cellStyle name="Normal 3 2 2 2" xfId="810" xr:uid="{00000000-0005-0000-0000-00007D110000}"/>
    <cellStyle name="Normal 3 2 3" xfId="326" xr:uid="{00000000-0005-0000-0000-00007E110000}"/>
    <cellStyle name="Normal 3 2 3 10" xfId="18224" xr:uid="{9D7E64DF-F48E-4166-A4AE-ADEDEEE66C4B}"/>
    <cellStyle name="Normal 3 2 3 11" xfId="17391" xr:uid="{618DA17C-C3F7-4D62-856A-6E9CC4CE513C}"/>
    <cellStyle name="Normal 3 2 3 12" xfId="8943" xr:uid="{48CA70A6-FCF0-427A-B6A0-C6AAB9B79BAD}"/>
    <cellStyle name="Normal 3 2 3 2" xfId="327" xr:uid="{00000000-0005-0000-0000-00007F110000}"/>
    <cellStyle name="Normal 3 2 3 2 10" xfId="17392" xr:uid="{E5FB4954-6447-4B7C-80D5-1170540548EC}"/>
    <cellStyle name="Normal 3 2 3 2 11" xfId="8944" xr:uid="{97D7F273-369C-4192-92A9-E5917116FA31}"/>
    <cellStyle name="Normal 3 2 3 2 2" xfId="328" xr:uid="{00000000-0005-0000-0000-000080110000}"/>
    <cellStyle name="Normal 3 2 3 2 2 10" xfId="8945" xr:uid="{7FBEC5C1-B077-4263-B0DD-AF3E34A661BC}"/>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25002" xr:uid="{6474A95B-78B1-4B92-9F8C-3B60349A2B50}"/>
    <cellStyle name="Normal 3 2 3 2 2 2 2 2 3" xfId="15722" xr:uid="{C78A90A8-FE6B-44BE-AC3E-9EB9ACAB2788}"/>
    <cellStyle name="Normal 3 2 3 2 2 2 2 3" xfId="20785" xr:uid="{F35F5922-EB32-4AEC-9729-1038220D8E0E}"/>
    <cellStyle name="Normal 3 2 3 2 2 2 2 4" xfId="11504" xr:uid="{1317E6BB-3FA4-4A36-83E6-C1A398FACE99}"/>
    <cellStyle name="Normal 3 2 3 2 2 2 3" xfId="5127" xr:uid="{00000000-0005-0000-0000-000084110000}"/>
    <cellStyle name="Normal 3 2 3 2 2 2 3 2" xfId="22857" xr:uid="{5338A198-6663-4717-AFA6-D1689A60B176}"/>
    <cellStyle name="Normal 3 2 3 2 2 2 3 3" xfId="13577" xr:uid="{511F7239-3F50-45DE-B665-0208A6C21298}"/>
    <cellStyle name="Normal 3 2 3 2 2 2 4" xfId="18640" xr:uid="{C58EB9E7-1F38-4365-8F5E-23B34E2BA426}"/>
    <cellStyle name="Normal 3 2 3 2 2 2 5" xfId="17812" xr:uid="{55FAC29C-8664-4357-9971-991846F32A97}"/>
    <cellStyle name="Normal 3 2 3 2 2 2 6" xfId="9359" xr:uid="{BAAD572A-BD0B-4392-9B2E-6ABD772D7DD1}"/>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25415" xr:uid="{AF414D7C-EE1E-46E2-8894-A467DE38816D}"/>
    <cellStyle name="Normal 3 2 3 2 2 3 2 2 3" xfId="16135" xr:uid="{4F2F2D4B-6784-46F4-AC5B-387C00D84106}"/>
    <cellStyle name="Normal 3 2 3 2 2 3 2 3" xfId="21198" xr:uid="{917A8C63-ED9F-4553-8F72-21106B48E256}"/>
    <cellStyle name="Normal 3 2 3 2 2 3 2 4" xfId="11917" xr:uid="{A083E1DA-EB57-40E0-9FB9-BAC07B7E0DC9}"/>
    <cellStyle name="Normal 3 2 3 2 2 3 3" xfId="5540" xr:uid="{00000000-0005-0000-0000-000088110000}"/>
    <cellStyle name="Normal 3 2 3 2 2 3 3 2" xfId="23270" xr:uid="{9289BD84-117F-4988-AD9D-9663792C7E09}"/>
    <cellStyle name="Normal 3 2 3 2 2 3 3 3" xfId="13990" xr:uid="{E1671205-3B15-43F6-8741-6103BF46C214}"/>
    <cellStyle name="Normal 3 2 3 2 2 3 4" xfId="19053" xr:uid="{0C9BF6B3-7504-4063-8DEE-8F1E8A9A4A77}"/>
    <cellStyle name="Normal 3 2 3 2 2 3 5" xfId="9772" xr:uid="{F8238286-9700-4206-A520-5F381516BCA7}"/>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25828" xr:uid="{5A3E7F70-6707-4983-9934-1BD0D0897A72}"/>
    <cellStyle name="Normal 3 2 3 2 2 4 2 2 3" xfId="16548" xr:uid="{1553A323-CF1E-4C0F-A711-D4F74330F7CE}"/>
    <cellStyle name="Normal 3 2 3 2 2 4 2 3" xfId="21611" xr:uid="{C007A074-564E-476B-B41A-A935024F6C4D}"/>
    <cellStyle name="Normal 3 2 3 2 2 4 2 4" xfId="12330" xr:uid="{A4583473-8D19-4148-A1DC-205A903D95B3}"/>
    <cellStyle name="Normal 3 2 3 2 2 4 3" xfId="5953" xr:uid="{00000000-0005-0000-0000-00008C110000}"/>
    <cellStyle name="Normal 3 2 3 2 2 4 3 2" xfId="23683" xr:uid="{96DD0FF7-D7B7-499B-8704-AEA820BD4808}"/>
    <cellStyle name="Normal 3 2 3 2 2 4 3 3" xfId="14403" xr:uid="{4B54B275-72A9-4DA7-8ED4-3894B74C0AF9}"/>
    <cellStyle name="Normal 3 2 3 2 2 4 4" xfId="19466" xr:uid="{B1F298B9-F0B7-45DE-B224-71481B8FFD08}"/>
    <cellStyle name="Normal 3 2 3 2 2 4 5" xfId="10185" xr:uid="{52862138-0D6C-4EAC-8B69-5DA86123D6D8}"/>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26241" xr:uid="{F468F977-B86B-4601-B1A2-C43CF7F45724}"/>
    <cellStyle name="Normal 3 2 3 2 2 5 2 2 3" xfId="16961" xr:uid="{672385F0-AD2C-459D-AB46-EE9DB851158D}"/>
    <cellStyle name="Normal 3 2 3 2 2 5 2 3" xfId="22024" xr:uid="{7E97681D-1E47-481A-A15C-251E1A5CEE07}"/>
    <cellStyle name="Normal 3 2 3 2 2 5 2 4" xfId="12743" xr:uid="{49F7FF75-7947-4B66-83AE-8E8BB68D56B7}"/>
    <cellStyle name="Normal 3 2 3 2 2 5 3" xfId="6366" xr:uid="{00000000-0005-0000-0000-000090110000}"/>
    <cellStyle name="Normal 3 2 3 2 2 5 3 2" xfId="24096" xr:uid="{C083B357-FDD0-4A25-83E4-ED6DAD5E3358}"/>
    <cellStyle name="Normal 3 2 3 2 2 5 3 3" xfId="14816" xr:uid="{03C09FD1-D267-4BE6-99A0-CAB2B930D03A}"/>
    <cellStyle name="Normal 3 2 3 2 2 5 4" xfId="19879" xr:uid="{024BCB67-A5F0-45D7-9DFB-732E59136021}"/>
    <cellStyle name="Normal 3 2 3 2 2 5 5" xfId="10598" xr:uid="{7885C043-A643-43D7-9F41-3CBB8D811F27}"/>
    <cellStyle name="Normal 3 2 3 2 2 6" xfId="2496" xr:uid="{00000000-0005-0000-0000-000091110000}"/>
    <cellStyle name="Normal 3 2 3 2 2 6 2" xfId="6779" xr:uid="{00000000-0005-0000-0000-000092110000}"/>
    <cellStyle name="Normal 3 2 3 2 2 6 2 2" xfId="24509" xr:uid="{1FDB7D8D-3800-40ED-AD37-88491604C50B}"/>
    <cellStyle name="Normal 3 2 3 2 2 6 2 3" xfId="15229" xr:uid="{B1943D03-823B-4B25-A578-048D4F9F92BC}"/>
    <cellStyle name="Normal 3 2 3 2 2 6 3" xfId="20292" xr:uid="{2DE540F0-8685-49B2-B689-DFB91C59332C}"/>
    <cellStyle name="Normal 3 2 3 2 2 6 4" xfId="11011" xr:uid="{9A4B0C71-73F3-4077-8EB6-1E2B55E07DAC}"/>
    <cellStyle name="Normal 3 2 3 2 2 7" xfId="4713" xr:uid="{00000000-0005-0000-0000-000093110000}"/>
    <cellStyle name="Normal 3 2 3 2 2 7 2" xfId="22443" xr:uid="{15ED4E93-8E96-4DD7-B232-7481FEDF0EA4}"/>
    <cellStyle name="Normal 3 2 3 2 2 7 3" xfId="13163" xr:uid="{5D1B228A-3C57-4539-B0E8-BD182852F8B3}"/>
    <cellStyle name="Normal 3 2 3 2 2 8" xfId="18226" xr:uid="{C9B5E5DD-E11F-4D82-8595-0E0ADC65E2B9}"/>
    <cellStyle name="Normal 3 2 3 2 2 9" xfId="17393" xr:uid="{5D882081-F409-4B87-970E-5F9CBA75F8FA}"/>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25001" xr:uid="{48989133-A618-4FDC-924E-A2C9E7EE0FAA}"/>
    <cellStyle name="Normal 3 2 3 2 3 2 2 3" xfId="15721" xr:uid="{A82A6A37-32EA-49A2-AEB9-0866952E9F47}"/>
    <cellStyle name="Normal 3 2 3 2 3 2 3" xfId="20784" xr:uid="{F23A13CA-28AA-4352-807A-CDB277A31DDE}"/>
    <cellStyle name="Normal 3 2 3 2 3 2 4" xfId="11503" xr:uid="{63B5EF6E-021B-4CAE-8CC6-E2C867EC4DD4}"/>
    <cellStyle name="Normal 3 2 3 2 3 3" xfId="5126" xr:uid="{00000000-0005-0000-0000-000097110000}"/>
    <cellStyle name="Normal 3 2 3 2 3 3 2" xfId="22856" xr:uid="{A658D529-A033-4051-992D-AB42B1B834E3}"/>
    <cellStyle name="Normal 3 2 3 2 3 3 3" xfId="13576" xr:uid="{0CE26599-44F4-41D8-B002-B61F82843BBA}"/>
    <cellStyle name="Normal 3 2 3 2 3 4" xfId="18639" xr:uid="{3E2FE363-51D0-4548-A925-292899F5B306}"/>
    <cellStyle name="Normal 3 2 3 2 3 5" xfId="17811" xr:uid="{43A7CE8D-D511-447B-9722-6D5CA6D80926}"/>
    <cellStyle name="Normal 3 2 3 2 3 6" xfId="9358" xr:uid="{A05F744F-F099-46FC-8CF9-88716598F7C4}"/>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25414" xr:uid="{4942D230-1000-44E9-9369-478735A81A31}"/>
    <cellStyle name="Normal 3 2 3 2 4 2 2 3" xfId="16134" xr:uid="{D0FBD54C-9913-48F8-B24E-D5B555B6A08B}"/>
    <cellStyle name="Normal 3 2 3 2 4 2 3" xfId="21197" xr:uid="{CE21AB5A-625E-42F0-8A71-71A0D9352005}"/>
    <cellStyle name="Normal 3 2 3 2 4 2 4" xfId="11916" xr:uid="{686368E3-14AD-4F62-9A77-0AC93E9161E3}"/>
    <cellStyle name="Normal 3 2 3 2 4 3" xfId="5539" xr:uid="{00000000-0005-0000-0000-00009B110000}"/>
    <cellStyle name="Normal 3 2 3 2 4 3 2" xfId="23269" xr:uid="{DABFFC37-5AC1-47BE-AEE6-AD392837B461}"/>
    <cellStyle name="Normal 3 2 3 2 4 3 3" xfId="13989" xr:uid="{8FD0EBEA-6D7F-40EF-BE4E-A9AA3A07867A}"/>
    <cellStyle name="Normal 3 2 3 2 4 4" xfId="19052" xr:uid="{AA343AB4-69DC-4EBA-BF6C-08BB9492AB53}"/>
    <cellStyle name="Normal 3 2 3 2 4 5" xfId="9771" xr:uid="{37BAABA4-850A-4490-AA5F-A193DE22A53B}"/>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25827" xr:uid="{E7B99C6E-C2E9-480F-8358-BC9871F755D5}"/>
    <cellStyle name="Normal 3 2 3 2 5 2 2 3" xfId="16547" xr:uid="{052ECD7E-869C-4A15-AAC5-39D30C042CEC}"/>
    <cellStyle name="Normal 3 2 3 2 5 2 3" xfId="21610" xr:uid="{8B1E79D3-8605-42B3-A661-883FB7F3D7A8}"/>
    <cellStyle name="Normal 3 2 3 2 5 2 4" xfId="12329" xr:uid="{0EB2D127-168B-4DBD-A06A-34765270B980}"/>
    <cellStyle name="Normal 3 2 3 2 5 3" xfId="5952" xr:uid="{00000000-0005-0000-0000-00009F110000}"/>
    <cellStyle name="Normal 3 2 3 2 5 3 2" xfId="23682" xr:uid="{41CB2189-85F7-4F07-8BD3-B7E92CD82EDC}"/>
    <cellStyle name="Normal 3 2 3 2 5 3 3" xfId="14402" xr:uid="{E24E26E8-4916-4836-AD95-FE1F272B2C31}"/>
    <cellStyle name="Normal 3 2 3 2 5 4" xfId="19465" xr:uid="{784A45FD-D5D6-45FE-B0DF-2665967361E7}"/>
    <cellStyle name="Normal 3 2 3 2 5 5" xfId="10184" xr:uid="{9D3B25D7-7112-4B89-ACDC-D8E736BA8C3A}"/>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26240" xr:uid="{3A888BE7-7813-498D-B284-A7C9AF502D74}"/>
    <cellStyle name="Normal 3 2 3 2 6 2 2 3" xfId="16960" xr:uid="{64069F0B-4AA6-4DF6-9A04-46A53BA16FAD}"/>
    <cellStyle name="Normal 3 2 3 2 6 2 3" xfId="22023" xr:uid="{BB3C9110-552E-490B-9B41-F086D7D3E988}"/>
    <cellStyle name="Normal 3 2 3 2 6 2 4" xfId="12742" xr:uid="{91C10450-8939-4B45-8EA4-295E3D98E9D3}"/>
    <cellStyle name="Normal 3 2 3 2 6 3" xfId="6365" xr:uid="{00000000-0005-0000-0000-0000A3110000}"/>
    <cellStyle name="Normal 3 2 3 2 6 3 2" xfId="24095" xr:uid="{CD69E371-25D4-4AF3-A257-FA71F9FD3825}"/>
    <cellStyle name="Normal 3 2 3 2 6 3 3" xfId="14815" xr:uid="{BBC88FE9-2928-4FA0-8446-2F9B5CB0FD09}"/>
    <cellStyle name="Normal 3 2 3 2 6 4" xfId="19878" xr:uid="{D6BFF9A6-33F4-4210-BE26-064F30877DF8}"/>
    <cellStyle name="Normal 3 2 3 2 6 5" xfId="10597" xr:uid="{CCDA9F32-6F67-4C3E-8F66-20B919F85040}"/>
    <cellStyle name="Normal 3 2 3 2 7" xfId="2495" xr:uid="{00000000-0005-0000-0000-0000A4110000}"/>
    <cellStyle name="Normal 3 2 3 2 7 2" xfId="6778" xr:uid="{00000000-0005-0000-0000-0000A5110000}"/>
    <cellStyle name="Normal 3 2 3 2 7 2 2" xfId="24508" xr:uid="{F4E46E8F-E4FF-44CD-84B0-4526D32C6F8B}"/>
    <cellStyle name="Normal 3 2 3 2 7 2 3" xfId="15228" xr:uid="{0C066ED7-E8E3-4BA8-A39D-7B1E1F9D63ED}"/>
    <cellStyle name="Normal 3 2 3 2 7 3" xfId="20291" xr:uid="{56D5A480-0FF2-42F3-BBA0-2008AAA150E3}"/>
    <cellStyle name="Normal 3 2 3 2 7 4" xfId="11010" xr:uid="{2A0F689E-9460-40F1-91EA-361609724EE9}"/>
    <cellStyle name="Normal 3 2 3 2 8" xfId="4712" xr:uid="{00000000-0005-0000-0000-0000A6110000}"/>
    <cellStyle name="Normal 3 2 3 2 8 2" xfId="22442" xr:uid="{E8F1B75C-0CD4-4339-BBD3-8C20D3D74AA4}"/>
    <cellStyle name="Normal 3 2 3 2 8 3" xfId="13162" xr:uid="{13107991-991B-470B-AD06-1CD89716B0BA}"/>
    <cellStyle name="Normal 3 2 3 2 9" xfId="18225" xr:uid="{07E4D834-1274-4889-AC4E-6F3C575D48F3}"/>
    <cellStyle name="Normal 3 2 3 3" xfId="329" xr:uid="{00000000-0005-0000-0000-0000A7110000}"/>
    <cellStyle name="Normal 3 2 3 3 10" xfId="8946" xr:uid="{B91AAD88-93D5-4CAA-8EB8-54DB4470DD8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25003" xr:uid="{2F7D5EC3-7C34-4A4B-B9CE-E6F0CDFFE802}"/>
    <cellStyle name="Normal 3 2 3 3 2 2 2 3" xfId="15723" xr:uid="{2F87CE2D-9896-4772-ACDB-19A73301249F}"/>
    <cellStyle name="Normal 3 2 3 3 2 2 3" xfId="20786" xr:uid="{5E326E5B-EE94-40BC-8516-585CC8393888}"/>
    <cellStyle name="Normal 3 2 3 3 2 2 4" xfId="11505" xr:uid="{397A754D-4F7C-407D-BD83-4D6E2099DE39}"/>
    <cellStyle name="Normal 3 2 3 3 2 3" xfId="5128" xr:uid="{00000000-0005-0000-0000-0000AB110000}"/>
    <cellStyle name="Normal 3 2 3 3 2 3 2" xfId="22858" xr:uid="{1716AD88-C6AB-4EFA-BBD4-827C7E4D90A9}"/>
    <cellStyle name="Normal 3 2 3 3 2 3 3" xfId="13578" xr:uid="{5811AFDF-E24F-402C-8B7A-02955A1DA948}"/>
    <cellStyle name="Normal 3 2 3 3 2 4" xfId="18641" xr:uid="{4E286E3B-A355-4539-A28F-4BF1721FA715}"/>
    <cellStyle name="Normal 3 2 3 3 2 5" xfId="17813" xr:uid="{28B1017C-4282-4927-8C0E-41D89A2F2B5C}"/>
    <cellStyle name="Normal 3 2 3 3 2 6" xfId="9360" xr:uid="{A2D41D87-C693-416D-B780-51A5605F70BF}"/>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25416" xr:uid="{EB2D2EEA-166A-416A-8E91-EC6AEEBA1B30}"/>
    <cellStyle name="Normal 3 2 3 3 3 2 2 3" xfId="16136" xr:uid="{E5B3D29B-2494-4500-A649-815EA1793820}"/>
    <cellStyle name="Normal 3 2 3 3 3 2 3" xfId="21199" xr:uid="{09B0A848-573A-415F-9E0F-431DA07D1DF8}"/>
    <cellStyle name="Normal 3 2 3 3 3 2 4" xfId="11918" xr:uid="{BB09255D-C174-438B-AEB4-F17E340E9323}"/>
    <cellStyle name="Normal 3 2 3 3 3 3" xfId="5541" xr:uid="{00000000-0005-0000-0000-0000AF110000}"/>
    <cellStyle name="Normal 3 2 3 3 3 3 2" xfId="23271" xr:uid="{88A6EE7D-C8D4-428F-8CED-06E14CB8BD69}"/>
    <cellStyle name="Normal 3 2 3 3 3 3 3" xfId="13991" xr:uid="{A40B080F-B5B4-43E0-87BF-306189D4D736}"/>
    <cellStyle name="Normal 3 2 3 3 3 4" xfId="19054" xr:uid="{1433F85D-48E3-4EA7-BFE9-437B9749C0F3}"/>
    <cellStyle name="Normal 3 2 3 3 3 5" xfId="9773" xr:uid="{8B1C5427-EEFB-41CF-A11E-FC32264A1A55}"/>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25829" xr:uid="{EE33B950-CDE8-4858-AA7B-CFD95C0EB299}"/>
    <cellStyle name="Normal 3 2 3 3 4 2 2 3" xfId="16549" xr:uid="{38CE0C80-657F-4E8F-99C4-E14D051D5CEC}"/>
    <cellStyle name="Normal 3 2 3 3 4 2 3" xfId="21612" xr:uid="{BADABC92-81AF-44E2-880B-BB876CBAC14E}"/>
    <cellStyle name="Normal 3 2 3 3 4 2 4" xfId="12331" xr:uid="{065BC1F7-552D-44AF-BB1E-749159B82AFF}"/>
    <cellStyle name="Normal 3 2 3 3 4 3" xfId="5954" xr:uid="{00000000-0005-0000-0000-0000B3110000}"/>
    <cellStyle name="Normal 3 2 3 3 4 3 2" xfId="23684" xr:uid="{0003F59D-40C5-469B-B4DB-4EDFC3FF4C11}"/>
    <cellStyle name="Normal 3 2 3 3 4 3 3" xfId="14404" xr:uid="{736B9187-5C62-498D-9DD2-EE745C339386}"/>
    <cellStyle name="Normal 3 2 3 3 4 4" xfId="19467" xr:uid="{6D4775FA-99DA-4A16-AD78-352643E2F18C}"/>
    <cellStyle name="Normal 3 2 3 3 4 5" xfId="10186" xr:uid="{A1E8F503-1CB0-4B96-BFBE-9C4304AD2839}"/>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26242" xr:uid="{49C23179-4C24-4346-91E3-0AB6886F0E26}"/>
    <cellStyle name="Normal 3 2 3 3 5 2 2 3" xfId="16962" xr:uid="{5451CD8E-A72B-4292-8549-CFF3595983F6}"/>
    <cellStyle name="Normal 3 2 3 3 5 2 3" xfId="22025" xr:uid="{B96121E3-3308-492A-8CE4-C23498358D0D}"/>
    <cellStyle name="Normal 3 2 3 3 5 2 4" xfId="12744" xr:uid="{17444FDD-F6D9-48E5-9593-4070375089DC}"/>
    <cellStyle name="Normal 3 2 3 3 5 3" xfId="6367" xr:uid="{00000000-0005-0000-0000-0000B7110000}"/>
    <cellStyle name="Normal 3 2 3 3 5 3 2" xfId="24097" xr:uid="{200C9A57-F153-4145-BE20-E154258D530E}"/>
    <cellStyle name="Normal 3 2 3 3 5 3 3" xfId="14817" xr:uid="{3B174CA8-97D1-44ED-A3DB-35F0BCE8B036}"/>
    <cellStyle name="Normal 3 2 3 3 5 4" xfId="19880" xr:uid="{6E4D546A-B7F6-48E5-A250-F69ABA487DF7}"/>
    <cellStyle name="Normal 3 2 3 3 5 5" xfId="10599" xr:uid="{309E5E40-F788-47B3-B303-2EB7768001D9}"/>
    <cellStyle name="Normal 3 2 3 3 6" xfId="2497" xr:uid="{00000000-0005-0000-0000-0000B8110000}"/>
    <cellStyle name="Normal 3 2 3 3 6 2" xfId="6780" xr:uid="{00000000-0005-0000-0000-0000B9110000}"/>
    <cellStyle name="Normal 3 2 3 3 6 2 2" xfId="24510" xr:uid="{CB4D6EA0-52D3-4419-B638-AB829809B197}"/>
    <cellStyle name="Normal 3 2 3 3 6 2 3" xfId="15230" xr:uid="{530CBE72-9E1C-4E77-905E-7F43532B408A}"/>
    <cellStyle name="Normal 3 2 3 3 6 3" xfId="20293" xr:uid="{FA00E8DD-A4EC-4F60-A609-5FF9078566BA}"/>
    <cellStyle name="Normal 3 2 3 3 6 4" xfId="11012" xr:uid="{F537CB04-A5F3-4D20-AF0E-3D5F470F5D52}"/>
    <cellStyle name="Normal 3 2 3 3 7" xfId="4714" xr:uid="{00000000-0005-0000-0000-0000BA110000}"/>
    <cellStyle name="Normal 3 2 3 3 7 2" xfId="22444" xr:uid="{66A37293-E161-4234-B697-6C89D8A10191}"/>
    <cellStyle name="Normal 3 2 3 3 7 3" xfId="13164" xr:uid="{48CD873A-C532-45B3-9022-9D013CF301D2}"/>
    <cellStyle name="Normal 3 2 3 3 8" xfId="18227" xr:uid="{552EE3CF-5282-4F2B-8422-FED2B0A815D7}"/>
    <cellStyle name="Normal 3 2 3 3 9" xfId="17394" xr:uid="{D378E28A-2857-446B-A4AB-3A9B27D190F5}"/>
    <cellStyle name="Normal 3 2 3 4" xfId="811" xr:uid="{00000000-0005-0000-0000-0000BB110000}"/>
    <cellStyle name="Normal 3 2 3 4 2" xfId="3048" xr:uid="{00000000-0005-0000-0000-0000BC110000}"/>
    <cellStyle name="Normal 3 2 3 4 2 2" xfId="7270" xr:uid="{00000000-0005-0000-0000-0000BD110000}"/>
    <cellStyle name="Normal 3 2 3 4 2 2 2" xfId="25000" xr:uid="{375C831E-7398-49DA-9131-D4F86552CBAD}"/>
    <cellStyle name="Normal 3 2 3 4 2 2 3" xfId="15720" xr:uid="{AC146C1F-CBAB-410F-A803-24270D2A3207}"/>
    <cellStyle name="Normal 3 2 3 4 2 3" xfId="20783" xr:uid="{BD58438E-7D96-4A45-9F1F-BA3C5C227367}"/>
    <cellStyle name="Normal 3 2 3 4 2 4" xfId="11502" xr:uid="{CBFC96AD-7476-4ABE-8411-139C0D8BCCD5}"/>
    <cellStyle name="Normal 3 2 3 4 3" xfId="5125" xr:uid="{00000000-0005-0000-0000-0000BE110000}"/>
    <cellStyle name="Normal 3 2 3 4 3 2" xfId="22855" xr:uid="{549790FA-1B85-4E56-B281-4FF890307F4A}"/>
    <cellStyle name="Normal 3 2 3 4 3 3" xfId="13575" xr:uid="{032A86ED-BD99-4189-8D5B-64C119C66663}"/>
    <cellStyle name="Normal 3 2 3 4 4" xfId="18638" xr:uid="{6FF87F4D-27CD-46FD-A745-3A6FDEA4D472}"/>
    <cellStyle name="Normal 3 2 3 4 5" xfId="17810" xr:uid="{83EEAF59-C37F-4AF1-BF06-F28E5EA9E964}"/>
    <cellStyle name="Normal 3 2 3 4 6" xfId="9357" xr:uid="{2AA547EC-AC72-49CC-A058-2E492B98E1A8}"/>
    <cellStyle name="Normal 3 2 3 5" xfId="1231" xr:uid="{00000000-0005-0000-0000-0000BF110000}"/>
    <cellStyle name="Normal 3 2 3 5 2" xfId="3461" xr:uid="{00000000-0005-0000-0000-0000C0110000}"/>
    <cellStyle name="Normal 3 2 3 5 2 2" xfId="7683" xr:uid="{00000000-0005-0000-0000-0000C1110000}"/>
    <cellStyle name="Normal 3 2 3 5 2 2 2" xfId="25413" xr:uid="{3F991323-DF7A-453D-87FF-D92F6435AA29}"/>
    <cellStyle name="Normal 3 2 3 5 2 2 3" xfId="16133" xr:uid="{3B702FE2-57AC-4693-BFAC-9B4EF1922D4F}"/>
    <cellStyle name="Normal 3 2 3 5 2 3" xfId="21196" xr:uid="{80F0502F-78B0-4C38-A85B-BA09BC1CF764}"/>
    <cellStyle name="Normal 3 2 3 5 2 4" xfId="11915" xr:uid="{D0F26678-9A7B-4699-A156-3FAAF262CF17}"/>
    <cellStyle name="Normal 3 2 3 5 3" xfId="5538" xr:uid="{00000000-0005-0000-0000-0000C2110000}"/>
    <cellStyle name="Normal 3 2 3 5 3 2" xfId="23268" xr:uid="{BCA15CBA-2B65-47D2-BAD8-34C894BB852F}"/>
    <cellStyle name="Normal 3 2 3 5 3 3" xfId="13988" xr:uid="{15522C1A-B594-4458-8CE9-B84061662AAF}"/>
    <cellStyle name="Normal 3 2 3 5 4" xfId="19051" xr:uid="{F6EB35DE-C43C-4FAC-9D0D-DE37CC921072}"/>
    <cellStyle name="Normal 3 2 3 5 5" xfId="9770" xr:uid="{B202988B-5F30-48E9-83A7-BB7731A868EB}"/>
    <cellStyle name="Normal 3 2 3 6" xfId="1644" xr:uid="{00000000-0005-0000-0000-0000C3110000}"/>
    <cellStyle name="Normal 3 2 3 6 2" xfId="3874" xr:uid="{00000000-0005-0000-0000-0000C4110000}"/>
    <cellStyle name="Normal 3 2 3 6 2 2" xfId="8096" xr:uid="{00000000-0005-0000-0000-0000C5110000}"/>
    <cellStyle name="Normal 3 2 3 6 2 2 2" xfId="25826" xr:uid="{E2C7102A-1517-4869-8E97-6D99291BBCB4}"/>
    <cellStyle name="Normal 3 2 3 6 2 2 3" xfId="16546" xr:uid="{166E56E3-C0A3-48D0-8B7D-33E2B3CD7028}"/>
    <cellStyle name="Normal 3 2 3 6 2 3" xfId="21609" xr:uid="{8D868A7A-45AC-42E8-9606-2A27F9295B17}"/>
    <cellStyle name="Normal 3 2 3 6 2 4" xfId="12328" xr:uid="{190B6526-F1FF-4573-AE66-586CCFE5392C}"/>
    <cellStyle name="Normal 3 2 3 6 3" xfId="5951" xr:uid="{00000000-0005-0000-0000-0000C6110000}"/>
    <cellStyle name="Normal 3 2 3 6 3 2" xfId="23681" xr:uid="{B3463E59-995F-4FCD-BA24-305D4EC122AB}"/>
    <cellStyle name="Normal 3 2 3 6 3 3" xfId="14401" xr:uid="{455227BF-3D0B-4535-B044-047256365008}"/>
    <cellStyle name="Normal 3 2 3 6 4" xfId="19464" xr:uid="{3EA36FA2-88D9-4F33-9621-8A429326C813}"/>
    <cellStyle name="Normal 3 2 3 6 5" xfId="10183" xr:uid="{F68473E1-AA1F-43C7-A28D-B7C318A838A4}"/>
    <cellStyle name="Normal 3 2 3 7" xfId="2058" xr:uid="{00000000-0005-0000-0000-0000C7110000}"/>
    <cellStyle name="Normal 3 2 3 7 2" xfId="4287" xr:uid="{00000000-0005-0000-0000-0000C8110000}"/>
    <cellStyle name="Normal 3 2 3 7 2 2" xfId="8509" xr:uid="{00000000-0005-0000-0000-0000C9110000}"/>
    <cellStyle name="Normal 3 2 3 7 2 2 2" xfId="26239" xr:uid="{DF66FC6C-ED37-4A68-8BE5-D95EA8F19644}"/>
    <cellStyle name="Normal 3 2 3 7 2 2 3" xfId="16959" xr:uid="{DE90F0C8-DCD2-4046-A4A5-87DDEC63C644}"/>
    <cellStyle name="Normal 3 2 3 7 2 3" xfId="22022" xr:uid="{424FDF88-45BE-4877-ABA1-886F7A4ECFFA}"/>
    <cellStyle name="Normal 3 2 3 7 2 4" xfId="12741" xr:uid="{66517890-A679-4BF1-BBAB-A84F392590F5}"/>
    <cellStyle name="Normal 3 2 3 7 3" xfId="6364" xr:uid="{00000000-0005-0000-0000-0000CA110000}"/>
    <cellStyle name="Normal 3 2 3 7 3 2" xfId="24094" xr:uid="{D2F2CEBA-22CD-4601-91BC-4555A11DE39B}"/>
    <cellStyle name="Normal 3 2 3 7 3 3" xfId="14814" xr:uid="{47851A30-EB4A-4E15-A452-7E2366253410}"/>
    <cellStyle name="Normal 3 2 3 7 4" xfId="19877" xr:uid="{BD023E79-8E2B-4FEA-8430-23595E9A4506}"/>
    <cellStyle name="Normal 3 2 3 7 5" xfId="10596" xr:uid="{409ABC23-75F6-46BC-94EC-A5E5F9F2C2F0}"/>
    <cellStyle name="Normal 3 2 3 8" xfId="2494" xr:uid="{00000000-0005-0000-0000-0000CB110000}"/>
    <cellStyle name="Normal 3 2 3 8 2" xfId="6777" xr:uid="{00000000-0005-0000-0000-0000CC110000}"/>
    <cellStyle name="Normal 3 2 3 8 2 2" xfId="24507" xr:uid="{8315EB2F-2228-4B0D-B9FC-E51C51BE5248}"/>
    <cellStyle name="Normal 3 2 3 8 2 3" xfId="15227" xr:uid="{B77F00D6-62F1-4615-94E9-C043E5C344C5}"/>
    <cellStyle name="Normal 3 2 3 8 3" xfId="20290" xr:uid="{C32F9DD7-2731-4C8B-B069-7C1FA7B5DE9C}"/>
    <cellStyle name="Normal 3 2 3 8 4" xfId="11009" xr:uid="{A8679CB6-61E6-4FA3-A912-1C512726D814}"/>
    <cellStyle name="Normal 3 2 3 9" xfId="4711" xr:uid="{00000000-0005-0000-0000-0000CD110000}"/>
    <cellStyle name="Normal 3 2 3 9 2" xfId="22441" xr:uid="{9CBB592F-46D0-4562-8D87-F12573BE9FE5}"/>
    <cellStyle name="Normal 3 2 3 9 3" xfId="13161" xr:uid="{61DBB93A-9FCE-407C-AABE-C8444FB75D1D}"/>
    <cellStyle name="Normal 3 2 4" xfId="809" xr:uid="{00000000-0005-0000-0000-0000CE110000}"/>
    <cellStyle name="Normal 3 2 4 2" xfId="3047" xr:uid="{00000000-0005-0000-0000-0000CF110000}"/>
    <cellStyle name="Normal 3 2 4 2 2" xfId="7269" xr:uid="{00000000-0005-0000-0000-0000D0110000}"/>
    <cellStyle name="Normal 3 2 4 2 2 2" xfId="24999" xr:uid="{F07BC0C2-AE1F-4B29-A2C7-C3B96DDC9133}"/>
    <cellStyle name="Normal 3 2 4 2 2 3" xfId="15719" xr:uid="{2BE1F110-1FF4-479C-B88B-0AD1B95C285B}"/>
    <cellStyle name="Normal 3 2 4 2 3" xfId="20782" xr:uid="{5F32FD41-8479-498D-B293-89C0E71E0DA3}"/>
    <cellStyle name="Normal 3 2 4 2 4" xfId="11501" xr:uid="{AD805B33-6DD2-46EB-810E-5769AE19799D}"/>
    <cellStyle name="Normal 3 2 4 3" xfId="5124" xr:uid="{00000000-0005-0000-0000-0000D1110000}"/>
    <cellStyle name="Normal 3 2 4 3 2" xfId="22854" xr:uid="{0A425BFE-9C51-41E7-BBDA-283C49C9F5FF}"/>
    <cellStyle name="Normal 3 2 4 3 3" xfId="13574" xr:uid="{426FF88B-8DA0-45A6-A18F-E57514B76725}"/>
    <cellStyle name="Normal 3 2 4 4" xfId="18637" xr:uid="{0E197F21-12CC-4563-9A11-904697F80962}"/>
    <cellStyle name="Normal 3 2 4 5" xfId="17809" xr:uid="{62F68478-7077-41BF-826A-11908E7A5960}"/>
    <cellStyle name="Normal 3 2 4 6" xfId="9356" xr:uid="{A40B2F1B-2020-4C40-83C1-535F6EC295BF}"/>
    <cellStyle name="Normal 3 2 5" xfId="1230" xr:uid="{00000000-0005-0000-0000-0000D2110000}"/>
    <cellStyle name="Normal 3 2 5 2" xfId="3460" xr:uid="{00000000-0005-0000-0000-0000D3110000}"/>
    <cellStyle name="Normal 3 2 5 2 2" xfId="7682" xr:uid="{00000000-0005-0000-0000-0000D4110000}"/>
    <cellStyle name="Normal 3 2 5 2 2 2" xfId="25412" xr:uid="{19D3CFEB-0840-4882-8CAB-6959AF698336}"/>
    <cellStyle name="Normal 3 2 5 2 2 3" xfId="16132" xr:uid="{FB8A98AB-9820-4345-82DF-1A79AC0BF2B0}"/>
    <cellStyle name="Normal 3 2 5 2 3" xfId="21195" xr:uid="{44FD82A4-907E-4F61-B110-91C2CEDDE085}"/>
    <cellStyle name="Normal 3 2 5 2 4" xfId="11914" xr:uid="{DBBF8F5E-27C0-461B-AE9A-0E0C530F91B8}"/>
    <cellStyle name="Normal 3 2 5 3" xfId="5537" xr:uid="{00000000-0005-0000-0000-0000D5110000}"/>
    <cellStyle name="Normal 3 2 5 3 2" xfId="23267" xr:uid="{353D2BB9-FF11-4750-8F23-5D4009258B0F}"/>
    <cellStyle name="Normal 3 2 5 3 3" xfId="13987" xr:uid="{70AA46C7-CEF7-46EE-B55B-9B4AE20F8C27}"/>
    <cellStyle name="Normal 3 2 5 4" xfId="19050" xr:uid="{8F8F888C-9A1A-4CF4-BEE7-D89069925D1D}"/>
    <cellStyle name="Normal 3 2 5 5" xfId="9769" xr:uid="{586705C5-0924-4B50-BE6A-746FF19B1F3F}"/>
    <cellStyle name="Normal 3 2 6" xfId="1643" xr:uid="{00000000-0005-0000-0000-0000D6110000}"/>
    <cellStyle name="Normal 3 2 6 2" xfId="3873" xr:uid="{00000000-0005-0000-0000-0000D7110000}"/>
    <cellStyle name="Normal 3 2 6 2 2" xfId="8095" xr:uid="{00000000-0005-0000-0000-0000D8110000}"/>
    <cellStyle name="Normal 3 2 6 2 2 2" xfId="25825" xr:uid="{DFABF4E6-3570-4AAC-A0AB-5A1308CFAD9E}"/>
    <cellStyle name="Normal 3 2 6 2 2 3" xfId="16545" xr:uid="{6B3D177A-AF20-47EF-B043-C1C46E647227}"/>
    <cellStyle name="Normal 3 2 6 2 3" xfId="21608" xr:uid="{0DF4C43D-EDFA-4237-9220-9FD38F77F12F}"/>
    <cellStyle name="Normal 3 2 6 2 4" xfId="12327" xr:uid="{1062AEC4-D6B0-433C-9E09-C37280E2B848}"/>
    <cellStyle name="Normal 3 2 6 3" xfId="5950" xr:uid="{00000000-0005-0000-0000-0000D9110000}"/>
    <cellStyle name="Normal 3 2 6 3 2" xfId="23680" xr:uid="{C6BBED5B-DB4F-4A27-B09A-8E679BE06838}"/>
    <cellStyle name="Normal 3 2 6 3 3" xfId="14400" xr:uid="{846B321A-A2B1-4269-90D4-333548870EF3}"/>
    <cellStyle name="Normal 3 2 6 4" xfId="19463" xr:uid="{1D13D9F8-E8F1-4A65-987F-48C50FBAD83E}"/>
    <cellStyle name="Normal 3 2 6 5" xfId="10182" xr:uid="{BDCBF493-F49F-402E-82EF-776A93E88407}"/>
    <cellStyle name="Normal 3 2 7" xfId="2057" xr:uid="{00000000-0005-0000-0000-0000DA110000}"/>
    <cellStyle name="Normal 3 2 7 2" xfId="4286" xr:uid="{00000000-0005-0000-0000-0000DB110000}"/>
    <cellStyle name="Normal 3 2 7 2 2" xfId="8508" xr:uid="{00000000-0005-0000-0000-0000DC110000}"/>
    <cellStyle name="Normal 3 2 7 2 2 2" xfId="26238" xr:uid="{13A3F761-0545-4C5C-BD33-04535A73B342}"/>
    <cellStyle name="Normal 3 2 7 2 2 3" xfId="16958" xr:uid="{7D0F3C73-1B05-4586-9C10-F07BF5E1E7A7}"/>
    <cellStyle name="Normal 3 2 7 2 3" xfId="22021" xr:uid="{10AC03FF-B539-441F-97B7-1E68E210EEC2}"/>
    <cellStyle name="Normal 3 2 7 2 4" xfId="12740" xr:uid="{53DBAB25-F88C-4268-B5E3-DF4200B508E7}"/>
    <cellStyle name="Normal 3 2 7 3" xfId="6363" xr:uid="{00000000-0005-0000-0000-0000DD110000}"/>
    <cellStyle name="Normal 3 2 7 3 2" xfId="24093" xr:uid="{4F0A4A9B-D920-46B2-A88C-FABB2261C26F}"/>
    <cellStyle name="Normal 3 2 7 3 3" xfId="14813" xr:uid="{F27EDA6B-ED13-4740-AE00-9646C8183508}"/>
    <cellStyle name="Normal 3 2 7 4" xfId="19876" xr:uid="{E47762FE-167E-4484-BF16-181E0D7A1BB8}"/>
    <cellStyle name="Normal 3 2 7 5" xfId="10595" xr:uid="{5B30D30D-00BA-40E3-A1AC-DDD6FB323F77}"/>
    <cellStyle name="Normal 3 2 8" xfId="2493" xr:uid="{00000000-0005-0000-0000-0000DE110000}"/>
    <cellStyle name="Normal 3 2 8 2" xfId="6776" xr:uid="{00000000-0005-0000-0000-0000DF110000}"/>
    <cellStyle name="Normal 3 2 8 2 2" xfId="24506" xr:uid="{0C86D9B1-CD65-40FD-9939-040B2E541D6E}"/>
    <cellStyle name="Normal 3 2 8 2 3" xfId="15226" xr:uid="{1F668393-2BB7-46F7-AF23-701B55E6D738}"/>
    <cellStyle name="Normal 3 2 8 3" xfId="20289" xr:uid="{3B7384B1-2BAF-47BB-8056-C1E7E846496B}"/>
    <cellStyle name="Normal 3 2 8 4" xfId="11008" xr:uid="{167F2457-85AD-4F9D-AB9B-9E19082D7995}"/>
    <cellStyle name="Normal 3 2 9" xfId="4710" xr:uid="{00000000-0005-0000-0000-0000E0110000}"/>
    <cellStyle name="Normal 3 2 9 2" xfId="22440" xr:uid="{2122BAF5-C574-4F30-AA6E-41FCDB290669}"/>
    <cellStyle name="Normal 3 2 9 3" xfId="13160" xr:uid="{E4CF3908-8869-43B3-A722-646F56D9293F}"/>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18228" xr:uid="{5B1A5FE4-F91F-4550-8D9A-BDBC35C407B9}"/>
    <cellStyle name="Normal 4 11" xfId="8947" xr:uid="{13179FE7-9C86-497E-9FEE-316B433F3C26}"/>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26243" xr:uid="{28079AE8-D3DD-43AD-AD8A-DA6EB85C5B8E}"/>
    <cellStyle name="Normal 4 2 2 10 2 2 3" xfId="16963" xr:uid="{F5F3100E-63C7-40D9-800D-D7B2246C27D8}"/>
    <cellStyle name="Normal 4 2 2 10 2 3" xfId="22026" xr:uid="{C33448B9-DE6F-4FAC-96F6-835360BD5BEA}"/>
    <cellStyle name="Normal 4 2 2 10 2 4" xfId="12745" xr:uid="{A325F485-5BFA-4BA2-9B4D-64368D7E3DF6}"/>
    <cellStyle name="Normal 4 2 2 10 3" xfId="6368" xr:uid="{00000000-0005-0000-0000-0000ED110000}"/>
    <cellStyle name="Normal 4 2 2 10 3 2" xfId="24098" xr:uid="{2E7257F0-48D3-442F-B14C-FD7C7104D56A}"/>
    <cellStyle name="Normal 4 2 2 10 3 3" xfId="14818" xr:uid="{929AE654-4DD9-4632-AFD5-5690215D46A3}"/>
    <cellStyle name="Normal 4 2 2 10 4" xfId="19881" xr:uid="{C682B0D5-A742-4700-BE25-302D2F98EF10}"/>
    <cellStyle name="Normal 4 2 2 10 5" xfId="10600" xr:uid="{68886179-EF55-46C8-B7F4-13EDB4DE3973}"/>
    <cellStyle name="Normal 4 2 2 11" xfId="2498" xr:uid="{00000000-0005-0000-0000-0000EE110000}"/>
    <cellStyle name="Normal 4 2 2 11 2" xfId="6781" xr:uid="{00000000-0005-0000-0000-0000EF110000}"/>
    <cellStyle name="Normal 4 2 2 11 2 2" xfId="24511" xr:uid="{96E741EA-776B-43EE-92BD-75D0FA4A2C51}"/>
    <cellStyle name="Normal 4 2 2 11 2 3" xfId="15231" xr:uid="{3DE6B2EE-2B70-4987-9272-E690899D52FE}"/>
    <cellStyle name="Normal 4 2 2 11 3" xfId="20294" xr:uid="{E00174DE-9EC6-4DB8-A8E2-4F7E35EDEB5A}"/>
    <cellStyle name="Normal 4 2 2 11 4" xfId="11013" xr:uid="{C31A93FF-ED4C-4568-9060-00179241A6C1}"/>
    <cellStyle name="Normal 4 2 2 12" xfId="4716" xr:uid="{00000000-0005-0000-0000-0000F0110000}"/>
    <cellStyle name="Normal 4 2 2 12 2" xfId="22446" xr:uid="{50C98FAD-26E1-41BE-91E3-D40B0FE16085}"/>
    <cellStyle name="Normal 4 2 2 12 3" xfId="13166" xr:uid="{CB6386A1-0B10-4329-9C0C-797963A2A6B5}"/>
    <cellStyle name="Normal 4 2 2 13" xfId="18229" xr:uid="{544B488D-AE17-4D64-A952-F7E8EB1AF65F}"/>
    <cellStyle name="Normal 4 2 2 14" xfId="17395" xr:uid="{4C6B6C97-EFA5-4909-A05A-A076211D7DCF}"/>
    <cellStyle name="Normal 4 2 2 15" xfId="8948" xr:uid="{24597119-C94E-4B02-B49C-0B50421902C4}"/>
    <cellStyle name="Normal 4 2 2 2" xfId="338" xr:uid="{00000000-0005-0000-0000-0000F1110000}"/>
    <cellStyle name="Normal 4 2 2 3" xfId="339" xr:uid="{00000000-0005-0000-0000-0000F2110000}"/>
    <cellStyle name="Normal 4 2 2 3 10" xfId="4717" xr:uid="{00000000-0005-0000-0000-0000F3110000}"/>
    <cellStyle name="Normal 4 2 2 3 10 2" xfId="22447" xr:uid="{B2086131-E315-4E8B-BD9A-759DBD48A658}"/>
    <cellStyle name="Normal 4 2 2 3 10 3" xfId="13167" xr:uid="{56AD8025-3F55-4F70-8D00-6131A0F8A4F0}"/>
    <cellStyle name="Normal 4 2 2 3 11" xfId="18230" xr:uid="{1B0AB5DE-4584-41AC-AC36-B4ECC66044E9}"/>
    <cellStyle name="Normal 4 2 2 3 12" xfId="17396" xr:uid="{68B5840F-BA50-4C0E-9F49-1BB62A40E0CE}"/>
    <cellStyle name="Normal 4 2 2 3 13" xfId="8949" xr:uid="{A343820B-96DC-4AC7-A2F4-FA54DDE7D09A}"/>
    <cellStyle name="Normal 4 2 2 3 2" xfId="340" xr:uid="{00000000-0005-0000-0000-0000F4110000}"/>
    <cellStyle name="Normal 4 2 2 3 2 10" xfId="18231" xr:uid="{80C9ED81-4E1A-4C0F-9E46-5E5BEE505335}"/>
    <cellStyle name="Normal 4 2 2 3 2 11" xfId="17397" xr:uid="{0EA15403-A353-4EEC-AF2C-F9890E6BA9FE}"/>
    <cellStyle name="Normal 4 2 2 3 2 12" xfId="8950" xr:uid="{F3273042-4227-4F76-A265-1F32D636B19D}"/>
    <cellStyle name="Normal 4 2 2 3 2 2" xfId="341" xr:uid="{00000000-0005-0000-0000-0000F5110000}"/>
    <cellStyle name="Normal 4 2 2 3 2 2 10" xfId="17398" xr:uid="{DF5F85B3-E757-4C1F-A36F-0696B4F69976}"/>
    <cellStyle name="Normal 4 2 2 3 2 2 11" xfId="8951" xr:uid="{47A9D23B-39F7-439D-BEFE-863977138DB0}"/>
    <cellStyle name="Normal 4 2 2 3 2 2 2" xfId="342" xr:uid="{00000000-0005-0000-0000-0000F6110000}"/>
    <cellStyle name="Normal 4 2 2 3 2 2 2 10" xfId="8952" xr:uid="{5FA2F51D-81B9-4B51-922B-68D4A925717F}"/>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25008" xr:uid="{0EF25F44-6C07-439D-9BF7-D8830610A25D}"/>
    <cellStyle name="Normal 4 2 2 3 2 2 2 2 2 2 3" xfId="15728" xr:uid="{0BB9C712-51AC-478D-A254-A0949652C1F1}"/>
    <cellStyle name="Normal 4 2 2 3 2 2 2 2 2 3" xfId="20791" xr:uid="{CA37B937-311A-4B3B-8D5B-3B1DA80CEA0B}"/>
    <cellStyle name="Normal 4 2 2 3 2 2 2 2 2 4" xfId="11510" xr:uid="{5BB4A2B7-5274-4E1B-A1D7-8BF05DB21ED1}"/>
    <cellStyle name="Normal 4 2 2 3 2 2 2 2 3" xfId="5133" xr:uid="{00000000-0005-0000-0000-0000FA110000}"/>
    <cellStyle name="Normal 4 2 2 3 2 2 2 2 3 2" xfId="22863" xr:uid="{22BBC687-445B-4B08-B0B5-3392FD1A9055}"/>
    <cellStyle name="Normal 4 2 2 3 2 2 2 2 3 3" xfId="13583" xr:uid="{CB3BDC1F-A46D-46E2-838F-9814CD20B89A}"/>
    <cellStyle name="Normal 4 2 2 3 2 2 2 2 4" xfId="18646" xr:uid="{215AA880-7FD9-48BD-8A3A-87B547265B95}"/>
    <cellStyle name="Normal 4 2 2 3 2 2 2 2 5" xfId="17818" xr:uid="{780849EE-198E-4BC1-982F-D718F5F30CCF}"/>
    <cellStyle name="Normal 4 2 2 3 2 2 2 2 6" xfId="9365" xr:uid="{075C89C1-8C4A-414C-9236-8DD3C8BF1B22}"/>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25421" xr:uid="{C89A6A22-A6A8-4ED4-99B4-58ED7DDDCDAA}"/>
    <cellStyle name="Normal 4 2 2 3 2 2 2 3 2 2 3" xfId="16141" xr:uid="{981EF935-40C9-4AD1-A3A1-F0556F84A5D3}"/>
    <cellStyle name="Normal 4 2 2 3 2 2 2 3 2 3" xfId="21204" xr:uid="{45A0A8BC-9702-49F9-B971-01CA601BEB9A}"/>
    <cellStyle name="Normal 4 2 2 3 2 2 2 3 2 4" xfId="11923" xr:uid="{7E3A5E68-976A-419C-ADDC-AC47802F658F}"/>
    <cellStyle name="Normal 4 2 2 3 2 2 2 3 3" xfId="5546" xr:uid="{00000000-0005-0000-0000-0000FE110000}"/>
    <cellStyle name="Normal 4 2 2 3 2 2 2 3 3 2" xfId="23276" xr:uid="{06F37CE4-1EEE-4042-A9A0-83B7FBA78C6E}"/>
    <cellStyle name="Normal 4 2 2 3 2 2 2 3 3 3" xfId="13996" xr:uid="{6B04F39F-1474-4FEE-9CCE-E0EF7870B623}"/>
    <cellStyle name="Normal 4 2 2 3 2 2 2 3 4" xfId="19059" xr:uid="{F50C0185-FC26-44E1-B63A-8A9A92D83113}"/>
    <cellStyle name="Normal 4 2 2 3 2 2 2 3 5" xfId="9778" xr:uid="{2C01247F-CFA6-4939-B800-2DC1305F928E}"/>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25834" xr:uid="{B1D40C65-6059-4144-B70C-31235DC9A976}"/>
    <cellStyle name="Normal 4 2 2 3 2 2 2 4 2 2 3" xfId="16554" xr:uid="{6476F167-899B-44CA-A459-EAEFDC04301D}"/>
    <cellStyle name="Normal 4 2 2 3 2 2 2 4 2 3" xfId="21617" xr:uid="{4555352A-B557-460B-9739-33E128AD3E73}"/>
    <cellStyle name="Normal 4 2 2 3 2 2 2 4 2 4" xfId="12336" xr:uid="{ABC128D5-DB94-494E-B587-77B83448229C}"/>
    <cellStyle name="Normal 4 2 2 3 2 2 2 4 3" xfId="5959" xr:uid="{00000000-0005-0000-0000-000002120000}"/>
    <cellStyle name="Normal 4 2 2 3 2 2 2 4 3 2" xfId="23689" xr:uid="{DEC55AFB-4006-4BB4-B2A1-CF6F9D203271}"/>
    <cellStyle name="Normal 4 2 2 3 2 2 2 4 3 3" xfId="14409" xr:uid="{F076D72F-E2E8-4898-96A9-10AFE5431121}"/>
    <cellStyle name="Normal 4 2 2 3 2 2 2 4 4" xfId="19472" xr:uid="{7F940D7A-DDA0-4433-BB32-B1D5DFDD6885}"/>
    <cellStyle name="Normal 4 2 2 3 2 2 2 4 5" xfId="10191" xr:uid="{7FAD3E8F-E64E-41E9-A119-292A79E9C744}"/>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26247" xr:uid="{C1EF1246-460B-442C-AE2D-F691BCB0DB29}"/>
    <cellStyle name="Normal 4 2 2 3 2 2 2 5 2 2 3" xfId="16967" xr:uid="{46BFCBC8-E007-4D6F-9DD2-C1311A253332}"/>
    <cellStyle name="Normal 4 2 2 3 2 2 2 5 2 3" xfId="22030" xr:uid="{4AC22C21-507C-4DC1-9239-BC00BEACC960}"/>
    <cellStyle name="Normal 4 2 2 3 2 2 2 5 2 4" xfId="12749" xr:uid="{7DB469FF-F85D-4C3C-8F4B-4B43312436D4}"/>
    <cellStyle name="Normal 4 2 2 3 2 2 2 5 3" xfId="6372" xr:uid="{00000000-0005-0000-0000-000006120000}"/>
    <cellStyle name="Normal 4 2 2 3 2 2 2 5 3 2" xfId="24102" xr:uid="{72132707-2484-4E5E-A2E0-3C93A00A4393}"/>
    <cellStyle name="Normal 4 2 2 3 2 2 2 5 3 3" xfId="14822" xr:uid="{1B13850F-4D05-4FBA-B35C-EAD7738110E2}"/>
    <cellStyle name="Normal 4 2 2 3 2 2 2 5 4" xfId="19885" xr:uid="{384AC889-9FC8-4539-A5F9-76135E0E8F1C}"/>
    <cellStyle name="Normal 4 2 2 3 2 2 2 5 5" xfId="10604" xr:uid="{0E7553B5-5195-44C8-8E7C-0027D77988C1}"/>
    <cellStyle name="Normal 4 2 2 3 2 2 2 6" xfId="2502" xr:uid="{00000000-0005-0000-0000-000007120000}"/>
    <cellStyle name="Normal 4 2 2 3 2 2 2 6 2" xfId="6785" xr:uid="{00000000-0005-0000-0000-000008120000}"/>
    <cellStyle name="Normal 4 2 2 3 2 2 2 6 2 2" xfId="24515" xr:uid="{77F92D32-5A76-4D4F-B70A-ACAF48191E65}"/>
    <cellStyle name="Normal 4 2 2 3 2 2 2 6 2 3" xfId="15235" xr:uid="{4DCEC36F-9132-4203-BF64-018FAA336361}"/>
    <cellStyle name="Normal 4 2 2 3 2 2 2 6 3" xfId="20298" xr:uid="{41226A4B-699F-4A46-9C23-433850D5AEB6}"/>
    <cellStyle name="Normal 4 2 2 3 2 2 2 6 4" xfId="11017" xr:uid="{F9BAE7EB-A13A-4751-B84E-3B859E96908B}"/>
    <cellStyle name="Normal 4 2 2 3 2 2 2 7" xfId="4720" xr:uid="{00000000-0005-0000-0000-000009120000}"/>
    <cellStyle name="Normal 4 2 2 3 2 2 2 7 2" xfId="22450" xr:uid="{9E08B829-5508-4ABB-B3CD-19DCAA2E0DBE}"/>
    <cellStyle name="Normal 4 2 2 3 2 2 2 7 3" xfId="13170" xr:uid="{7F8409B9-EDF5-4B63-9E48-AE4814E7FFD8}"/>
    <cellStyle name="Normal 4 2 2 3 2 2 2 8" xfId="18233" xr:uid="{104B9B6C-E1C5-4454-9089-18A7BA8CA29D}"/>
    <cellStyle name="Normal 4 2 2 3 2 2 2 9" xfId="17399" xr:uid="{3DC23027-59BE-49F2-9B9B-DF92EB93DD5E}"/>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25007" xr:uid="{7A28B83D-514A-4E69-9A15-80316AE427CE}"/>
    <cellStyle name="Normal 4 2 2 3 2 2 3 2 2 3" xfId="15727" xr:uid="{DDD5DC3E-97C1-4406-B3BD-22C08BF2048B}"/>
    <cellStyle name="Normal 4 2 2 3 2 2 3 2 3" xfId="20790" xr:uid="{AB14D0F8-D942-4ECF-A560-12A227CDE01F}"/>
    <cellStyle name="Normal 4 2 2 3 2 2 3 2 4" xfId="11509" xr:uid="{281048AC-819C-48B8-B00F-63CFDA223336}"/>
    <cellStyle name="Normal 4 2 2 3 2 2 3 3" xfId="5132" xr:uid="{00000000-0005-0000-0000-00000D120000}"/>
    <cellStyle name="Normal 4 2 2 3 2 2 3 3 2" xfId="22862" xr:uid="{AC113DC1-6138-4EFD-AB40-D12F67178526}"/>
    <cellStyle name="Normal 4 2 2 3 2 2 3 3 3" xfId="13582" xr:uid="{7D863169-5AB0-49FE-BDCA-0FD30C8CB225}"/>
    <cellStyle name="Normal 4 2 2 3 2 2 3 4" xfId="18645" xr:uid="{E438BA6A-B976-4C76-8AC2-7646A23D784E}"/>
    <cellStyle name="Normal 4 2 2 3 2 2 3 5" xfId="17817" xr:uid="{BFCB7123-3DC5-4736-9A9A-ABAC1E8D16DB}"/>
    <cellStyle name="Normal 4 2 2 3 2 2 3 6" xfId="9364" xr:uid="{EA1AD1FC-BECC-40A7-8FA7-280B0C22EBCE}"/>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25420" xr:uid="{CBFD78D3-44A2-4974-88C7-86874EAE8B01}"/>
    <cellStyle name="Normal 4 2 2 3 2 2 4 2 2 3" xfId="16140" xr:uid="{39471782-3E19-4F86-8BC5-328EF4B3101F}"/>
    <cellStyle name="Normal 4 2 2 3 2 2 4 2 3" xfId="21203" xr:uid="{42812385-C841-4209-9907-7AD376280745}"/>
    <cellStyle name="Normal 4 2 2 3 2 2 4 2 4" xfId="11922" xr:uid="{F87FC373-8A49-47C7-873B-7F0E501CB91B}"/>
    <cellStyle name="Normal 4 2 2 3 2 2 4 3" xfId="5545" xr:uid="{00000000-0005-0000-0000-000011120000}"/>
    <cellStyle name="Normal 4 2 2 3 2 2 4 3 2" xfId="23275" xr:uid="{BBDEAC4E-914C-436A-B9DB-815F8BF216A5}"/>
    <cellStyle name="Normal 4 2 2 3 2 2 4 3 3" xfId="13995" xr:uid="{58CF6216-EA2C-4CD3-9440-0695FD5E8341}"/>
    <cellStyle name="Normal 4 2 2 3 2 2 4 4" xfId="19058" xr:uid="{69E51770-1F5D-430B-B057-1708582B4207}"/>
    <cellStyle name="Normal 4 2 2 3 2 2 4 5" xfId="9777" xr:uid="{423D0EBB-0F67-45E7-885B-6523D3DB8EB6}"/>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25833" xr:uid="{A6B1C9D5-C8B7-4B0A-AB9C-40B085183B1B}"/>
    <cellStyle name="Normal 4 2 2 3 2 2 5 2 2 3" xfId="16553" xr:uid="{16CF2905-1A31-4F7E-938D-1EA4656855C3}"/>
    <cellStyle name="Normal 4 2 2 3 2 2 5 2 3" xfId="21616" xr:uid="{5CC4E688-46FC-425F-AE0A-3C5033A6D42F}"/>
    <cellStyle name="Normal 4 2 2 3 2 2 5 2 4" xfId="12335" xr:uid="{8034E79E-4598-4C47-9F17-38D840FF2914}"/>
    <cellStyle name="Normal 4 2 2 3 2 2 5 3" xfId="5958" xr:uid="{00000000-0005-0000-0000-000015120000}"/>
    <cellStyle name="Normal 4 2 2 3 2 2 5 3 2" xfId="23688" xr:uid="{53A7964E-8312-4D30-85C0-99C8D147A346}"/>
    <cellStyle name="Normal 4 2 2 3 2 2 5 3 3" xfId="14408" xr:uid="{6FE915A9-7787-4527-88F7-598D4B071272}"/>
    <cellStyle name="Normal 4 2 2 3 2 2 5 4" xfId="19471" xr:uid="{D33E198B-49FF-48B7-A92A-3D22A7A1CF3D}"/>
    <cellStyle name="Normal 4 2 2 3 2 2 5 5" xfId="10190" xr:uid="{4CEB8686-F1F8-46F2-A571-D31241ACBF7F}"/>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26246" xr:uid="{5C6EF450-B4DD-48EA-AB5C-9D1DDB4012E4}"/>
    <cellStyle name="Normal 4 2 2 3 2 2 6 2 2 3" xfId="16966" xr:uid="{C56180C9-C8A1-4A99-9E5D-BF8560117B7A}"/>
    <cellStyle name="Normal 4 2 2 3 2 2 6 2 3" xfId="22029" xr:uid="{588DD08A-E17E-4049-BC61-03C320B5A784}"/>
    <cellStyle name="Normal 4 2 2 3 2 2 6 2 4" xfId="12748" xr:uid="{64E53456-2235-4D92-BB7D-A36A1377A21D}"/>
    <cellStyle name="Normal 4 2 2 3 2 2 6 3" xfId="6371" xr:uid="{00000000-0005-0000-0000-000019120000}"/>
    <cellStyle name="Normal 4 2 2 3 2 2 6 3 2" xfId="24101" xr:uid="{7C2D7D23-A528-46EF-88AC-DAFD65E8A70F}"/>
    <cellStyle name="Normal 4 2 2 3 2 2 6 3 3" xfId="14821" xr:uid="{927A1B62-9A56-498C-8315-F450113CC510}"/>
    <cellStyle name="Normal 4 2 2 3 2 2 6 4" xfId="19884" xr:uid="{C35BB300-98EF-45F8-9940-47F682641782}"/>
    <cellStyle name="Normal 4 2 2 3 2 2 6 5" xfId="10603" xr:uid="{C26E3BCB-27D1-4B17-9BEF-81D74087B656}"/>
    <cellStyle name="Normal 4 2 2 3 2 2 7" xfId="2501" xr:uid="{00000000-0005-0000-0000-00001A120000}"/>
    <cellStyle name="Normal 4 2 2 3 2 2 7 2" xfId="6784" xr:uid="{00000000-0005-0000-0000-00001B120000}"/>
    <cellStyle name="Normal 4 2 2 3 2 2 7 2 2" xfId="24514" xr:uid="{6E0658CE-37BA-4FC7-BC34-0F34BE49E373}"/>
    <cellStyle name="Normal 4 2 2 3 2 2 7 2 3" xfId="15234" xr:uid="{3D2B603D-13CE-4D36-BD66-80959F62EC45}"/>
    <cellStyle name="Normal 4 2 2 3 2 2 7 3" xfId="20297" xr:uid="{81A48AD5-462F-4571-8A06-E3B60406683D}"/>
    <cellStyle name="Normal 4 2 2 3 2 2 7 4" xfId="11016" xr:uid="{7C2A5F7A-ED37-4E9A-81E2-080CCCA67310}"/>
    <cellStyle name="Normal 4 2 2 3 2 2 8" xfId="4719" xr:uid="{00000000-0005-0000-0000-00001C120000}"/>
    <cellStyle name="Normal 4 2 2 3 2 2 8 2" xfId="22449" xr:uid="{EDDA28D9-F79F-4EF6-8D0C-27F327A0FC59}"/>
    <cellStyle name="Normal 4 2 2 3 2 2 8 3" xfId="13169" xr:uid="{959320AF-6E67-4EB0-9A7E-D39068A42905}"/>
    <cellStyle name="Normal 4 2 2 3 2 2 9" xfId="18232" xr:uid="{D2785940-C8F3-45AE-86ED-14E3BE6683DB}"/>
    <cellStyle name="Normal 4 2 2 3 2 3" xfId="343" xr:uid="{00000000-0005-0000-0000-00001D120000}"/>
    <cellStyle name="Normal 4 2 2 3 2 3 10" xfId="8953" xr:uid="{2D1CF29B-1A7B-4C98-B363-ADFB9BE9E2FA}"/>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25009" xr:uid="{5BC5FD60-54B7-46CE-9A17-C56DD87E99DB}"/>
    <cellStyle name="Normal 4 2 2 3 2 3 2 2 2 3" xfId="15729" xr:uid="{A5C6B705-49A4-44C1-B104-0942A6365434}"/>
    <cellStyle name="Normal 4 2 2 3 2 3 2 2 3" xfId="20792" xr:uid="{EB3709B6-D07C-4C01-AAEE-EEC942FDEC36}"/>
    <cellStyle name="Normal 4 2 2 3 2 3 2 2 4" xfId="11511" xr:uid="{E1FB606B-A12A-4BEA-A97C-3DC23158DC3A}"/>
    <cellStyle name="Normal 4 2 2 3 2 3 2 3" xfId="5134" xr:uid="{00000000-0005-0000-0000-000021120000}"/>
    <cellStyle name="Normal 4 2 2 3 2 3 2 3 2" xfId="22864" xr:uid="{8C6C06D4-04CB-488F-8E8B-011D800A0F87}"/>
    <cellStyle name="Normal 4 2 2 3 2 3 2 3 3" xfId="13584" xr:uid="{4B3C4149-006B-45E5-8CD8-5C7B52BD1E32}"/>
    <cellStyle name="Normal 4 2 2 3 2 3 2 4" xfId="18647" xr:uid="{6583CE23-B952-46A1-B355-D32E6388E4E5}"/>
    <cellStyle name="Normal 4 2 2 3 2 3 2 5" xfId="17819" xr:uid="{BF1E97EF-F9CC-4754-A8FB-C2A73033E967}"/>
    <cellStyle name="Normal 4 2 2 3 2 3 2 6" xfId="9366" xr:uid="{2BF18AC6-8FC9-41A1-9CEE-FC66991D4621}"/>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25422" xr:uid="{40AB1216-19C8-46BC-8798-C361993CF7A8}"/>
    <cellStyle name="Normal 4 2 2 3 2 3 3 2 2 3" xfId="16142" xr:uid="{77A2E991-1589-4242-B0FF-B82717E5FFEE}"/>
    <cellStyle name="Normal 4 2 2 3 2 3 3 2 3" xfId="21205" xr:uid="{0BE506C9-D656-4AD0-92D1-A23447130505}"/>
    <cellStyle name="Normal 4 2 2 3 2 3 3 2 4" xfId="11924" xr:uid="{56FB2E8A-DD4B-4EC4-B687-A8CC795E69C7}"/>
    <cellStyle name="Normal 4 2 2 3 2 3 3 3" xfId="5547" xr:uid="{00000000-0005-0000-0000-000025120000}"/>
    <cellStyle name="Normal 4 2 2 3 2 3 3 3 2" xfId="23277" xr:uid="{3BA2AA29-75D0-43AD-9FEC-1CC437526CD8}"/>
    <cellStyle name="Normal 4 2 2 3 2 3 3 3 3" xfId="13997" xr:uid="{B9223E71-9399-43DA-BCBB-A1A849A02CAD}"/>
    <cellStyle name="Normal 4 2 2 3 2 3 3 4" xfId="19060" xr:uid="{C22B25EF-8750-41B9-9989-AD22497BA71C}"/>
    <cellStyle name="Normal 4 2 2 3 2 3 3 5" xfId="9779" xr:uid="{21C13F26-DE88-4F04-862A-604C9474BCBB}"/>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25835" xr:uid="{B8816F9F-2CC0-4265-87F0-51741D45D504}"/>
    <cellStyle name="Normal 4 2 2 3 2 3 4 2 2 3" xfId="16555" xr:uid="{98831675-0705-4C28-A762-01A9D8C97723}"/>
    <cellStyle name="Normal 4 2 2 3 2 3 4 2 3" xfId="21618" xr:uid="{16AAD757-977F-46AF-B6F5-9F678F654AC0}"/>
    <cellStyle name="Normal 4 2 2 3 2 3 4 2 4" xfId="12337" xr:uid="{D453F3A5-ABB5-4CDC-B387-789C65AC779B}"/>
    <cellStyle name="Normal 4 2 2 3 2 3 4 3" xfId="5960" xr:uid="{00000000-0005-0000-0000-000029120000}"/>
    <cellStyle name="Normal 4 2 2 3 2 3 4 3 2" xfId="23690" xr:uid="{A1ECFA63-3704-401D-8FDA-B66C6D7652E4}"/>
    <cellStyle name="Normal 4 2 2 3 2 3 4 3 3" xfId="14410" xr:uid="{D7C52E10-2334-4C5D-A05E-5F704B07DCB4}"/>
    <cellStyle name="Normal 4 2 2 3 2 3 4 4" xfId="19473" xr:uid="{F3FC62CE-5B09-49F8-A5DF-011C774C0404}"/>
    <cellStyle name="Normal 4 2 2 3 2 3 4 5" xfId="10192" xr:uid="{658699E5-9DBE-4F72-8918-69460897CCAB}"/>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26248" xr:uid="{F7A42E81-59E2-4F70-8CF8-ADB6B2ED92F2}"/>
    <cellStyle name="Normal 4 2 2 3 2 3 5 2 2 3" xfId="16968" xr:uid="{87E7B599-66F0-419F-9D7D-46E8172C335A}"/>
    <cellStyle name="Normal 4 2 2 3 2 3 5 2 3" xfId="22031" xr:uid="{99AE74BD-5A8C-4100-A823-F13464B28CCA}"/>
    <cellStyle name="Normal 4 2 2 3 2 3 5 2 4" xfId="12750" xr:uid="{B66A3700-E2B1-44E1-B7C4-E31E30C19A99}"/>
    <cellStyle name="Normal 4 2 2 3 2 3 5 3" xfId="6373" xr:uid="{00000000-0005-0000-0000-00002D120000}"/>
    <cellStyle name="Normal 4 2 2 3 2 3 5 3 2" xfId="24103" xr:uid="{A7B18668-A79A-4EC8-B464-24FE00275B5B}"/>
    <cellStyle name="Normal 4 2 2 3 2 3 5 3 3" xfId="14823" xr:uid="{88D432E2-C15D-4032-94FC-7FBE1BE244E1}"/>
    <cellStyle name="Normal 4 2 2 3 2 3 5 4" xfId="19886" xr:uid="{DC1B27AB-814C-4742-A8A0-427C5DE1EC48}"/>
    <cellStyle name="Normal 4 2 2 3 2 3 5 5" xfId="10605" xr:uid="{7477E625-F1F2-4851-8A09-618B0FB26599}"/>
    <cellStyle name="Normal 4 2 2 3 2 3 6" xfId="2503" xr:uid="{00000000-0005-0000-0000-00002E120000}"/>
    <cellStyle name="Normal 4 2 2 3 2 3 6 2" xfId="6786" xr:uid="{00000000-0005-0000-0000-00002F120000}"/>
    <cellStyle name="Normal 4 2 2 3 2 3 6 2 2" xfId="24516" xr:uid="{EC64B0DD-DADA-4413-91A4-6BFBDE1EEC6B}"/>
    <cellStyle name="Normal 4 2 2 3 2 3 6 2 3" xfId="15236" xr:uid="{162228E5-0C25-46DD-8FF1-86F4532EE8B7}"/>
    <cellStyle name="Normal 4 2 2 3 2 3 6 3" xfId="20299" xr:uid="{705FE3C5-E3CE-4D05-865A-BC3FA42A36AC}"/>
    <cellStyle name="Normal 4 2 2 3 2 3 6 4" xfId="11018" xr:uid="{E52AF032-EBC3-470A-BE2B-A61EC7F68394}"/>
    <cellStyle name="Normal 4 2 2 3 2 3 7" xfId="4721" xr:uid="{00000000-0005-0000-0000-000030120000}"/>
    <cellStyle name="Normal 4 2 2 3 2 3 7 2" xfId="22451" xr:uid="{DD486398-C725-4E61-B94D-08F6CBA4A2FD}"/>
    <cellStyle name="Normal 4 2 2 3 2 3 7 3" xfId="13171" xr:uid="{78112D70-5270-4807-94ED-1A5989741AC8}"/>
    <cellStyle name="Normal 4 2 2 3 2 3 8" xfId="18234" xr:uid="{A3F4B59F-A2EA-409C-BD5E-AEE5C2FBF95D}"/>
    <cellStyle name="Normal 4 2 2 3 2 3 9" xfId="17400" xr:uid="{FE09A15C-C3DC-43D6-A1FD-2879EAE455E9}"/>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25006" xr:uid="{C24FA8E8-512C-4CA9-A176-4FCF803FF9CC}"/>
    <cellStyle name="Normal 4 2 2 3 2 4 2 2 3" xfId="15726" xr:uid="{841B7E1B-894B-40F7-8C15-6426DB16B238}"/>
    <cellStyle name="Normal 4 2 2 3 2 4 2 3" xfId="20789" xr:uid="{A155A488-D8B0-4A84-8245-A1DCBD48481F}"/>
    <cellStyle name="Normal 4 2 2 3 2 4 2 4" xfId="11508" xr:uid="{A181D728-6CD7-41F2-98F3-30076662A563}"/>
    <cellStyle name="Normal 4 2 2 3 2 4 3" xfId="5131" xr:uid="{00000000-0005-0000-0000-000034120000}"/>
    <cellStyle name="Normal 4 2 2 3 2 4 3 2" xfId="22861" xr:uid="{0C8EA15E-A24A-4FCD-8E23-450E41FD98BA}"/>
    <cellStyle name="Normal 4 2 2 3 2 4 3 3" xfId="13581" xr:uid="{12E82FB8-256F-4514-9BBD-90281AB78314}"/>
    <cellStyle name="Normal 4 2 2 3 2 4 4" xfId="18644" xr:uid="{AB59A188-D531-4A35-AD12-3B0FC4DA1768}"/>
    <cellStyle name="Normal 4 2 2 3 2 4 5" xfId="17816" xr:uid="{41D20669-E254-44A2-B918-B7C6EE225D11}"/>
    <cellStyle name="Normal 4 2 2 3 2 4 6" xfId="9363" xr:uid="{4E6AB927-A9FA-4F18-808B-558B9F7FF947}"/>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25419" xr:uid="{E376A392-00B1-4A0B-A363-DAD5A1F80128}"/>
    <cellStyle name="Normal 4 2 2 3 2 5 2 2 3" xfId="16139" xr:uid="{E5B7BA52-D344-4271-81A3-CE5FB066643B}"/>
    <cellStyle name="Normal 4 2 2 3 2 5 2 3" xfId="21202" xr:uid="{BC2FD3AF-F844-405A-98C2-7C0FECE66F85}"/>
    <cellStyle name="Normal 4 2 2 3 2 5 2 4" xfId="11921" xr:uid="{3B7817F7-9069-42AB-9BCD-5F3C197FBC6B}"/>
    <cellStyle name="Normal 4 2 2 3 2 5 3" xfId="5544" xr:uid="{00000000-0005-0000-0000-000038120000}"/>
    <cellStyle name="Normal 4 2 2 3 2 5 3 2" xfId="23274" xr:uid="{A1228F15-74C8-4243-9A1A-E699E6629668}"/>
    <cellStyle name="Normal 4 2 2 3 2 5 3 3" xfId="13994" xr:uid="{4F06B3C9-68F5-4B7D-A10E-8444E1A90A1A}"/>
    <cellStyle name="Normal 4 2 2 3 2 5 4" xfId="19057" xr:uid="{406B6745-4B54-4BF8-9E94-F9BD435C9DBC}"/>
    <cellStyle name="Normal 4 2 2 3 2 5 5" xfId="9776" xr:uid="{50A84F38-E7FC-4CB1-A191-7C6887D77836}"/>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25832" xr:uid="{445AAC8B-1C80-4764-AED8-F7A493307104}"/>
    <cellStyle name="Normal 4 2 2 3 2 6 2 2 3" xfId="16552" xr:uid="{BE827135-CD35-43E8-A42F-1C6992700C84}"/>
    <cellStyle name="Normal 4 2 2 3 2 6 2 3" xfId="21615" xr:uid="{27A56B94-C8D4-4439-AE74-7ACFCF75D3ED}"/>
    <cellStyle name="Normal 4 2 2 3 2 6 2 4" xfId="12334" xr:uid="{9E30F808-1BF0-49C0-88C0-ACD2A6271DFB}"/>
    <cellStyle name="Normal 4 2 2 3 2 6 3" xfId="5957" xr:uid="{00000000-0005-0000-0000-00003C120000}"/>
    <cellStyle name="Normal 4 2 2 3 2 6 3 2" xfId="23687" xr:uid="{F366ADBD-F868-41F3-8B10-FA97AD335AE0}"/>
    <cellStyle name="Normal 4 2 2 3 2 6 3 3" xfId="14407" xr:uid="{6C535FC9-E323-43B7-8B94-BC2AF03F66C2}"/>
    <cellStyle name="Normal 4 2 2 3 2 6 4" xfId="19470" xr:uid="{84660F20-7F38-4A34-A206-04D8E5E907C0}"/>
    <cellStyle name="Normal 4 2 2 3 2 6 5" xfId="10189" xr:uid="{B5353DAD-6A50-478C-8D71-E2E9603984C6}"/>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26245" xr:uid="{2C081964-5973-4E43-BAF8-9EC9659221A0}"/>
    <cellStyle name="Normal 4 2 2 3 2 7 2 2 3" xfId="16965" xr:uid="{D72F4553-4126-42E6-B2F4-BB8C45C1201C}"/>
    <cellStyle name="Normal 4 2 2 3 2 7 2 3" xfId="22028" xr:uid="{7DE3C1D7-09BE-4419-BC1A-459B11C261DA}"/>
    <cellStyle name="Normal 4 2 2 3 2 7 2 4" xfId="12747" xr:uid="{2E487FDD-ABDF-45AF-8E3A-D856252A092B}"/>
    <cellStyle name="Normal 4 2 2 3 2 7 3" xfId="6370" xr:uid="{00000000-0005-0000-0000-000040120000}"/>
    <cellStyle name="Normal 4 2 2 3 2 7 3 2" xfId="24100" xr:uid="{029A10C6-43AC-42AD-9951-BEE70CC775BB}"/>
    <cellStyle name="Normal 4 2 2 3 2 7 3 3" xfId="14820" xr:uid="{1BF4A43C-EF75-41AC-A085-6995081C259F}"/>
    <cellStyle name="Normal 4 2 2 3 2 7 4" xfId="19883" xr:uid="{CC90DCFD-CC4D-4DA3-8BB7-A2E724DBF7C3}"/>
    <cellStyle name="Normal 4 2 2 3 2 7 5" xfId="10602" xr:uid="{C8E2FB36-F4E1-4B41-8A4A-3A95E71E1F73}"/>
    <cellStyle name="Normal 4 2 2 3 2 8" xfId="2500" xr:uid="{00000000-0005-0000-0000-000041120000}"/>
    <cellStyle name="Normal 4 2 2 3 2 8 2" xfId="6783" xr:uid="{00000000-0005-0000-0000-000042120000}"/>
    <cellStyle name="Normal 4 2 2 3 2 8 2 2" xfId="24513" xr:uid="{6F7EA011-B584-4A4C-A8D5-F7B47B885FE4}"/>
    <cellStyle name="Normal 4 2 2 3 2 8 2 3" xfId="15233" xr:uid="{84B503B2-89C2-4BD0-AFF4-1764DD9DED9F}"/>
    <cellStyle name="Normal 4 2 2 3 2 8 3" xfId="20296" xr:uid="{0A3D6191-2728-4A15-B32B-19131BCC3E7B}"/>
    <cellStyle name="Normal 4 2 2 3 2 8 4" xfId="11015" xr:uid="{769D8BAB-9AEE-42A9-BBE3-B3503908051B}"/>
    <cellStyle name="Normal 4 2 2 3 2 9" xfId="4718" xr:uid="{00000000-0005-0000-0000-000043120000}"/>
    <cellStyle name="Normal 4 2 2 3 2 9 2" xfId="22448" xr:uid="{7FDF0248-4C61-44C8-ADD4-A002EFA38F51}"/>
    <cellStyle name="Normal 4 2 2 3 2 9 3" xfId="13168" xr:uid="{556BBEA1-B001-4464-8740-1378DDF60A62}"/>
    <cellStyle name="Normal 4 2 2 3 3" xfId="344" xr:uid="{00000000-0005-0000-0000-000044120000}"/>
    <cellStyle name="Normal 4 2 2 3 3 10" xfId="17401" xr:uid="{F12B4E53-9BE2-4318-9316-F67D7969E568}"/>
    <cellStyle name="Normal 4 2 2 3 3 11" xfId="8954" xr:uid="{26BA7C30-4453-423F-BDE7-35C139678E2F}"/>
    <cellStyle name="Normal 4 2 2 3 3 2" xfId="345" xr:uid="{00000000-0005-0000-0000-000045120000}"/>
    <cellStyle name="Normal 4 2 2 3 3 2 10" xfId="8955" xr:uid="{44705689-4E36-4948-9126-5630C4B2138E}"/>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25011" xr:uid="{67C4A527-C365-4EEF-9592-439258983B87}"/>
    <cellStyle name="Normal 4 2 2 3 3 2 2 2 2 3" xfId="15731" xr:uid="{C1032AFA-252E-4B6D-AA71-2CDF6A2B11CE}"/>
    <cellStyle name="Normal 4 2 2 3 3 2 2 2 3" xfId="20794" xr:uid="{326F5FED-CB0A-452A-9B4F-FBA2F0F4B0E9}"/>
    <cellStyle name="Normal 4 2 2 3 3 2 2 2 4" xfId="11513" xr:uid="{D7C19E68-E86B-4480-889F-98453FD409D2}"/>
    <cellStyle name="Normal 4 2 2 3 3 2 2 3" xfId="5136" xr:uid="{00000000-0005-0000-0000-000049120000}"/>
    <cellStyle name="Normal 4 2 2 3 3 2 2 3 2" xfId="22866" xr:uid="{CAEC7008-5FD6-4574-894B-09746D2F1BE9}"/>
    <cellStyle name="Normal 4 2 2 3 3 2 2 3 3" xfId="13586" xr:uid="{DFEB9ABC-0502-431A-A3CD-7417EF3CA34E}"/>
    <cellStyle name="Normal 4 2 2 3 3 2 2 4" xfId="18649" xr:uid="{51E47A5F-8F01-447F-AB8B-FE1205C252E5}"/>
    <cellStyle name="Normal 4 2 2 3 3 2 2 5" xfId="17821" xr:uid="{194424BC-C99F-422A-970D-DA16E37AD51F}"/>
    <cellStyle name="Normal 4 2 2 3 3 2 2 6" xfId="9368" xr:uid="{A9DF3883-E88F-45BB-A7E7-1124A3615324}"/>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25424" xr:uid="{6E46DD70-4A1C-4737-BFE7-D52719E81E1B}"/>
    <cellStyle name="Normal 4 2 2 3 3 2 3 2 2 3" xfId="16144" xr:uid="{CE564F93-7753-458E-83F7-5A175711BAA0}"/>
    <cellStyle name="Normal 4 2 2 3 3 2 3 2 3" xfId="21207" xr:uid="{D214E997-49A5-4B3A-A6E4-09025731887A}"/>
    <cellStyle name="Normal 4 2 2 3 3 2 3 2 4" xfId="11926" xr:uid="{A97FB59D-B3C9-4DC1-88D9-6CAB68B58093}"/>
    <cellStyle name="Normal 4 2 2 3 3 2 3 3" xfId="5549" xr:uid="{00000000-0005-0000-0000-00004D120000}"/>
    <cellStyle name="Normal 4 2 2 3 3 2 3 3 2" xfId="23279" xr:uid="{00C7ADDE-06E6-478A-920A-F065C0B91688}"/>
    <cellStyle name="Normal 4 2 2 3 3 2 3 3 3" xfId="13999" xr:uid="{05CB8B71-A747-4A7D-B069-76A2ACB9C4B2}"/>
    <cellStyle name="Normal 4 2 2 3 3 2 3 4" xfId="19062" xr:uid="{E3692539-E6E9-4E76-96E2-5B18A1C46B3F}"/>
    <cellStyle name="Normal 4 2 2 3 3 2 3 5" xfId="9781" xr:uid="{DDCDDB8C-D0AB-45B1-A0B2-98C5D828655A}"/>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25837" xr:uid="{E5B6D388-2E5B-46D8-A30F-0454393DBEC1}"/>
    <cellStyle name="Normal 4 2 2 3 3 2 4 2 2 3" xfId="16557" xr:uid="{EAE1E5AF-A30D-40AC-A54E-3920723E890A}"/>
    <cellStyle name="Normal 4 2 2 3 3 2 4 2 3" xfId="21620" xr:uid="{B8F46D12-AC97-4183-9864-06351B29FC2C}"/>
    <cellStyle name="Normal 4 2 2 3 3 2 4 2 4" xfId="12339" xr:uid="{2FD881DA-8B75-44D4-8CAB-1C0C2AE920BB}"/>
    <cellStyle name="Normal 4 2 2 3 3 2 4 3" xfId="5962" xr:uid="{00000000-0005-0000-0000-000051120000}"/>
    <cellStyle name="Normal 4 2 2 3 3 2 4 3 2" xfId="23692" xr:uid="{7A8BEBFA-5CB6-4630-88EC-A4D17028A11E}"/>
    <cellStyle name="Normal 4 2 2 3 3 2 4 3 3" xfId="14412" xr:uid="{E3B3FE0C-92E7-45D1-B584-EC3FFE89AB09}"/>
    <cellStyle name="Normal 4 2 2 3 3 2 4 4" xfId="19475" xr:uid="{9894E8AC-B9AA-4638-9CCB-6030A9F13DE8}"/>
    <cellStyle name="Normal 4 2 2 3 3 2 4 5" xfId="10194" xr:uid="{71714B22-944B-4B89-BD04-E92A4F71E286}"/>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26250" xr:uid="{8CA3A1C0-AEB9-4F54-A307-8A5EF6BFC8D9}"/>
    <cellStyle name="Normal 4 2 2 3 3 2 5 2 2 3" xfId="16970" xr:uid="{125510E1-EB91-4FB8-A539-3D0773CD5ABA}"/>
    <cellStyle name="Normal 4 2 2 3 3 2 5 2 3" xfId="22033" xr:uid="{89ED36A6-9EF9-40DB-8AFB-4F24B3757CF5}"/>
    <cellStyle name="Normal 4 2 2 3 3 2 5 2 4" xfId="12752" xr:uid="{79DA4A78-063B-4E21-AE4C-3439D25FB4A6}"/>
    <cellStyle name="Normal 4 2 2 3 3 2 5 3" xfId="6375" xr:uid="{00000000-0005-0000-0000-000055120000}"/>
    <cellStyle name="Normal 4 2 2 3 3 2 5 3 2" xfId="24105" xr:uid="{8F2AD357-C67C-4BAD-B27C-2F7BAD008168}"/>
    <cellStyle name="Normal 4 2 2 3 3 2 5 3 3" xfId="14825" xr:uid="{54AD9D32-3841-43A3-8AB0-A5E85595F172}"/>
    <cellStyle name="Normal 4 2 2 3 3 2 5 4" xfId="19888" xr:uid="{239208E4-DD48-4FAE-96D5-EF5EE8F23E95}"/>
    <cellStyle name="Normal 4 2 2 3 3 2 5 5" xfId="10607" xr:uid="{D1AD7D99-8F50-432A-B1BA-EF1038520079}"/>
    <cellStyle name="Normal 4 2 2 3 3 2 6" xfId="2505" xr:uid="{00000000-0005-0000-0000-000056120000}"/>
    <cellStyle name="Normal 4 2 2 3 3 2 6 2" xfId="6788" xr:uid="{00000000-0005-0000-0000-000057120000}"/>
    <cellStyle name="Normal 4 2 2 3 3 2 6 2 2" xfId="24518" xr:uid="{C72CC830-A1B4-4D1D-9CF2-E1EFE1DC7C6B}"/>
    <cellStyle name="Normal 4 2 2 3 3 2 6 2 3" xfId="15238" xr:uid="{0B671E1A-ECBE-44EF-86DB-EDCB7079CF00}"/>
    <cellStyle name="Normal 4 2 2 3 3 2 6 3" xfId="20301" xr:uid="{A2A89B60-AE93-4DCC-B9AD-FEF3C7403D88}"/>
    <cellStyle name="Normal 4 2 2 3 3 2 6 4" xfId="11020" xr:uid="{ABA83E81-69A2-4147-8B72-1EA3310B0891}"/>
    <cellStyle name="Normal 4 2 2 3 3 2 7" xfId="4723" xr:uid="{00000000-0005-0000-0000-000058120000}"/>
    <cellStyle name="Normal 4 2 2 3 3 2 7 2" xfId="22453" xr:uid="{BC494252-ADF0-4ABB-9FEC-05A34BDD0960}"/>
    <cellStyle name="Normal 4 2 2 3 3 2 7 3" xfId="13173" xr:uid="{999B087B-96BC-4346-BB59-73E85A17A510}"/>
    <cellStyle name="Normal 4 2 2 3 3 2 8" xfId="18236" xr:uid="{CE02D392-DFDB-4F6D-A482-67E532FF7326}"/>
    <cellStyle name="Normal 4 2 2 3 3 2 9" xfId="17402" xr:uid="{1D19FB40-E8CB-4650-B5D0-4261D2AE70B4}"/>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25010" xr:uid="{7F42AA4E-D74F-4FBA-96E8-1B19F80755FE}"/>
    <cellStyle name="Normal 4 2 2 3 3 3 2 2 3" xfId="15730" xr:uid="{60725A3E-6730-4752-9F73-743306457406}"/>
    <cellStyle name="Normal 4 2 2 3 3 3 2 3" xfId="20793" xr:uid="{0E5FBCDF-41F5-4B4B-B7D5-D3B49A9C8569}"/>
    <cellStyle name="Normal 4 2 2 3 3 3 2 4" xfId="11512" xr:uid="{28E20633-3F7D-481A-85D2-DD51BF4AA72B}"/>
    <cellStyle name="Normal 4 2 2 3 3 3 3" xfId="5135" xr:uid="{00000000-0005-0000-0000-00005C120000}"/>
    <cellStyle name="Normal 4 2 2 3 3 3 3 2" xfId="22865" xr:uid="{C60D047E-6049-4FD5-8773-F8A58044982C}"/>
    <cellStyle name="Normal 4 2 2 3 3 3 3 3" xfId="13585" xr:uid="{1314F13A-66DE-4630-A960-65F6A1EC0BBB}"/>
    <cellStyle name="Normal 4 2 2 3 3 3 4" xfId="18648" xr:uid="{44FC3C9D-D1F0-4AE0-BEC8-9B238363BF7F}"/>
    <cellStyle name="Normal 4 2 2 3 3 3 5" xfId="17820" xr:uid="{FF0C81EA-67FE-4539-9BC7-FB0FC7A906CF}"/>
    <cellStyle name="Normal 4 2 2 3 3 3 6" xfId="9367" xr:uid="{8458ADF8-6C33-4248-BCD9-985ECCEF6772}"/>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25423" xr:uid="{AD4DF594-7BDA-4A77-8B00-17BDDAC497C7}"/>
    <cellStyle name="Normal 4 2 2 3 3 4 2 2 3" xfId="16143" xr:uid="{4F9A07EF-9965-49CB-B566-01733DCDC909}"/>
    <cellStyle name="Normal 4 2 2 3 3 4 2 3" xfId="21206" xr:uid="{00505BC4-328C-47F5-8564-A6FC2B219310}"/>
    <cellStyle name="Normal 4 2 2 3 3 4 2 4" xfId="11925" xr:uid="{CD43EECC-4617-44B8-9EE9-2C73FA4D24EE}"/>
    <cellStyle name="Normal 4 2 2 3 3 4 3" xfId="5548" xr:uid="{00000000-0005-0000-0000-000060120000}"/>
    <cellStyle name="Normal 4 2 2 3 3 4 3 2" xfId="23278" xr:uid="{A7E0874B-78AC-4F6F-B2D7-6C5B176299D8}"/>
    <cellStyle name="Normal 4 2 2 3 3 4 3 3" xfId="13998" xr:uid="{E66EBE28-67E3-41C3-B9D1-AA7CD9572ED8}"/>
    <cellStyle name="Normal 4 2 2 3 3 4 4" xfId="19061" xr:uid="{02E10492-3F00-4F80-92B2-17A6F873A101}"/>
    <cellStyle name="Normal 4 2 2 3 3 4 5" xfId="9780" xr:uid="{F6DD79F9-416D-452A-ACD4-BC757C018207}"/>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25836" xr:uid="{62A562B5-E188-4EEA-8A80-D714A2B4406C}"/>
    <cellStyle name="Normal 4 2 2 3 3 5 2 2 3" xfId="16556" xr:uid="{EC3539F7-AEC0-4B6D-9143-053C9711CDBB}"/>
    <cellStyle name="Normal 4 2 2 3 3 5 2 3" xfId="21619" xr:uid="{E7C5DE2B-C9B6-4553-85A9-27CDE99EFFBB}"/>
    <cellStyle name="Normal 4 2 2 3 3 5 2 4" xfId="12338" xr:uid="{9FBB4D1B-8ED2-4730-817B-18EC50CE0F8D}"/>
    <cellStyle name="Normal 4 2 2 3 3 5 3" xfId="5961" xr:uid="{00000000-0005-0000-0000-000064120000}"/>
    <cellStyle name="Normal 4 2 2 3 3 5 3 2" xfId="23691" xr:uid="{BFE6E5CA-B72E-4F53-91B6-CAA231AA1AA4}"/>
    <cellStyle name="Normal 4 2 2 3 3 5 3 3" xfId="14411" xr:uid="{0226F3E5-B7E1-4D1B-ABB4-A8704906D440}"/>
    <cellStyle name="Normal 4 2 2 3 3 5 4" xfId="19474" xr:uid="{C65509E1-C068-43D7-B8E1-5D6DB40D02A3}"/>
    <cellStyle name="Normal 4 2 2 3 3 5 5" xfId="10193" xr:uid="{88EFD4F3-E000-4D28-937A-41A274E36FFF}"/>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26249" xr:uid="{D1B6671B-5C6E-4690-AB3C-3DD2EBF09706}"/>
    <cellStyle name="Normal 4 2 2 3 3 6 2 2 3" xfId="16969" xr:uid="{A3227472-540B-4E8C-B019-66E011FDDF49}"/>
    <cellStyle name="Normal 4 2 2 3 3 6 2 3" xfId="22032" xr:uid="{CD90C18F-E9B1-49A3-8D89-5F59E8E54E39}"/>
    <cellStyle name="Normal 4 2 2 3 3 6 2 4" xfId="12751" xr:uid="{5D5A1C42-4899-4F3B-AD3D-021AD5652A5E}"/>
    <cellStyle name="Normal 4 2 2 3 3 6 3" xfId="6374" xr:uid="{00000000-0005-0000-0000-000068120000}"/>
    <cellStyle name="Normal 4 2 2 3 3 6 3 2" xfId="24104" xr:uid="{A5DC4078-1D84-4323-A73E-88AA46063DBF}"/>
    <cellStyle name="Normal 4 2 2 3 3 6 3 3" xfId="14824" xr:uid="{269173EB-9830-46B6-AC4C-E7745D59D842}"/>
    <cellStyle name="Normal 4 2 2 3 3 6 4" xfId="19887" xr:uid="{DCA8F0CE-219E-4F60-B706-434E4805F17F}"/>
    <cellStyle name="Normal 4 2 2 3 3 6 5" xfId="10606" xr:uid="{E955D126-8FB4-4E78-982A-B84C3EFE2E7F}"/>
    <cellStyle name="Normal 4 2 2 3 3 7" xfId="2504" xr:uid="{00000000-0005-0000-0000-000069120000}"/>
    <cellStyle name="Normal 4 2 2 3 3 7 2" xfId="6787" xr:uid="{00000000-0005-0000-0000-00006A120000}"/>
    <cellStyle name="Normal 4 2 2 3 3 7 2 2" xfId="24517" xr:uid="{6B635D81-D970-4482-BD0F-3D57763B3026}"/>
    <cellStyle name="Normal 4 2 2 3 3 7 2 3" xfId="15237" xr:uid="{6BAEFD6F-7674-4FAD-93D6-55510BACB377}"/>
    <cellStyle name="Normal 4 2 2 3 3 7 3" xfId="20300" xr:uid="{7BC15DD3-EA55-4B02-8345-3C8648D9D113}"/>
    <cellStyle name="Normal 4 2 2 3 3 7 4" xfId="11019" xr:uid="{97F52807-C428-49B3-96F0-EFB59BE1590F}"/>
    <cellStyle name="Normal 4 2 2 3 3 8" xfId="4722" xr:uid="{00000000-0005-0000-0000-00006B120000}"/>
    <cellStyle name="Normal 4 2 2 3 3 8 2" xfId="22452" xr:uid="{D70AD285-8FC1-43D5-9521-9A2B942BB018}"/>
    <cellStyle name="Normal 4 2 2 3 3 8 3" xfId="13172" xr:uid="{4476E57F-8E3A-44FA-A4EA-B1C6CBF0BBB8}"/>
    <cellStyle name="Normal 4 2 2 3 3 9" xfId="18235" xr:uid="{ECB79D0E-E76F-4E54-ABEE-2A9E38AF7DB2}"/>
    <cellStyle name="Normal 4 2 2 3 4" xfId="346" xr:uid="{00000000-0005-0000-0000-00006C120000}"/>
    <cellStyle name="Normal 4 2 2 3 4 10" xfId="8956" xr:uid="{E914F92D-C3B1-4E65-9E89-6EF063A99C1F}"/>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25012" xr:uid="{71B9522A-019D-44B3-A67E-E1BE493FBDD5}"/>
    <cellStyle name="Normal 4 2 2 3 4 2 2 2 3" xfId="15732" xr:uid="{0279A1BB-AFCF-4622-858F-2308C8A90097}"/>
    <cellStyle name="Normal 4 2 2 3 4 2 2 3" xfId="20795" xr:uid="{DDC7AD22-A5F6-4B37-A33E-C9B44E96AF1E}"/>
    <cellStyle name="Normal 4 2 2 3 4 2 2 4" xfId="11514" xr:uid="{A72ED15B-3C4B-410E-ACC0-E58918B8858B}"/>
    <cellStyle name="Normal 4 2 2 3 4 2 3" xfId="5137" xr:uid="{00000000-0005-0000-0000-000070120000}"/>
    <cellStyle name="Normal 4 2 2 3 4 2 3 2" xfId="22867" xr:uid="{67B99D7C-1A38-41D2-98E0-361E4D508377}"/>
    <cellStyle name="Normal 4 2 2 3 4 2 3 3" xfId="13587" xr:uid="{669A7AD4-EB67-4B75-BDF0-9C0307FC021F}"/>
    <cellStyle name="Normal 4 2 2 3 4 2 4" xfId="18650" xr:uid="{B872200A-DD4F-4B80-A753-4D0D993A40F1}"/>
    <cellStyle name="Normal 4 2 2 3 4 2 5" xfId="17822" xr:uid="{6C2D63B7-A836-471B-888E-266E364BA55C}"/>
    <cellStyle name="Normal 4 2 2 3 4 2 6" xfId="9369" xr:uid="{3961C4CB-1EE7-47E4-8E69-154812375D44}"/>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25425" xr:uid="{1364813B-7EFD-4DC7-B35D-9814431FEAF8}"/>
    <cellStyle name="Normal 4 2 2 3 4 3 2 2 3" xfId="16145" xr:uid="{ADEA95ED-BB45-4C08-92F5-DBD98FBCB62A}"/>
    <cellStyle name="Normal 4 2 2 3 4 3 2 3" xfId="21208" xr:uid="{DF94753B-B3D9-4DBA-B90D-385D8FC1DB51}"/>
    <cellStyle name="Normal 4 2 2 3 4 3 2 4" xfId="11927" xr:uid="{68F443AD-5D32-4114-95B7-9038555BAF6B}"/>
    <cellStyle name="Normal 4 2 2 3 4 3 3" xfId="5550" xr:uid="{00000000-0005-0000-0000-000074120000}"/>
    <cellStyle name="Normal 4 2 2 3 4 3 3 2" xfId="23280" xr:uid="{587C6697-AA17-4A55-9211-49FA4A68DDB1}"/>
    <cellStyle name="Normal 4 2 2 3 4 3 3 3" xfId="14000" xr:uid="{6407FF5F-896E-475F-A021-0BD4E8E633A5}"/>
    <cellStyle name="Normal 4 2 2 3 4 3 4" xfId="19063" xr:uid="{0BF64164-B7CC-4ED8-BA51-DA4F0ED9C787}"/>
    <cellStyle name="Normal 4 2 2 3 4 3 5" xfId="9782" xr:uid="{D086FA66-07DF-4B9A-84BF-AED104A18B82}"/>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25838" xr:uid="{01D42602-C53A-459C-97FD-0BC8B14DD2B3}"/>
    <cellStyle name="Normal 4 2 2 3 4 4 2 2 3" xfId="16558" xr:uid="{4618E787-108E-4CE1-8548-7673ED630CF9}"/>
    <cellStyle name="Normal 4 2 2 3 4 4 2 3" xfId="21621" xr:uid="{758435C9-0AEE-4B7A-BA4E-4440D639F1C3}"/>
    <cellStyle name="Normal 4 2 2 3 4 4 2 4" xfId="12340" xr:uid="{E01F2AB8-A029-455C-A7EB-3565D0D4C1AE}"/>
    <cellStyle name="Normal 4 2 2 3 4 4 3" xfId="5963" xr:uid="{00000000-0005-0000-0000-000078120000}"/>
    <cellStyle name="Normal 4 2 2 3 4 4 3 2" xfId="23693" xr:uid="{9882C5A4-7858-4C30-B4D9-0D85F6D5E04F}"/>
    <cellStyle name="Normal 4 2 2 3 4 4 3 3" xfId="14413" xr:uid="{2A810723-4A70-42A1-A376-9C5F282791F7}"/>
    <cellStyle name="Normal 4 2 2 3 4 4 4" xfId="19476" xr:uid="{B3675268-4AF0-4A04-B5A4-A6473602E1A8}"/>
    <cellStyle name="Normal 4 2 2 3 4 4 5" xfId="10195" xr:uid="{8C935B0B-0D68-431F-9597-5FA9B7FBA056}"/>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26251" xr:uid="{C7B413C9-FAA1-483B-B7B9-5149FABDB2DB}"/>
    <cellStyle name="Normal 4 2 2 3 4 5 2 2 3" xfId="16971" xr:uid="{87F8A200-D19A-4EBC-A2F9-448358EE2703}"/>
    <cellStyle name="Normal 4 2 2 3 4 5 2 3" xfId="22034" xr:uid="{317C62FE-BA20-4335-9152-7BD34043C5EA}"/>
    <cellStyle name="Normal 4 2 2 3 4 5 2 4" xfId="12753" xr:uid="{7F83C46D-B24D-4481-8AE8-32B6E3D863D8}"/>
    <cellStyle name="Normal 4 2 2 3 4 5 3" xfId="6376" xr:uid="{00000000-0005-0000-0000-00007C120000}"/>
    <cellStyle name="Normal 4 2 2 3 4 5 3 2" xfId="24106" xr:uid="{0F21C3DF-87D6-443D-A893-CA23B0751571}"/>
    <cellStyle name="Normal 4 2 2 3 4 5 3 3" xfId="14826" xr:uid="{E98C2AAA-8C63-4358-96A1-94E72766A9B6}"/>
    <cellStyle name="Normal 4 2 2 3 4 5 4" xfId="19889" xr:uid="{B6B57C27-AD86-47FB-9171-6B58E02C32BD}"/>
    <cellStyle name="Normal 4 2 2 3 4 5 5" xfId="10608" xr:uid="{69B375E8-6047-4817-A464-7408F493142D}"/>
    <cellStyle name="Normal 4 2 2 3 4 6" xfId="2506" xr:uid="{00000000-0005-0000-0000-00007D120000}"/>
    <cellStyle name="Normal 4 2 2 3 4 6 2" xfId="6789" xr:uid="{00000000-0005-0000-0000-00007E120000}"/>
    <cellStyle name="Normal 4 2 2 3 4 6 2 2" xfId="24519" xr:uid="{293AC73C-A4E1-4A82-AED1-1DCBDD1F97AB}"/>
    <cellStyle name="Normal 4 2 2 3 4 6 2 3" xfId="15239" xr:uid="{52787896-40E2-47C0-9EEA-70767FA7F68F}"/>
    <cellStyle name="Normal 4 2 2 3 4 6 3" xfId="20302" xr:uid="{093E84F1-AF47-4EDF-889B-8BCA6BF3C09F}"/>
    <cellStyle name="Normal 4 2 2 3 4 6 4" xfId="11021" xr:uid="{2F519943-A29D-4706-9406-7677B2198F89}"/>
    <cellStyle name="Normal 4 2 2 3 4 7" xfId="4724" xr:uid="{00000000-0005-0000-0000-00007F120000}"/>
    <cellStyle name="Normal 4 2 2 3 4 7 2" xfId="22454" xr:uid="{C4BD784D-145E-4AA2-8357-2942E6C48E92}"/>
    <cellStyle name="Normal 4 2 2 3 4 7 3" xfId="13174" xr:uid="{453FFB4F-1294-4F55-8E0F-250CF9047DA9}"/>
    <cellStyle name="Normal 4 2 2 3 4 8" xfId="18237" xr:uid="{A0A14266-FEED-4909-898E-F9652283258E}"/>
    <cellStyle name="Normal 4 2 2 3 4 9" xfId="17403" xr:uid="{06927D0A-D121-4DBE-9176-61014044A018}"/>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25005" xr:uid="{1E3418E3-9862-4313-994C-E1270F9A2800}"/>
    <cellStyle name="Normal 4 2 2 3 5 2 2 3" xfId="15725" xr:uid="{AC17F71A-E764-475C-97BD-C88D992D8B67}"/>
    <cellStyle name="Normal 4 2 2 3 5 2 3" xfId="20788" xr:uid="{5E908175-D731-4E84-946A-373430958376}"/>
    <cellStyle name="Normal 4 2 2 3 5 2 4" xfId="11507" xr:uid="{76EB1D1F-3B05-462A-8215-B30EBAF4C17F}"/>
    <cellStyle name="Normal 4 2 2 3 5 3" xfId="5130" xr:uid="{00000000-0005-0000-0000-000083120000}"/>
    <cellStyle name="Normal 4 2 2 3 5 3 2" xfId="22860" xr:uid="{49CED137-ACFE-4219-8D81-C1A3AE84C5F1}"/>
    <cellStyle name="Normal 4 2 2 3 5 3 3" xfId="13580" xr:uid="{43164A9C-B5C6-42E0-9A25-656B52361FB8}"/>
    <cellStyle name="Normal 4 2 2 3 5 4" xfId="18643" xr:uid="{CEF7B2FD-0956-4432-AD5D-20FBD400CDE4}"/>
    <cellStyle name="Normal 4 2 2 3 5 5" xfId="17815" xr:uid="{B944A7A0-92E8-4A62-A7DE-112E00ECDAC4}"/>
    <cellStyle name="Normal 4 2 2 3 5 6" xfId="9362" xr:uid="{102D7B20-C9D6-436D-8391-DC0F6C69E6D8}"/>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25418" xr:uid="{5E8E8571-7C2D-4610-8B0F-A0A2C4337DB6}"/>
    <cellStyle name="Normal 4 2 2 3 6 2 2 3" xfId="16138" xr:uid="{51E9B67A-070A-42F3-B373-49F2AAD16BC8}"/>
    <cellStyle name="Normal 4 2 2 3 6 2 3" xfId="21201" xr:uid="{BEA38948-F4BD-4E42-8023-825A6280A6E2}"/>
    <cellStyle name="Normal 4 2 2 3 6 2 4" xfId="11920" xr:uid="{10A1E905-8A60-4223-8377-913ECAA5CA8C}"/>
    <cellStyle name="Normal 4 2 2 3 6 3" xfId="5543" xr:uid="{00000000-0005-0000-0000-000087120000}"/>
    <cellStyle name="Normal 4 2 2 3 6 3 2" xfId="23273" xr:uid="{E294D468-37A8-4012-9DB4-57FBB48C934B}"/>
    <cellStyle name="Normal 4 2 2 3 6 3 3" xfId="13993" xr:uid="{8E3F18AE-4E0C-45DE-B29B-264F4826BD0B}"/>
    <cellStyle name="Normal 4 2 2 3 6 4" xfId="19056" xr:uid="{72D4224F-8CEE-4CF0-81B3-6C95545B6FC6}"/>
    <cellStyle name="Normal 4 2 2 3 6 5" xfId="9775" xr:uid="{2DDF9323-355E-4A88-B518-6EDB8FCDFA55}"/>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25831" xr:uid="{50D96C2C-D63A-4764-B88B-250B65DC4301}"/>
    <cellStyle name="Normal 4 2 2 3 7 2 2 3" xfId="16551" xr:uid="{CA1D84B5-C45C-412E-A25A-B8BE19869362}"/>
    <cellStyle name="Normal 4 2 2 3 7 2 3" xfId="21614" xr:uid="{3544FF32-8CFA-4728-938C-3C842EDA62C5}"/>
    <cellStyle name="Normal 4 2 2 3 7 2 4" xfId="12333" xr:uid="{17AF497E-2BF4-4A5E-8150-3CA72ADFCD22}"/>
    <cellStyle name="Normal 4 2 2 3 7 3" xfId="5956" xr:uid="{00000000-0005-0000-0000-00008B120000}"/>
    <cellStyle name="Normal 4 2 2 3 7 3 2" xfId="23686" xr:uid="{18F45FFC-43CC-4EC2-9611-DE7C359A648A}"/>
    <cellStyle name="Normal 4 2 2 3 7 3 3" xfId="14406" xr:uid="{5E63B919-7974-48E8-928E-3FCC7F2ADF40}"/>
    <cellStyle name="Normal 4 2 2 3 7 4" xfId="19469" xr:uid="{3E25698C-9FE8-42BF-A4A6-3F24AA23CDE7}"/>
    <cellStyle name="Normal 4 2 2 3 7 5" xfId="10188" xr:uid="{F7D68480-F673-40EE-AC9F-F7353B5F0423}"/>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26244" xr:uid="{578EEC4C-13AD-4420-B1E5-F2F6F3A0B1FC}"/>
    <cellStyle name="Normal 4 2 2 3 8 2 2 3" xfId="16964" xr:uid="{BBD74CC5-AE8E-4385-95CD-313702DD86BE}"/>
    <cellStyle name="Normal 4 2 2 3 8 2 3" xfId="22027" xr:uid="{4DFDCECE-BB0C-4D61-80FA-4F3967BE6CAF}"/>
    <cellStyle name="Normal 4 2 2 3 8 2 4" xfId="12746" xr:uid="{64444E8F-AFAC-41B6-AF22-7CE63C3B6DFF}"/>
    <cellStyle name="Normal 4 2 2 3 8 3" xfId="6369" xr:uid="{00000000-0005-0000-0000-00008F120000}"/>
    <cellStyle name="Normal 4 2 2 3 8 3 2" xfId="24099" xr:uid="{403AEF7D-0CD0-4455-BFBF-62D0B2C76ABC}"/>
    <cellStyle name="Normal 4 2 2 3 8 3 3" xfId="14819" xr:uid="{326BC921-E11C-4222-AC1C-BDC19D77EAE5}"/>
    <cellStyle name="Normal 4 2 2 3 8 4" xfId="19882" xr:uid="{1FD84FFC-1575-4301-A44C-DCFA8A3FD82E}"/>
    <cellStyle name="Normal 4 2 2 3 8 5" xfId="10601" xr:uid="{2A3EDDE8-0476-4838-9A26-1E78106BB620}"/>
    <cellStyle name="Normal 4 2 2 3 9" xfId="2499" xr:uid="{00000000-0005-0000-0000-000090120000}"/>
    <cellStyle name="Normal 4 2 2 3 9 2" xfId="6782" xr:uid="{00000000-0005-0000-0000-000091120000}"/>
    <cellStyle name="Normal 4 2 2 3 9 2 2" xfId="24512" xr:uid="{65CE4A63-C932-47CD-BF02-14ADCB457488}"/>
    <cellStyle name="Normal 4 2 2 3 9 2 3" xfId="15232" xr:uid="{450971CA-EE2D-436B-B139-8F6A56ADE953}"/>
    <cellStyle name="Normal 4 2 2 3 9 3" xfId="20295" xr:uid="{DC441447-CEB1-425F-B261-CCCBC6A08371}"/>
    <cellStyle name="Normal 4 2 2 3 9 4" xfId="11014" xr:uid="{7F171F56-E457-4CC6-B5AE-7A1B859F8DF0}"/>
    <cellStyle name="Normal 4 2 2 4" xfId="347" xr:uid="{00000000-0005-0000-0000-000092120000}"/>
    <cellStyle name="Normal 4 2 2 4 10" xfId="18238" xr:uid="{98448E5C-59F7-4678-BA8C-3CB52C7BCC96}"/>
    <cellStyle name="Normal 4 2 2 4 11" xfId="17404" xr:uid="{8D68D95E-1F7F-4B9E-8615-CCB2C4E3C1B6}"/>
    <cellStyle name="Normal 4 2 2 4 12" xfId="8957" xr:uid="{FE1F475D-AE55-46E6-A5E2-C0920E63686C}"/>
    <cellStyle name="Normal 4 2 2 4 2" xfId="348" xr:uid="{00000000-0005-0000-0000-000093120000}"/>
    <cellStyle name="Normal 4 2 2 4 2 10" xfId="17405" xr:uid="{7C891DD8-A8E3-482B-93D2-50BA78691D5F}"/>
    <cellStyle name="Normal 4 2 2 4 2 11" xfId="8958" xr:uid="{FC383610-7ED1-4BB1-8A83-7AC347C61AE8}"/>
    <cellStyle name="Normal 4 2 2 4 2 2" xfId="349" xr:uid="{00000000-0005-0000-0000-000094120000}"/>
    <cellStyle name="Normal 4 2 2 4 2 2 10" xfId="8959" xr:uid="{40957802-C4B2-4B7D-A929-5E7BC2513D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25015" xr:uid="{A82F8C18-748B-41BC-9C8E-EBFEA8A6A322}"/>
    <cellStyle name="Normal 4 2 2 4 2 2 2 2 2 3" xfId="15735" xr:uid="{42D99F9B-2464-4C9D-9639-5ED984105213}"/>
    <cellStyle name="Normal 4 2 2 4 2 2 2 2 3" xfId="20798" xr:uid="{9188DDF0-2613-4A7B-B45E-006CF3832335}"/>
    <cellStyle name="Normal 4 2 2 4 2 2 2 2 4" xfId="11517" xr:uid="{3E2F2D6A-8AE9-4A23-8427-967A412DC5DD}"/>
    <cellStyle name="Normal 4 2 2 4 2 2 2 3" xfId="5140" xr:uid="{00000000-0005-0000-0000-000098120000}"/>
    <cellStyle name="Normal 4 2 2 4 2 2 2 3 2" xfId="22870" xr:uid="{B594FA43-F5E0-4698-B1E6-8A5EEB43976A}"/>
    <cellStyle name="Normal 4 2 2 4 2 2 2 3 3" xfId="13590" xr:uid="{B26EFE4A-43D5-4B2A-BA80-B85727A68923}"/>
    <cellStyle name="Normal 4 2 2 4 2 2 2 4" xfId="18653" xr:uid="{3DF3F1D4-FDEF-452F-8060-BED5A2B83632}"/>
    <cellStyle name="Normal 4 2 2 4 2 2 2 5" xfId="17825" xr:uid="{39C2D799-04DC-4659-95C4-9CDB4B9AEA95}"/>
    <cellStyle name="Normal 4 2 2 4 2 2 2 6" xfId="9372" xr:uid="{CB98E0EA-5643-4C78-AA5C-00CD343877F4}"/>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25428" xr:uid="{6AF2D75B-A0BA-4E86-AD5E-71D30455AD54}"/>
    <cellStyle name="Normal 4 2 2 4 2 2 3 2 2 3" xfId="16148" xr:uid="{24837400-FAC0-4C1E-A66E-BB0748E3D8A3}"/>
    <cellStyle name="Normal 4 2 2 4 2 2 3 2 3" xfId="21211" xr:uid="{CC502086-6665-4E94-B616-F7C8C3FB3B26}"/>
    <cellStyle name="Normal 4 2 2 4 2 2 3 2 4" xfId="11930" xr:uid="{379FB584-0B24-40DF-8CA2-64EC1DB601CF}"/>
    <cellStyle name="Normal 4 2 2 4 2 2 3 3" xfId="5553" xr:uid="{00000000-0005-0000-0000-00009C120000}"/>
    <cellStyle name="Normal 4 2 2 4 2 2 3 3 2" xfId="23283" xr:uid="{B393F4EB-02D1-492F-8360-86F321A3A274}"/>
    <cellStyle name="Normal 4 2 2 4 2 2 3 3 3" xfId="14003" xr:uid="{3AFE221D-3544-4D4A-AED6-2A2805469D26}"/>
    <cellStyle name="Normal 4 2 2 4 2 2 3 4" xfId="19066" xr:uid="{E709F983-79C8-4CFD-8B20-62F8C64D93AC}"/>
    <cellStyle name="Normal 4 2 2 4 2 2 3 5" xfId="9785" xr:uid="{A9D92FCA-54D7-4AF5-8ADE-E37C10CA0792}"/>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25841" xr:uid="{D6ACAF4A-1C2D-4FAF-A9B6-BBB9D8195A34}"/>
    <cellStyle name="Normal 4 2 2 4 2 2 4 2 2 3" xfId="16561" xr:uid="{786C0769-5652-46B5-BADA-E0CC6AAF868E}"/>
    <cellStyle name="Normal 4 2 2 4 2 2 4 2 3" xfId="21624" xr:uid="{17E0F704-2E78-4EA8-8451-CA5C9E2E91CB}"/>
    <cellStyle name="Normal 4 2 2 4 2 2 4 2 4" xfId="12343" xr:uid="{0F3F184A-A3F5-40D6-A8D8-0B137B149A90}"/>
    <cellStyle name="Normal 4 2 2 4 2 2 4 3" xfId="5966" xr:uid="{00000000-0005-0000-0000-0000A0120000}"/>
    <cellStyle name="Normal 4 2 2 4 2 2 4 3 2" xfId="23696" xr:uid="{B23405AC-1C89-4A47-B58C-4BC50362D1B2}"/>
    <cellStyle name="Normal 4 2 2 4 2 2 4 3 3" xfId="14416" xr:uid="{5DA1E7EB-27AD-4281-8EFE-21D1777AAA32}"/>
    <cellStyle name="Normal 4 2 2 4 2 2 4 4" xfId="19479" xr:uid="{04CF41C4-17F5-4910-8A85-1CA01952DCB0}"/>
    <cellStyle name="Normal 4 2 2 4 2 2 4 5" xfId="10198" xr:uid="{6AADB450-E170-40B4-B54B-C2779DAFDF84}"/>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26254" xr:uid="{956781CA-44F2-404C-B1A1-C5BD81D23707}"/>
    <cellStyle name="Normal 4 2 2 4 2 2 5 2 2 3" xfId="16974" xr:uid="{E0BAF025-E97A-4526-BAD6-B56C4057E73D}"/>
    <cellStyle name="Normal 4 2 2 4 2 2 5 2 3" xfId="22037" xr:uid="{BAB84649-3E83-4BFB-B2DE-45AA4E590E8B}"/>
    <cellStyle name="Normal 4 2 2 4 2 2 5 2 4" xfId="12756" xr:uid="{14DC793F-E805-44DB-9A31-7FB7D391DD78}"/>
    <cellStyle name="Normal 4 2 2 4 2 2 5 3" xfId="6379" xr:uid="{00000000-0005-0000-0000-0000A4120000}"/>
    <cellStyle name="Normal 4 2 2 4 2 2 5 3 2" xfId="24109" xr:uid="{BEC53859-525A-4807-B781-29C78B31A29D}"/>
    <cellStyle name="Normal 4 2 2 4 2 2 5 3 3" xfId="14829" xr:uid="{BF95FAB1-8AA6-41D2-9C4A-5F55E75613CC}"/>
    <cellStyle name="Normal 4 2 2 4 2 2 5 4" xfId="19892" xr:uid="{A12395C3-84EB-42AB-9D5A-2BB85D1BE27C}"/>
    <cellStyle name="Normal 4 2 2 4 2 2 5 5" xfId="10611" xr:uid="{BE905998-7B3E-4566-9861-CC632C74B175}"/>
    <cellStyle name="Normal 4 2 2 4 2 2 6" xfId="2509" xr:uid="{00000000-0005-0000-0000-0000A5120000}"/>
    <cellStyle name="Normal 4 2 2 4 2 2 6 2" xfId="6792" xr:uid="{00000000-0005-0000-0000-0000A6120000}"/>
    <cellStyle name="Normal 4 2 2 4 2 2 6 2 2" xfId="24522" xr:uid="{2E52CB3D-7623-4E74-84C5-15CAD0C40D7D}"/>
    <cellStyle name="Normal 4 2 2 4 2 2 6 2 3" xfId="15242" xr:uid="{ED6D2D99-3767-4FBB-9640-BEC142F5F274}"/>
    <cellStyle name="Normal 4 2 2 4 2 2 6 3" xfId="20305" xr:uid="{130203DF-54D9-40BA-9C8A-EDE5AB57C987}"/>
    <cellStyle name="Normal 4 2 2 4 2 2 6 4" xfId="11024" xr:uid="{7BEA5275-E4F5-4667-93CE-7E1AF9C55A6F}"/>
    <cellStyle name="Normal 4 2 2 4 2 2 7" xfId="4727" xr:uid="{00000000-0005-0000-0000-0000A7120000}"/>
    <cellStyle name="Normal 4 2 2 4 2 2 7 2" xfId="22457" xr:uid="{BEC2FA00-9CED-45DF-B22E-631B398BF9C3}"/>
    <cellStyle name="Normal 4 2 2 4 2 2 7 3" xfId="13177" xr:uid="{58E7CBD9-20B3-471A-AEA7-77CDC3FCD86C}"/>
    <cellStyle name="Normal 4 2 2 4 2 2 8" xfId="18240" xr:uid="{09A112F8-90BF-43AC-9CB4-74C33FC2A893}"/>
    <cellStyle name="Normal 4 2 2 4 2 2 9" xfId="17406" xr:uid="{623D68C0-E3DB-4B78-9FF3-87FDE3CCF7EA}"/>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25014" xr:uid="{A54C167D-F6F5-41FD-93C9-B27263E638AE}"/>
    <cellStyle name="Normal 4 2 2 4 2 3 2 2 3" xfId="15734" xr:uid="{D88E88F0-09AF-4155-9DC4-B392046EE024}"/>
    <cellStyle name="Normal 4 2 2 4 2 3 2 3" xfId="20797" xr:uid="{D1FD10E9-5DEF-4D7E-A117-1F697A00A267}"/>
    <cellStyle name="Normal 4 2 2 4 2 3 2 4" xfId="11516" xr:uid="{18FDC370-2C2D-454D-BEE9-AD198D274137}"/>
    <cellStyle name="Normal 4 2 2 4 2 3 3" xfId="5139" xr:uid="{00000000-0005-0000-0000-0000AB120000}"/>
    <cellStyle name="Normal 4 2 2 4 2 3 3 2" xfId="22869" xr:uid="{D047B2B7-60B6-434E-8E50-85F909C08FAB}"/>
    <cellStyle name="Normal 4 2 2 4 2 3 3 3" xfId="13589" xr:uid="{124C0315-C82D-417A-93CA-5F721A0DB725}"/>
    <cellStyle name="Normal 4 2 2 4 2 3 4" xfId="18652" xr:uid="{0C559B53-2FD9-4A79-B78F-35265CA41C2A}"/>
    <cellStyle name="Normal 4 2 2 4 2 3 5" xfId="17824" xr:uid="{B5CEC135-3B78-41E0-AEA0-7D418294F2B8}"/>
    <cellStyle name="Normal 4 2 2 4 2 3 6" xfId="9371" xr:uid="{6F5B1FDE-C8B5-468F-8018-97825A1577D5}"/>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25427" xr:uid="{DE6EAA4B-D4D2-4709-AB37-D2D89B387B9C}"/>
    <cellStyle name="Normal 4 2 2 4 2 4 2 2 3" xfId="16147" xr:uid="{95B843D7-A4E4-4F8A-8667-42724E787B88}"/>
    <cellStyle name="Normal 4 2 2 4 2 4 2 3" xfId="21210" xr:uid="{2670396C-B00F-4B91-970E-D8F6EB867B00}"/>
    <cellStyle name="Normal 4 2 2 4 2 4 2 4" xfId="11929" xr:uid="{E9024FD5-584B-4BAE-8EF7-9779C410FB01}"/>
    <cellStyle name="Normal 4 2 2 4 2 4 3" xfId="5552" xr:uid="{00000000-0005-0000-0000-0000AF120000}"/>
    <cellStyle name="Normal 4 2 2 4 2 4 3 2" xfId="23282" xr:uid="{1C259D3A-B811-4FBD-ABB6-9E3BCCEC6297}"/>
    <cellStyle name="Normal 4 2 2 4 2 4 3 3" xfId="14002" xr:uid="{0A9D750B-BC3C-4746-91B0-C830F09E179F}"/>
    <cellStyle name="Normal 4 2 2 4 2 4 4" xfId="19065" xr:uid="{4BE86733-C2D1-41C7-BC26-172B93A54449}"/>
    <cellStyle name="Normal 4 2 2 4 2 4 5" xfId="9784" xr:uid="{BB347E9A-EF13-4A52-8C60-CF71186F2796}"/>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25840" xr:uid="{3A234770-6ED1-471C-8465-8164911BBE62}"/>
    <cellStyle name="Normal 4 2 2 4 2 5 2 2 3" xfId="16560" xr:uid="{25C2F498-FB05-4D2E-BD1B-237E6DF16AD5}"/>
    <cellStyle name="Normal 4 2 2 4 2 5 2 3" xfId="21623" xr:uid="{DEF11308-8E04-4BCD-9E7D-12EAD5FE20D6}"/>
    <cellStyle name="Normal 4 2 2 4 2 5 2 4" xfId="12342" xr:uid="{DDDF8383-6606-47C8-A684-902E376CB9B7}"/>
    <cellStyle name="Normal 4 2 2 4 2 5 3" xfId="5965" xr:uid="{00000000-0005-0000-0000-0000B3120000}"/>
    <cellStyle name="Normal 4 2 2 4 2 5 3 2" xfId="23695" xr:uid="{65E8E717-CF05-4BF1-B7EB-B045EB878AED}"/>
    <cellStyle name="Normal 4 2 2 4 2 5 3 3" xfId="14415" xr:uid="{1C21A00F-96C6-4F5C-881D-0F2506A5ABE6}"/>
    <cellStyle name="Normal 4 2 2 4 2 5 4" xfId="19478" xr:uid="{4019760C-B6DF-4155-88C5-BA1B39181126}"/>
    <cellStyle name="Normal 4 2 2 4 2 5 5" xfId="10197" xr:uid="{F9ED0D44-0F6F-4119-86E3-045C3CB398E5}"/>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26253" xr:uid="{44236141-2E96-4378-A331-66A6A0BE9214}"/>
    <cellStyle name="Normal 4 2 2 4 2 6 2 2 3" xfId="16973" xr:uid="{E56890D7-A0B4-4DFB-A6BE-5296CCBEBD51}"/>
    <cellStyle name="Normal 4 2 2 4 2 6 2 3" xfId="22036" xr:uid="{FCDF6E8C-92A8-42F4-B969-599A6138C483}"/>
    <cellStyle name="Normal 4 2 2 4 2 6 2 4" xfId="12755" xr:uid="{C0C51F66-51A6-4332-B394-55F7710E2EA6}"/>
    <cellStyle name="Normal 4 2 2 4 2 6 3" xfId="6378" xr:uid="{00000000-0005-0000-0000-0000B7120000}"/>
    <cellStyle name="Normal 4 2 2 4 2 6 3 2" xfId="24108" xr:uid="{6789FF7F-8738-4262-B2C7-283E76B64553}"/>
    <cellStyle name="Normal 4 2 2 4 2 6 3 3" xfId="14828" xr:uid="{1CD8E91A-A664-4026-88C1-D1EBDE682719}"/>
    <cellStyle name="Normal 4 2 2 4 2 6 4" xfId="19891" xr:uid="{B0B959E5-FFAA-4926-9868-404E524508A4}"/>
    <cellStyle name="Normal 4 2 2 4 2 6 5" xfId="10610" xr:uid="{0FD1CC03-CE49-4070-A313-4283DB48A2AE}"/>
    <cellStyle name="Normal 4 2 2 4 2 7" xfId="2508" xr:uid="{00000000-0005-0000-0000-0000B8120000}"/>
    <cellStyle name="Normal 4 2 2 4 2 7 2" xfId="6791" xr:uid="{00000000-0005-0000-0000-0000B9120000}"/>
    <cellStyle name="Normal 4 2 2 4 2 7 2 2" xfId="24521" xr:uid="{53D96EE8-E23A-4CFB-A6FE-032485AC70FA}"/>
    <cellStyle name="Normal 4 2 2 4 2 7 2 3" xfId="15241" xr:uid="{BE9A9D76-7A22-4AA4-A1B1-7A30F9D1D15B}"/>
    <cellStyle name="Normal 4 2 2 4 2 7 3" xfId="20304" xr:uid="{E8BB6402-476F-4015-8C71-C4A8749B4B89}"/>
    <cellStyle name="Normal 4 2 2 4 2 7 4" xfId="11023" xr:uid="{CC6ACC2B-9CD0-457F-84D7-5334A1A2B0B2}"/>
    <cellStyle name="Normal 4 2 2 4 2 8" xfId="4726" xr:uid="{00000000-0005-0000-0000-0000BA120000}"/>
    <cellStyle name="Normal 4 2 2 4 2 8 2" xfId="22456" xr:uid="{D8438125-1FEA-4BF1-A653-3EBF8E9CAD30}"/>
    <cellStyle name="Normal 4 2 2 4 2 8 3" xfId="13176" xr:uid="{4FCAE12A-8C80-4A5D-9016-6CCE9E8B90F9}"/>
    <cellStyle name="Normal 4 2 2 4 2 9" xfId="18239" xr:uid="{7426B187-B706-4398-A5FA-B74095430380}"/>
    <cellStyle name="Normal 4 2 2 4 3" xfId="350" xr:uid="{00000000-0005-0000-0000-0000BB120000}"/>
    <cellStyle name="Normal 4 2 2 4 3 10" xfId="8960" xr:uid="{2D397C1A-6E39-4948-BF87-C7A90B25D9D4}"/>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25016" xr:uid="{76440DE1-9527-4B7C-883F-FFD4C3129563}"/>
    <cellStyle name="Normal 4 2 2 4 3 2 2 2 3" xfId="15736" xr:uid="{9AA515B6-29DD-4CAA-A5E0-A50DC0DE9F96}"/>
    <cellStyle name="Normal 4 2 2 4 3 2 2 3" xfId="20799" xr:uid="{7DE7B37E-2092-4C11-A376-926D5B50683E}"/>
    <cellStyle name="Normal 4 2 2 4 3 2 2 4" xfId="11518" xr:uid="{C101E462-6EC1-4FAF-957F-9DC4ADC73CF5}"/>
    <cellStyle name="Normal 4 2 2 4 3 2 3" xfId="5141" xr:uid="{00000000-0005-0000-0000-0000BF120000}"/>
    <cellStyle name="Normal 4 2 2 4 3 2 3 2" xfId="22871" xr:uid="{DA640137-99E0-4513-970D-0E664D31E9F5}"/>
    <cellStyle name="Normal 4 2 2 4 3 2 3 3" xfId="13591" xr:uid="{76450E6A-AD40-41FA-A639-B098CA046D9A}"/>
    <cellStyle name="Normal 4 2 2 4 3 2 4" xfId="18654" xr:uid="{CDBFDA7E-1CD8-4C4B-8EFA-E77EB13A63BC}"/>
    <cellStyle name="Normal 4 2 2 4 3 2 5" xfId="17826" xr:uid="{8A94637A-A96A-48B0-9160-20161D641027}"/>
    <cellStyle name="Normal 4 2 2 4 3 2 6" xfId="9373" xr:uid="{B60A8866-1BE6-4439-901F-DEF2C67ED2E4}"/>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25429" xr:uid="{3D1BDF57-AE31-4720-80DD-1CEB0A88E99E}"/>
    <cellStyle name="Normal 4 2 2 4 3 3 2 2 3" xfId="16149" xr:uid="{8482D14D-9F2E-440B-AAA7-4E87BD2A1712}"/>
    <cellStyle name="Normal 4 2 2 4 3 3 2 3" xfId="21212" xr:uid="{3B812809-7302-4402-8A96-429C587FF276}"/>
    <cellStyle name="Normal 4 2 2 4 3 3 2 4" xfId="11931" xr:uid="{927507A7-9C51-4B2B-ABF9-D448645436D4}"/>
    <cellStyle name="Normal 4 2 2 4 3 3 3" xfId="5554" xr:uid="{00000000-0005-0000-0000-0000C3120000}"/>
    <cellStyle name="Normal 4 2 2 4 3 3 3 2" xfId="23284" xr:uid="{AD605F20-36BE-4EBF-9050-8CF1C4451A69}"/>
    <cellStyle name="Normal 4 2 2 4 3 3 3 3" xfId="14004" xr:uid="{EBE22EEF-9C25-43A8-96E2-D6F6A55170C6}"/>
    <cellStyle name="Normal 4 2 2 4 3 3 4" xfId="19067" xr:uid="{B05EFF95-D0E7-47BC-AF70-48BB239D630E}"/>
    <cellStyle name="Normal 4 2 2 4 3 3 5" xfId="9786" xr:uid="{6B33666C-E30D-42D5-9971-488DC2F50437}"/>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25842" xr:uid="{BA7E8D05-F1A7-41E6-A9E7-86A14F31817B}"/>
    <cellStyle name="Normal 4 2 2 4 3 4 2 2 3" xfId="16562" xr:uid="{54A5D1A6-14FA-40B0-BF09-06EA31EEB685}"/>
    <cellStyle name="Normal 4 2 2 4 3 4 2 3" xfId="21625" xr:uid="{00BD48BA-0605-4701-9D9E-BB7DA14975D1}"/>
    <cellStyle name="Normal 4 2 2 4 3 4 2 4" xfId="12344" xr:uid="{120B77A7-08DE-4381-95B5-B96991867886}"/>
    <cellStyle name="Normal 4 2 2 4 3 4 3" xfId="5967" xr:uid="{00000000-0005-0000-0000-0000C7120000}"/>
    <cellStyle name="Normal 4 2 2 4 3 4 3 2" xfId="23697" xr:uid="{1635EA53-E741-40EC-9EFA-93FFFDAC279E}"/>
    <cellStyle name="Normal 4 2 2 4 3 4 3 3" xfId="14417" xr:uid="{6AB76EB1-B700-409C-8022-1215D474A251}"/>
    <cellStyle name="Normal 4 2 2 4 3 4 4" xfId="19480" xr:uid="{FAC107FD-CBFD-42C6-B2C8-AA5B96F3036F}"/>
    <cellStyle name="Normal 4 2 2 4 3 4 5" xfId="10199" xr:uid="{C17C4EFB-43A5-4FCD-8A79-C06059590E75}"/>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26255" xr:uid="{F5A95F2A-72C8-43D0-916B-F8D396E286A3}"/>
    <cellStyle name="Normal 4 2 2 4 3 5 2 2 3" xfId="16975" xr:uid="{14715235-7E35-47EA-B499-240D9BC848D3}"/>
    <cellStyle name="Normal 4 2 2 4 3 5 2 3" xfId="22038" xr:uid="{47BAE228-B61C-4377-BC55-3F53761B0CC6}"/>
    <cellStyle name="Normal 4 2 2 4 3 5 2 4" xfId="12757" xr:uid="{386D1CCC-AD7C-463D-B9AE-F064941C05D1}"/>
    <cellStyle name="Normal 4 2 2 4 3 5 3" xfId="6380" xr:uid="{00000000-0005-0000-0000-0000CB120000}"/>
    <cellStyle name="Normal 4 2 2 4 3 5 3 2" xfId="24110" xr:uid="{37C8BE70-C8D9-4753-8B43-302505E9E2AA}"/>
    <cellStyle name="Normal 4 2 2 4 3 5 3 3" xfId="14830" xr:uid="{933475E5-CDE7-4D95-AC2B-29918F7ADA30}"/>
    <cellStyle name="Normal 4 2 2 4 3 5 4" xfId="19893" xr:uid="{46716FE7-B478-43F3-A508-EB7612DC12DC}"/>
    <cellStyle name="Normal 4 2 2 4 3 5 5" xfId="10612" xr:uid="{A00440AF-E1A5-407E-833B-18EEC60CD4ED}"/>
    <cellStyle name="Normal 4 2 2 4 3 6" xfId="2510" xr:uid="{00000000-0005-0000-0000-0000CC120000}"/>
    <cellStyle name="Normal 4 2 2 4 3 6 2" xfId="6793" xr:uid="{00000000-0005-0000-0000-0000CD120000}"/>
    <cellStyle name="Normal 4 2 2 4 3 6 2 2" xfId="24523" xr:uid="{175380B5-0B77-4D07-8FD1-ECF88A956B51}"/>
    <cellStyle name="Normal 4 2 2 4 3 6 2 3" xfId="15243" xr:uid="{9AB1C94B-7CA2-4C45-BBB9-65249323BCD8}"/>
    <cellStyle name="Normal 4 2 2 4 3 6 3" xfId="20306" xr:uid="{A3DD85C5-60C7-4281-A7A5-05E53C91EC37}"/>
    <cellStyle name="Normal 4 2 2 4 3 6 4" xfId="11025" xr:uid="{249CAC10-D9DE-4628-A756-BB4FC54B61F0}"/>
    <cellStyle name="Normal 4 2 2 4 3 7" xfId="4728" xr:uid="{00000000-0005-0000-0000-0000CE120000}"/>
    <cellStyle name="Normal 4 2 2 4 3 7 2" xfId="22458" xr:uid="{1E57A691-E7A6-4D98-9D4C-82BB102BDF1D}"/>
    <cellStyle name="Normal 4 2 2 4 3 7 3" xfId="13178" xr:uid="{3D0E9066-EB29-464E-B5A1-7069D883831D}"/>
    <cellStyle name="Normal 4 2 2 4 3 8" xfId="18241" xr:uid="{78764A6C-66F8-485D-A4DA-59D0055893BD}"/>
    <cellStyle name="Normal 4 2 2 4 3 9" xfId="17407" xr:uid="{AE7CCF55-BC8D-4D56-B77C-5F09FEBBBE8E}"/>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25013" xr:uid="{57DC100D-5D45-4F5F-A2D2-68F3EA7F70B8}"/>
    <cellStyle name="Normal 4 2 2 4 4 2 2 3" xfId="15733" xr:uid="{B5B04C73-74CF-4469-B686-88601E48C4EC}"/>
    <cellStyle name="Normal 4 2 2 4 4 2 3" xfId="20796" xr:uid="{010DC8D0-C333-418F-BCE6-BE73F3A87929}"/>
    <cellStyle name="Normal 4 2 2 4 4 2 4" xfId="11515" xr:uid="{564F894C-601F-4C5F-8768-77C3C00BDF8B}"/>
    <cellStyle name="Normal 4 2 2 4 4 3" xfId="5138" xr:uid="{00000000-0005-0000-0000-0000D2120000}"/>
    <cellStyle name="Normal 4 2 2 4 4 3 2" xfId="22868" xr:uid="{13023D1A-3D7A-4782-B4F7-FC88105DE0B7}"/>
    <cellStyle name="Normal 4 2 2 4 4 3 3" xfId="13588" xr:uid="{672E552F-79C6-4A70-9B4C-4BFB78D4EC4C}"/>
    <cellStyle name="Normal 4 2 2 4 4 4" xfId="18651" xr:uid="{4E820B28-348A-49CB-8BE0-CBE3668303AE}"/>
    <cellStyle name="Normal 4 2 2 4 4 5" xfId="17823" xr:uid="{6A388387-145F-423E-83CB-E3D6BB6F8A66}"/>
    <cellStyle name="Normal 4 2 2 4 4 6" xfId="9370" xr:uid="{736A32E0-0CEC-4971-86A0-E47521C465A4}"/>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25426" xr:uid="{B83630E9-EF90-43FD-B727-34692CE4E72B}"/>
    <cellStyle name="Normal 4 2 2 4 5 2 2 3" xfId="16146" xr:uid="{5B38C3AA-8B03-49C1-B605-6376F522754D}"/>
    <cellStyle name="Normal 4 2 2 4 5 2 3" xfId="21209" xr:uid="{7F4CADE5-5B80-424C-B954-5BC0D916447B}"/>
    <cellStyle name="Normal 4 2 2 4 5 2 4" xfId="11928" xr:uid="{F42512F3-9C43-4D6E-9137-B0D6358ADACD}"/>
    <cellStyle name="Normal 4 2 2 4 5 3" xfId="5551" xr:uid="{00000000-0005-0000-0000-0000D6120000}"/>
    <cellStyle name="Normal 4 2 2 4 5 3 2" xfId="23281" xr:uid="{5F3375B7-5ADF-43E3-944B-500281C9FDA7}"/>
    <cellStyle name="Normal 4 2 2 4 5 3 3" xfId="14001" xr:uid="{3AB84DF9-9D38-4806-964E-86C77CC0DDC1}"/>
    <cellStyle name="Normal 4 2 2 4 5 4" xfId="19064" xr:uid="{BB3D4CE9-03D7-40FE-9F06-8CE03E15E327}"/>
    <cellStyle name="Normal 4 2 2 4 5 5" xfId="9783" xr:uid="{64CC52A6-06D8-405A-B2C1-372C90EEA5BD}"/>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25839" xr:uid="{6674F1F5-3486-4B1C-A866-3F85C7D406F2}"/>
    <cellStyle name="Normal 4 2 2 4 6 2 2 3" xfId="16559" xr:uid="{1FBD4D9D-6E61-40FA-A165-D71CD6B48468}"/>
    <cellStyle name="Normal 4 2 2 4 6 2 3" xfId="21622" xr:uid="{F55C000D-812B-4809-8E8A-ABF080DF6934}"/>
    <cellStyle name="Normal 4 2 2 4 6 2 4" xfId="12341" xr:uid="{3AD57821-5C7E-4A44-BAE6-928298CA58AF}"/>
    <cellStyle name="Normal 4 2 2 4 6 3" xfId="5964" xr:uid="{00000000-0005-0000-0000-0000DA120000}"/>
    <cellStyle name="Normal 4 2 2 4 6 3 2" xfId="23694" xr:uid="{48C7A2A8-835F-47FA-960D-D805438F4995}"/>
    <cellStyle name="Normal 4 2 2 4 6 3 3" xfId="14414" xr:uid="{F8064E6D-9049-4D17-81D0-13D63E224228}"/>
    <cellStyle name="Normal 4 2 2 4 6 4" xfId="19477" xr:uid="{6F40AFB7-0FC2-437E-8961-523BB2E9EE25}"/>
    <cellStyle name="Normal 4 2 2 4 6 5" xfId="10196" xr:uid="{087D7B56-EAA3-43A5-8B91-15CECD7E2AF5}"/>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26252" xr:uid="{77061222-E889-4A16-926F-076253BE247E}"/>
    <cellStyle name="Normal 4 2 2 4 7 2 2 3" xfId="16972" xr:uid="{63D5A3F7-D477-462B-A4B6-69F6AAFD95C6}"/>
    <cellStyle name="Normal 4 2 2 4 7 2 3" xfId="22035" xr:uid="{AC98CB29-858B-4C80-B09C-9FDE6443505E}"/>
    <cellStyle name="Normal 4 2 2 4 7 2 4" xfId="12754" xr:uid="{4BDBEE32-A7E6-48EA-9F51-E936430FDCFC}"/>
    <cellStyle name="Normal 4 2 2 4 7 3" xfId="6377" xr:uid="{00000000-0005-0000-0000-0000DE120000}"/>
    <cellStyle name="Normal 4 2 2 4 7 3 2" xfId="24107" xr:uid="{1001AA22-9B41-4AAE-BAFB-8A9381734335}"/>
    <cellStyle name="Normal 4 2 2 4 7 3 3" xfId="14827" xr:uid="{511F36C5-FC39-422B-AD94-C262F5563A86}"/>
    <cellStyle name="Normal 4 2 2 4 7 4" xfId="19890" xr:uid="{28E6E68D-CC82-475E-9117-BAA1C4C01E4C}"/>
    <cellStyle name="Normal 4 2 2 4 7 5" xfId="10609" xr:uid="{3FC33A62-AA13-4ABC-BD83-D82F7B1553E5}"/>
    <cellStyle name="Normal 4 2 2 4 8" xfId="2507" xr:uid="{00000000-0005-0000-0000-0000DF120000}"/>
    <cellStyle name="Normal 4 2 2 4 8 2" xfId="6790" xr:uid="{00000000-0005-0000-0000-0000E0120000}"/>
    <cellStyle name="Normal 4 2 2 4 8 2 2" xfId="24520" xr:uid="{43A1B342-A343-4907-B4FF-EBE733ADA9D7}"/>
    <cellStyle name="Normal 4 2 2 4 8 2 3" xfId="15240" xr:uid="{41688734-69D5-4B27-83B5-468E88B36C27}"/>
    <cellStyle name="Normal 4 2 2 4 8 3" xfId="20303" xr:uid="{3969A8E3-E816-484C-86A8-943142B18AAF}"/>
    <cellStyle name="Normal 4 2 2 4 8 4" xfId="11022" xr:uid="{0D53A700-C531-4497-BD69-244AEB25486A}"/>
    <cellStyle name="Normal 4 2 2 4 9" xfId="4725" xr:uid="{00000000-0005-0000-0000-0000E1120000}"/>
    <cellStyle name="Normal 4 2 2 4 9 2" xfId="22455" xr:uid="{7B2FF222-148D-48D1-A9A8-3C62FE1175DF}"/>
    <cellStyle name="Normal 4 2 2 4 9 3" xfId="13175" xr:uid="{2376ED10-3F2C-4444-B093-7DD759A4FE6E}"/>
    <cellStyle name="Normal 4 2 2 5" xfId="351" xr:uid="{00000000-0005-0000-0000-0000E2120000}"/>
    <cellStyle name="Normal 4 2 2 5 10" xfId="17408" xr:uid="{0701511B-B6F6-4B29-909D-BDD6DA8270F6}"/>
    <cellStyle name="Normal 4 2 2 5 11" xfId="8961" xr:uid="{30B22C1A-98E8-4ED1-8100-04DB143E1DCC}"/>
    <cellStyle name="Normal 4 2 2 5 2" xfId="352" xr:uid="{00000000-0005-0000-0000-0000E3120000}"/>
    <cellStyle name="Normal 4 2 2 5 2 10" xfId="8962" xr:uid="{EDAFF01E-E41D-468B-BB78-63F185F77913}"/>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25018" xr:uid="{F4940F2B-9F7A-4E0D-9CDF-9E5D47445AE3}"/>
    <cellStyle name="Normal 4 2 2 5 2 2 2 2 3" xfId="15738" xr:uid="{CAC0D3C5-C416-4804-8E79-BE623AA63D16}"/>
    <cellStyle name="Normal 4 2 2 5 2 2 2 3" xfId="20801" xr:uid="{F35C7ABC-71D2-45C0-BB79-92B06EA0C3EE}"/>
    <cellStyle name="Normal 4 2 2 5 2 2 2 4" xfId="11520" xr:uid="{300A215F-AA21-4D04-A759-F35D5C8A9CA3}"/>
    <cellStyle name="Normal 4 2 2 5 2 2 3" xfId="5143" xr:uid="{00000000-0005-0000-0000-0000E7120000}"/>
    <cellStyle name="Normal 4 2 2 5 2 2 3 2" xfId="22873" xr:uid="{A5A324BA-8A46-4645-B43B-A5172294EB09}"/>
    <cellStyle name="Normal 4 2 2 5 2 2 3 3" xfId="13593" xr:uid="{D032F746-8F07-4319-AEBC-41B400893C62}"/>
    <cellStyle name="Normal 4 2 2 5 2 2 4" xfId="18656" xr:uid="{BC259FF2-9536-4E84-AEED-339988715E83}"/>
    <cellStyle name="Normal 4 2 2 5 2 2 5" xfId="17828" xr:uid="{51CEBA9A-DD10-498F-8858-1E80AF14C600}"/>
    <cellStyle name="Normal 4 2 2 5 2 2 6" xfId="9375" xr:uid="{FB0E3748-EF09-424C-947D-17FA8AF0CED2}"/>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25431" xr:uid="{D5EBE2D4-4991-42A0-AB36-2F20CFF99A1E}"/>
    <cellStyle name="Normal 4 2 2 5 2 3 2 2 3" xfId="16151" xr:uid="{105F4247-B8CB-4658-8485-A32D75C9F74A}"/>
    <cellStyle name="Normal 4 2 2 5 2 3 2 3" xfId="21214" xr:uid="{DB524812-CD5A-4CA9-A099-1B98044DDAFC}"/>
    <cellStyle name="Normal 4 2 2 5 2 3 2 4" xfId="11933" xr:uid="{AFF29AFD-4B5B-4355-B7D4-DCDA462DCA3E}"/>
    <cellStyle name="Normal 4 2 2 5 2 3 3" xfId="5556" xr:uid="{00000000-0005-0000-0000-0000EB120000}"/>
    <cellStyle name="Normal 4 2 2 5 2 3 3 2" xfId="23286" xr:uid="{70A1500E-F7DC-4B8B-83B1-11437590129A}"/>
    <cellStyle name="Normal 4 2 2 5 2 3 3 3" xfId="14006" xr:uid="{3251FE98-D2E6-47F6-A228-B4B5A91B2A0C}"/>
    <cellStyle name="Normal 4 2 2 5 2 3 4" xfId="19069" xr:uid="{FD877BCA-00E8-40EA-8B9D-20844568FECC}"/>
    <cellStyle name="Normal 4 2 2 5 2 3 5" xfId="9788" xr:uid="{B7058657-FAFE-49F1-85EE-7940058C14D5}"/>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25844" xr:uid="{B7D2C37C-6CAD-4ADD-A952-760B243305F7}"/>
    <cellStyle name="Normal 4 2 2 5 2 4 2 2 3" xfId="16564" xr:uid="{E4D85457-E92E-4C54-B849-425CD99C00C1}"/>
    <cellStyle name="Normal 4 2 2 5 2 4 2 3" xfId="21627" xr:uid="{D5AA6E05-9087-4A21-864A-5E5696B4FED4}"/>
    <cellStyle name="Normal 4 2 2 5 2 4 2 4" xfId="12346" xr:uid="{18CE51FA-4BC5-4211-A266-69DC3D8A825C}"/>
    <cellStyle name="Normal 4 2 2 5 2 4 3" xfId="5969" xr:uid="{00000000-0005-0000-0000-0000EF120000}"/>
    <cellStyle name="Normal 4 2 2 5 2 4 3 2" xfId="23699" xr:uid="{2F2B7A0F-8892-48BB-BBB7-33A932E9274D}"/>
    <cellStyle name="Normal 4 2 2 5 2 4 3 3" xfId="14419" xr:uid="{F6C463D3-A024-40AA-81E3-8B3E99347987}"/>
    <cellStyle name="Normal 4 2 2 5 2 4 4" xfId="19482" xr:uid="{AA328A80-04EB-4359-B818-292C2D24E06C}"/>
    <cellStyle name="Normal 4 2 2 5 2 4 5" xfId="10201" xr:uid="{62020B9F-5FE0-4E41-B1A2-F27B55604BD2}"/>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26257" xr:uid="{EF3AD18D-8C19-4F90-9FE3-DA0A01A2C44E}"/>
    <cellStyle name="Normal 4 2 2 5 2 5 2 2 3" xfId="16977" xr:uid="{3A6C2190-1A39-4030-AFCC-6650283D658E}"/>
    <cellStyle name="Normal 4 2 2 5 2 5 2 3" xfId="22040" xr:uid="{BF723D7D-DABB-42CB-9CA0-3A5572DD38AB}"/>
    <cellStyle name="Normal 4 2 2 5 2 5 2 4" xfId="12759" xr:uid="{5DC95C64-6742-4D9C-A136-5F7C160E6328}"/>
    <cellStyle name="Normal 4 2 2 5 2 5 3" xfId="6382" xr:uid="{00000000-0005-0000-0000-0000F3120000}"/>
    <cellStyle name="Normal 4 2 2 5 2 5 3 2" xfId="24112" xr:uid="{24053DCD-E11B-4E2E-8314-A250511838F5}"/>
    <cellStyle name="Normal 4 2 2 5 2 5 3 3" xfId="14832" xr:uid="{D8029A00-3DA7-44D6-9B23-D5862EF13A1E}"/>
    <cellStyle name="Normal 4 2 2 5 2 5 4" xfId="19895" xr:uid="{0A558ADE-AF5C-4570-B403-CFDF66067C6C}"/>
    <cellStyle name="Normal 4 2 2 5 2 5 5" xfId="10614" xr:uid="{353FBD1F-4877-4460-939C-CA48B68572FA}"/>
    <cellStyle name="Normal 4 2 2 5 2 6" xfId="2512" xr:uid="{00000000-0005-0000-0000-0000F4120000}"/>
    <cellStyle name="Normal 4 2 2 5 2 6 2" xfId="6795" xr:uid="{00000000-0005-0000-0000-0000F5120000}"/>
    <cellStyle name="Normal 4 2 2 5 2 6 2 2" xfId="24525" xr:uid="{B1B9E03D-B970-4323-B804-97CEDB0877EB}"/>
    <cellStyle name="Normal 4 2 2 5 2 6 2 3" xfId="15245" xr:uid="{338C615E-F371-4C94-B299-7B683C24C959}"/>
    <cellStyle name="Normal 4 2 2 5 2 6 3" xfId="20308" xr:uid="{6A600174-65B3-43B1-B94D-3BA638CD46FD}"/>
    <cellStyle name="Normal 4 2 2 5 2 6 4" xfId="11027" xr:uid="{40A462CF-6017-4392-89A2-765F9665C207}"/>
    <cellStyle name="Normal 4 2 2 5 2 7" xfId="4730" xr:uid="{00000000-0005-0000-0000-0000F6120000}"/>
    <cellStyle name="Normal 4 2 2 5 2 7 2" xfId="22460" xr:uid="{1D9D9434-481A-495B-AA7B-0F40072B8A5C}"/>
    <cellStyle name="Normal 4 2 2 5 2 7 3" xfId="13180" xr:uid="{672F04E7-164E-48A4-B23C-01CD02CD399A}"/>
    <cellStyle name="Normal 4 2 2 5 2 8" xfId="18243" xr:uid="{3D587E98-4146-4352-8E48-4B2D660CA11D}"/>
    <cellStyle name="Normal 4 2 2 5 2 9" xfId="17409" xr:uid="{57135B1C-8826-4888-A525-0DA92BFB71E7}"/>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25017" xr:uid="{9AB69E53-C55D-419A-A8BC-2E11DB294624}"/>
    <cellStyle name="Normal 4 2 2 5 3 2 2 3" xfId="15737" xr:uid="{87A44A4B-C3DB-4D7D-AA4B-F8A58CAA94A0}"/>
    <cellStyle name="Normal 4 2 2 5 3 2 3" xfId="20800" xr:uid="{086C5E70-69E4-4A57-B948-0027FB4F905F}"/>
    <cellStyle name="Normal 4 2 2 5 3 2 4" xfId="11519" xr:uid="{37CF041F-4A24-44A4-90F8-EB1B6DE473AE}"/>
    <cellStyle name="Normal 4 2 2 5 3 3" xfId="5142" xr:uid="{00000000-0005-0000-0000-0000FA120000}"/>
    <cellStyle name="Normal 4 2 2 5 3 3 2" xfId="22872" xr:uid="{82D019AD-436C-4C64-8BE2-0D65E6883E72}"/>
    <cellStyle name="Normal 4 2 2 5 3 3 3" xfId="13592" xr:uid="{6C3247AD-9F32-44D0-BA45-0D554142E8ED}"/>
    <cellStyle name="Normal 4 2 2 5 3 4" xfId="18655" xr:uid="{7DD62B88-0DC2-4B62-9450-FE21BD48B66B}"/>
    <cellStyle name="Normal 4 2 2 5 3 5" xfId="17827" xr:uid="{553B896C-9A35-4761-A6F7-DE170838C936}"/>
    <cellStyle name="Normal 4 2 2 5 3 6" xfId="9374" xr:uid="{D6B465C6-4E82-4AF5-96CB-048FB7FFE408}"/>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25430" xr:uid="{F015BBF2-6EFD-41AF-B008-58575E98867E}"/>
    <cellStyle name="Normal 4 2 2 5 4 2 2 3" xfId="16150" xr:uid="{7ED4E769-DAAB-4E6E-8525-059DACD495AC}"/>
    <cellStyle name="Normal 4 2 2 5 4 2 3" xfId="21213" xr:uid="{4E944F67-3042-4EE5-BB9C-83F9F6F95C86}"/>
    <cellStyle name="Normal 4 2 2 5 4 2 4" xfId="11932" xr:uid="{BF04B8BF-7D18-4ED7-847C-DB18A9E872E3}"/>
    <cellStyle name="Normal 4 2 2 5 4 3" xfId="5555" xr:uid="{00000000-0005-0000-0000-0000FE120000}"/>
    <cellStyle name="Normal 4 2 2 5 4 3 2" xfId="23285" xr:uid="{7B9F74DD-AF57-4D53-A3CC-7B27FE188DC6}"/>
    <cellStyle name="Normal 4 2 2 5 4 3 3" xfId="14005" xr:uid="{CED1B96C-7CE2-4450-980A-8E78E8CF6BC0}"/>
    <cellStyle name="Normal 4 2 2 5 4 4" xfId="19068" xr:uid="{6D163D1F-0B2B-48BB-90A4-7FD469CF9501}"/>
    <cellStyle name="Normal 4 2 2 5 4 5" xfId="9787" xr:uid="{4937CD24-8DE9-46E8-9DDD-EFA246DD7D8C}"/>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25843" xr:uid="{2A5B6AB1-B8AD-4902-BC7F-9437CF7A7976}"/>
    <cellStyle name="Normal 4 2 2 5 5 2 2 3" xfId="16563" xr:uid="{17B6D7FB-F3A7-4E5F-8015-5EFEF232E6B7}"/>
    <cellStyle name="Normal 4 2 2 5 5 2 3" xfId="21626" xr:uid="{A43EE739-05A6-4FEE-A77F-F615147D0152}"/>
    <cellStyle name="Normal 4 2 2 5 5 2 4" xfId="12345" xr:uid="{1360B87B-FF6C-41CE-83A9-18850CD9090C}"/>
    <cellStyle name="Normal 4 2 2 5 5 3" xfId="5968" xr:uid="{00000000-0005-0000-0000-000002130000}"/>
    <cellStyle name="Normal 4 2 2 5 5 3 2" xfId="23698" xr:uid="{348C83BB-7569-47FE-92F7-E38A6E279C9D}"/>
    <cellStyle name="Normal 4 2 2 5 5 3 3" xfId="14418" xr:uid="{711699DE-70FA-4D0F-8E86-CD0E97534217}"/>
    <cellStyle name="Normal 4 2 2 5 5 4" xfId="19481" xr:uid="{B50BC2F0-EF8E-4FC1-ADED-36F1BD8A1E7C}"/>
    <cellStyle name="Normal 4 2 2 5 5 5" xfId="10200" xr:uid="{9D7757F0-522E-468D-AC1F-A584018E9CAE}"/>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26256" xr:uid="{C2000DE4-4D45-457A-986E-B1A77D28A58D}"/>
    <cellStyle name="Normal 4 2 2 5 6 2 2 3" xfId="16976" xr:uid="{48A9EF31-46BA-4C29-BAE6-D444286C701C}"/>
    <cellStyle name="Normal 4 2 2 5 6 2 3" xfId="22039" xr:uid="{40CBAA40-F711-4747-841B-C09CD798EF23}"/>
    <cellStyle name="Normal 4 2 2 5 6 2 4" xfId="12758" xr:uid="{E008B89B-DFD1-467C-9BC5-A5169322B9EE}"/>
    <cellStyle name="Normal 4 2 2 5 6 3" xfId="6381" xr:uid="{00000000-0005-0000-0000-000006130000}"/>
    <cellStyle name="Normal 4 2 2 5 6 3 2" xfId="24111" xr:uid="{A14BEBC9-2F5B-48AF-9FFC-D01C0263C2A1}"/>
    <cellStyle name="Normal 4 2 2 5 6 3 3" xfId="14831" xr:uid="{4482278E-7AC3-488A-9170-0888B2D8B5DE}"/>
    <cellStyle name="Normal 4 2 2 5 6 4" xfId="19894" xr:uid="{B69930B1-E9D3-466E-9349-97F58BB04F0E}"/>
    <cellStyle name="Normal 4 2 2 5 6 5" xfId="10613" xr:uid="{090B06DA-1E4A-4B48-9181-CCC481F27808}"/>
    <cellStyle name="Normal 4 2 2 5 7" xfId="2511" xr:uid="{00000000-0005-0000-0000-000007130000}"/>
    <cellStyle name="Normal 4 2 2 5 7 2" xfId="6794" xr:uid="{00000000-0005-0000-0000-000008130000}"/>
    <cellStyle name="Normal 4 2 2 5 7 2 2" xfId="24524" xr:uid="{4CE62345-8E35-41B2-BD31-C1A1CDEC8595}"/>
    <cellStyle name="Normal 4 2 2 5 7 2 3" xfId="15244" xr:uid="{9C3DC737-2D6B-4580-B7B6-4CE5B19A14A6}"/>
    <cellStyle name="Normal 4 2 2 5 7 3" xfId="20307" xr:uid="{AEC062A9-007F-4520-B3DB-02BEAC1A138A}"/>
    <cellStyle name="Normal 4 2 2 5 7 4" xfId="11026" xr:uid="{68DE520E-EAD2-403C-BE96-AC3DAF44CDE0}"/>
    <cellStyle name="Normal 4 2 2 5 8" xfId="4729" xr:uid="{00000000-0005-0000-0000-000009130000}"/>
    <cellStyle name="Normal 4 2 2 5 8 2" xfId="22459" xr:uid="{7E1C4657-E990-498B-9A53-8D105E134714}"/>
    <cellStyle name="Normal 4 2 2 5 8 3" xfId="13179" xr:uid="{1A8DF80B-6AB3-4920-A9E4-DADF44F307C6}"/>
    <cellStyle name="Normal 4 2 2 5 9" xfId="18242" xr:uid="{1FA7318C-7C73-4BD8-8CC9-930C4BD73CED}"/>
    <cellStyle name="Normal 4 2 2 6" xfId="353" xr:uid="{00000000-0005-0000-0000-00000A130000}"/>
    <cellStyle name="Normal 4 2 2 6 10" xfId="8963" xr:uid="{D4CF33C5-8EDB-4F58-8E25-C1B7C9C606A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25019" xr:uid="{B871DAD3-C02E-44A4-BC11-33033F1FADF8}"/>
    <cellStyle name="Normal 4 2 2 6 2 2 2 3" xfId="15739" xr:uid="{6AA6D48D-DD86-4EB7-8BBC-714E6F543F4E}"/>
    <cellStyle name="Normal 4 2 2 6 2 2 3" xfId="20802" xr:uid="{A05973CD-FE9F-4712-9645-DAC88A50FAF7}"/>
    <cellStyle name="Normal 4 2 2 6 2 2 4" xfId="11521" xr:uid="{9FD17B30-2933-4369-BCBE-87C4CD612BD7}"/>
    <cellStyle name="Normal 4 2 2 6 2 3" xfId="5144" xr:uid="{00000000-0005-0000-0000-00000E130000}"/>
    <cellStyle name="Normal 4 2 2 6 2 3 2" xfId="22874" xr:uid="{BF467A40-2838-4703-B79E-83B20C9D2922}"/>
    <cellStyle name="Normal 4 2 2 6 2 3 3" xfId="13594" xr:uid="{636A1996-31F2-4909-9F4E-618D8B68B600}"/>
    <cellStyle name="Normal 4 2 2 6 2 4" xfId="18657" xr:uid="{06AB2E08-AB47-433A-915A-9EC55BB53B70}"/>
    <cellStyle name="Normal 4 2 2 6 2 5" xfId="17829" xr:uid="{67E59C67-D5FF-48A1-8A23-A5D495A27A62}"/>
    <cellStyle name="Normal 4 2 2 6 2 6" xfId="9376" xr:uid="{5455A430-FA21-463C-935C-782B76FB926E}"/>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25432" xr:uid="{42B3C2E7-869B-49A6-8D19-760F157D0647}"/>
    <cellStyle name="Normal 4 2 2 6 3 2 2 3" xfId="16152" xr:uid="{CC5B26FA-91F8-43C3-8CB0-3398AA91171D}"/>
    <cellStyle name="Normal 4 2 2 6 3 2 3" xfId="21215" xr:uid="{CEDE5842-693E-4B68-9428-5C0B7BF68ABA}"/>
    <cellStyle name="Normal 4 2 2 6 3 2 4" xfId="11934" xr:uid="{2B2F705E-74FB-4010-B248-E2400E62EF7E}"/>
    <cellStyle name="Normal 4 2 2 6 3 3" xfId="5557" xr:uid="{00000000-0005-0000-0000-000012130000}"/>
    <cellStyle name="Normal 4 2 2 6 3 3 2" xfId="23287" xr:uid="{E8B3A7AD-47DC-459A-B98D-317C903FB15D}"/>
    <cellStyle name="Normal 4 2 2 6 3 3 3" xfId="14007" xr:uid="{58B2561A-9DC9-41B5-B513-4DF8B29874D1}"/>
    <cellStyle name="Normal 4 2 2 6 3 4" xfId="19070" xr:uid="{908C47FB-47ED-4CF8-BA5D-C37328425747}"/>
    <cellStyle name="Normal 4 2 2 6 3 5" xfId="9789" xr:uid="{6E9D8049-29AF-4765-BBEC-9DA40CB69A97}"/>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25845" xr:uid="{26AD6B2F-0A62-4ACB-A0ED-976FCDEC2251}"/>
    <cellStyle name="Normal 4 2 2 6 4 2 2 3" xfId="16565" xr:uid="{B619288E-083C-468C-8D36-3A5B83A97072}"/>
    <cellStyle name="Normal 4 2 2 6 4 2 3" xfId="21628" xr:uid="{A786C122-3C80-44A1-98D9-054F68B73851}"/>
    <cellStyle name="Normal 4 2 2 6 4 2 4" xfId="12347" xr:uid="{2C0EB123-6C3A-4F04-A80F-7C7D8187A842}"/>
    <cellStyle name="Normal 4 2 2 6 4 3" xfId="5970" xr:uid="{00000000-0005-0000-0000-000016130000}"/>
    <cellStyle name="Normal 4 2 2 6 4 3 2" xfId="23700" xr:uid="{E49FF652-F839-4E91-A725-77D9B2CAF610}"/>
    <cellStyle name="Normal 4 2 2 6 4 3 3" xfId="14420" xr:uid="{E4D02F1F-3CE3-4CE6-8450-77ABF730F841}"/>
    <cellStyle name="Normal 4 2 2 6 4 4" xfId="19483" xr:uid="{E1D9BF3C-AC82-41D4-844C-E3967F39669B}"/>
    <cellStyle name="Normal 4 2 2 6 4 5" xfId="10202" xr:uid="{9912FAE6-BE1C-4A24-8B98-D6AE50C8DBAB}"/>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26258" xr:uid="{4C698C77-A26D-4D1D-854F-03190C348AF0}"/>
    <cellStyle name="Normal 4 2 2 6 5 2 2 3" xfId="16978" xr:uid="{5FA7E954-5B3D-4F7F-A885-452030B48A1E}"/>
    <cellStyle name="Normal 4 2 2 6 5 2 3" xfId="22041" xr:uid="{3A215614-2C9D-498D-B08A-9635A674A2A0}"/>
    <cellStyle name="Normal 4 2 2 6 5 2 4" xfId="12760" xr:uid="{27A1485F-42FE-44FB-9320-5992B7378C9B}"/>
    <cellStyle name="Normal 4 2 2 6 5 3" xfId="6383" xr:uid="{00000000-0005-0000-0000-00001A130000}"/>
    <cellStyle name="Normal 4 2 2 6 5 3 2" xfId="24113" xr:uid="{4E4BDB40-46B1-40DF-830A-FBF4634FEB49}"/>
    <cellStyle name="Normal 4 2 2 6 5 3 3" xfId="14833" xr:uid="{FDE84AF7-5802-4558-8700-3CB69B785D12}"/>
    <cellStyle name="Normal 4 2 2 6 5 4" xfId="19896" xr:uid="{D66DE1D3-76BD-4960-81C1-3E96D152A894}"/>
    <cellStyle name="Normal 4 2 2 6 5 5" xfId="10615" xr:uid="{EB38E1E3-0E12-43F0-B178-EF68AB8C787A}"/>
    <cellStyle name="Normal 4 2 2 6 6" xfId="2513" xr:uid="{00000000-0005-0000-0000-00001B130000}"/>
    <cellStyle name="Normal 4 2 2 6 6 2" xfId="6796" xr:uid="{00000000-0005-0000-0000-00001C130000}"/>
    <cellStyle name="Normal 4 2 2 6 6 2 2" xfId="24526" xr:uid="{83419C05-5A8B-4DC2-8A8E-0C1B393C0792}"/>
    <cellStyle name="Normal 4 2 2 6 6 2 3" xfId="15246" xr:uid="{DB9591A6-E4D8-4B4A-A9D0-0152EB07AA67}"/>
    <cellStyle name="Normal 4 2 2 6 6 3" xfId="20309" xr:uid="{ED3E95EC-B03F-42C2-99FE-BAB89284ACBF}"/>
    <cellStyle name="Normal 4 2 2 6 6 4" xfId="11028" xr:uid="{F03BDCEF-1806-42CD-8A9F-60C05AF40806}"/>
    <cellStyle name="Normal 4 2 2 6 7" xfId="4731" xr:uid="{00000000-0005-0000-0000-00001D130000}"/>
    <cellStyle name="Normal 4 2 2 6 7 2" xfId="22461" xr:uid="{66373737-C9B1-447E-A0D1-C336A3B39BA9}"/>
    <cellStyle name="Normal 4 2 2 6 7 3" xfId="13181" xr:uid="{98800926-AA93-4988-B5B7-A015519FE0E5}"/>
    <cellStyle name="Normal 4 2 2 6 8" xfId="18244" xr:uid="{65D2A489-BC55-4F5D-A5C1-38FCB12DB41B}"/>
    <cellStyle name="Normal 4 2 2 6 9" xfId="17410" xr:uid="{EC4D0897-5615-4C7D-8CE0-69BBFEBECABD}"/>
    <cellStyle name="Normal 4 2 2 7" xfId="815" xr:uid="{00000000-0005-0000-0000-00001E130000}"/>
    <cellStyle name="Normal 4 2 2 7 2" xfId="3052" xr:uid="{00000000-0005-0000-0000-00001F130000}"/>
    <cellStyle name="Normal 4 2 2 7 2 2" xfId="7274" xr:uid="{00000000-0005-0000-0000-000020130000}"/>
    <cellStyle name="Normal 4 2 2 7 2 2 2" xfId="25004" xr:uid="{6D87ABFD-FCAC-4E94-91AF-7E5C905A0F36}"/>
    <cellStyle name="Normal 4 2 2 7 2 2 3" xfId="15724" xr:uid="{2ABF7AD9-16CC-40BB-B333-AE4AC0F2F987}"/>
    <cellStyle name="Normal 4 2 2 7 2 3" xfId="20787" xr:uid="{D6D0F327-5652-4CF8-9999-19FCF014EE6A}"/>
    <cellStyle name="Normal 4 2 2 7 2 4" xfId="11506" xr:uid="{00BA6F9C-1386-4A2D-AE02-D2A6F46A762C}"/>
    <cellStyle name="Normal 4 2 2 7 3" xfId="5129" xr:uid="{00000000-0005-0000-0000-000021130000}"/>
    <cellStyle name="Normal 4 2 2 7 3 2" xfId="22859" xr:uid="{A63A95C3-12B2-4878-87B6-3C7630125803}"/>
    <cellStyle name="Normal 4 2 2 7 3 3" xfId="13579" xr:uid="{D55BCF4E-0AE6-48F1-AA0A-62F4837A63C9}"/>
    <cellStyle name="Normal 4 2 2 7 4" xfId="18642" xr:uid="{5E278401-BE0E-4E54-A486-7B9102EE9670}"/>
    <cellStyle name="Normal 4 2 2 7 5" xfId="17814" xr:uid="{36A7177A-DDA7-4EED-967B-36752788B93B}"/>
    <cellStyle name="Normal 4 2 2 7 6" xfId="9361" xr:uid="{30737BF6-0C22-4136-8CCD-9ED1DDD8F197}"/>
    <cellStyle name="Normal 4 2 2 8" xfId="1235" xr:uid="{00000000-0005-0000-0000-000022130000}"/>
    <cellStyle name="Normal 4 2 2 8 2" xfId="3465" xr:uid="{00000000-0005-0000-0000-000023130000}"/>
    <cellStyle name="Normal 4 2 2 8 2 2" xfId="7687" xr:uid="{00000000-0005-0000-0000-000024130000}"/>
    <cellStyle name="Normal 4 2 2 8 2 2 2" xfId="25417" xr:uid="{4FA0D904-C2E8-44F3-9D7E-95AD4C1CA5C5}"/>
    <cellStyle name="Normal 4 2 2 8 2 2 3" xfId="16137" xr:uid="{10D7EC5D-7E42-4266-90E6-664B5471F34F}"/>
    <cellStyle name="Normal 4 2 2 8 2 3" xfId="21200" xr:uid="{3E0C1518-E7C9-496A-BBAD-918DF8FD7633}"/>
    <cellStyle name="Normal 4 2 2 8 2 4" xfId="11919" xr:uid="{0CE39FE9-1C1D-414F-B9EE-617BD920C480}"/>
    <cellStyle name="Normal 4 2 2 8 3" xfId="5542" xr:uid="{00000000-0005-0000-0000-000025130000}"/>
    <cellStyle name="Normal 4 2 2 8 3 2" xfId="23272" xr:uid="{31FA12AD-7DFD-46C5-9F62-D25F49271149}"/>
    <cellStyle name="Normal 4 2 2 8 3 3" xfId="13992" xr:uid="{344B7437-3C77-458F-A59A-8B1065B4C867}"/>
    <cellStyle name="Normal 4 2 2 8 4" xfId="19055" xr:uid="{9D5D1A40-704D-463B-96C6-109F6E0B3717}"/>
    <cellStyle name="Normal 4 2 2 8 5" xfId="9774" xr:uid="{5726D72E-F7F2-43F1-845E-7ABEAD644C83}"/>
    <cellStyle name="Normal 4 2 2 9" xfId="1648" xr:uid="{00000000-0005-0000-0000-000026130000}"/>
    <cellStyle name="Normal 4 2 2 9 2" xfId="3878" xr:uid="{00000000-0005-0000-0000-000027130000}"/>
    <cellStyle name="Normal 4 2 2 9 2 2" xfId="8100" xr:uid="{00000000-0005-0000-0000-000028130000}"/>
    <cellStyle name="Normal 4 2 2 9 2 2 2" xfId="25830" xr:uid="{F21BEF94-FC9E-49D9-AD57-444DC241C872}"/>
    <cellStyle name="Normal 4 2 2 9 2 2 3" xfId="16550" xr:uid="{31E62B15-369D-4B4D-81F7-E9E8BEB09E5A}"/>
    <cellStyle name="Normal 4 2 2 9 2 3" xfId="21613" xr:uid="{48161BFA-B596-4F83-914D-0CB2024BD039}"/>
    <cellStyle name="Normal 4 2 2 9 2 4" xfId="12332" xr:uid="{2540AE31-B35F-4FDF-9F2C-F3CA39800D11}"/>
    <cellStyle name="Normal 4 2 2 9 3" xfId="5955" xr:uid="{00000000-0005-0000-0000-000029130000}"/>
    <cellStyle name="Normal 4 2 2 9 3 2" xfId="23685" xr:uid="{F41BC92A-9C76-4997-BB4B-F2585BAA4B9E}"/>
    <cellStyle name="Normal 4 2 2 9 3 3" xfId="14405" xr:uid="{72B5553F-8D10-4E62-8356-BE3C77894310}"/>
    <cellStyle name="Normal 4 2 2 9 4" xfId="19468" xr:uid="{D47E5696-75A1-4B5E-A70C-B477711EEF0E}"/>
    <cellStyle name="Normal 4 2 2 9 5" xfId="10187" xr:uid="{09D1F1B3-8B60-4822-BEB7-D84BA49796DB}"/>
    <cellStyle name="Normal 4 2 3" xfId="354" xr:uid="{00000000-0005-0000-0000-00002A130000}"/>
    <cellStyle name="Normal 4 2 4" xfId="355" xr:uid="{00000000-0005-0000-0000-00002B130000}"/>
    <cellStyle name="Normal 4 2 4 10" xfId="4732" xr:uid="{00000000-0005-0000-0000-00002C130000}"/>
    <cellStyle name="Normal 4 2 4 10 2" xfId="22462" xr:uid="{105177FE-D84B-45D1-A3B2-8CA737019F6F}"/>
    <cellStyle name="Normal 4 2 4 10 3" xfId="13182" xr:uid="{9466331B-83DD-45E8-AF3D-BB7F3F08B884}"/>
    <cellStyle name="Normal 4 2 4 11" xfId="18245" xr:uid="{AAF26907-1914-46D7-AC34-C28F267AB5B3}"/>
    <cellStyle name="Normal 4 2 4 12" xfId="17411" xr:uid="{C2B0B5C7-1919-4401-81EB-B80826505434}"/>
    <cellStyle name="Normal 4 2 4 13" xfId="8964" xr:uid="{C41B4180-25AC-4430-B00A-D48834EA518D}"/>
    <cellStyle name="Normal 4 2 4 2" xfId="356" xr:uid="{00000000-0005-0000-0000-00002D130000}"/>
    <cellStyle name="Normal 4 2 4 2 10" xfId="18246" xr:uid="{6CE408CE-3BF9-413D-A168-385BEBE6E48D}"/>
    <cellStyle name="Normal 4 2 4 2 11" xfId="17412" xr:uid="{599F4104-2D22-4CE0-81C8-703BBC62F592}"/>
    <cellStyle name="Normal 4 2 4 2 12" xfId="8965" xr:uid="{93C655A7-AAA3-49BB-8ADB-3DA01E908017}"/>
    <cellStyle name="Normal 4 2 4 2 2" xfId="357" xr:uid="{00000000-0005-0000-0000-00002E130000}"/>
    <cellStyle name="Normal 4 2 4 2 2 10" xfId="17413" xr:uid="{61BB7230-EF6C-419C-82E6-61E2A800D44E}"/>
    <cellStyle name="Normal 4 2 4 2 2 11" xfId="8966" xr:uid="{57C72250-A31B-4642-90FA-F69BC260798D}"/>
    <cellStyle name="Normal 4 2 4 2 2 2" xfId="358" xr:uid="{00000000-0005-0000-0000-00002F130000}"/>
    <cellStyle name="Normal 4 2 4 2 2 2 10" xfId="8967" xr:uid="{8BD6A074-7DA7-4AF3-A734-FFE1BC6E8209}"/>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25023" xr:uid="{2A61C75E-7A7C-446B-AD58-0027490A1F2A}"/>
    <cellStyle name="Normal 4 2 4 2 2 2 2 2 2 3" xfId="15743" xr:uid="{1BC2B63E-12ED-433B-BA7D-C590120618A3}"/>
    <cellStyle name="Normal 4 2 4 2 2 2 2 2 3" xfId="20806" xr:uid="{01D92E0F-7169-4DB5-A920-4E602051CFB9}"/>
    <cellStyle name="Normal 4 2 4 2 2 2 2 2 4" xfId="11525" xr:uid="{C8045181-001F-4400-AC2E-2BA5D209AEB1}"/>
    <cellStyle name="Normal 4 2 4 2 2 2 2 3" xfId="5148" xr:uid="{00000000-0005-0000-0000-000033130000}"/>
    <cellStyle name="Normal 4 2 4 2 2 2 2 3 2" xfId="22878" xr:uid="{E6751134-D8DC-4B80-B01D-6F9AB1D9B19D}"/>
    <cellStyle name="Normal 4 2 4 2 2 2 2 3 3" xfId="13598" xr:uid="{BE24EBBB-177C-4CDB-8953-99771B1DA57B}"/>
    <cellStyle name="Normal 4 2 4 2 2 2 2 4" xfId="18661" xr:uid="{0808B381-B7A7-4605-829F-D371CB79C08F}"/>
    <cellStyle name="Normal 4 2 4 2 2 2 2 5" xfId="17833" xr:uid="{3C75B3CC-B8AD-44B9-A5A4-61DFE600243C}"/>
    <cellStyle name="Normal 4 2 4 2 2 2 2 6" xfId="9380" xr:uid="{01212191-8BA0-4747-BE6D-7B85A7F3C937}"/>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25436" xr:uid="{C294AD71-BCE9-46C6-B4F3-4F28B985C6A7}"/>
    <cellStyle name="Normal 4 2 4 2 2 2 3 2 2 3" xfId="16156" xr:uid="{1DE7BBF1-82B0-4BEE-B9FD-F587F102E3DA}"/>
    <cellStyle name="Normal 4 2 4 2 2 2 3 2 3" xfId="21219" xr:uid="{6039E72B-854C-4F4A-AADC-95A6E5FF4E43}"/>
    <cellStyle name="Normal 4 2 4 2 2 2 3 2 4" xfId="11938" xr:uid="{11E6AA48-A347-48AE-A232-F9078C3F730B}"/>
    <cellStyle name="Normal 4 2 4 2 2 2 3 3" xfId="5561" xr:uid="{00000000-0005-0000-0000-000037130000}"/>
    <cellStyle name="Normal 4 2 4 2 2 2 3 3 2" xfId="23291" xr:uid="{77E283AD-E128-42FA-840A-90193D828234}"/>
    <cellStyle name="Normal 4 2 4 2 2 2 3 3 3" xfId="14011" xr:uid="{6253C8DF-3D71-477E-9799-ABDB0266701C}"/>
    <cellStyle name="Normal 4 2 4 2 2 2 3 4" xfId="19074" xr:uid="{5C1C26EA-1E60-4F18-B217-2427EEBF8B3D}"/>
    <cellStyle name="Normal 4 2 4 2 2 2 3 5" xfId="9793" xr:uid="{37ECA849-426E-447A-A2E4-B72C595A809E}"/>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25849" xr:uid="{69D5783D-D903-4B6B-9F69-E63E467D4241}"/>
    <cellStyle name="Normal 4 2 4 2 2 2 4 2 2 3" xfId="16569" xr:uid="{F2CA88C1-0E23-4665-BCAB-63DF59B35039}"/>
    <cellStyle name="Normal 4 2 4 2 2 2 4 2 3" xfId="21632" xr:uid="{5BD6CB0C-0A8D-48FB-8884-D0A6B209405C}"/>
    <cellStyle name="Normal 4 2 4 2 2 2 4 2 4" xfId="12351" xr:uid="{B46ED237-E399-4F30-8D31-69789B2F50B3}"/>
    <cellStyle name="Normal 4 2 4 2 2 2 4 3" xfId="5974" xr:uid="{00000000-0005-0000-0000-00003B130000}"/>
    <cellStyle name="Normal 4 2 4 2 2 2 4 3 2" xfId="23704" xr:uid="{D96CB25F-1AB8-4531-BE21-0AD32AF0F0F0}"/>
    <cellStyle name="Normal 4 2 4 2 2 2 4 3 3" xfId="14424" xr:uid="{33329463-C540-4A06-9F57-9E05A351FCC5}"/>
    <cellStyle name="Normal 4 2 4 2 2 2 4 4" xfId="19487" xr:uid="{8C917901-77F1-4C18-9B6F-D0367F8FF3A4}"/>
    <cellStyle name="Normal 4 2 4 2 2 2 4 5" xfId="10206" xr:uid="{3BC53CC6-ACE9-4FEA-AC8D-601DAB64C38A}"/>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26262" xr:uid="{4B29EAAB-6318-4A63-A763-7DC303E5A485}"/>
    <cellStyle name="Normal 4 2 4 2 2 2 5 2 2 3" xfId="16982" xr:uid="{B67EAF3B-BE54-4F27-A175-B011B9A7A4A4}"/>
    <cellStyle name="Normal 4 2 4 2 2 2 5 2 3" xfId="22045" xr:uid="{21BAF0D7-38AD-412E-B126-CC520994FBDB}"/>
    <cellStyle name="Normal 4 2 4 2 2 2 5 2 4" xfId="12764" xr:uid="{EF478EB0-877D-45E7-BA86-A2B051FCD214}"/>
    <cellStyle name="Normal 4 2 4 2 2 2 5 3" xfId="6387" xr:uid="{00000000-0005-0000-0000-00003F130000}"/>
    <cellStyle name="Normal 4 2 4 2 2 2 5 3 2" xfId="24117" xr:uid="{60B61E55-1BCB-4047-A9FE-95B485553D02}"/>
    <cellStyle name="Normal 4 2 4 2 2 2 5 3 3" xfId="14837" xr:uid="{CDF0AA24-3577-4E49-88D1-99D623D95425}"/>
    <cellStyle name="Normal 4 2 4 2 2 2 5 4" xfId="19900" xr:uid="{A27D527E-B3A8-4747-8A23-7684C24D97EE}"/>
    <cellStyle name="Normal 4 2 4 2 2 2 5 5" xfId="10619" xr:uid="{7CF88467-B4BE-4354-A8CC-B4F514ED8482}"/>
    <cellStyle name="Normal 4 2 4 2 2 2 6" xfId="2517" xr:uid="{00000000-0005-0000-0000-000040130000}"/>
    <cellStyle name="Normal 4 2 4 2 2 2 6 2" xfId="6800" xr:uid="{00000000-0005-0000-0000-000041130000}"/>
    <cellStyle name="Normal 4 2 4 2 2 2 6 2 2" xfId="24530" xr:uid="{942D7D5F-EE8C-4CE3-B82E-03C516D23B4C}"/>
    <cellStyle name="Normal 4 2 4 2 2 2 6 2 3" xfId="15250" xr:uid="{15FC7E36-132F-4BA6-AA2C-29978B28CA5F}"/>
    <cellStyle name="Normal 4 2 4 2 2 2 6 3" xfId="20313" xr:uid="{E7C2676A-B393-4389-BF3F-4C5418ACC3E3}"/>
    <cellStyle name="Normal 4 2 4 2 2 2 6 4" xfId="11032" xr:uid="{5213BA88-344C-4173-BC93-B4E9896D37CC}"/>
    <cellStyle name="Normal 4 2 4 2 2 2 7" xfId="4735" xr:uid="{00000000-0005-0000-0000-000042130000}"/>
    <cellStyle name="Normal 4 2 4 2 2 2 7 2" xfId="22465" xr:uid="{0585E0F0-5CC1-4BDC-BFE6-E367393AD712}"/>
    <cellStyle name="Normal 4 2 4 2 2 2 7 3" xfId="13185" xr:uid="{DBA16F03-A255-43DD-A425-4F39F0F61E11}"/>
    <cellStyle name="Normal 4 2 4 2 2 2 8" xfId="18248" xr:uid="{9773859E-3FF3-4365-8618-6FE29439E322}"/>
    <cellStyle name="Normal 4 2 4 2 2 2 9" xfId="17414" xr:uid="{1699AC67-4719-461E-A84A-908EB073CD8A}"/>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25022" xr:uid="{0F8219D6-0A47-4F04-A0B5-150EF833B439}"/>
    <cellStyle name="Normal 4 2 4 2 2 3 2 2 3" xfId="15742" xr:uid="{2F3A8A44-A1D9-4DD0-A704-A96625A87960}"/>
    <cellStyle name="Normal 4 2 4 2 2 3 2 3" xfId="20805" xr:uid="{CF95F993-D074-467E-8777-3254AEFC46DB}"/>
    <cellStyle name="Normal 4 2 4 2 2 3 2 4" xfId="11524" xr:uid="{59D2C112-42C3-4CDE-AFEC-481CA1A64C11}"/>
    <cellStyle name="Normal 4 2 4 2 2 3 3" xfId="5147" xr:uid="{00000000-0005-0000-0000-000046130000}"/>
    <cellStyle name="Normal 4 2 4 2 2 3 3 2" xfId="22877" xr:uid="{A13FD0AF-F66E-4EC0-9DA3-77271C6D96C8}"/>
    <cellStyle name="Normal 4 2 4 2 2 3 3 3" xfId="13597" xr:uid="{1BB155A5-012F-4FC2-A3DB-CCD0B358BFFC}"/>
    <cellStyle name="Normal 4 2 4 2 2 3 4" xfId="18660" xr:uid="{5420111D-E138-4A06-9F15-DB6845B9D130}"/>
    <cellStyle name="Normal 4 2 4 2 2 3 5" xfId="17832" xr:uid="{090B0327-C063-4AC2-A142-0E485D1CFBE5}"/>
    <cellStyle name="Normal 4 2 4 2 2 3 6" xfId="9379" xr:uid="{852E646A-87E4-4D00-AE02-00DBCCAC273E}"/>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25435" xr:uid="{D0E99A26-B4C3-4F8E-A4B5-F7CC2246C9ED}"/>
    <cellStyle name="Normal 4 2 4 2 2 4 2 2 3" xfId="16155" xr:uid="{6661FE1D-BB22-47ED-82A0-EBE39F8C4831}"/>
    <cellStyle name="Normal 4 2 4 2 2 4 2 3" xfId="21218" xr:uid="{C7B04287-00A6-4845-8DFC-AD37681432F2}"/>
    <cellStyle name="Normal 4 2 4 2 2 4 2 4" xfId="11937" xr:uid="{69A771AA-99AA-41D2-9AE0-E17EA5624948}"/>
    <cellStyle name="Normal 4 2 4 2 2 4 3" xfId="5560" xr:uid="{00000000-0005-0000-0000-00004A130000}"/>
    <cellStyle name="Normal 4 2 4 2 2 4 3 2" xfId="23290" xr:uid="{34D56C2C-14F4-4095-BA5F-D51181AD4EBF}"/>
    <cellStyle name="Normal 4 2 4 2 2 4 3 3" xfId="14010" xr:uid="{053AF2F3-9743-4E95-AED3-E86644012661}"/>
    <cellStyle name="Normal 4 2 4 2 2 4 4" xfId="19073" xr:uid="{A8D7C710-2957-4888-8F3E-338EE2D92B2A}"/>
    <cellStyle name="Normal 4 2 4 2 2 4 5" xfId="9792" xr:uid="{A7334F79-B618-44A0-987B-7C16D8BC422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25848" xr:uid="{E22288F6-23FF-444D-9E20-236106625685}"/>
    <cellStyle name="Normal 4 2 4 2 2 5 2 2 3" xfId="16568" xr:uid="{D571A938-0863-4F74-A7FE-77140A59F662}"/>
    <cellStyle name="Normal 4 2 4 2 2 5 2 3" xfId="21631" xr:uid="{9433DA57-A796-4FA6-9F98-6912A492FD29}"/>
    <cellStyle name="Normal 4 2 4 2 2 5 2 4" xfId="12350" xr:uid="{AC159339-1F46-41FF-B06B-675AAB3D6EF4}"/>
    <cellStyle name="Normal 4 2 4 2 2 5 3" xfId="5973" xr:uid="{00000000-0005-0000-0000-00004E130000}"/>
    <cellStyle name="Normal 4 2 4 2 2 5 3 2" xfId="23703" xr:uid="{B72E8965-53B4-455A-B52F-8F1E16D4BFE7}"/>
    <cellStyle name="Normal 4 2 4 2 2 5 3 3" xfId="14423" xr:uid="{1DAB1394-13FE-4C28-AC1D-E3E40B48EA79}"/>
    <cellStyle name="Normal 4 2 4 2 2 5 4" xfId="19486" xr:uid="{C1C1390E-0599-4414-862F-B77248302E26}"/>
    <cellStyle name="Normal 4 2 4 2 2 5 5" xfId="10205" xr:uid="{600041A3-F2D1-4C73-AD4C-E740D8D83C7D}"/>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26261" xr:uid="{3951D2EB-80FE-4831-B813-6B09FE62739E}"/>
    <cellStyle name="Normal 4 2 4 2 2 6 2 2 3" xfId="16981" xr:uid="{16A404E1-0A93-4A19-A654-63118C694AC0}"/>
    <cellStyle name="Normal 4 2 4 2 2 6 2 3" xfId="22044" xr:uid="{617763D1-2678-48B1-8B7C-75FA35876915}"/>
    <cellStyle name="Normal 4 2 4 2 2 6 2 4" xfId="12763" xr:uid="{CEA2C9C3-D5EE-4C13-83F5-E98FFA7A89DC}"/>
    <cellStyle name="Normal 4 2 4 2 2 6 3" xfId="6386" xr:uid="{00000000-0005-0000-0000-000052130000}"/>
    <cellStyle name="Normal 4 2 4 2 2 6 3 2" xfId="24116" xr:uid="{BBB9B80A-B612-43B0-AB4D-893442040843}"/>
    <cellStyle name="Normal 4 2 4 2 2 6 3 3" xfId="14836" xr:uid="{6E5AD5DE-D705-49AB-B228-5B27841218AE}"/>
    <cellStyle name="Normal 4 2 4 2 2 6 4" xfId="19899" xr:uid="{14A23735-AA65-4245-8C24-38EE91C6C949}"/>
    <cellStyle name="Normal 4 2 4 2 2 6 5" xfId="10618" xr:uid="{EE2286F8-0812-4D37-9588-EB6690F9048F}"/>
    <cellStyle name="Normal 4 2 4 2 2 7" xfId="2516" xr:uid="{00000000-0005-0000-0000-000053130000}"/>
    <cellStyle name="Normal 4 2 4 2 2 7 2" xfId="6799" xr:uid="{00000000-0005-0000-0000-000054130000}"/>
    <cellStyle name="Normal 4 2 4 2 2 7 2 2" xfId="24529" xr:uid="{C43F3961-CDED-49A5-9EA8-E19427FF8D6D}"/>
    <cellStyle name="Normal 4 2 4 2 2 7 2 3" xfId="15249" xr:uid="{BCACA420-AEF2-4E27-82D3-5D76CB6DB33B}"/>
    <cellStyle name="Normal 4 2 4 2 2 7 3" xfId="20312" xr:uid="{C8BED694-ADEA-474D-B59A-479FE22547C7}"/>
    <cellStyle name="Normal 4 2 4 2 2 7 4" xfId="11031" xr:uid="{0F0D6607-4DA2-4CD5-B894-9AE79DE7977B}"/>
    <cellStyle name="Normal 4 2 4 2 2 8" xfId="4734" xr:uid="{00000000-0005-0000-0000-000055130000}"/>
    <cellStyle name="Normal 4 2 4 2 2 8 2" xfId="22464" xr:uid="{2127F9BF-0E51-4D4B-B16F-21DF5AA61A01}"/>
    <cellStyle name="Normal 4 2 4 2 2 8 3" xfId="13184" xr:uid="{4B747A53-CAB1-4240-876E-087C663E999E}"/>
    <cellStyle name="Normal 4 2 4 2 2 9" xfId="18247" xr:uid="{E40464FC-7DF9-40BA-AD0C-B840EC6A2125}"/>
    <cellStyle name="Normal 4 2 4 2 3" xfId="359" xr:uid="{00000000-0005-0000-0000-000056130000}"/>
    <cellStyle name="Normal 4 2 4 2 3 10" xfId="8968" xr:uid="{6B8FE1C1-6DA1-4E64-B50E-A621D7ACC77B}"/>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25024" xr:uid="{F7260C8B-F856-4A90-BCDB-3B5D6D9BB81C}"/>
    <cellStyle name="Normal 4 2 4 2 3 2 2 2 3" xfId="15744" xr:uid="{F45BD1BB-FA7D-4D32-B192-9BC0707F7EF5}"/>
    <cellStyle name="Normal 4 2 4 2 3 2 2 3" xfId="20807" xr:uid="{3634CE96-3048-472F-9618-C64BD414E87B}"/>
    <cellStyle name="Normal 4 2 4 2 3 2 2 4" xfId="11526" xr:uid="{5CA59BD2-1E2B-46EC-BA75-57365A1D64CB}"/>
    <cellStyle name="Normal 4 2 4 2 3 2 3" xfId="5149" xr:uid="{00000000-0005-0000-0000-00005A130000}"/>
    <cellStyle name="Normal 4 2 4 2 3 2 3 2" xfId="22879" xr:uid="{763A2DBF-73E8-42F6-8F19-5E9A53F19EF6}"/>
    <cellStyle name="Normal 4 2 4 2 3 2 3 3" xfId="13599" xr:uid="{7E45B0EE-FAE0-48B6-A598-053EDECE0F6F}"/>
    <cellStyle name="Normal 4 2 4 2 3 2 4" xfId="18662" xr:uid="{765F921B-79C7-4AE1-8DDD-E9F7A3D0DA11}"/>
    <cellStyle name="Normal 4 2 4 2 3 2 5" xfId="17834" xr:uid="{0A1F54C9-8F4A-432A-83E2-04A9179E8D1B}"/>
    <cellStyle name="Normal 4 2 4 2 3 2 6" xfId="9381" xr:uid="{204BC74A-4A69-432D-B29B-75A71A74D704}"/>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25437" xr:uid="{7F71448C-4FF9-47FF-81F4-CCBB86686015}"/>
    <cellStyle name="Normal 4 2 4 2 3 3 2 2 3" xfId="16157" xr:uid="{05008718-CB89-48E2-98E0-0F8794738EBF}"/>
    <cellStyle name="Normal 4 2 4 2 3 3 2 3" xfId="21220" xr:uid="{D6FAE862-952C-405A-99E1-B700A55D5F4A}"/>
    <cellStyle name="Normal 4 2 4 2 3 3 2 4" xfId="11939" xr:uid="{292AB345-8C73-4959-AD95-72C44F0EE934}"/>
    <cellStyle name="Normal 4 2 4 2 3 3 3" xfId="5562" xr:uid="{00000000-0005-0000-0000-00005E130000}"/>
    <cellStyle name="Normal 4 2 4 2 3 3 3 2" xfId="23292" xr:uid="{482EA35D-E16F-4760-A783-B6FE4E7FA94B}"/>
    <cellStyle name="Normal 4 2 4 2 3 3 3 3" xfId="14012" xr:uid="{3810A69F-A861-48DC-B6EC-C59FC6A3460A}"/>
    <cellStyle name="Normal 4 2 4 2 3 3 4" xfId="19075" xr:uid="{308701A2-73E1-4AEC-87B6-7E53B2434021}"/>
    <cellStyle name="Normal 4 2 4 2 3 3 5" xfId="9794" xr:uid="{203BE516-2468-46E0-9A67-B043739E41DC}"/>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25850" xr:uid="{04763282-F32E-4460-A56D-BA5F38451A34}"/>
    <cellStyle name="Normal 4 2 4 2 3 4 2 2 3" xfId="16570" xr:uid="{BFA9D904-243B-4B35-9DAF-80737684CBA3}"/>
    <cellStyle name="Normal 4 2 4 2 3 4 2 3" xfId="21633" xr:uid="{E7E385A0-814F-477D-9CB9-32FBACDA251C}"/>
    <cellStyle name="Normal 4 2 4 2 3 4 2 4" xfId="12352" xr:uid="{9A1136BC-F4C3-4AD4-840F-D8F7BBE89A96}"/>
    <cellStyle name="Normal 4 2 4 2 3 4 3" xfId="5975" xr:uid="{00000000-0005-0000-0000-000062130000}"/>
    <cellStyle name="Normal 4 2 4 2 3 4 3 2" xfId="23705" xr:uid="{1BDE4577-C5F4-44FC-9C75-CE1AAEDF8EC8}"/>
    <cellStyle name="Normal 4 2 4 2 3 4 3 3" xfId="14425" xr:uid="{F6322620-9570-4CD2-9187-FAD80EF2B09E}"/>
    <cellStyle name="Normal 4 2 4 2 3 4 4" xfId="19488" xr:uid="{53B18BC4-D9B1-47B9-BBC0-C9A70860528B}"/>
    <cellStyle name="Normal 4 2 4 2 3 4 5" xfId="10207" xr:uid="{FED80CD9-02DF-4D12-9456-4B96E2ABC735}"/>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26263" xr:uid="{B7CDF0C8-5B77-4120-A30F-4FDF87899D42}"/>
    <cellStyle name="Normal 4 2 4 2 3 5 2 2 3" xfId="16983" xr:uid="{ED7629BD-B696-48DE-8110-89C9C27933BF}"/>
    <cellStyle name="Normal 4 2 4 2 3 5 2 3" xfId="22046" xr:uid="{079F3C80-692A-4A1A-A1AD-7EC472ADEA2F}"/>
    <cellStyle name="Normal 4 2 4 2 3 5 2 4" xfId="12765" xr:uid="{5999E725-8312-4635-B4E8-CBBFC8797128}"/>
    <cellStyle name="Normal 4 2 4 2 3 5 3" xfId="6388" xr:uid="{00000000-0005-0000-0000-000066130000}"/>
    <cellStyle name="Normal 4 2 4 2 3 5 3 2" xfId="24118" xr:uid="{3F242680-E1C6-4BB5-A08B-480F8F562B9B}"/>
    <cellStyle name="Normal 4 2 4 2 3 5 3 3" xfId="14838" xr:uid="{E75FD4A1-BE13-412D-903B-60E90457EA39}"/>
    <cellStyle name="Normal 4 2 4 2 3 5 4" xfId="19901" xr:uid="{B58A683A-679E-4812-8D01-BBBCA04F14F5}"/>
    <cellStyle name="Normal 4 2 4 2 3 5 5" xfId="10620" xr:uid="{B7F6308A-94DE-4FA7-9040-92E5BFE23474}"/>
    <cellStyle name="Normal 4 2 4 2 3 6" xfId="2518" xr:uid="{00000000-0005-0000-0000-000067130000}"/>
    <cellStyle name="Normal 4 2 4 2 3 6 2" xfId="6801" xr:uid="{00000000-0005-0000-0000-000068130000}"/>
    <cellStyle name="Normal 4 2 4 2 3 6 2 2" xfId="24531" xr:uid="{364B9D2B-E55C-4448-B8B0-23D1B552BC61}"/>
    <cellStyle name="Normal 4 2 4 2 3 6 2 3" xfId="15251" xr:uid="{C8BF17D8-A05F-425A-82CE-053441376B2F}"/>
    <cellStyle name="Normal 4 2 4 2 3 6 3" xfId="20314" xr:uid="{0B0340B1-96EE-4954-A29D-B11366F7C624}"/>
    <cellStyle name="Normal 4 2 4 2 3 6 4" xfId="11033" xr:uid="{B77D773C-C2D3-403F-9600-A3500CB0314B}"/>
    <cellStyle name="Normal 4 2 4 2 3 7" xfId="4736" xr:uid="{00000000-0005-0000-0000-000069130000}"/>
    <cellStyle name="Normal 4 2 4 2 3 7 2" xfId="22466" xr:uid="{61E8A025-2262-4EF4-BF00-9CF083D886D2}"/>
    <cellStyle name="Normal 4 2 4 2 3 7 3" xfId="13186" xr:uid="{5D1DC97E-19E0-4CC8-992E-118FE6B2E69B}"/>
    <cellStyle name="Normal 4 2 4 2 3 8" xfId="18249" xr:uid="{CFF95C5C-04C9-407B-BE51-36F4D977166B}"/>
    <cellStyle name="Normal 4 2 4 2 3 9" xfId="17415" xr:uid="{E8EF2426-70CF-4271-AF01-F120B2A773AF}"/>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25021" xr:uid="{6F826A3A-2C6A-4108-91C5-7139D4B9A553}"/>
    <cellStyle name="Normal 4 2 4 2 4 2 2 3" xfId="15741" xr:uid="{0C9244B8-F2D4-46B4-9BC1-0F772083A41C}"/>
    <cellStyle name="Normal 4 2 4 2 4 2 3" xfId="20804" xr:uid="{F9451A85-1DDA-486B-AA67-F594A937A339}"/>
    <cellStyle name="Normal 4 2 4 2 4 2 4" xfId="11523" xr:uid="{A6DF8B66-46E3-48F6-B14A-2B7247561895}"/>
    <cellStyle name="Normal 4 2 4 2 4 3" xfId="5146" xr:uid="{00000000-0005-0000-0000-00006D130000}"/>
    <cellStyle name="Normal 4 2 4 2 4 3 2" xfId="22876" xr:uid="{E6D95E34-5A19-47FB-BEA4-36DF72D01E22}"/>
    <cellStyle name="Normal 4 2 4 2 4 3 3" xfId="13596" xr:uid="{F0CFF9A6-2625-471C-993B-05C2076C48E9}"/>
    <cellStyle name="Normal 4 2 4 2 4 4" xfId="18659" xr:uid="{2A8752A0-25A5-4B89-B617-2B842BEF2D09}"/>
    <cellStyle name="Normal 4 2 4 2 4 5" xfId="17831" xr:uid="{DD771861-8D64-43F6-B2F9-156B918569FB}"/>
    <cellStyle name="Normal 4 2 4 2 4 6" xfId="9378" xr:uid="{7A23B519-10E9-42A8-BC37-36520A48924C}"/>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25434" xr:uid="{0F0D98AF-EA8D-454D-9D4A-D57B867A9154}"/>
    <cellStyle name="Normal 4 2 4 2 5 2 2 3" xfId="16154" xr:uid="{8575D352-3C17-4598-A61B-D141D6CC1376}"/>
    <cellStyle name="Normal 4 2 4 2 5 2 3" xfId="21217" xr:uid="{2744C8F9-04FD-4D1E-A6C8-94B3428B2F4E}"/>
    <cellStyle name="Normal 4 2 4 2 5 2 4" xfId="11936" xr:uid="{6D1D97FE-718F-47B5-B447-94F250A85A18}"/>
    <cellStyle name="Normal 4 2 4 2 5 3" xfId="5559" xr:uid="{00000000-0005-0000-0000-000071130000}"/>
    <cellStyle name="Normal 4 2 4 2 5 3 2" xfId="23289" xr:uid="{A6746132-BB1A-4BF6-A89E-9A15675215F6}"/>
    <cellStyle name="Normal 4 2 4 2 5 3 3" xfId="14009" xr:uid="{2BD085DF-8A10-4C99-A97D-B767B5E8F066}"/>
    <cellStyle name="Normal 4 2 4 2 5 4" xfId="19072" xr:uid="{8F671A99-FC34-4576-A5D4-BACF20DE9F5C}"/>
    <cellStyle name="Normal 4 2 4 2 5 5" xfId="9791" xr:uid="{5317E454-0863-41A8-9737-B34534025B7A}"/>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25847" xr:uid="{76881D1B-8B2E-41BA-8BA7-C8B904A67BA7}"/>
    <cellStyle name="Normal 4 2 4 2 6 2 2 3" xfId="16567" xr:uid="{D4B872A4-2993-42A1-B1E2-C7AC548D302D}"/>
    <cellStyle name="Normal 4 2 4 2 6 2 3" xfId="21630" xr:uid="{E4303E70-E09A-42C8-A0CF-D64D151323E2}"/>
    <cellStyle name="Normal 4 2 4 2 6 2 4" xfId="12349" xr:uid="{6D4958C8-5A4A-4A82-9DA9-E68D54F457A0}"/>
    <cellStyle name="Normal 4 2 4 2 6 3" xfId="5972" xr:uid="{00000000-0005-0000-0000-000075130000}"/>
    <cellStyle name="Normal 4 2 4 2 6 3 2" xfId="23702" xr:uid="{716A88FB-C36A-4C91-A8FF-4EDB8577B9EA}"/>
    <cellStyle name="Normal 4 2 4 2 6 3 3" xfId="14422" xr:uid="{8295E4C9-AFE5-4996-9473-125080C2790A}"/>
    <cellStyle name="Normal 4 2 4 2 6 4" xfId="19485" xr:uid="{043538A7-3D60-4E7E-8B44-16B8DAA7E83A}"/>
    <cellStyle name="Normal 4 2 4 2 6 5" xfId="10204" xr:uid="{DDBC1DF3-8911-4C78-84ED-A7202C7C2C67}"/>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26260" xr:uid="{C8C62FE8-A655-49D5-A975-E68D83639EE2}"/>
    <cellStyle name="Normal 4 2 4 2 7 2 2 3" xfId="16980" xr:uid="{D9B290FB-1493-4BD9-BBA0-5A39CE750E02}"/>
    <cellStyle name="Normal 4 2 4 2 7 2 3" xfId="22043" xr:uid="{2D2877E9-D4B3-4BB3-9215-8B96EF8C91B4}"/>
    <cellStyle name="Normal 4 2 4 2 7 2 4" xfId="12762" xr:uid="{E76A0EC9-98CE-4CE2-A9F2-CE78E6FB2F48}"/>
    <cellStyle name="Normal 4 2 4 2 7 3" xfId="6385" xr:uid="{00000000-0005-0000-0000-000079130000}"/>
    <cellStyle name="Normal 4 2 4 2 7 3 2" xfId="24115" xr:uid="{16632B2E-8277-420A-B7EA-FF72FC3BBB23}"/>
    <cellStyle name="Normal 4 2 4 2 7 3 3" xfId="14835" xr:uid="{6184C030-5FF6-483C-8169-92D7C1D8B1DE}"/>
    <cellStyle name="Normal 4 2 4 2 7 4" xfId="19898" xr:uid="{09E75F45-8DD1-43D2-9793-D8691545126B}"/>
    <cellStyle name="Normal 4 2 4 2 7 5" xfId="10617" xr:uid="{05977C77-C512-48ED-8FD5-CF331DD5AE67}"/>
    <cellStyle name="Normal 4 2 4 2 8" xfId="2515" xr:uid="{00000000-0005-0000-0000-00007A130000}"/>
    <cellStyle name="Normal 4 2 4 2 8 2" xfId="6798" xr:uid="{00000000-0005-0000-0000-00007B130000}"/>
    <cellStyle name="Normal 4 2 4 2 8 2 2" xfId="24528" xr:uid="{D5320F94-7505-4B39-AFF5-A3C5D661B48D}"/>
    <cellStyle name="Normal 4 2 4 2 8 2 3" xfId="15248" xr:uid="{07E1D4CC-EB6A-4E66-BA69-3676B43FE689}"/>
    <cellStyle name="Normal 4 2 4 2 8 3" xfId="20311" xr:uid="{57CB31A0-94A3-491F-ADF9-1FB311AC4D59}"/>
    <cellStyle name="Normal 4 2 4 2 8 4" xfId="11030" xr:uid="{0E6F84FA-50E7-44FE-9EF6-B37EB7E92176}"/>
    <cellStyle name="Normal 4 2 4 2 9" xfId="4733" xr:uid="{00000000-0005-0000-0000-00007C130000}"/>
    <cellStyle name="Normal 4 2 4 2 9 2" xfId="22463" xr:uid="{CEED2C90-6C11-4148-A15A-62AA0CCAA46D}"/>
    <cellStyle name="Normal 4 2 4 2 9 3" xfId="13183" xr:uid="{E1833328-AA4C-4CF9-8B1A-BAF7D33416D1}"/>
    <cellStyle name="Normal 4 2 4 3" xfId="360" xr:uid="{00000000-0005-0000-0000-00007D130000}"/>
    <cellStyle name="Normal 4 2 4 3 10" xfId="17416" xr:uid="{CBFC6413-64A8-48CE-B8F5-F1BC382BD721}"/>
    <cellStyle name="Normal 4 2 4 3 11" xfId="8969" xr:uid="{5441AE50-161B-42BD-A209-B7AF3FE87BF4}"/>
    <cellStyle name="Normal 4 2 4 3 2" xfId="361" xr:uid="{00000000-0005-0000-0000-00007E130000}"/>
    <cellStyle name="Normal 4 2 4 3 2 10" xfId="8970" xr:uid="{7C9BC5DF-67D1-41CE-89FD-09C87DCA76BF}"/>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25026" xr:uid="{554F31BA-8747-4342-96B6-479D2D99A823}"/>
    <cellStyle name="Normal 4 2 4 3 2 2 2 2 3" xfId="15746" xr:uid="{19B9A592-4CAD-40BC-8754-42BE47AFA745}"/>
    <cellStyle name="Normal 4 2 4 3 2 2 2 3" xfId="20809" xr:uid="{1312313F-DDE9-43AB-8F89-88FCAC11EA39}"/>
    <cellStyle name="Normal 4 2 4 3 2 2 2 4" xfId="11528" xr:uid="{2A9B9193-9BF1-4CF8-8944-C94BF9F5AD96}"/>
    <cellStyle name="Normal 4 2 4 3 2 2 3" xfId="5151" xr:uid="{00000000-0005-0000-0000-000082130000}"/>
    <cellStyle name="Normal 4 2 4 3 2 2 3 2" xfId="22881" xr:uid="{DFC1A638-944E-435D-9833-0B935197F7A7}"/>
    <cellStyle name="Normal 4 2 4 3 2 2 3 3" xfId="13601" xr:uid="{D5A8B294-977C-47D5-B720-1ED342D288F0}"/>
    <cellStyle name="Normal 4 2 4 3 2 2 4" xfId="18664" xr:uid="{C2999971-6ECB-49AC-96F8-E180A0B87FB1}"/>
    <cellStyle name="Normal 4 2 4 3 2 2 5" xfId="17836" xr:uid="{ECAF3A00-229B-4C48-A328-B38884BC6C19}"/>
    <cellStyle name="Normal 4 2 4 3 2 2 6" xfId="9383" xr:uid="{E818F8EA-054C-4E28-8293-671C070E705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25439" xr:uid="{467ACDFC-ECD3-4FFE-ADC7-9C171308EA19}"/>
    <cellStyle name="Normal 4 2 4 3 2 3 2 2 3" xfId="16159" xr:uid="{CF8746E0-9438-498A-8355-4C786C53E7A6}"/>
    <cellStyle name="Normal 4 2 4 3 2 3 2 3" xfId="21222" xr:uid="{CE9866BF-BABB-4460-A702-D98BFF95E3D2}"/>
    <cellStyle name="Normal 4 2 4 3 2 3 2 4" xfId="11941" xr:uid="{E6E8B82B-4D79-4FA2-92F1-C40ADEAA1B6D}"/>
    <cellStyle name="Normal 4 2 4 3 2 3 3" xfId="5564" xr:uid="{00000000-0005-0000-0000-000086130000}"/>
    <cellStyle name="Normal 4 2 4 3 2 3 3 2" xfId="23294" xr:uid="{F28A9F61-A1BD-40A3-8A74-19C95400E285}"/>
    <cellStyle name="Normal 4 2 4 3 2 3 3 3" xfId="14014" xr:uid="{6A5D8FB1-734A-4F8C-962D-CA2C18398392}"/>
    <cellStyle name="Normal 4 2 4 3 2 3 4" xfId="19077" xr:uid="{E16E4C52-84A8-4BE9-9F6B-4688D7B45865}"/>
    <cellStyle name="Normal 4 2 4 3 2 3 5" xfId="9796" xr:uid="{5F278DD0-F49A-40DD-830C-0F6EA924D483}"/>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25852" xr:uid="{E4EFE58A-DF01-4BC4-838C-8C7A999A2E26}"/>
    <cellStyle name="Normal 4 2 4 3 2 4 2 2 3" xfId="16572" xr:uid="{5B778517-BE5E-47F3-96DE-D563C888AD76}"/>
    <cellStyle name="Normal 4 2 4 3 2 4 2 3" xfId="21635" xr:uid="{2ABD3941-2B90-4045-96FA-D95FEF393563}"/>
    <cellStyle name="Normal 4 2 4 3 2 4 2 4" xfId="12354" xr:uid="{4B22B272-0BF8-447A-A639-FA1A1C7BFC4B}"/>
    <cellStyle name="Normal 4 2 4 3 2 4 3" xfId="5977" xr:uid="{00000000-0005-0000-0000-00008A130000}"/>
    <cellStyle name="Normal 4 2 4 3 2 4 3 2" xfId="23707" xr:uid="{0F433F03-DBAB-44CA-81C9-4052275A7273}"/>
    <cellStyle name="Normal 4 2 4 3 2 4 3 3" xfId="14427" xr:uid="{0244ACCA-1044-4D2D-815B-71FA7FB9C02C}"/>
    <cellStyle name="Normal 4 2 4 3 2 4 4" xfId="19490" xr:uid="{0E24B241-89B1-432D-BFE5-899F742164DF}"/>
    <cellStyle name="Normal 4 2 4 3 2 4 5" xfId="10209" xr:uid="{37044D0D-084B-4213-B08D-EBE1E8A1F8FA}"/>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26265" xr:uid="{D8CF55DA-791A-4609-B6CB-D0FFC857D642}"/>
    <cellStyle name="Normal 4 2 4 3 2 5 2 2 3" xfId="16985" xr:uid="{1777E004-760D-412B-BD5D-59BFD274C0F4}"/>
    <cellStyle name="Normal 4 2 4 3 2 5 2 3" xfId="22048" xr:uid="{3819779F-3ECA-42C5-BCCD-E9587289AFF3}"/>
    <cellStyle name="Normal 4 2 4 3 2 5 2 4" xfId="12767" xr:uid="{40C92D27-F996-4260-BC30-0777488CEE06}"/>
    <cellStyle name="Normal 4 2 4 3 2 5 3" xfId="6390" xr:uid="{00000000-0005-0000-0000-00008E130000}"/>
    <cellStyle name="Normal 4 2 4 3 2 5 3 2" xfId="24120" xr:uid="{D45A0400-C5FF-42B5-89C7-9273A871C8E4}"/>
    <cellStyle name="Normal 4 2 4 3 2 5 3 3" xfId="14840" xr:uid="{1E3E5B52-A12C-4551-B399-08F0686F5F86}"/>
    <cellStyle name="Normal 4 2 4 3 2 5 4" xfId="19903" xr:uid="{569E63D4-C7ED-4EF1-9786-D9FEE5CFB67B}"/>
    <cellStyle name="Normal 4 2 4 3 2 5 5" xfId="10622" xr:uid="{DD53BB31-9D70-4DAB-AF6F-77D9F690FB27}"/>
    <cellStyle name="Normal 4 2 4 3 2 6" xfId="2520" xr:uid="{00000000-0005-0000-0000-00008F130000}"/>
    <cellStyle name="Normal 4 2 4 3 2 6 2" xfId="6803" xr:uid="{00000000-0005-0000-0000-000090130000}"/>
    <cellStyle name="Normal 4 2 4 3 2 6 2 2" xfId="24533" xr:uid="{6BE6E598-F7FD-4D2A-9239-05AF1217F559}"/>
    <cellStyle name="Normal 4 2 4 3 2 6 2 3" xfId="15253" xr:uid="{D7A34CBF-275E-4A37-9AB5-A8D05087909C}"/>
    <cellStyle name="Normal 4 2 4 3 2 6 3" xfId="20316" xr:uid="{FA5744C0-408E-4B57-839E-CF4A2FE9C0CB}"/>
    <cellStyle name="Normal 4 2 4 3 2 6 4" xfId="11035" xr:uid="{8FA0E2E1-7F75-42B4-8A17-33DC14FDE5DE}"/>
    <cellStyle name="Normal 4 2 4 3 2 7" xfId="4738" xr:uid="{00000000-0005-0000-0000-000091130000}"/>
    <cellStyle name="Normal 4 2 4 3 2 7 2" xfId="22468" xr:uid="{ECB33260-8526-40C0-9B53-3C2D981BC568}"/>
    <cellStyle name="Normal 4 2 4 3 2 7 3" xfId="13188" xr:uid="{9AA846D2-9AA2-4F5E-A15E-C8F9F3FCE234}"/>
    <cellStyle name="Normal 4 2 4 3 2 8" xfId="18251" xr:uid="{8DEC75A0-00CA-4B1B-AA90-2D04B528A6E9}"/>
    <cellStyle name="Normal 4 2 4 3 2 9" xfId="17417" xr:uid="{DC32A6B1-7ED3-4353-91DC-0B04A7639813}"/>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25025" xr:uid="{3D49C1EB-C32E-432E-9139-5B4DEDF9200A}"/>
    <cellStyle name="Normal 4 2 4 3 3 2 2 3" xfId="15745" xr:uid="{3382BA06-CC58-4F06-A535-4E944B813D5B}"/>
    <cellStyle name="Normal 4 2 4 3 3 2 3" xfId="20808" xr:uid="{A224976D-DD05-4294-9A07-2DAFA13179CF}"/>
    <cellStyle name="Normal 4 2 4 3 3 2 4" xfId="11527" xr:uid="{8BCA39DB-0391-4FD0-9DAD-A2CB2B3FC508}"/>
    <cellStyle name="Normal 4 2 4 3 3 3" xfId="5150" xr:uid="{00000000-0005-0000-0000-000095130000}"/>
    <cellStyle name="Normal 4 2 4 3 3 3 2" xfId="22880" xr:uid="{A089F301-F701-4769-8EEC-1022DFE2BF82}"/>
    <cellStyle name="Normal 4 2 4 3 3 3 3" xfId="13600" xr:uid="{772C7584-1BAA-4AD4-A639-CD6F51F380AC}"/>
    <cellStyle name="Normal 4 2 4 3 3 4" xfId="18663" xr:uid="{77D6F10C-7ADD-40CB-BA20-D30D815FAC58}"/>
    <cellStyle name="Normal 4 2 4 3 3 5" xfId="17835" xr:uid="{54EB987D-566C-4A7C-9487-BB6C94A5D1EB}"/>
    <cellStyle name="Normal 4 2 4 3 3 6" xfId="9382" xr:uid="{2D38976E-BC2A-4E0C-9E59-C6854AE84FC8}"/>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25438" xr:uid="{49DE452B-B5F9-4525-A699-65969C618D43}"/>
    <cellStyle name="Normal 4 2 4 3 4 2 2 3" xfId="16158" xr:uid="{55422E13-993A-4D98-B485-0A4D9B25C7EE}"/>
    <cellStyle name="Normal 4 2 4 3 4 2 3" xfId="21221" xr:uid="{A0BEEFF4-69F4-4F04-9CF9-6ED5DF4423C7}"/>
    <cellStyle name="Normal 4 2 4 3 4 2 4" xfId="11940" xr:uid="{93D91657-5F0D-460D-8BEC-DA7BC4B4D5BD}"/>
    <cellStyle name="Normal 4 2 4 3 4 3" xfId="5563" xr:uid="{00000000-0005-0000-0000-000099130000}"/>
    <cellStyle name="Normal 4 2 4 3 4 3 2" xfId="23293" xr:uid="{1D66B8FC-DADE-4893-8B35-E305927E1463}"/>
    <cellStyle name="Normal 4 2 4 3 4 3 3" xfId="14013" xr:uid="{CD026F45-651F-4A43-A07E-9EB4B7856068}"/>
    <cellStyle name="Normal 4 2 4 3 4 4" xfId="19076" xr:uid="{04B68AAE-1B1E-416F-9DCD-7E419D566269}"/>
    <cellStyle name="Normal 4 2 4 3 4 5" xfId="9795" xr:uid="{123F5B5D-C73C-46D2-83A2-49A2A21211C6}"/>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25851" xr:uid="{077D50BA-9165-421C-ABAE-093B1EE7838D}"/>
    <cellStyle name="Normal 4 2 4 3 5 2 2 3" xfId="16571" xr:uid="{109413F0-F1C4-4CD9-8BC6-F85329B1C02C}"/>
    <cellStyle name="Normal 4 2 4 3 5 2 3" xfId="21634" xr:uid="{01465501-8C07-45BF-9DFA-2EAD885C94D2}"/>
    <cellStyle name="Normal 4 2 4 3 5 2 4" xfId="12353" xr:uid="{49DDD034-8872-4442-90A4-5D39A18BC033}"/>
    <cellStyle name="Normal 4 2 4 3 5 3" xfId="5976" xr:uid="{00000000-0005-0000-0000-00009D130000}"/>
    <cellStyle name="Normal 4 2 4 3 5 3 2" xfId="23706" xr:uid="{F8600D18-6BCD-41E7-AA97-26B3FD64D347}"/>
    <cellStyle name="Normal 4 2 4 3 5 3 3" xfId="14426" xr:uid="{0CFBAA3C-924E-4C8C-9A7F-06EC3B77C552}"/>
    <cellStyle name="Normal 4 2 4 3 5 4" xfId="19489" xr:uid="{DCD111F5-C233-426B-9211-D8CE3323F843}"/>
    <cellStyle name="Normal 4 2 4 3 5 5" xfId="10208" xr:uid="{947B0A28-FDD6-4AE0-9620-671FF55C7FBF}"/>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26264" xr:uid="{B6AF2E65-0364-4632-B5A8-59A5CAFD4A17}"/>
    <cellStyle name="Normal 4 2 4 3 6 2 2 3" xfId="16984" xr:uid="{C0667283-DB49-40CE-8C86-4A99741987C9}"/>
    <cellStyle name="Normal 4 2 4 3 6 2 3" xfId="22047" xr:uid="{6C543AE2-791A-4801-928A-E538631B6946}"/>
    <cellStyle name="Normal 4 2 4 3 6 2 4" xfId="12766" xr:uid="{336A5E11-C14F-4A4A-9617-9B1ECD07A34F}"/>
    <cellStyle name="Normal 4 2 4 3 6 3" xfId="6389" xr:uid="{00000000-0005-0000-0000-0000A1130000}"/>
    <cellStyle name="Normal 4 2 4 3 6 3 2" xfId="24119" xr:uid="{2CC36AAC-E648-44C0-AAD8-B0ACF5445465}"/>
    <cellStyle name="Normal 4 2 4 3 6 3 3" xfId="14839" xr:uid="{EA8C47CE-F237-4A55-864B-792568F6233E}"/>
    <cellStyle name="Normal 4 2 4 3 6 4" xfId="19902" xr:uid="{657A0661-7D51-4BCC-AE2D-3637785CEA0B}"/>
    <cellStyle name="Normal 4 2 4 3 6 5" xfId="10621" xr:uid="{3AD41EA4-CAC3-45C9-B2C6-0BAAD7392EA7}"/>
    <cellStyle name="Normal 4 2 4 3 7" xfId="2519" xr:uid="{00000000-0005-0000-0000-0000A2130000}"/>
    <cellStyle name="Normal 4 2 4 3 7 2" xfId="6802" xr:uid="{00000000-0005-0000-0000-0000A3130000}"/>
    <cellStyle name="Normal 4 2 4 3 7 2 2" xfId="24532" xr:uid="{5D9C6413-5725-48B0-82C8-1BE3A91A16B9}"/>
    <cellStyle name="Normal 4 2 4 3 7 2 3" xfId="15252" xr:uid="{3ACCCFB8-5652-4F8B-8165-5CEB91330551}"/>
    <cellStyle name="Normal 4 2 4 3 7 3" xfId="20315" xr:uid="{7E9B274B-93F0-4074-B166-732874775CC8}"/>
    <cellStyle name="Normal 4 2 4 3 7 4" xfId="11034" xr:uid="{9BBDAAA7-76FF-4B95-8952-4029830D24F9}"/>
    <cellStyle name="Normal 4 2 4 3 8" xfId="4737" xr:uid="{00000000-0005-0000-0000-0000A4130000}"/>
    <cellStyle name="Normal 4 2 4 3 8 2" xfId="22467" xr:uid="{22587105-8FCA-48F9-AFCC-F2E969125716}"/>
    <cellStyle name="Normal 4 2 4 3 8 3" xfId="13187" xr:uid="{F1C3DAFE-9D23-4E52-86CD-05707A6CE318}"/>
    <cellStyle name="Normal 4 2 4 3 9" xfId="18250" xr:uid="{227C213B-B844-42BF-B88F-816CBFF9C51D}"/>
    <cellStyle name="Normal 4 2 4 4" xfId="362" xr:uid="{00000000-0005-0000-0000-0000A5130000}"/>
    <cellStyle name="Normal 4 2 4 4 10" xfId="8971" xr:uid="{0EF2E790-0AE7-420A-89A2-0C4C9C94930C}"/>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25027" xr:uid="{FAF2E74E-BC03-49F2-AA55-058271D4668A}"/>
    <cellStyle name="Normal 4 2 4 4 2 2 2 3" xfId="15747" xr:uid="{318A8500-0DAD-4706-BB12-211C173A39BE}"/>
    <cellStyle name="Normal 4 2 4 4 2 2 3" xfId="20810" xr:uid="{D6855ADF-5B7D-4208-90C4-62BDD9612702}"/>
    <cellStyle name="Normal 4 2 4 4 2 2 4" xfId="11529" xr:uid="{75136A89-8B1D-4A61-953C-F05601B478FF}"/>
    <cellStyle name="Normal 4 2 4 4 2 3" xfId="5152" xr:uid="{00000000-0005-0000-0000-0000A9130000}"/>
    <cellStyle name="Normal 4 2 4 4 2 3 2" xfId="22882" xr:uid="{79ABB659-65CC-4E99-B608-840004512ADC}"/>
    <cellStyle name="Normal 4 2 4 4 2 3 3" xfId="13602" xr:uid="{AD4C1178-E88E-4ECB-A4C3-D9937AFE856C}"/>
    <cellStyle name="Normal 4 2 4 4 2 4" xfId="18665" xr:uid="{8559F900-88A6-433D-91D0-23A1A9BB69E1}"/>
    <cellStyle name="Normal 4 2 4 4 2 5" xfId="17837" xr:uid="{7C59A186-DBC7-4215-8614-ED7D7CA49608}"/>
    <cellStyle name="Normal 4 2 4 4 2 6" xfId="9384" xr:uid="{6FE28BBC-EF0D-4AED-9E0B-290A8BA61053}"/>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25440" xr:uid="{1C1FCE27-3E6A-4116-9DEF-ACCEF59E3206}"/>
    <cellStyle name="Normal 4 2 4 4 3 2 2 3" xfId="16160" xr:uid="{77B2AFFB-946F-4BE3-98B0-68D4799FADEA}"/>
    <cellStyle name="Normal 4 2 4 4 3 2 3" xfId="21223" xr:uid="{9EAC25A8-A2BD-454C-88F1-2471076112C6}"/>
    <cellStyle name="Normal 4 2 4 4 3 2 4" xfId="11942" xr:uid="{81E44341-9DB8-4053-A07F-722511143869}"/>
    <cellStyle name="Normal 4 2 4 4 3 3" xfId="5565" xr:uid="{00000000-0005-0000-0000-0000AD130000}"/>
    <cellStyle name="Normal 4 2 4 4 3 3 2" xfId="23295" xr:uid="{5CA4E656-E6C3-49EC-8529-891959C6B5BF}"/>
    <cellStyle name="Normal 4 2 4 4 3 3 3" xfId="14015" xr:uid="{7274D74A-BE74-4AD9-8DBC-1C46C4B7A17B}"/>
    <cellStyle name="Normal 4 2 4 4 3 4" xfId="19078" xr:uid="{976B7B2D-CC01-4690-8A61-4E7AFF426BC6}"/>
    <cellStyle name="Normal 4 2 4 4 3 5" xfId="9797" xr:uid="{F9EE3A88-BCA6-4972-8A8A-DD04D945ABD8}"/>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25853" xr:uid="{717B3F3A-ADE4-4F6D-982D-65B55C774A97}"/>
    <cellStyle name="Normal 4 2 4 4 4 2 2 3" xfId="16573" xr:uid="{91444C22-3E52-479F-AD9D-78D1939C590D}"/>
    <cellStyle name="Normal 4 2 4 4 4 2 3" xfId="21636" xr:uid="{49288E8A-855B-4DE5-BDC9-60C43B9B701F}"/>
    <cellStyle name="Normal 4 2 4 4 4 2 4" xfId="12355" xr:uid="{0D813E32-858C-49C5-A44C-A4AC02B7FAF4}"/>
    <cellStyle name="Normal 4 2 4 4 4 3" xfId="5978" xr:uid="{00000000-0005-0000-0000-0000B1130000}"/>
    <cellStyle name="Normal 4 2 4 4 4 3 2" xfId="23708" xr:uid="{7698FC0F-3DA9-4361-8633-DA7F162F81C9}"/>
    <cellStyle name="Normal 4 2 4 4 4 3 3" xfId="14428" xr:uid="{F038D21B-FAC2-46DF-8818-5F08E55A946C}"/>
    <cellStyle name="Normal 4 2 4 4 4 4" xfId="19491" xr:uid="{D911D292-21D5-443F-B033-5EEFD67DFBFB}"/>
    <cellStyle name="Normal 4 2 4 4 4 5" xfId="10210" xr:uid="{4CBBE3C7-B93E-4E28-9815-C4C065E33015}"/>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26266" xr:uid="{90F24AE6-BEFA-4C4E-B86A-E46537B6B70F}"/>
    <cellStyle name="Normal 4 2 4 4 5 2 2 3" xfId="16986" xr:uid="{87325AB5-DDD0-4DBA-AC9C-77CB58CB02F3}"/>
    <cellStyle name="Normal 4 2 4 4 5 2 3" xfId="22049" xr:uid="{E3762BB6-D633-4F13-88C0-6EC5FAFC2155}"/>
    <cellStyle name="Normal 4 2 4 4 5 2 4" xfId="12768" xr:uid="{B03FE3B0-FDE8-4DB1-93AC-D5DFA2EC5DFC}"/>
    <cellStyle name="Normal 4 2 4 4 5 3" xfId="6391" xr:uid="{00000000-0005-0000-0000-0000B5130000}"/>
    <cellStyle name="Normal 4 2 4 4 5 3 2" xfId="24121" xr:uid="{7BD92223-C600-40B3-AC55-6C283ECD0FC9}"/>
    <cellStyle name="Normal 4 2 4 4 5 3 3" xfId="14841" xr:uid="{29C3EE40-2F4E-4371-985C-FA7932C41247}"/>
    <cellStyle name="Normal 4 2 4 4 5 4" xfId="19904" xr:uid="{4E03A65D-8CA4-4698-A406-F42D7729963A}"/>
    <cellStyle name="Normal 4 2 4 4 5 5" xfId="10623" xr:uid="{F0709D63-C8D6-4229-96B0-BA61F6DC42DB}"/>
    <cellStyle name="Normal 4 2 4 4 6" xfId="2521" xr:uid="{00000000-0005-0000-0000-0000B6130000}"/>
    <cellStyle name="Normal 4 2 4 4 6 2" xfId="6804" xr:uid="{00000000-0005-0000-0000-0000B7130000}"/>
    <cellStyle name="Normal 4 2 4 4 6 2 2" xfId="24534" xr:uid="{BF6C868E-F361-481F-82F3-602C76064D3C}"/>
    <cellStyle name="Normal 4 2 4 4 6 2 3" xfId="15254" xr:uid="{FCD602C8-5C68-4D3F-95E1-5B9B6AE5E924}"/>
    <cellStyle name="Normal 4 2 4 4 6 3" xfId="20317" xr:uid="{DE6C7A25-2ADC-4111-B3A4-F0DE399ED84C}"/>
    <cellStyle name="Normal 4 2 4 4 6 4" xfId="11036" xr:uid="{545F8C16-042D-4B19-8DFB-03793D62C18D}"/>
    <cellStyle name="Normal 4 2 4 4 7" xfId="4739" xr:uid="{00000000-0005-0000-0000-0000B8130000}"/>
    <cellStyle name="Normal 4 2 4 4 7 2" xfId="22469" xr:uid="{FD0872F8-466B-4DE2-A89A-E4AE5ED8FD83}"/>
    <cellStyle name="Normal 4 2 4 4 7 3" xfId="13189" xr:uid="{26EC70EB-D3B7-427E-98F5-CCDC3B3C9A5E}"/>
    <cellStyle name="Normal 4 2 4 4 8" xfId="18252" xr:uid="{42BB96A6-69B2-48C0-94F7-85069CEDDFC6}"/>
    <cellStyle name="Normal 4 2 4 4 9" xfId="17418" xr:uid="{9B309A7B-6E4A-45DD-86E5-FB936CBD3B7C}"/>
    <cellStyle name="Normal 4 2 4 5" xfId="831" xr:uid="{00000000-0005-0000-0000-0000B9130000}"/>
    <cellStyle name="Normal 4 2 4 5 2" xfId="3068" xr:uid="{00000000-0005-0000-0000-0000BA130000}"/>
    <cellStyle name="Normal 4 2 4 5 2 2" xfId="7290" xr:uid="{00000000-0005-0000-0000-0000BB130000}"/>
    <cellStyle name="Normal 4 2 4 5 2 2 2" xfId="25020" xr:uid="{96365D17-FEE3-4E49-81C7-57038B6B3699}"/>
    <cellStyle name="Normal 4 2 4 5 2 2 3" xfId="15740" xr:uid="{B263F190-595A-4585-BEE2-911517ADF311}"/>
    <cellStyle name="Normal 4 2 4 5 2 3" xfId="20803" xr:uid="{5AAAF6F7-16BF-44EC-A1D9-BBDAE085D653}"/>
    <cellStyle name="Normal 4 2 4 5 2 4" xfId="11522" xr:uid="{ABA495C4-9D97-40C6-BC99-6AF6A2C983F3}"/>
    <cellStyle name="Normal 4 2 4 5 3" xfId="5145" xr:uid="{00000000-0005-0000-0000-0000BC130000}"/>
    <cellStyle name="Normal 4 2 4 5 3 2" xfId="22875" xr:uid="{8B0BE1F4-5CCB-4C1A-8B91-28AA14991B60}"/>
    <cellStyle name="Normal 4 2 4 5 3 3" xfId="13595" xr:uid="{EB17D6E7-FAEC-4A33-A674-EC017D9C5C32}"/>
    <cellStyle name="Normal 4 2 4 5 4" xfId="18658" xr:uid="{E5B4724C-5C9C-439A-85EF-E938E2064328}"/>
    <cellStyle name="Normal 4 2 4 5 5" xfId="17830" xr:uid="{622A6052-CC80-4139-950B-D4181F666F62}"/>
    <cellStyle name="Normal 4 2 4 5 6" xfId="9377" xr:uid="{10ED5F49-01C1-4084-A218-7C4E74EE5847}"/>
    <cellStyle name="Normal 4 2 4 6" xfId="1251" xr:uid="{00000000-0005-0000-0000-0000BD130000}"/>
    <cellStyle name="Normal 4 2 4 6 2" xfId="3481" xr:uid="{00000000-0005-0000-0000-0000BE130000}"/>
    <cellStyle name="Normal 4 2 4 6 2 2" xfId="7703" xr:uid="{00000000-0005-0000-0000-0000BF130000}"/>
    <cellStyle name="Normal 4 2 4 6 2 2 2" xfId="25433" xr:uid="{3C1C3260-52ED-4395-BE57-48415CDF874C}"/>
    <cellStyle name="Normal 4 2 4 6 2 2 3" xfId="16153" xr:uid="{737016D8-0FA0-45CA-9546-7BFC608966CB}"/>
    <cellStyle name="Normal 4 2 4 6 2 3" xfId="21216" xr:uid="{08E2DBE5-BB89-4D75-B217-7BB1C5FD4205}"/>
    <cellStyle name="Normal 4 2 4 6 2 4" xfId="11935" xr:uid="{BB321EFC-B915-48DA-B051-BE86E9102A97}"/>
    <cellStyle name="Normal 4 2 4 6 3" xfId="5558" xr:uid="{00000000-0005-0000-0000-0000C0130000}"/>
    <cellStyle name="Normal 4 2 4 6 3 2" xfId="23288" xr:uid="{F905B63D-B063-4DC3-BA51-FF8229A15A1D}"/>
    <cellStyle name="Normal 4 2 4 6 3 3" xfId="14008" xr:uid="{D6EE348A-ECAC-4D01-BC02-6E0749F3DAB0}"/>
    <cellStyle name="Normal 4 2 4 6 4" xfId="19071" xr:uid="{0DA17A49-B3B8-4C1B-B031-A2365126C605}"/>
    <cellStyle name="Normal 4 2 4 6 5" xfId="9790" xr:uid="{6AC8CC29-616F-4303-9B67-3FBA58ECDA1F}"/>
    <cellStyle name="Normal 4 2 4 7" xfId="1664" xr:uid="{00000000-0005-0000-0000-0000C1130000}"/>
    <cellStyle name="Normal 4 2 4 7 2" xfId="3894" xr:uid="{00000000-0005-0000-0000-0000C2130000}"/>
    <cellStyle name="Normal 4 2 4 7 2 2" xfId="8116" xr:uid="{00000000-0005-0000-0000-0000C3130000}"/>
    <cellStyle name="Normal 4 2 4 7 2 2 2" xfId="25846" xr:uid="{8EC12D13-89B2-448D-8EC8-569B7EACD609}"/>
    <cellStyle name="Normal 4 2 4 7 2 2 3" xfId="16566" xr:uid="{6FC4F1B2-DE7B-4F3A-B55A-57F3F3539B87}"/>
    <cellStyle name="Normal 4 2 4 7 2 3" xfId="21629" xr:uid="{28CDF8E5-6366-4121-A71B-A8F78081A79D}"/>
    <cellStyle name="Normal 4 2 4 7 2 4" xfId="12348" xr:uid="{6A880CFE-0759-4EFF-8B72-C2E70E7AB709}"/>
    <cellStyle name="Normal 4 2 4 7 3" xfId="5971" xr:uid="{00000000-0005-0000-0000-0000C4130000}"/>
    <cellStyle name="Normal 4 2 4 7 3 2" xfId="23701" xr:uid="{0AE2DC4C-8174-4DA9-A80C-06954B1945AD}"/>
    <cellStyle name="Normal 4 2 4 7 3 3" xfId="14421" xr:uid="{012DBC4B-6707-4566-A73D-58C73B474AD6}"/>
    <cellStyle name="Normal 4 2 4 7 4" xfId="19484" xr:uid="{48F691F6-EEA7-435F-AA83-2C1AC2F17BF6}"/>
    <cellStyle name="Normal 4 2 4 7 5" xfId="10203" xr:uid="{6AB34A7D-D9C6-4ABB-845B-4FCEB81D71E0}"/>
    <cellStyle name="Normal 4 2 4 8" xfId="2078" xr:uid="{00000000-0005-0000-0000-0000C5130000}"/>
    <cellStyle name="Normal 4 2 4 8 2" xfId="4307" xr:uid="{00000000-0005-0000-0000-0000C6130000}"/>
    <cellStyle name="Normal 4 2 4 8 2 2" xfId="8529" xr:uid="{00000000-0005-0000-0000-0000C7130000}"/>
    <cellStyle name="Normal 4 2 4 8 2 2 2" xfId="26259" xr:uid="{1EAA8C23-3221-4C9F-AC2D-DC0DF562C8C2}"/>
    <cellStyle name="Normal 4 2 4 8 2 2 3" xfId="16979" xr:uid="{AD7C9A7D-24DC-4661-88CD-7FDC0BBAE517}"/>
    <cellStyle name="Normal 4 2 4 8 2 3" xfId="22042" xr:uid="{E5C741A5-85C2-453B-B27B-543C6DD5B114}"/>
    <cellStyle name="Normal 4 2 4 8 2 4" xfId="12761" xr:uid="{8D46C7F6-7740-4ADA-AD9E-671BC680BAA2}"/>
    <cellStyle name="Normal 4 2 4 8 3" xfId="6384" xr:uid="{00000000-0005-0000-0000-0000C8130000}"/>
    <cellStyle name="Normal 4 2 4 8 3 2" xfId="24114" xr:uid="{2FB5EFC9-DAFE-4BAF-83F3-1192F17822B8}"/>
    <cellStyle name="Normal 4 2 4 8 3 3" xfId="14834" xr:uid="{A1EE40EB-8C6E-450F-9A38-E6FA609D47F4}"/>
    <cellStyle name="Normal 4 2 4 8 4" xfId="19897" xr:uid="{EB8633E4-955C-4508-8E3A-0A8F4C6D55FF}"/>
    <cellStyle name="Normal 4 2 4 8 5" xfId="10616" xr:uid="{47311461-E0DD-4335-8FA0-26B59D459BB5}"/>
    <cellStyle name="Normal 4 2 4 9" xfId="2514" xr:uid="{00000000-0005-0000-0000-0000C9130000}"/>
    <cellStyle name="Normal 4 2 4 9 2" xfId="6797" xr:uid="{00000000-0005-0000-0000-0000CA130000}"/>
    <cellStyle name="Normal 4 2 4 9 2 2" xfId="24527" xr:uid="{0CA7969E-7CEC-405C-BC13-FC8FE9EBD2D2}"/>
    <cellStyle name="Normal 4 2 4 9 2 3" xfId="15247" xr:uid="{6F7AE9B4-8F89-440D-B49B-835F92112DDA}"/>
    <cellStyle name="Normal 4 2 4 9 3" xfId="20310" xr:uid="{045CB0D5-E142-4FA6-A7CD-E59278D662DB}"/>
    <cellStyle name="Normal 4 2 4 9 4" xfId="11029" xr:uid="{6F919EC2-6E88-4609-93EF-E382BD47C6B2}"/>
    <cellStyle name="Normal 4 2 5" xfId="363" xr:uid="{00000000-0005-0000-0000-0000CB130000}"/>
    <cellStyle name="Normal 4 2 5 10" xfId="17419" xr:uid="{2AA9092B-E457-401B-8727-06097047E7B1}"/>
    <cellStyle name="Normal 4 2 5 11" xfId="8972" xr:uid="{3821F038-EC18-49FD-8292-BED49A46B638}"/>
    <cellStyle name="Normal 4 2 5 2" xfId="364" xr:uid="{00000000-0005-0000-0000-0000CC130000}"/>
    <cellStyle name="Normal 4 2 5 2 10" xfId="8973" xr:uid="{5C38E4DD-D98C-4E14-A089-3FD7563EDA15}"/>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25029" xr:uid="{92B26FEF-D3C8-4071-9C20-73E5D60131DF}"/>
    <cellStyle name="Normal 4 2 5 2 2 2 2 3" xfId="15749" xr:uid="{0B3C979C-A379-408C-B6D0-0E701EDC96C0}"/>
    <cellStyle name="Normal 4 2 5 2 2 2 3" xfId="20812" xr:uid="{3C9A582A-04DF-485C-B833-2632A6E79A37}"/>
    <cellStyle name="Normal 4 2 5 2 2 2 4" xfId="11531" xr:uid="{25D966EC-EC3F-41DD-BA38-C84DA7FD2682}"/>
    <cellStyle name="Normal 4 2 5 2 2 3" xfId="5154" xr:uid="{00000000-0005-0000-0000-0000D0130000}"/>
    <cellStyle name="Normal 4 2 5 2 2 3 2" xfId="22884" xr:uid="{74485952-ECFB-46B3-A8B4-69CAD1627E46}"/>
    <cellStyle name="Normal 4 2 5 2 2 3 3" xfId="13604" xr:uid="{1C3CAFF5-1554-4275-9034-96A78C260A8C}"/>
    <cellStyle name="Normal 4 2 5 2 2 4" xfId="18667" xr:uid="{2B61682C-5230-423F-8FE4-F257740801B5}"/>
    <cellStyle name="Normal 4 2 5 2 2 5" xfId="17839" xr:uid="{2E7F8574-54E3-4008-9F96-31053CA92DEB}"/>
    <cellStyle name="Normal 4 2 5 2 2 6" xfId="9386" xr:uid="{ECA0C35A-8A7D-41E6-BFC1-A5A1E02CCF1F}"/>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25442" xr:uid="{005BF9E0-F411-4BA1-A1DD-109E08334397}"/>
    <cellStyle name="Normal 4 2 5 2 3 2 2 3" xfId="16162" xr:uid="{91DDAFC2-91AB-4D66-AEC5-71BA4149E42A}"/>
    <cellStyle name="Normal 4 2 5 2 3 2 3" xfId="21225" xr:uid="{E8976F53-8940-433D-A1AE-4D4D7B102D4A}"/>
    <cellStyle name="Normal 4 2 5 2 3 2 4" xfId="11944" xr:uid="{92720834-F6DB-48B5-AEA9-9350674D271A}"/>
    <cellStyle name="Normal 4 2 5 2 3 3" xfId="5567" xr:uid="{00000000-0005-0000-0000-0000D4130000}"/>
    <cellStyle name="Normal 4 2 5 2 3 3 2" xfId="23297" xr:uid="{F82FB8FD-4F7D-489C-921A-9FB8356C5CDA}"/>
    <cellStyle name="Normal 4 2 5 2 3 3 3" xfId="14017" xr:uid="{86964AA1-DFFB-4AAA-9CB2-957C11DF63F8}"/>
    <cellStyle name="Normal 4 2 5 2 3 4" xfId="19080" xr:uid="{87E0BB4C-A055-4AB1-A6A3-92793196FED4}"/>
    <cellStyle name="Normal 4 2 5 2 3 5" xfId="9799" xr:uid="{0A35EBC1-1A2E-452F-90D1-46848F0AAA67}"/>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25855" xr:uid="{D62EB9A9-2FDC-4AD6-BA35-0087024445E1}"/>
    <cellStyle name="Normal 4 2 5 2 4 2 2 3" xfId="16575" xr:uid="{9323E48D-F92F-4E63-8DFF-E58DC9BC4955}"/>
    <cellStyle name="Normal 4 2 5 2 4 2 3" xfId="21638" xr:uid="{B5461698-A13F-4462-A0B2-7E9F5D563744}"/>
    <cellStyle name="Normal 4 2 5 2 4 2 4" xfId="12357" xr:uid="{BC2F5CA8-6A0E-4067-B813-2262377158AE}"/>
    <cellStyle name="Normal 4 2 5 2 4 3" xfId="5980" xr:uid="{00000000-0005-0000-0000-0000D8130000}"/>
    <cellStyle name="Normal 4 2 5 2 4 3 2" xfId="23710" xr:uid="{F35CBF18-7065-4FA7-AD93-EC54EBFCF217}"/>
    <cellStyle name="Normal 4 2 5 2 4 3 3" xfId="14430" xr:uid="{50DE219A-5844-4D40-AF3F-8F12A65707B8}"/>
    <cellStyle name="Normal 4 2 5 2 4 4" xfId="19493" xr:uid="{B1E403E4-1E74-4A9C-BEFD-2D630982221C}"/>
    <cellStyle name="Normal 4 2 5 2 4 5" xfId="10212" xr:uid="{6DB38C28-51F6-4B0F-B542-001A3F6993F4}"/>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26268" xr:uid="{DC4F58C3-93FE-472E-AB60-D818936A2C34}"/>
    <cellStyle name="Normal 4 2 5 2 5 2 2 3" xfId="16988" xr:uid="{3FF76B66-02D8-48F2-9C37-FA64C2D6B2CE}"/>
    <cellStyle name="Normal 4 2 5 2 5 2 3" xfId="22051" xr:uid="{890984CB-308E-4354-BAC0-D1D3A5FD6861}"/>
    <cellStyle name="Normal 4 2 5 2 5 2 4" xfId="12770" xr:uid="{73D59B92-4832-4AD8-8E3D-7129D5119FB9}"/>
    <cellStyle name="Normal 4 2 5 2 5 3" xfId="6393" xr:uid="{00000000-0005-0000-0000-0000DC130000}"/>
    <cellStyle name="Normal 4 2 5 2 5 3 2" xfId="24123" xr:uid="{E82DD6D1-C9C5-48E6-B8DC-76C94287C56C}"/>
    <cellStyle name="Normal 4 2 5 2 5 3 3" xfId="14843" xr:uid="{EA97482E-AF8C-4889-9E07-758581F6CE84}"/>
    <cellStyle name="Normal 4 2 5 2 5 4" xfId="19906" xr:uid="{09305C08-E3C0-49DA-BEC9-833AF25B36C4}"/>
    <cellStyle name="Normal 4 2 5 2 5 5" xfId="10625" xr:uid="{69915CDD-14CA-4090-86C9-02EC3C765402}"/>
    <cellStyle name="Normal 4 2 5 2 6" xfId="2523" xr:uid="{00000000-0005-0000-0000-0000DD130000}"/>
    <cellStyle name="Normal 4 2 5 2 6 2" xfId="6806" xr:uid="{00000000-0005-0000-0000-0000DE130000}"/>
    <cellStyle name="Normal 4 2 5 2 6 2 2" xfId="24536" xr:uid="{46208140-864C-46EC-8C30-4319B68BDE02}"/>
    <cellStyle name="Normal 4 2 5 2 6 2 3" xfId="15256" xr:uid="{10774C01-47D3-4D77-80C4-B3BDBF3CE610}"/>
    <cellStyle name="Normal 4 2 5 2 6 3" xfId="20319" xr:uid="{BA4B6E0D-8295-4856-ABC4-6954B662726C}"/>
    <cellStyle name="Normal 4 2 5 2 6 4" xfId="11038" xr:uid="{6F8D6EA8-F34E-46DF-8C2A-E28B804A441C}"/>
    <cellStyle name="Normal 4 2 5 2 7" xfId="4741" xr:uid="{00000000-0005-0000-0000-0000DF130000}"/>
    <cellStyle name="Normal 4 2 5 2 7 2" xfId="22471" xr:uid="{3E21C04A-B19C-462F-B86C-894D92F0A746}"/>
    <cellStyle name="Normal 4 2 5 2 7 3" xfId="13191" xr:uid="{4300531E-EBD7-4A6F-BD7B-9A10B4C0C5E6}"/>
    <cellStyle name="Normal 4 2 5 2 8" xfId="18254" xr:uid="{11696908-98C9-44B1-A57F-6E4ACCC3E629}"/>
    <cellStyle name="Normal 4 2 5 2 9" xfId="17420" xr:uid="{DA64D01C-7088-4180-A171-ED86E09F3761}"/>
    <cellStyle name="Normal 4 2 5 3" xfId="839" xr:uid="{00000000-0005-0000-0000-0000E0130000}"/>
    <cellStyle name="Normal 4 2 5 3 2" xfId="3076" xr:uid="{00000000-0005-0000-0000-0000E1130000}"/>
    <cellStyle name="Normal 4 2 5 3 2 2" xfId="7298" xr:uid="{00000000-0005-0000-0000-0000E2130000}"/>
    <cellStyle name="Normal 4 2 5 3 2 2 2" xfId="25028" xr:uid="{BA3C262A-9FDA-4640-B4C8-6E62722039F8}"/>
    <cellStyle name="Normal 4 2 5 3 2 2 3" xfId="15748" xr:uid="{DB147139-A750-42CD-8121-42F6EE1F7DC0}"/>
    <cellStyle name="Normal 4 2 5 3 2 3" xfId="20811" xr:uid="{8E8353CE-4071-448E-A111-7C81F5C0F02C}"/>
    <cellStyle name="Normal 4 2 5 3 2 4" xfId="11530" xr:uid="{59F3EEDD-B244-4F8C-B7FB-A81AB80C9ABF}"/>
    <cellStyle name="Normal 4 2 5 3 3" xfId="5153" xr:uid="{00000000-0005-0000-0000-0000E3130000}"/>
    <cellStyle name="Normal 4 2 5 3 3 2" xfId="22883" xr:uid="{DE4273FA-D59C-4826-BE97-2333755A73A6}"/>
    <cellStyle name="Normal 4 2 5 3 3 3" xfId="13603" xr:uid="{FA681E29-BA33-4B21-AB20-02040BDB0B2C}"/>
    <cellStyle name="Normal 4 2 5 3 4" xfId="18666" xr:uid="{752B75D1-AEA9-4F5B-8713-6354E36918A0}"/>
    <cellStyle name="Normal 4 2 5 3 5" xfId="17838" xr:uid="{EEFC271D-CE65-4A77-B8B2-A214E21A1375}"/>
    <cellStyle name="Normal 4 2 5 3 6" xfId="9385" xr:uid="{57A54142-8E21-446D-AB86-C15A414F0543}"/>
    <cellStyle name="Normal 4 2 5 4" xfId="1259" xr:uid="{00000000-0005-0000-0000-0000E4130000}"/>
    <cellStyle name="Normal 4 2 5 4 2" xfId="3489" xr:uid="{00000000-0005-0000-0000-0000E5130000}"/>
    <cellStyle name="Normal 4 2 5 4 2 2" xfId="7711" xr:uid="{00000000-0005-0000-0000-0000E6130000}"/>
    <cellStyle name="Normal 4 2 5 4 2 2 2" xfId="25441" xr:uid="{35AEA8B6-FA09-4E65-B7A7-3F006B3841E4}"/>
    <cellStyle name="Normal 4 2 5 4 2 2 3" xfId="16161" xr:uid="{484A0495-76D3-415E-BC68-F16C0426CC27}"/>
    <cellStyle name="Normal 4 2 5 4 2 3" xfId="21224" xr:uid="{9F1F481E-3ACF-4C42-BA93-2634807CC3D5}"/>
    <cellStyle name="Normal 4 2 5 4 2 4" xfId="11943" xr:uid="{A04132FE-7E09-4141-96F7-727426BCA2FA}"/>
    <cellStyle name="Normal 4 2 5 4 3" xfId="5566" xr:uid="{00000000-0005-0000-0000-0000E7130000}"/>
    <cellStyle name="Normal 4 2 5 4 3 2" xfId="23296" xr:uid="{B33BF6E0-DE7C-4143-8324-5353C51DA013}"/>
    <cellStyle name="Normal 4 2 5 4 3 3" xfId="14016" xr:uid="{E319A489-9C4D-4EB1-8273-DB58E2DCE6E5}"/>
    <cellStyle name="Normal 4 2 5 4 4" xfId="19079" xr:uid="{175F0CC6-4971-4D13-B52E-AF82FED7ECB5}"/>
    <cellStyle name="Normal 4 2 5 4 5" xfId="9798" xr:uid="{A9C0B39A-B45F-437C-A25D-DC751A1A216F}"/>
    <cellStyle name="Normal 4 2 5 5" xfId="1672" xr:uid="{00000000-0005-0000-0000-0000E8130000}"/>
    <cellStyle name="Normal 4 2 5 5 2" xfId="3902" xr:uid="{00000000-0005-0000-0000-0000E9130000}"/>
    <cellStyle name="Normal 4 2 5 5 2 2" xfId="8124" xr:uid="{00000000-0005-0000-0000-0000EA130000}"/>
    <cellStyle name="Normal 4 2 5 5 2 2 2" xfId="25854" xr:uid="{EAA09EE5-4E05-4425-9CBA-0CB8CD641B20}"/>
    <cellStyle name="Normal 4 2 5 5 2 2 3" xfId="16574" xr:uid="{9D8021A6-CA5A-4228-9C7B-34E8E5AFFFB7}"/>
    <cellStyle name="Normal 4 2 5 5 2 3" xfId="21637" xr:uid="{FB5ADE2B-856B-4A23-8581-81BCE2CB89FF}"/>
    <cellStyle name="Normal 4 2 5 5 2 4" xfId="12356" xr:uid="{BC8B91E6-FE1B-4B4E-BC2C-36BE271936BA}"/>
    <cellStyle name="Normal 4 2 5 5 3" xfId="5979" xr:uid="{00000000-0005-0000-0000-0000EB130000}"/>
    <cellStyle name="Normal 4 2 5 5 3 2" xfId="23709" xr:uid="{C3E2B4A8-9D94-4A1C-8B5A-F6E470141F7F}"/>
    <cellStyle name="Normal 4 2 5 5 3 3" xfId="14429" xr:uid="{4A3BC639-425B-43D0-851C-2D044ECE1C69}"/>
    <cellStyle name="Normal 4 2 5 5 4" xfId="19492" xr:uid="{9CCDC4BD-239E-4699-8342-0A30FA00B992}"/>
    <cellStyle name="Normal 4 2 5 5 5" xfId="10211" xr:uid="{E2FFC09A-F12F-4B1D-987B-A053796BFD49}"/>
    <cellStyle name="Normal 4 2 5 6" xfId="2086" xr:uid="{00000000-0005-0000-0000-0000EC130000}"/>
    <cellStyle name="Normal 4 2 5 6 2" xfId="4315" xr:uid="{00000000-0005-0000-0000-0000ED130000}"/>
    <cellStyle name="Normal 4 2 5 6 2 2" xfId="8537" xr:uid="{00000000-0005-0000-0000-0000EE130000}"/>
    <cellStyle name="Normal 4 2 5 6 2 2 2" xfId="26267" xr:uid="{14E516EE-E031-4E58-8A24-D0E040A839CB}"/>
    <cellStyle name="Normal 4 2 5 6 2 2 3" xfId="16987" xr:uid="{C61AB523-D9D2-4953-BFBA-2528A1670125}"/>
    <cellStyle name="Normal 4 2 5 6 2 3" xfId="22050" xr:uid="{5F6BEDC5-886B-4E7D-B2C0-E846DB6120B2}"/>
    <cellStyle name="Normal 4 2 5 6 2 4" xfId="12769" xr:uid="{E31A5A49-5072-45DD-9F07-044D14188BEC}"/>
    <cellStyle name="Normal 4 2 5 6 3" xfId="6392" xr:uid="{00000000-0005-0000-0000-0000EF130000}"/>
    <cellStyle name="Normal 4 2 5 6 3 2" xfId="24122" xr:uid="{E4098E80-E245-49C2-A5C6-803605FBCC67}"/>
    <cellStyle name="Normal 4 2 5 6 3 3" xfId="14842" xr:uid="{6F07FD4A-27F4-4599-A25F-46FCA75B5BA0}"/>
    <cellStyle name="Normal 4 2 5 6 4" xfId="19905" xr:uid="{A76B544D-4347-4B1B-AB8E-AF465196CDDC}"/>
    <cellStyle name="Normal 4 2 5 6 5" xfId="10624" xr:uid="{F54B77FF-7097-4DE2-B7B0-CD72DE21D36C}"/>
    <cellStyle name="Normal 4 2 5 7" xfId="2522" xr:uid="{00000000-0005-0000-0000-0000F0130000}"/>
    <cellStyle name="Normal 4 2 5 7 2" xfId="6805" xr:uid="{00000000-0005-0000-0000-0000F1130000}"/>
    <cellStyle name="Normal 4 2 5 7 2 2" xfId="24535" xr:uid="{AEC9F95D-F99E-4A20-9078-5E8AFFC18AD2}"/>
    <cellStyle name="Normal 4 2 5 7 2 3" xfId="15255" xr:uid="{5B8AD666-998D-432A-97E4-4926AA244E60}"/>
    <cellStyle name="Normal 4 2 5 7 3" xfId="20318" xr:uid="{D09195CB-AC02-48C3-867E-22486BA4B6A0}"/>
    <cellStyle name="Normal 4 2 5 7 4" xfId="11037" xr:uid="{DAF25709-2859-468A-9670-663F6DD82E9B}"/>
    <cellStyle name="Normal 4 2 5 8" xfId="4740" xr:uid="{00000000-0005-0000-0000-0000F2130000}"/>
    <cellStyle name="Normal 4 2 5 8 2" xfId="22470" xr:uid="{6000D9AA-31C3-4C0B-94D9-5E844D3AE349}"/>
    <cellStyle name="Normal 4 2 5 8 3" xfId="13190" xr:uid="{6DEE0D59-60CF-43F1-9127-D98425EF950E}"/>
    <cellStyle name="Normal 4 2 5 9" xfId="18253" xr:uid="{568663D2-F9DC-4708-A4BD-753C2B4F4439}"/>
    <cellStyle name="Normal 4 2 6" xfId="365" xr:uid="{00000000-0005-0000-0000-0000F3130000}"/>
    <cellStyle name="Normal 4 2 6 10" xfId="8974" xr:uid="{CC02BDDE-2DC8-40DB-8081-ED1DF344DA98}"/>
    <cellStyle name="Normal 4 2 6 2" xfId="841" xr:uid="{00000000-0005-0000-0000-0000F4130000}"/>
    <cellStyle name="Normal 4 2 6 2 2" xfId="3078" xr:uid="{00000000-0005-0000-0000-0000F5130000}"/>
    <cellStyle name="Normal 4 2 6 2 2 2" xfId="7300" xr:uid="{00000000-0005-0000-0000-0000F6130000}"/>
    <cellStyle name="Normal 4 2 6 2 2 2 2" xfId="25030" xr:uid="{D6D2943F-DEFA-4ACD-8896-9146FAAE9DE6}"/>
    <cellStyle name="Normal 4 2 6 2 2 2 3" xfId="15750" xr:uid="{69A280D4-27A8-40E2-9358-27879210ED34}"/>
    <cellStyle name="Normal 4 2 6 2 2 3" xfId="20813" xr:uid="{2A80C0F9-BAF8-415B-8FB0-5A8525CA2C3F}"/>
    <cellStyle name="Normal 4 2 6 2 2 4" xfId="11532" xr:uid="{286972F3-9EC1-4CD6-BF4B-AC5A39F6C863}"/>
    <cellStyle name="Normal 4 2 6 2 3" xfId="5155" xr:uid="{00000000-0005-0000-0000-0000F7130000}"/>
    <cellStyle name="Normal 4 2 6 2 3 2" xfId="22885" xr:uid="{428894C2-7204-4569-A73B-B349BA36B344}"/>
    <cellStyle name="Normal 4 2 6 2 3 3" xfId="13605" xr:uid="{5D2CD592-55A4-44A9-AF51-9DE5996662CE}"/>
    <cellStyle name="Normal 4 2 6 2 4" xfId="18668" xr:uid="{4EDE2908-FED1-4EF8-B588-AD565A6C2F33}"/>
    <cellStyle name="Normal 4 2 6 2 5" xfId="17840" xr:uid="{24E35055-60E4-445D-BC04-B5F4DEE26CE3}"/>
    <cellStyle name="Normal 4 2 6 2 6" xfId="9387" xr:uid="{167FB3FF-F7CB-429E-BCA1-C447FBD7B451}"/>
    <cellStyle name="Normal 4 2 6 3" xfId="1261" xr:uid="{00000000-0005-0000-0000-0000F8130000}"/>
    <cellStyle name="Normal 4 2 6 3 2" xfId="3491" xr:uid="{00000000-0005-0000-0000-0000F9130000}"/>
    <cellStyle name="Normal 4 2 6 3 2 2" xfId="7713" xr:uid="{00000000-0005-0000-0000-0000FA130000}"/>
    <cellStyle name="Normal 4 2 6 3 2 2 2" xfId="25443" xr:uid="{A44A0C5B-7EC7-400D-B31C-668293D01422}"/>
    <cellStyle name="Normal 4 2 6 3 2 2 3" xfId="16163" xr:uid="{4E596EFA-7313-4B92-83F2-DA41B5551151}"/>
    <cellStyle name="Normal 4 2 6 3 2 3" xfId="21226" xr:uid="{1F41A015-70BE-4A3D-9EDA-106BECFA60AA}"/>
    <cellStyle name="Normal 4 2 6 3 2 4" xfId="11945" xr:uid="{E265C5F7-0CCE-4266-B525-6FBF9E5A62F6}"/>
    <cellStyle name="Normal 4 2 6 3 3" xfId="5568" xr:uid="{00000000-0005-0000-0000-0000FB130000}"/>
    <cellStyle name="Normal 4 2 6 3 3 2" xfId="23298" xr:uid="{71812CBC-0C29-4AE5-A7FC-462089F18043}"/>
    <cellStyle name="Normal 4 2 6 3 3 3" xfId="14018" xr:uid="{8F1FC36F-2454-42E6-9638-48137EDD0710}"/>
    <cellStyle name="Normal 4 2 6 3 4" xfId="19081" xr:uid="{40CA9EC0-AE53-4651-B09F-07771D2B2C80}"/>
    <cellStyle name="Normal 4 2 6 3 5" xfId="9800" xr:uid="{1AB0C348-DABE-4A55-86C6-1A0861AC3E1C}"/>
    <cellStyle name="Normal 4 2 6 4" xfId="1674" xr:uid="{00000000-0005-0000-0000-0000FC130000}"/>
    <cellStyle name="Normal 4 2 6 4 2" xfId="3904" xr:uid="{00000000-0005-0000-0000-0000FD130000}"/>
    <cellStyle name="Normal 4 2 6 4 2 2" xfId="8126" xr:uid="{00000000-0005-0000-0000-0000FE130000}"/>
    <cellStyle name="Normal 4 2 6 4 2 2 2" xfId="25856" xr:uid="{6316FBBF-7F76-4BA8-8254-33E962392C9E}"/>
    <cellStyle name="Normal 4 2 6 4 2 2 3" xfId="16576" xr:uid="{18663D6F-AB2D-47B2-A24B-6F47B7D00A32}"/>
    <cellStyle name="Normal 4 2 6 4 2 3" xfId="21639" xr:uid="{4F577A08-74B5-4431-824F-D19586146009}"/>
    <cellStyle name="Normal 4 2 6 4 2 4" xfId="12358" xr:uid="{5AF4C30B-E432-4E97-A275-00FF9655B074}"/>
    <cellStyle name="Normal 4 2 6 4 3" xfId="5981" xr:uid="{00000000-0005-0000-0000-0000FF130000}"/>
    <cellStyle name="Normal 4 2 6 4 3 2" xfId="23711" xr:uid="{25A6C2DF-B3CF-4FDC-8182-D46605AD55F8}"/>
    <cellStyle name="Normal 4 2 6 4 3 3" xfId="14431" xr:uid="{90493AA9-165B-41A5-A478-409EEB67B5F5}"/>
    <cellStyle name="Normal 4 2 6 4 4" xfId="19494" xr:uid="{49584537-16C2-4EC4-BB76-3A7C282BD2BE}"/>
    <cellStyle name="Normal 4 2 6 4 5" xfId="10213" xr:uid="{021CB988-0514-4DCF-BF07-2D0D4D2A11AC}"/>
    <cellStyle name="Normal 4 2 6 5" xfId="2088" xr:uid="{00000000-0005-0000-0000-000000140000}"/>
    <cellStyle name="Normal 4 2 6 5 2" xfId="4317" xr:uid="{00000000-0005-0000-0000-000001140000}"/>
    <cellStyle name="Normal 4 2 6 5 2 2" xfId="8539" xr:uid="{00000000-0005-0000-0000-000002140000}"/>
    <cellStyle name="Normal 4 2 6 5 2 2 2" xfId="26269" xr:uid="{43797C75-D73B-4F88-8F50-C51A90769299}"/>
    <cellStyle name="Normal 4 2 6 5 2 2 3" xfId="16989" xr:uid="{3BFEDEEF-7444-4B7A-BC2A-A57A82958C36}"/>
    <cellStyle name="Normal 4 2 6 5 2 3" xfId="22052" xr:uid="{179358A5-F57C-4B19-AB4B-DF278482C554}"/>
    <cellStyle name="Normal 4 2 6 5 2 4" xfId="12771" xr:uid="{9F5334A3-3248-49B6-8EFF-EE428263FCA7}"/>
    <cellStyle name="Normal 4 2 6 5 3" xfId="6394" xr:uid="{00000000-0005-0000-0000-000003140000}"/>
    <cellStyle name="Normal 4 2 6 5 3 2" xfId="24124" xr:uid="{6939B067-B61F-4E8A-BAE3-115406F73903}"/>
    <cellStyle name="Normal 4 2 6 5 3 3" xfId="14844" xr:uid="{B7172241-7FE7-47CD-89D2-3F13B6C2B32B}"/>
    <cellStyle name="Normal 4 2 6 5 4" xfId="19907" xr:uid="{C6E2F068-13E4-4842-B4B3-A6C3055E326E}"/>
    <cellStyle name="Normal 4 2 6 5 5" xfId="10626" xr:uid="{DCAB63EC-3DFF-4CEB-9C88-B3BC0E177889}"/>
    <cellStyle name="Normal 4 2 6 6" xfId="2524" xr:uid="{00000000-0005-0000-0000-000004140000}"/>
    <cellStyle name="Normal 4 2 6 6 2" xfId="6807" xr:uid="{00000000-0005-0000-0000-000005140000}"/>
    <cellStyle name="Normal 4 2 6 6 2 2" xfId="24537" xr:uid="{579849F9-4326-4166-A484-F8AAC24DA616}"/>
    <cellStyle name="Normal 4 2 6 6 2 3" xfId="15257" xr:uid="{BF34EFCB-438C-4C9E-B398-D31F826260FA}"/>
    <cellStyle name="Normal 4 2 6 6 3" xfId="20320" xr:uid="{600A50D2-93F2-45C7-9E49-A4E81E602085}"/>
    <cellStyle name="Normal 4 2 6 6 4" xfId="11039" xr:uid="{CA4F535E-A884-4175-B1D5-B2E65D7940AD}"/>
    <cellStyle name="Normal 4 2 6 7" xfId="4742" xr:uid="{00000000-0005-0000-0000-000006140000}"/>
    <cellStyle name="Normal 4 2 6 7 2" xfId="22472" xr:uid="{B6B13354-667D-419F-A3B2-C4872EE70EC3}"/>
    <cellStyle name="Normal 4 2 6 7 3" xfId="13192" xr:uid="{5B6056F3-9CE4-43DA-A67F-6B58164E9738}"/>
    <cellStyle name="Normal 4 2 6 8" xfId="18255" xr:uid="{881FC872-3174-4220-AC56-AE770F05DE93}"/>
    <cellStyle name="Normal 4 2 6 9" xfId="17421" xr:uid="{2EAB2E9F-FEE0-4615-98AE-3AF5E4C55C1B}"/>
    <cellStyle name="Normal 4 3" xfId="366" xr:uid="{00000000-0005-0000-0000-000007140000}"/>
    <cellStyle name="Normal 4 3 10" xfId="18256" xr:uid="{E43F4C8C-E55E-4280-B191-012F511E39CD}"/>
    <cellStyle name="Normal 4 3 11" xfId="17422" xr:uid="{DD4C2595-CCE5-4FF5-BE2F-B7544338C3AD}"/>
    <cellStyle name="Normal 4 3 12" xfId="8975" xr:uid="{49542D1C-90ED-446D-BCC7-B776374BA03B}"/>
    <cellStyle name="Normal 4 3 2" xfId="367" xr:uid="{00000000-0005-0000-0000-000008140000}"/>
    <cellStyle name="Normal 4 3 2 2" xfId="368" xr:uid="{00000000-0005-0000-0000-000009140000}"/>
    <cellStyle name="Normal 4 3 2 2 2" xfId="369" xr:uid="{00000000-0005-0000-0000-00000A140000}"/>
    <cellStyle name="Normal 4 3 2 2 2 10" xfId="18257" xr:uid="{2DAEB0C0-B73F-4DBC-8593-401577D9EA50}"/>
    <cellStyle name="Normal 4 3 2 2 2 11" xfId="17423" xr:uid="{111DCD2C-86BA-47B4-8938-0291E5C980D7}"/>
    <cellStyle name="Normal 4 3 2 2 2 12" xfId="8976" xr:uid="{1A90644E-6F92-47C1-97B4-7EA60255878C}"/>
    <cellStyle name="Normal 4 3 2 2 2 2" xfId="370" xr:uid="{00000000-0005-0000-0000-00000B140000}"/>
    <cellStyle name="Normal 4 3 2 2 2 2 10" xfId="17424" xr:uid="{BB7088A1-2ED6-44F9-B2F8-E80638910F69}"/>
    <cellStyle name="Normal 4 3 2 2 2 2 11" xfId="8977" xr:uid="{2A78964E-5B63-4191-B2C6-D35839C74DD6}"/>
    <cellStyle name="Normal 4 3 2 2 2 2 2" xfId="371" xr:uid="{00000000-0005-0000-0000-00000C140000}"/>
    <cellStyle name="Normal 4 3 2 2 2 2 2 10" xfId="8978" xr:uid="{032D69E9-53F5-4820-B9E6-907EEE78B60A}"/>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25034" xr:uid="{EE44C43C-78BA-46A8-B67B-5A8ADC21F3D3}"/>
    <cellStyle name="Normal 4 3 2 2 2 2 2 2 2 2 3" xfId="15754" xr:uid="{C89AFFC8-EDAA-4F8C-918D-28DF69F38267}"/>
    <cellStyle name="Normal 4 3 2 2 2 2 2 2 2 3" xfId="20817" xr:uid="{B9BA53F0-1AA2-4EF6-88FD-EC24A36B8D29}"/>
    <cellStyle name="Normal 4 3 2 2 2 2 2 2 2 4" xfId="11536" xr:uid="{508E670A-F99E-4189-8904-7F0478A52834}"/>
    <cellStyle name="Normal 4 3 2 2 2 2 2 2 3" xfId="5159" xr:uid="{00000000-0005-0000-0000-000010140000}"/>
    <cellStyle name="Normal 4 3 2 2 2 2 2 2 3 2" xfId="22889" xr:uid="{CE5887A7-E6D9-4520-9363-A57B25EF3B25}"/>
    <cellStyle name="Normal 4 3 2 2 2 2 2 2 3 3" xfId="13609" xr:uid="{293E615D-2F0E-462E-AFE5-BF6BD5A382C3}"/>
    <cellStyle name="Normal 4 3 2 2 2 2 2 2 4" xfId="18672" xr:uid="{C0F11A97-A589-4238-9A56-F7053D909C4B}"/>
    <cellStyle name="Normal 4 3 2 2 2 2 2 2 5" xfId="17844" xr:uid="{88C9842A-C6EC-43AE-8A0F-5F47374098D7}"/>
    <cellStyle name="Normal 4 3 2 2 2 2 2 2 6" xfId="9391" xr:uid="{1E82D2A1-870F-4E15-B12B-10E25F8AC0BB}"/>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25447" xr:uid="{3CD909A0-8495-4BFB-A0F1-5081046ABD98}"/>
    <cellStyle name="Normal 4 3 2 2 2 2 2 3 2 2 3" xfId="16167" xr:uid="{A8C9B623-D9FC-4A2E-9B55-033CA73F5407}"/>
    <cellStyle name="Normal 4 3 2 2 2 2 2 3 2 3" xfId="21230" xr:uid="{1EAF2237-D73D-4D9A-B0C0-7CBBA6BB83D3}"/>
    <cellStyle name="Normal 4 3 2 2 2 2 2 3 2 4" xfId="11949" xr:uid="{88AA4605-FF77-460C-97E0-793EA943929C}"/>
    <cellStyle name="Normal 4 3 2 2 2 2 2 3 3" xfId="5572" xr:uid="{00000000-0005-0000-0000-000014140000}"/>
    <cellStyle name="Normal 4 3 2 2 2 2 2 3 3 2" xfId="23302" xr:uid="{436FE7F1-0CA2-4649-A82C-72F7C88F9134}"/>
    <cellStyle name="Normal 4 3 2 2 2 2 2 3 3 3" xfId="14022" xr:uid="{287E53CA-09C1-4DC1-A15A-AA94D32E90FD}"/>
    <cellStyle name="Normal 4 3 2 2 2 2 2 3 4" xfId="19085" xr:uid="{FA744577-6ABC-4A84-9CC6-CDFE9DA53B31}"/>
    <cellStyle name="Normal 4 3 2 2 2 2 2 3 5" xfId="9804" xr:uid="{EAE6534E-58CC-4502-BC1E-FC6C00B742FA}"/>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25860" xr:uid="{BC025460-BFAE-45C1-9F64-556F73FC3F9D}"/>
    <cellStyle name="Normal 4 3 2 2 2 2 2 4 2 2 3" xfId="16580" xr:uid="{EF6F357D-74CC-4787-BA60-C08860B365DB}"/>
    <cellStyle name="Normal 4 3 2 2 2 2 2 4 2 3" xfId="21643" xr:uid="{D763CE55-AA4A-49BB-8EA1-565236F41090}"/>
    <cellStyle name="Normal 4 3 2 2 2 2 2 4 2 4" xfId="12362" xr:uid="{DCF5D224-EA5C-484D-9B93-3402621FB3FE}"/>
    <cellStyle name="Normal 4 3 2 2 2 2 2 4 3" xfId="5985" xr:uid="{00000000-0005-0000-0000-000018140000}"/>
    <cellStyle name="Normal 4 3 2 2 2 2 2 4 3 2" xfId="23715" xr:uid="{00ADE3B4-1A99-4D39-81BE-954AF924AF9A}"/>
    <cellStyle name="Normal 4 3 2 2 2 2 2 4 3 3" xfId="14435" xr:uid="{E7D0C15A-93E7-4256-B5C2-9481A474A1AC}"/>
    <cellStyle name="Normal 4 3 2 2 2 2 2 4 4" xfId="19498" xr:uid="{6C3A6F53-5FE5-4FFD-95D6-AE6D81A82130}"/>
    <cellStyle name="Normal 4 3 2 2 2 2 2 4 5" xfId="10217" xr:uid="{A965D638-5DDB-4992-84B7-AF9E1E2F5295}"/>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26273" xr:uid="{7103E655-2FD3-41A4-8C59-6942224F3FB7}"/>
    <cellStyle name="Normal 4 3 2 2 2 2 2 5 2 2 3" xfId="16993" xr:uid="{629705C2-AFE3-441C-8E22-F2638554C8C1}"/>
    <cellStyle name="Normal 4 3 2 2 2 2 2 5 2 3" xfId="22056" xr:uid="{4A9A05C2-DA97-4A36-8F9C-2A68166C51B8}"/>
    <cellStyle name="Normal 4 3 2 2 2 2 2 5 2 4" xfId="12775" xr:uid="{F0549614-0779-42F9-93F4-B6B76AEA22B4}"/>
    <cellStyle name="Normal 4 3 2 2 2 2 2 5 3" xfId="6398" xr:uid="{00000000-0005-0000-0000-00001C140000}"/>
    <cellStyle name="Normal 4 3 2 2 2 2 2 5 3 2" xfId="24128" xr:uid="{6AFFA4AA-018B-4B3C-B5BD-CC009A0DD732}"/>
    <cellStyle name="Normal 4 3 2 2 2 2 2 5 3 3" xfId="14848" xr:uid="{B14823DE-D9BC-4BE6-81DB-1E8909C3E286}"/>
    <cellStyle name="Normal 4 3 2 2 2 2 2 5 4" xfId="19911" xr:uid="{5CA449F3-5DFA-468F-AC29-D8CA3003AAD3}"/>
    <cellStyle name="Normal 4 3 2 2 2 2 2 5 5" xfId="10630" xr:uid="{A9CDEEE2-459B-4681-9849-2F21541261AD}"/>
    <cellStyle name="Normal 4 3 2 2 2 2 2 6" xfId="2528" xr:uid="{00000000-0005-0000-0000-00001D140000}"/>
    <cellStyle name="Normal 4 3 2 2 2 2 2 6 2" xfId="6811" xr:uid="{00000000-0005-0000-0000-00001E140000}"/>
    <cellStyle name="Normal 4 3 2 2 2 2 2 6 2 2" xfId="24541" xr:uid="{678FF5C1-C065-4FE8-AFC7-D592D4F4FD71}"/>
    <cellStyle name="Normal 4 3 2 2 2 2 2 6 2 3" xfId="15261" xr:uid="{C4B243F5-2299-4B90-AA50-EDC693FC3524}"/>
    <cellStyle name="Normal 4 3 2 2 2 2 2 6 3" xfId="20324" xr:uid="{F582F69E-68FF-462D-AB57-95835A498E95}"/>
    <cellStyle name="Normal 4 3 2 2 2 2 2 6 4" xfId="11043" xr:uid="{2884E972-0B31-4024-81C1-8B146F5EFFFD}"/>
    <cellStyle name="Normal 4 3 2 2 2 2 2 7" xfId="4746" xr:uid="{00000000-0005-0000-0000-00001F140000}"/>
    <cellStyle name="Normal 4 3 2 2 2 2 2 7 2" xfId="22476" xr:uid="{4DD327F5-4B39-4F42-874E-7198D109653F}"/>
    <cellStyle name="Normal 4 3 2 2 2 2 2 7 3" xfId="13196" xr:uid="{1D7877E5-EB5C-43F4-9ADD-B9B16386EDC3}"/>
    <cellStyle name="Normal 4 3 2 2 2 2 2 8" xfId="18259" xr:uid="{4A509D4D-D103-4A24-BE01-867BF92CB5A9}"/>
    <cellStyle name="Normal 4 3 2 2 2 2 2 9" xfId="17425" xr:uid="{47DEB6E1-8279-4316-9C1C-56E04F19FFA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25033" xr:uid="{7651A539-4F94-481D-99B4-57A1808F2E27}"/>
    <cellStyle name="Normal 4 3 2 2 2 2 3 2 2 3" xfId="15753" xr:uid="{9FBAC8D6-685F-4524-B031-B7FF054E5445}"/>
    <cellStyle name="Normal 4 3 2 2 2 2 3 2 3" xfId="20816" xr:uid="{E57A9D4A-7BB7-41EF-B433-914D21919FF8}"/>
    <cellStyle name="Normal 4 3 2 2 2 2 3 2 4" xfId="11535" xr:uid="{9BFA9DEE-64E1-42D1-B45D-2E880AEFA84B}"/>
    <cellStyle name="Normal 4 3 2 2 2 2 3 3" xfId="5158" xr:uid="{00000000-0005-0000-0000-000023140000}"/>
    <cellStyle name="Normal 4 3 2 2 2 2 3 3 2" xfId="22888" xr:uid="{0EDD2E5F-FFB8-4A69-A5C7-CDFE9216A4EB}"/>
    <cellStyle name="Normal 4 3 2 2 2 2 3 3 3" xfId="13608" xr:uid="{2774270E-27CA-4987-92F9-31EBA4DC3132}"/>
    <cellStyle name="Normal 4 3 2 2 2 2 3 4" xfId="18671" xr:uid="{1BA77744-41A0-41EF-AD41-7D0662A45F98}"/>
    <cellStyle name="Normal 4 3 2 2 2 2 3 5" xfId="17843" xr:uid="{C4292820-9BCC-4712-9915-E4C38F0DE17B}"/>
    <cellStyle name="Normal 4 3 2 2 2 2 3 6" xfId="9390" xr:uid="{DCACB9E3-39A2-4184-9206-BFE64596B6E5}"/>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25446" xr:uid="{E2A8CD0E-4322-43B5-BDC1-29AB4691D1C6}"/>
    <cellStyle name="Normal 4 3 2 2 2 2 4 2 2 3" xfId="16166" xr:uid="{85EE9D10-FD28-4AF0-A2FB-E05A42C8711E}"/>
    <cellStyle name="Normal 4 3 2 2 2 2 4 2 3" xfId="21229" xr:uid="{9F7DFC96-A570-4FAA-96BE-DF8C12F29E65}"/>
    <cellStyle name="Normal 4 3 2 2 2 2 4 2 4" xfId="11948" xr:uid="{6B6BF09E-92A5-491A-A6CB-80FCDBF7B7A3}"/>
    <cellStyle name="Normal 4 3 2 2 2 2 4 3" xfId="5571" xr:uid="{00000000-0005-0000-0000-000027140000}"/>
    <cellStyle name="Normal 4 3 2 2 2 2 4 3 2" xfId="23301" xr:uid="{04B401BA-D99A-4522-A763-2A8A55C29245}"/>
    <cellStyle name="Normal 4 3 2 2 2 2 4 3 3" xfId="14021" xr:uid="{C3DEDF84-30E8-4094-A1FB-730099E7370B}"/>
    <cellStyle name="Normal 4 3 2 2 2 2 4 4" xfId="19084" xr:uid="{75FCCEA2-DCC8-4E1B-B2C4-28A83FCAECFF}"/>
    <cellStyle name="Normal 4 3 2 2 2 2 4 5" xfId="9803" xr:uid="{1C1B6D3D-7B33-4C94-8510-322F2A453E7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25859" xr:uid="{3E9D9985-DAA0-4938-8F7C-0C321A452A5D}"/>
    <cellStyle name="Normal 4 3 2 2 2 2 5 2 2 3" xfId="16579" xr:uid="{A27CE885-88BA-4AD3-BC54-AA25D6569F4C}"/>
    <cellStyle name="Normal 4 3 2 2 2 2 5 2 3" xfId="21642" xr:uid="{EF607162-3B99-40CB-9CF6-A6ABFC0884C0}"/>
    <cellStyle name="Normal 4 3 2 2 2 2 5 2 4" xfId="12361" xr:uid="{9DAEBDFC-8DDA-4331-BBEC-4AB4D5E14C7C}"/>
    <cellStyle name="Normal 4 3 2 2 2 2 5 3" xfId="5984" xr:uid="{00000000-0005-0000-0000-00002B140000}"/>
    <cellStyle name="Normal 4 3 2 2 2 2 5 3 2" xfId="23714" xr:uid="{33858985-468D-4AF3-9577-13423064D02A}"/>
    <cellStyle name="Normal 4 3 2 2 2 2 5 3 3" xfId="14434" xr:uid="{B98344A0-981D-4333-A9A4-CCA25B21BBBA}"/>
    <cellStyle name="Normal 4 3 2 2 2 2 5 4" xfId="19497" xr:uid="{6E8774AA-FD2A-4940-AE3C-692A1046B07D}"/>
    <cellStyle name="Normal 4 3 2 2 2 2 5 5" xfId="10216" xr:uid="{18B44890-E2FF-4606-A436-62D5411F003D}"/>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26272" xr:uid="{A1C2C3FA-9AB6-4C7C-A344-857B25D7032A}"/>
    <cellStyle name="Normal 4 3 2 2 2 2 6 2 2 3" xfId="16992" xr:uid="{D1FEF5D4-5A63-4B7C-8D00-4C5E3DA25DB9}"/>
    <cellStyle name="Normal 4 3 2 2 2 2 6 2 3" xfId="22055" xr:uid="{247ABCEC-660E-479A-A303-69F533CC4B9E}"/>
    <cellStyle name="Normal 4 3 2 2 2 2 6 2 4" xfId="12774" xr:uid="{AE3A2C48-CE36-425B-AFC3-D78AEA38C254}"/>
    <cellStyle name="Normal 4 3 2 2 2 2 6 3" xfId="6397" xr:uid="{00000000-0005-0000-0000-00002F140000}"/>
    <cellStyle name="Normal 4 3 2 2 2 2 6 3 2" xfId="24127" xr:uid="{9D604C4D-C9EF-436A-B87F-CA4397ACD520}"/>
    <cellStyle name="Normal 4 3 2 2 2 2 6 3 3" xfId="14847" xr:uid="{727B932B-3686-4448-A05F-B9D9AD0F4D63}"/>
    <cellStyle name="Normal 4 3 2 2 2 2 6 4" xfId="19910" xr:uid="{14F73B2F-1EA6-483B-B8D5-073D482C8A5C}"/>
    <cellStyle name="Normal 4 3 2 2 2 2 6 5" xfId="10629" xr:uid="{656C968F-FBC5-46A4-A914-9C81B6D345AB}"/>
    <cellStyle name="Normal 4 3 2 2 2 2 7" xfId="2527" xr:uid="{00000000-0005-0000-0000-000030140000}"/>
    <cellStyle name="Normal 4 3 2 2 2 2 7 2" xfId="6810" xr:uid="{00000000-0005-0000-0000-000031140000}"/>
    <cellStyle name="Normal 4 3 2 2 2 2 7 2 2" xfId="24540" xr:uid="{A609C238-DEF4-4153-A3BD-2FE4D10EF518}"/>
    <cellStyle name="Normal 4 3 2 2 2 2 7 2 3" xfId="15260" xr:uid="{968982BB-11D8-44E9-976B-73A8AF92410D}"/>
    <cellStyle name="Normal 4 3 2 2 2 2 7 3" xfId="20323" xr:uid="{6451F3C7-298D-4F64-BC69-A4F2A7BC6FDE}"/>
    <cellStyle name="Normal 4 3 2 2 2 2 7 4" xfId="11042" xr:uid="{5FE7CA73-27E4-4FCD-AB73-619BF2F32916}"/>
    <cellStyle name="Normal 4 3 2 2 2 2 8" xfId="4745" xr:uid="{00000000-0005-0000-0000-000032140000}"/>
    <cellStyle name="Normal 4 3 2 2 2 2 8 2" xfId="22475" xr:uid="{41DB048A-80C0-4855-99E3-5C8A71B0CE79}"/>
    <cellStyle name="Normal 4 3 2 2 2 2 8 3" xfId="13195" xr:uid="{CC8E3D62-1EBA-4125-87FF-57693234FE7E}"/>
    <cellStyle name="Normal 4 3 2 2 2 2 9" xfId="18258" xr:uid="{8CBA0EAF-1ADA-4118-8E95-5EED2E81E202}"/>
    <cellStyle name="Normal 4 3 2 2 2 3" xfId="372" xr:uid="{00000000-0005-0000-0000-000033140000}"/>
    <cellStyle name="Normal 4 3 2 2 2 3 10" xfId="8979" xr:uid="{42C96037-24F4-4624-B159-B0306A1C75F3}"/>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25035" xr:uid="{A643FA12-1364-4304-A7D0-93E81DC0CBD9}"/>
    <cellStyle name="Normal 4 3 2 2 2 3 2 2 2 3" xfId="15755" xr:uid="{EE3B6BC0-7161-40C2-ABC0-FC251E3F51F2}"/>
    <cellStyle name="Normal 4 3 2 2 2 3 2 2 3" xfId="20818" xr:uid="{FCC54031-2275-4DFA-9E3C-5E918C708FD3}"/>
    <cellStyle name="Normal 4 3 2 2 2 3 2 2 4" xfId="11537" xr:uid="{163A4904-2B56-4209-9216-EB232F4D1288}"/>
    <cellStyle name="Normal 4 3 2 2 2 3 2 3" xfId="5160" xr:uid="{00000000-0005-0000-0000-000037140000}"/>
    <cellStyle name="Normal 4 3 2 2 2 3 2 3 2" xfId="22890" xr:uid="{960629A0-6E19-4A5B-BCCC-AD9E1E236D71}"/>
    <cellStyle name="Normal 4 3 2 2 2 3 2 3 3" xfId="13610" xr:uid="{224B8844-1BBE-44D9-A4F8-4C3EE3417E24}"/>
    <cellStyle name="Normal 4 3 2 2 2 3 2 4" xfId="18673" xr:uid="{1161C081-264D-4C21-9D46-FDA662C33511}"/>
    <cellStyle name="Normal 4 3 2 2 2 3 2 5" xfId="17845" xr:uid="{8303FB54-5EF6-43B3-BC5E-D9C95136F84F}"/>
    <cellStyle name="Normal 4 3 2 2 2 3 2 6" xfId="9392" xr:uid="{B4EA85A3-E013-4990-84AF-CE652583E189}"/>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25448" xr:uid="{3672A74E-157D-469E-A6C8-C4CAC606D0CB}"/>
    <cellStyle name="Normal 4 3 2 2 2 3 3 2 2 3" xfId="16168" xr:uid="{021D14A4-B8EB-4CCE-BCB7-4B52B9EFCA35}"/>
    <cellStyle name="Normal 4 3 2 2 2 3 3 2 3" xfId="21231" xr:uid="{37AF72CD-DCDD-48FE-B161-0624B036B212}"/>
    <cellStyle name="Normal 4 3 2 2 2 3 3 2 4" xfId="11950" xr:uid="{381B7D90-72A2-4195-96B8-CB5F8A23CFB9}"/>
    <cellStyle name="Normal 4 3 2 2 2 3 3 3" xfId="5573" xr:uid="{00000000-0005-0000-0000-00003B140000}"/>
    <cellStyle name="Normal 4 3 2 2 2 3 3 3 2" xfId="23303" xr:uid="{8084F4AC-7B63-48A7-9679-8B261AFABEA9}"/>
    <cellStyle name="Normal 4 3 2 2 2 3 3 3 3" xfId="14023" xr:uid="{778C4C92-87BB-4274-B53D-BF1AA6FEDC1A}"/>
    <cellStyle name="Normal 4 3 2 2 2 3 3 4" xfId="19086" xr:uid="{89B037AD-AFF0-4D10-99CF-98D0F68EA893}"/>
    <cellStyle name="Normal 4 3 2 2 2 3 3 5" xfId="9805" xr:uid="{CAD62B0C-A0F0-4783-AEE7-EF08153E4ED2}"/>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25861" xr:uid="{A4FE9FF1-4D77-4B7C-AA56-DA8962F057D1}"/>
    <cellStyle name="Normal 4 3 2 2 2 3 4 2 2 3" xfId="16581" xr:uid="{3E952154-9D77-469A-BD2D-7AA5AB52310D}"/>
    <cellStyle name="Normal 4 3 2 2 2 3 4 2 3" xfId="21644" xr:uid="{8B133111-B75C-49FB-A448-64A5C72823ED}"/>
    <cellStyle name="Normal 4 3 2 2 2 3 4 2 4" xfId="12363" xr:uid="{68AEC290-94F0-4DF8-9468-1268ED7C75B1}"/>
    <cellStyle name="Normal 4 3 2 2 2 3 4 3" xfId="5986" xr:uid="{00000000-0005-0000-0000-00003F140000}"/>
    <cellStyle name="Normal 4 3 2 2 2 3 4 3 2" xfId="23716" xr:uid="{5C93E220-29F4-4FF9-B602-22A243965DF9}"/>
    <cellStyle name="Normal 4 3 2 2 2 3 4 3 3" xfId="14436" xr:uid="{A0CBB645-7E59-4905-9F56-4F14AB2D48B0}"/>
    <cellStyle name="Normal 4 3 2 2 2 3 4 4" xfId="19499" xr:uid="{0E6D9A11-4439-4C6F-A3AE-3293F87F9C15}"/>
    <cellStyle name="Normal 4 3 2 2 2 3 4 5" xfId="10218" xr:uid="{EA28E07C-2F0B-4FD3-8EDE-3277F767DEB6}"/>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26274" xr:uid="{651EF345-5DF9-4097-BD0B-790A9D254C21}"/>
    <cellStyle name="Normal 4 3 2 2 2 3 5 2 2 3" xfId="16994" xr:uid="{41A871A5-A7B7-48C6-8B21-49D4E830FAFE}"/>
    <cellStyle name="Normal 4 3 2 2 2 3 5 2 3" xfId="22057" xr:uid="{69B9F8F0-10B1-4693-88E9-52005D535B44}"/>
    <cellStyle name="Normal 4 3 2 2 2 3 5 2 4" xfId="12776" xr:uid="{82048361-3D9A-4B7F-9EC4-FF39A032610A}"/>
    <cellStyle name="Normal 4 3 2 2 2 3 5 3" xfId="6399" xr:uid="{00000000-0005-0000-0000-000043140000}"/>
    <cellStyle name="Normal 4 3 2 2 2 3 5 3 2" xfId="24129" xr:uid="{90B20716-FCC8-49B2-821D-BF7D29A81BFF}"/>
    <cellStyle name="Normal 4 3 2 2 2 3 5 3 3" xfId="14849" xr:uid="{B3915855-803A-4A00-B4AE-897BE1C491A6}"/>
    <cellStyle name="Normal 4 3 2 2 2 3 5 4" xfId="19912" xr:uid="{CA36E3A0-4B82-420D-A139-0C4F3C02C9DF}"/>
    <cellStyle name="Normal 4 3 2 2 2 3 5 5" xfId="10631" xr:uid="{BC060C7C-EA1E-4168-BB63-A4FD534DEE92}"/>
    <cellStyle name="Normal 4 3 2 2 2 3 6" xfId="2529" xr:uid="{00000000-0005-0000-0000-000044140000}"/>
    <cellStyle name="Normal 4 3 2 2 2 3 6 2" xfId="6812" xr:uid="{00000000-0005-0000-0000-000045140000}"/>
    <cellStyle name="Normal 4 3 2 2 2 3 6 2 2" xfId="24542" xr:uid="{38F816AE-FDE1-4A2A-8164-22233755A1F8}"/>
    <cellStyle name="Normal 4 3 2 2 2 3 6 2 3" xfId="15262" xr:uid="{9D488A6B-BAA2-4954-B9A4-2F6FD1F19518}"/>
    <cellStyle name="Normal 4 3 2 2 2 3 6 3" xfId="20325" xr:uid="{118B9E6B-43C6-4C33-BFCD-2FC4795032C1}"/>
    <cellStyle name="Normal 4 3 2 2 2 3 6 4" xfId="11044" xr:uid="{DF7B6359-8308-4119-B77D-3FD23959BADA}"/>
    <cellStyle name="Normal 4 3 2 2 2 3 7" xfId="4747" xr:uid="{00000000-0005-0000-0000-000046140000}"/>
    <cellStyle name="Normal 4 3 2 2 2 3 7 2" xfId="22477" xr:uid="{A24F8D6B-A8C0-433D-A640-11103E732D83}"/>
    <cellStyle name="Normal 4 3 2 2 2 3 7 3" xfId="13197" xr:uid="{3376017E-300B-4660-96E7-E372C84401A1}"/>
    <cellStyle name="Normal 4 3 2 2 2 3 8" xfId="18260" xr:uid="{0142BF33-7C1D-41C3-A1ED-6265CF4FEC24}"/>
    <cellStyle name="Normal 4 3 2 2 2 3 9" xfId="17426" xr:uid="{1A01F2C0-4AE4-4F41-B775-AE1E51F54826}"/>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25032" xr:uid="{DD603423-F2A5-4478-A7BE-49FCD1CA88AF}"/>
    <cellStyle name="Normal 4 3 2 2 2 4 2 2 3" xfId="15752" xr:uid="{6742F1B1-44C9-4267-8A08-507D5E7E7257}"/>
    <cellStyle name="Normal 4 3 2 2 2 4 2 3" xfId="20815" xr:uid="{896E4C45-765C-42DD-83BC-12CAD528F79F}"/>
    <cellStyle name="Normal 4 3 2 2 2 4 2 4" xfId="11534" xr:uid="{74F92898-77A6-407F-B400-70FBE9661466}"/>
    <cellStyle name="Normal 4 3 2 2 2 4 3" xfId="5157" xr:uid="{00000000-0005-0000-0000-00004A140000}"/>
    <cellStyle name="Normal 4 3 2 2 2 4 3 2" xfId="22887" xr:uid="{247A52C4-B2BD-4E96-861F-5FF0CD585B3F}"/>
    <cellStyle name="Normal 4 3 2 2 2 4 3 3" xfId="13607" xr:uid="{BEE69387-3283-43F2-98FF-10C34BE7BA7C}"/>
    <cellStyle name="Normal 4 3 2 2 2 4 4" xfId="18670" xr:uid="{516BFA0B-4D41-4149-902D-690E073D3555}"/>
    <cellStyle name="Normal 4 3 2 2 2 4 5" xfId="17842" xr:uid="{AEC0679F-2410-4930-A988-D68343FBF27E}"/>
    <cellStyle name="Normal 4 3 2 2 2 4 6" xfId="9389" xr:uid="{5B58BD7E-A6A0-45B8-8B75-2ACE3D9979EA}"/>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25445" xr:uid="{3AE5AFAA-B316-4A60-9EA9-18D54642CB95}"/>
    <cellStyle name="Normal 4 3 2 2 2 5 2 2 3" xfId="16165" xr:uid="{84CAC808-C33B-4BB4-B205-8B36EDC8863B}"/>
    <cellStyle name="Normal 4 3 2 2 2 5 2 3" xfId="21228" xr:uid="{0DDE0840-874E-4553-A7A5-BC4C54864689}"/>
    <cellStyle name="Normal 4 3 2 2 2 5 2 4" xfId="11947" xr:uid="{38882651-FAEB-498B-BE58-26E575510B46}"/>
    <cellStyle name="Normal 4 3 2 2 2 5 3" xfId="5570" xr:uid="{00000000-0005-0000-0000-00004E140000}"/>
    <cellStyle name="Normal 4 3 2 2 2 5 3 2" xfId="23300" xr:uid="{5EE39F69-0DCB-4927-9CFE-D3260D56B03E}"/>
    <cellStyle name="Normal 4 3 2 2 2 5 3 3" xfId="14020" xr:uid="{0501CAA7-BC9E-4E56-9136-0CE48EF267AA}"/>
    <cellStyle name="Normal 4 3 2 2 2 5 4" xfId="19083" xr:uid="{62B59EC3-88A9-413A-9F0B-AD721441FE73}"/>
    <cellStyle name="Normal 4 3 2 2 2 5 5" xfId="9802" xr:uid="{DB4024DD-C047-4448-B561-6BCF9A62F02F}"/>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25858" xr:uid="{B7CC3345-41D3-42B1-8CFE-4B0FE6F4E8BC}"/>
    <cellStyle name="Normal 4 3 2 2 2 6 2 2 3" xfId="16578" xr:uid="{71B373AE-47BD-4CF7-8C01-F3CBF9A41ABB}"/>
    <cellStyle name="Normal 4 3 2 2 2 6 2 3" xfId="21641" xr:uid="{8D7B955F-1701-43B9-975D-E1207DD8B5DE}"/>
    <cellStyle name="Normal 4 3 2 2 2 6 2 4" xfId="12360" xr:uid="{D27DB8D7-49C9-40D6-B5BE-56DA30D832F7}"/>
    <cellStyle name="Normal 4 3 2 2 2 6 3" xfId="5983" xr:uid="{00000000-0005-0000-0000-000052140000}"/>
    <cellStyle name="Normal 4 3 2 2 2 6 3 2" xfId="23713" xr:uid="{B59D2908-B04F-492A-8401-8E2C2C8ADB33}"/>
    <cellStyle name="Normal 4 3 2 2 2 6 3 3" xfId="14433" xr:uid="{A213C838-5A18-4C4D-A278-B87EDF674895}"/>
    <cellStyle name="Normal 4 3 2 2 2 6 4" xfId="19496" xr:uid="{EE4C5AD8-503A-40AE-9C1B-2D364F584943}"/>
    <cellStyle name="Normal 4 3 2 2 2 6 5" xfId="10215" xr:uid="{369A33CB-9948-4383-901C-161BE91BABD5}"/>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26271" xr:uid="{85E63B3D-7DE7-4927-879E-26B57CF1A391}"/>
    <cellStyle name="Normal 4 3 2 2 2 7 2 2 3" xfId="16991" xr:uid="{B49CE0DF-A837-48A6-B679-7815B09A7908}"/>
    <cellStyle name="Normal 4 3 2 2 2 7 2 3" xfId="22054" xr:uid="{1C8CAF48-062E-4BE1-B92C-9EBBE395F6C8}"/>
    <cellStyle name="Normal 4 3 2 2 2 7 2 4" xfId="12773" xr:uid="{983F4FAA-8153-4722-BC61-3D15A2F3DC6A}"/>
    <cellStyle name="Normal 4 3 2 2 2 7 3" xfId="6396" xr:uid="{00000000-0005-0000-0000-000056140000}"/>
    <cellStyle name="Normal 4 3 2 2 2 7 3 2" xfId="24126" xr:uid="{B4C7F36F-1128-4C25-987A-A15996E9FDF3}"/>
    <cellStyle name="Normal 4 3 2 2 2 7 3 3" xfId="14846" xr:uid="{7B982A07-C8D5-4EBC-BDF9-C2FD8398D756}"/>
    <cellStyle name="Normal 4 3 2 2 2 7 4" xfId="19909" xr:uid="{BF8E9791-D9CB-492D-B939-289D35F65521}"/>
    <cellStyle name="Normal 4 3 2 2 2 7 5" xfId="10628" xr:uid="{C0E1878E-AD40-4BF8-8529-B741A742A7CE}"/>
    <cellStyle name="Normal 4 3 2 2 2 8" xfId="2526" xr:uid="{00000000-0005-0000-0000-000057140000}"/>
    <cellStyle name="Normal 4 3 2 2 2 8 2" xfId="6809" xr:uid="{00000000-0005-0000-0000-000058140000}"/>
    <cellStyle name="Normal 4 3 2 2 2 8 2 2" xfId="24539" xr:uid="{A55DD91C-B129-463C-B3D3-987ACC8C4177}"/>
    <cellStyle name="Normal 4 3 2 2 2 8 2 3" xfId="15259" xr:uid="{8712137D-40C1-4EC2-B3FD-F9F357E98D05}"/>
    <cellStyle name="Normal 4 3 2 2 2 8 3" xfId="20322" xr:uid="{13C78099-ED98-4316-BAB1-A3AD368D1311}"/>
    <cellStyle name="Normal 4 3 2 2 2 8 4" xfId="11041" xr:uid="{F3C4AE9C-F474-433D-A88A-1888E53FB0FC}"/>
    <cellStyle name="Normal 4 3 2 2 2 9" xfId="4744" xr:uid="{00000000-0005-0000-0000-000059140000}"/>
    <cellStyle name="Normal 4 3 2 2 2 9 2" xfId="22474" xr:uid="{1E3A9812-2644-46B2-8EA1-B47C9225CACD}"/>
    <cellStyle name="Normal 4 3 2 2 2 9 3" xfId="13194" xr:uid="{2F3DB0BD-5AC6-4BB8-A3E2-A000845007F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18261" xr:uid="{50FEE49B-42D9-41EE-A213-C10A13CB1627}"/>
    <cellStyle name="Normal 4 3 3 11" xfId="17427" xr:uid="{664BB361-1622-456A-BCE9-D319C4F0E3F8}"/>
    <cellStyle name="Normal 4 3 3 12" xfId="8980" xr:uid="{A1507C96-851D-4958-99A2-C0248464E566}"/>
    <cellStyle name="Normal 4 3 3 2" xfId="375" xr:uid="{00000000-0005-0000-0000-00005E140000}"/>
    <cellStyle name="Normal 4 3 3 2 10" xfId="17428" xr:uid="{9D25159D-BEA6-4467-903B-EE069E56F995}"/>
    <cellStyle name="Normal 4 3 3 2 11" xfId="8981" xr:uid="{8D75EF38-3C00-4F2E-85D9-5AAB6F532C3D}"/>
    <cellStyle name="Normal 4 3 3 2 2" xfId="376" xr:uid="{00000000-0005-0000-0000-00005F140000}"/>
    <cellStyle name="Normal 4 3 3 2 2 10" xfId="8982" xr:uid="{E1DF0809-8824-4BE4-B435-7E4778252827}"/>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25038" xr:uid="{E94CA328-DFBB-41E2-ADC6-58D903D5BD2C}"/>
    <cellStyle name="Normal 4 3 3 2 2 2 2 2 3" xfId="15758" xr:uid="{7BC4D2EE-F5B9-49BD-B8A9-6C130A732DBA}"/>
    <cellStyle name="Normal 4 3 3 2 2 2 2 3" xfId="20821" xr:uid="{A18DE6CF-5DE1-4AD2-8503-F4AF78A25DB6}"/>
    <cellStyle name="Normal 4 3 3 2 2 2 2 4" xfId="11540" xr:uid="{830869B6-D65F-4E44-AD38-AF9B657E52BA}"/>
    <cellStyle name="Normal 4 3 3 2 2 2 3" xfId="5163" xr:uid="{00000000-0005-0000-0000-000063140000}"/>
    <cellStyle name="Normal 4 3 3 2 2 2 3 2" xfId="22893" xr:uid="{1CF9AEBF-71C5-4DC3-AFCF-F8F4230A98A2}"/>
    <cellStyle name="Normal 4 3 3 2 2 2 3 3" xfId="13613" xr:uid="{20992909-D79A-4306-AAA0-91908A32E610}"/>
    <cellStyle name="Normal 4 3 3 2 2 2 4" xfId="18676" xr:uid="{B990480A-871B-4F5C-B0F8-C24C034B083D}"/>
    <cellStyle name="Normal 4 3 3 2 2 2 5" xfId="17848" xr:uid="{D9B78982-402F-4DE4-B2AA-442BD56FF117}"/>
    <cellStyle name="Normal 4 3 3 2 2 2 6" xfId="9395" xr:uid="{A43C2574-2137-455E-B9E4-C63E7701DE47}"/>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25451" xr:uid="{527565C6-FEBC-4637-9C65-28A50DC8CC20}"/>
    <cellStyle name="Normal 4 3 3 2 2 3 2 2 3" xfId="16171" xr:uid="{4FC9351B-84CE-4D8A-B922-4CAC5A56D96C}"/>
    <cellStyle name="Normal 4 3 3 2 2 3 2 3" xfId="21234" xr:uid="{F5A2F3AE-980F-44DB-AE10-6BB0F2E5503C}"/>
    <cellStyle name="Normal 4 3 3 2 2 3 2 4" xfId="11953" xr:uid="{89AD35A1-B684-4DAD-A347-2619CB314C0E}"/>
    <cellStyle name="Normal 4 3 3 2 2 3 3" xfId="5576" xr:uid="{00000000-0005-0000-0000-000067140000}"/>
    <cellStyle name="Normal 4 3 3 2 2 3 3 2" xfId="23306" xr:uid="{6C198368-AF59-4535-A13C-058BC37838A4}"/>
    <cellStyle name="Normal 4 3 3 2 2 3 3 3" xfId="14026" xr:uid="{570EB13B-0431-4A1B-980B-341BB578D886}"/>
    <cellStyle name="Normal 4 3 3 2 2 3 4" xfId="19089" xr:uid="{890CD981-9DA2-4F0D-BAD1-A95623B66BFF}"/>
    <cellStyle name="Normal 4 3 3 2 2 3 5" xfId="9808" xr:uid="{A9D9F665-C866-49B3-BE92-8A258A8D5201}"/>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25864" xr:uid="{2B3CD9C4-2EFA-4A7A-BE56-12618B66191F}"/>
    <cellStyle name="Normal 4 3 3 2 2 4 2 2 3" xfId="16584" xr:uid="{86959794-1EBE-4A0F-B7FA-B877D79B2100}"/>
    <cellStyle name="Normal 4 3 3 2 2 4 2 3" xfId="21647" xr:uid="{4EF07A37-74BB-4048-BF6F-9DF499515120}"/>
    <cellStyle name="Normal 4 3 3 2 2 4 2 4" xfId="12366" xr:uid="{D049DD8F-9D62-4D9E-B717-01CBC86D5FEB}"/>
    <cellStyle name="Normal 4 3 3 2 2 4 3" xfId="5989" xr:uid="{00000000-0005-0000-0000-00006B140000}"/>
    <cellStyle name="Normal 4 3 3 2 2 4 3 2" xfId="23719" xr:uid="{C9051991-1FEE-48F4-B4F5-3BEDE5C8191F}"/>
    <cellStyle name="Normal 4 3 3 2 2 4 3 3" xfId="14439" xr:uid="{9B294571-4897-42A4-91F8-AF61C1ED6607}"/>
    <cellStyle name="Normal 4 3 3 2 2 4 4" xfId="19502" xr:uid="{13A10405-87EC-4B16-AE51-D365B8933B7A}"/>
    <cellStyle name="Normal 4 3 3 2 2 4 5" xfId="10221" xr:uid="{0E438379-37E1-45F6-B12F-0B8589338881}"/>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26277" xr:uid="{53BEACBC-5477-42EA-9F4D-911A5F2D720C}"/>
    <cellStyle name="Normal 4 3 3 2 2 5 2 2 3" xfId="16997" xr:uid="{8A0A574D-9FD3-4590-BCEE-6330DC8497BF}"/>
    <cellStyle name="Normal 4 3 3 2 2 5 2 3" xfId="22060" xr:uid="{0E23B876-8FFF-4D7F-BE02-1ECD7F78979C}"/>
    <cellStyle name="Normal 4 3 3 2 2 5 2 4" xfId="12779" xr:uid="{230BDCF2-3290-4076-B0F3-D013D64D9D99}"/>
    <cellStyle name="Normal 4 3 3 2 2 5 3" xfId="6402" xr:uid="{00000000-0005-0000-0000-00006F140000}"/>
    <cellStyle name="Normal 4 3 3 2 2 5 3 2" xfId="24132" xr:uid="{24D71526-7000-437E-B387-23CCAA8C5BAA}"/>
    <cellStyle name="Normal 4 3 3 2 2 5 3 3" xfId="14852" xr:uid="{1A2F15AF-3D77-42A4-9BB3-61A700D57BC5}"/>
    <cellStyle name="Normal 4 3 3 2 2 5 4" xfId="19915" xr:uid="{36429322-75ED-4CE1-AB70-F8B87E5FDD7A}"/>
    <cellStyle name="Normal 4 3 3 2 2 5 5" xfId="10634" xr:uid="{7B24B529-AF16-4BEF-9B7B-35902ED6BEF6}"/>
    <cellStyle name="Normal 4 3 3 2 2 6" xfId="2532" xr:uid="{00000000-0005-0000-0000-000070140000}"/>
    <cellStyle name="Normal 4 3 3 2 2 6 2" xfId="6815" xr:uid="{00000000-0005-0000-0000-000071140000}"/>
    <cellStyle name="Normal 4 3 3 2 2 6 2 2" xfId="24545" xr:uid="{B2175B8D-2D3E-4430-9F77-A2011655B99E}"/>
    <cellStyle name="Normal 4 3 3 2 2 6 2 3" xfId="15265" xr:uid="{C52815FC-34E2-429A-8006-60DB2C2399C9}"/>
    <cellStyle name="Normal 4 3 3 2 2 6 3" xfId="20328" xr:uid="{38E5E0BD-AF4A-4B96-B8FC-6F6BD4DCEED4}"/>
    <cellStyle name="Normal 4 3 3 2 2 6 4" xfId="11047" xr:uid="{A2F718DB-9853-4E47-AF47-1F468275D497}"/>
    <cellStyle name="Normal 4 3 3 2 2 7" xfId="4750" xr:uid="{00000000-0005-0000-0000-000072140000}"/>
    <cellStyle name="Normal 4 3 3 2 2 7 2" xfId="22480" xr:uid="{1A983395-C9B9-42D2-87B7-A0654D9C0AB6}"/>
    <cellStyle name="Normal 4 3 3 2 2 7 3" xfId="13200" xr:uid="{79FC4CE5-2A33-4A7C-86F1-FCE4652F06AB}"/>
    <cellStyle name="Normal 4 3 3 2 2 8" xfId="18263" xr:uid="{C7006505-6A40-443C-9652-5197ED09720D}"/>
    <cellStyle name="Normal 4 3 3 2 2 9" xfId="17429" xr:uid="{AE1D1358-FF6C-44C4-821F-AEC46D0B3A3F}"/>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25037" xr:uid="{6B6A7976-D73F-4434-9F38-F029F27AFFFE}"/>
    <cellStyle name="Normal 4 3 3 2 3 2 2 3" xfId="15757" xr:uid="{E353ABD1-657A-4ABD-88DC-52AA8B32A8B3}"/>
    <cellStyle name="Normal 4 3 3 2 3 2 3" xfId="20820" xr:uid="{F3B103DB-3428-4566-8CD8-E609D64BA8AB}"/>
    <cellStyle name="Normal 4 3 3 2 3 2 4" xfId="11539" xr:uid="{8CC170C9-8715-4771-A52B-71FB776AB4F3}"/>
    <cellStyle name="Normal 4 3 3 2 3 3" xfId="5162" xr:uid="{00000000-0005-0000-0000-000076140000}"/>
    <cellStyle name="Normal 4 3 3 2 3 3 2" xfId="22892" xr:uid="{1F24939A-16C1-43B6-B688-19996F52220E}"/>
    <cellStyle name="Normal 4 3 3 2 3 3 3" xfId="13612" xr:uid="{0E41E67E-3B41-4727-8D00-8325536D3838}"/>
    <cellStyle name="Normal 4 3 3 2 3 4" xfId="18675" xr:uid="{170F424F-EECB-46AB-903D-D33E5A9BC090}"/>
    <cellStyle name="Normal 4 3 3 2 3 5" xfId="17847" xr:uid="{E652B414-CE5C-4692-9436-10790726F8ED}"/>
    <cellStyle name="Normal 4 3 3 2 3 6" xfId="9394" xr:uid="{6750D6EA-D06A-432D-BF1A-A6F557644C65}"/>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25450" xr:uid="{573182CE-8B2F-4F04-9270-B3158F0DF364}"/>
    <cellStyle name="Normal 4 3 3 2 4 2 2 3" xfId="16170" xr:uid="{E260DC2B-3C96-4FF4-83CA-716095B28D33}"/>
    <cellStyle name="Normal 4 3 3 2 4 2 3" xfId="21233" xr:uid="{55C5192F-759F-406C-ADEE-883B8DE72E60}"/>
    <cellStyle name="Normal 4 3 3 2 4 2 4" xfId="11952" xr:uid="{73746B32-2F74-4EFB-8B30-74DC2EE4E4A4}"/>
    <cellStyle name="Normal 4 3 3 2 4 3" xfId="5575" xr:uid="{00000000-0005-0000-0000-00007A140000}"/>
    <cellStyle name="Normal 4 3 3 2 4 3 2" xfId="23305" xr:uid="{7C9E06CD-33A4-425B-A08E-CA3C0B3812D3}"/>
    <cellStyle name="Normal 4 3 3 2 4 3 3" xfId="14025" xr:uid="{7EEE3B66-1230-4EE4-B1A7-7C43CD093D8B}"/>
    <cellStyle name="Normal 4 3 3 2 4 4" xfId="19088" xr:uid="{122A6470-B737-44FD-88D6-B2AEB7E1CF3E}"/>
    <cellStyle name="Normal 4 3 3 2 4 5" xfId="9807" xr:uid="{12B63D65-01B2-46CB-B356-BE281C708FDF}"/>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25863" xr:uid="{714BFE88-6102-425C-B622-DCD05AF88FFE}"/>
    <cellStyle name="Normal 4 3 3 2 5 2 2 3" xfId="16583" xr:uid="{0C062910-DAF6-4719-890B-F095FE9DEAC0}"/>
    <cellStyle name="Normal 4 3 3 2 5 2 3" xfId="21646" xr:uid="{9ACBD522-FA7E-4C52-9E45-84EFAB990D0C}"/>
    <cellStyle name="Normal 4 3 3 2 5 2 4" xfId="12365" xr:uid="{16EC0A2E-1ED0-4F82-82DC-4057C3BC4C57}"/>
    <cellStyle name="Normal 4 3 3 2 5 3" xfId="5988" xr:uid="{00000000-0005-0000-0000-00007E140000}"/>
    <cellStyle name="Normal 4 3 3 2 5 3 2" xfId="23718" xr:uid="{70D99910-BAC5-49E0-B66F-2DB27F6E25F9}"/>
    <cellStyle name="Normal 4 3 3 2 5 3 3" xfId="14438" xr:uid="{AB518758-6FDC-4019-9182-BB6492227DD7}"/>
    <cellStyle name="Normal 4 3 3 2 5 4" xfId="19501" xr:uid="{552719BB-3653-409B-B340-9682071CC5F6}"/>
    <cellStyle name="Normal 4 3 3 2 5 5" xfId="10220" xr:uid="{B78ECC02-1CA5-413F-BB63-86444516E468}"/>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26276" xr:uid="{75AE833B-328E-47A4-8B80-4743A6CB8266}"/>
    <cellStyle name="Normal 4 3 3 2 6 2 2 3" xfId="16996" xr:uid="{58735EC1-853A-4F86-97E0-A73DCCBCFE5E}"/>
    <cellStyle name="Normal 4 3 3 2 6 2 3" xfId="22059" xr:uid="{B76F0B74-7533-4CAE-A367-BC51E25B15D1}"/>
    <cellStyle name="Normal 4 3 3 2 6 2 4" xfId="12778" xr:uid="{C28E09C4-F001-4DD6-A989-1505FC8AF323}"/>
    <cellStyle name="Normal 4 3 3 2 6 3" xfId="6401" xr:uid="{00000000-0005-0000-0000-000082140000}"/>
    <cellStyle name="Normal 4 3 3 2 6 3 2" xfId="24131" xr:uid="{6BF8B3D9-686A-416B-8EE6-F867AFA74681}"/>
    <cellStyle name="Normal 4 3 3 2 6 3 3" xfId="14851" xr:uid="{075FD199-8F05-4F68-B817-58573F79E2C4}"/>
    <cellStyle name="Normal 4 3 3 2 6 4" xfId="19914" xr:uid="{604B6C76-5B4A-429F-A15E-CB380F8CF247}"/>
    <cellStyle name="Normal 4 3 3 2 6 5" xfId="10633" xr:uid="{FD6E9706-19DA-4350-8F71-9177AEB47401}"/>
    <cellStyle name="Normal 4 3 3 2 7" xfId="2531" xr:uid="{00000000-0005-0000-0000-000083140000}"/>
    <cellStyle name="Normal 4 3 3 2 7 2" xfId="6814" xr:uid="{00000000-0005-0000-0000-000084140000}"/>
    <cellStyle name="Normal 4 3 3 2 7 2 2" xfId="24544" xr:uid="{7F059B9D-1550-465F-BF9E-EC0D5FEEB810}"/>
    <cellStyle name="Normal 4 3 3 2 7 2 3" xfId="15264" xr:uid="{304F7CDC-3AD0-4DD6-A8C0-6232085BB610}"/>
    <cellStyle name="Normal 4 3 3 2 7 3" xfId="20327" xr:uid="{94CEB83B-4161-4807-86E6-B48FA829AD7C}"/>
    <cellStyle name="Normal 4 3 3 2 7 4" xfId="11046" xr:uid="{6B7D79C6-287A-4D2E-9CE5-D2F8FB68D6E1}"/>
    <cellStyle name="Normal 4 3 3 2 8" xfId="4749" xr:uid="{00000000-0005-0000-0000-000085140000}"/>
    <cellStyle name="Normal 4 3 3 2 8 2" xfId="22479" xr:uid="{4A9E657B-210D-4E65-ACD9-2D11718CE14A}"/>
    <cellStyle name="Normal 4 3 3 2 8 3" xfId="13199" xr:uid="{4009F642-2142-48D0-934B-926D40C093BE}"/>
    <cellStyle name="Normal 4 3 3 2 9" xfId="18262" xr:uid="{E73922DD-F3BD-43BB-BF1C-8095B0EE5EA7}"/>
    <cellStyle name="Normal 4 3 3 3" xfId="377" xr:uid="{00000000-0005-0000-0000-000086140000}"/>
    <cellStyle name="Normal 4 3 3 3 10" xfId="8983" xr:uid="{7DFA3B8D-3C91-4772-ABFE-6511E451F024}"/>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25039" xr:uid="{F823D2DA-16CD-4F28-8264-9A4BE90A7680}"/>
    <cellStyle name="Normal 4 3 3 3 2 2 2 3" xfId="15759" xr:uid="{B8AA0EBE-0C05-49A8-8B42-EC4DB5E31FBB}"/>
    <cellStyle name="Normal 4 3 3 3 2 2 3" xfId="20822" xr:uid="{89A5477B-2BF5-4F5F-B362-5A7C18040C01}"/>
    <cellStyle name="Normal 4 3 3 3 2 2 4" xfId="11541" xr:uid="{526F0AD6-1BDA-40B7-B5ED-5B40519576F7}"/>
    <cellStyle name="Normal 4 3 3 3 2 3" xfId="5164" xr:uid="{00000000-0005-0000-0000-00008A140000}"/>
    <cellStyle name="Normal 4 3 3 3 2 3 2" xfId="22894" xr:uid="{DCB70702-6FF5-442A-BBDF-C6617BC9C833}"/>
    <cellStyle name="Normal 4 3 3 3 2 3 3" xfId="13614" xr:uid="{153453FC-A799-41DB-949F-B94BAD3EA858}"/>
    <cellStyle name="Normal 4 3 3 3 2 4" xfId="18677" xr:uid="{2A01395B-8F11-4CB4-8AE9-03E42531E5FD}"/>
    <cellStyle name="Normal 4 3 3 3 2 5" xfId="17849" xr:uid="{BA03361E-6FFB-4AF5-9A8E-9719FFCE7EC4}"/>
    <cellStyle name="Normal 4 3 3 3 2 6" xfId="9396" xr:uid="{12F07A17-2E77-41D1-8203-23CBDD554E32}"/>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25452" xr:uid="{4757341D-F20A-41AF-B92E-EDC86B47E768}"/>
    <cellStyle name="Normal 4 3 3 3 3 2 2 3" xfId="16172" xr:uid="{3791780B-C1E6-4CEF-B4A5-88785505F780}"/>
    <cellStyle name="Normal 4 3 3 3 3 2 3" xfId="21235" xr:uid="{DC95DAE7-59B2-4F95-A045-7464C7F9C9AA}"/>
    <cellStyle name="Normal 4 3 3 3 3 2 4" xfId="11954" xr:uid="{5016ACFA-99D2-49A3-AE7D-E1F7C5481EC6}"/>
    <cellStyle name="Normal 4 3 3 3 3 3" xfId="5577" xr:uid="{00000000-0005-0000-0000-00008E140000}"/>
    <cellStyle name="Normal 4 3 3 3 3 3 2" xfId="23307" xr:uid="{4BE139B3-F8E8-4780-A519-F181E7F723F6}"/>
    <cellStyle name="Normal 4 3 3 3 3 3 3" xfId="14027" xr:uid="{A05DE280-905F-42CB-8EE9-CDA66ED45031}"/>
    <cellStyle name="Normal 4 3 3 3 3 4" xfId="19090" xr:uid="{D8D75887-1565-4A5F-A308-72DFBCBB4AD4}"/>
    <cellStyle name="Normal 4 3 3 3 3 5" xfId="9809" xr:uid="{80A28C02-E918-4F2C-A119-A6875AA9126A}"/>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25865" xr:uid="{963E925A-7E57-457B-AC6E-7D6AED658243}"/>
    <cellStyle name="Normal 4 3 3 3 4 2 2 3" xfId="16585" xr:uid="{1D3400B9-BFA7-48DF-90C9-A81D5E176D4D}"/>
    <cellStyle name="Normal 4 3 3 3 4 2 3" xfId="21648" xr:uid="{F9402733-203D-47DF-9CBC-25825C0BA9EC}"/>
    <cellStyle name="Normal 4 3 3 3 4 2 4" xfId="12367" xr:uid="{CD848E71-EB01-48F8-8D64-CEF9EC961B4F}"/>
    <cellStyle name="Normal 4 3 3 3 4 3" xfId="5990" xr:uid="{00000000-0005-0000-0000-000092140000}"/>
    <cellStyle name="Normal 4 3 3 3 4 3 2" xfId="23720" xr:uid="{0E452B0B-90BD-4F25-B867-D6EED2DD5269}"/>
    <cellStyle name="Normal 4 3 3 3 4 3 3" xfId="14440" xr:uid="{FCA9F5F7-8571-4073-90D4-3B9EDE0F5A34}"/>
    <cellStyle name="Normal 4 3 3 3 4 4" xfId="19503" xr:uid="{B145BBC7-EADF-4B79-9532-FF8C9B2D6BFD}"/>
    <cellStyle name="Normal 4 3 3 3 4 5" xfId="10222" xr:uid="{C2883D24-959E-4AC7-BB9F-9B33AB67D48E}"/>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26278" xr:uid="{34E88E2B-A666-4A2E-8A58-E08AD8A4820B}"/>
    <cellStyle name="Normal 4 3 3 3 5 2 2 3" xfId="16998" xr:uid="{CCC2814F-2BEE-4D11-BB50-33E94C823744}"/>
    <cellStyle name="Normal 4 3 3 3 5 2 3" xfId="22061" xr:uid="{F845E775-EECA-48E1-8141-7FFCF7A417FD}"/>
    <cellStyle name="Normal 4 3 3 3 5 2 4" xfId="12780" xr:uid="{3FE3F17C-ACBB-4C47-ABB1-C95C49614CAC}"/>
    <cellStyle name="Normal 4 3 3 3 5 3" xfId="6403" xr:uid="{00000000-0005-0000-0000-000096140000}"/>
    <cellStyle name="Normal 4 3 3 3 5 3 2" xfId="24133" xr:uid="{40FB9C04-D8EF-489E-8087-8475392B8EA0}"/>
    <cellStyle name="Normal 4 3 3 3 5 3 3" xfId="14853" xr:uid="{079FD86F-9942-4197-9127-019CB742C85A}"/>
    <cellStyle name="Normal 4 3 3 3 5 4" xfId="19916" xr:uid="{2BDC0AAA-BA54-4180-A55D-F4F9B16ABAD6}"/>
    <cellStyle name="Normal 4 3 3 3 5 5" xfId="10635" xr:uid="{EE7CEFC7-1756-465D-A31B-C6E42700A686}"/>
    <cellStyle name="Normal 4 3 3 3 6" xfId="2533" xr:uid="{00000000-0005-0000-0000-000097140000}"/>
    <cellStyle name="Normal 4 3 3 3 6 2" xfId="6816" xr:uid="{00000000-0005-0000-0000-000098140000}"/>
    <cellStyle name="Normal 4 3 3 3 6 2 2" xfId="24546" xr:uid="{E1DB02CF-C60C-4859-911B-5668451355B0}"/>
    <cellStyle name="Normal 4 3 3 3 6 2 3" xfId="15266" xr:uid="{E9512628-E789-469C-84FA-9ABB8E17738A}"/>
    <cellStyle name="Normal 4 3 3 3 6 3" xfId="20329" xr:uid="{4C96AD69-6471-4350-9B1B-0D0F5D5D2ACE}"/>
    <cellStyle name="Normal 4 3 3 3 6 4" xfId="11048" xr:uid="{9347672F-B4C5-43B4-A72B-D1BC30085BB3}"/>
    <cellStyle name="Normal 4 3 3 3 7" xfId="4751" xr:uid="{00000000-0005-0000-0000-000099140000}"/>
    <cellStyle name="Normal 4 3 3 3 7 2" xfId="22481" xr:uid="{D40C16CF-98CA-445F-80E0-962C2A8A8C75}"/>
    <cellStyle name="Normal 4 3 3 3 7 3" xfId="13201" xr:uid="{815C0A6F-BCD0-4137-A6EF-DA73404A8EFA}"/>
    <cellStyle name="Normal 4 3 3 3 8" xfId="18264" xr:uid="{B146B3ED-2664-449D-8307-F99285023FF0}"/>
    <cellStyle name="Normal 4 3 3 3 9" xfId="17430" xr:uid="{986ECD97-B53E-4B74-9ED2-4C8595E9638B}"/>
    <cellStyle name="Normal 4 3 3 4" xfId="849" xr:uid="{00000000-0005-0000-0000-00009A140000}"/>
    <cellStyle name="Normal 4 3 3 4 2" xfId="3084" xr:uid="{00000000-0005-0000-0000-00009B140000}"/>
    <cellStyle name="Normal 4 3 3 4 2 2" xfId="7306" xr:uid="{00000000-0005-0000-0000-00009C140000}"/>
    <cellStyle name="Normal 4 3 3 4 2 2 2" xfId="25036" xr:uid="{FDAED7CE-95B9-44A2-909A-DE6ED16EB1D9}"/>
    <cellStyle name="Normal 4 3 3 4 2 2 3" xfId="15756" xr:uid="{87306E3D-CD6E-4C36-93E7-884D93D4A2F1}"/>
    <cellStyle name="Normal 4 3 3 4 2 3" xfId="20819" xr:uid="{1CAC5FDA-CA6F-406C-AAD2-C224281190A5}"/>
    <cellStyle name="Normal 4 3 3 4 2 4" xfId="11538" xr:uid="{BD91E1FF-296A-4B55-AA95-C0CA34E2D1A2}"/>
    <cellStyle name="Normal 4 3 3 4 3" xfId="5161" xr:uid="{00000000-0005-0000-0000-00009D140000}"/>
    <cellStyle name="Normal 4 3 3 4 3 2" xfId="22891" xr:uid="{77A72144-85D0-4C07-A483-7BC634A5925B}"/>
    <cellStyle name="Normal 4 3 3 4 3 3" xfId="13611" xr:uid="{FAD900B7-0796-4F76-88D7-159466EEE09C}"/>
    <cellStyle name="Normal 4 3 3 4 4" xfId="18674" xr:uid="{8A5FA0C1-AC14-4289-AA0E-DABDF0C35839}"/>
    <cellStyle name="Normal 4 3 3 4 5" xfId="17846" xr:uid="{406B0F5D-9C5B-4239-99EF-D4E460F33DA3}"/>
    <cellStyle name="Normal 4 3 3 4 6" xfId="9393" xr:uid="{D479916C-9F03-47DE-8F50-220AEA7D7DFD}"/>
    <cellStyle name="Normal 4 3 3 5" xfId="1267" xr:uid="{00000000-0005-0000-0000-00009E140000}"/>
    <cellStyle name="Normal 4 3 3 5 2" xfId="3497" xr:uid="{00000000-0005-0000-0000-00009F140000}"/>
    <cellStyle name="Normal 4 3 3 5 2 2" xfId="7719" xr:uid="{00000000-0005-0000-0000-0000A0140000}"/>
    <cellStyle name="Normal 4 3 3 5 2 2 2" xfId="25449" xr:uid="{8F7218CB-082C-4FC7-98F0-87AE0757E624}"/>
    <cellStyle name="Normal 4 3 3 5 2 2 3" xfId="16169" xr:uid="{243E6A2D-9900-4B94-B309-03A2BE8F8827}"/>
    <cellStyle name="Normal 4 3 3 5 2 3" xfId="21232" xr:uid="{25192304-4515-4140-B647-BA8E28E2D7F9}"/>
    <cellStyle name="Normal 4 3 3 5 2 4" xfId="11951" xr:uid="{23F24AF7-3578-4A89-A9A4-F7C4E6A4B8A2}"/>
    <cellStyle name="Normal 4 3 3 5 3" xfId="5574" xr:uid="{00000000-0005-0000-0000-0000A1140000}"/>
    <cellStyle name="Normal 4 3 3 5 3 2" xfId="23304" xr:uid="{8F49FD8C-3A3A-4155-88E1-475D7E50858F}"/>
    <cellStyle name="Normal 4 3 3 5 3 3" xfId="14024" xr:uid="{3CF66FAD-B2DA-4284-9A80-685208D572E8}"/>
    <cellStyle name="Normal 4 3 3 5 4" xfId="19087" xr:uid="{7D819F8C-1585-4D48-8D78-37369371576F}"/>
    <cellStyle name="Normal 4 3 3 5 5" xfId="9806" xr:uid="{585A1409-2ACD-40DD-881D-15CDE7E95C47}"/>
    <cellStyle name="Normal 4 3 3 6" xfId="1680" xr:uid="{00000000-0005-0000-0000-0000A2140000}"/>
    <cellStyle name="Normal 4 3 3 6 2" xfId="3910" xr:uid="{00000000-0005-0000-0000-0000A3140000}"/>
    <cellStyle name="Normal 4 3 3 6 2 2" xfId="8132" xr:uid="{00000000-0005-0000-0000-0000A4140000}"/>
    <cellStyle name="Normal 4 3 3 6 2 2 2" xfId="25862" xr:uid="{BBAF050F-0450-4321-A9DC-71F60B6957DE}"/>
    <cellStyle name="Normal 4 3 3 6 2 2 3" xfId="16582" xr:uid="{64D5846E-53DA-4BD5-9CF6-2F54A5C51BCE}"/>
    <cellStyle name="Normal 4 3 3 6 2 3" xfId="21645" xr:uid="{C5B33B8B-D31D-463D-8520-D818BF718178}"/>
    <cellStyle name="Normal 4 3 3 6 2 4" xfId="12364" xr:uid="{F774D939-B61D-456D-8283-832051EC80E5}"/>
    <cellStyle name="Normal 4 3 3 6 3" xfId="5987" xr:uid="{00000000-0005-0000-0000-0000A5140000}"/>
    <cellStyle name="Normal 4 3 3 6 3 2" xfId="23717" xr:uid="{FEC390F2-7D9F-48E1-A1AF-6DB43D21E6E5}"/>
    <cellStyle name="Normal 4 3 3 6 3 3" xfId="14437" xr:uid="{0A40AB6D-5022-45CF-9AE7-5F9B45FD3A52}"/>
    <cellStyle name="Normal 4 3 3 6 4" xfId="19500" xr:uid="{791BD3D6-1428-47B8-89D8-2C8CC837AB25}"/>
    <cellStyle name="Normal 4 3 3 6 5" xfId="10219" xr:uid="{3E468138-AD72-493D-8DAF-FBD473FBEF43}"/>
    <cellStyle name="Normal 4 3 3 7" xfId="2094" xr:uid="{00000000-0005-0000-0000-0000A6140000}"/>
    <cellStyle name="Normal 4 3 3 7 2" xfId="4323" xr:uid="{00000000-0005-0000-0000-0000A7140000}"/>
    <cellStyle name="Normal 4 3 3 7 2 2" xfId="8545" xr:uid="{00000000-0005-0000-0000-0000A8140000}"/>
    <cellStyle name="Normal 4 3 3 7 2 2 2" xfId="26275" xr:uid="{2C8810AD-75F8-46F4-8547-6CD2298295B6}"/>
    <cellStyle name="Normal 4 3 3 7 2 2 3" xfId="16995" xr:uid="{33C6FCA1-E711-462B-AE72-7055C46BBAE5}"/>
    <cellStyle name="Normal 4 3 3 7 2 3" xfId="22058" xr:uid="{2EA1AC0D-E497-4479-AE52-A68BC62805DD}"/>
    <cellStyle name="Normal 4 3 3 7 2 4" xfId="12777" xr:uid="{8DA58F91-061F-4057-B73A-87D56885A4E2}"/>
    <cellStyle name="Normal 4 3 3 7 3" xfId="6400" xr:uid="{00000000-0005-0000-0000-0000A9140000}"/>
    <cellStyle name="Normal 4 3 3 7 3 2" xfId="24130" xr:uid="{6C80245C-9B54-45CF-BAEE-6904119C672E}"/>
    <cellStyle name="Normal 4 3 3 7 3 3" xfId="14850" xr:uid="{BEFDEDC0-A5A0-4D5C-920A-3B8589993CE7}"/>
    <cellStyle name="Normal 4 3 3 7 4" xfId="19913" xr:uid="{FB73DDA3-7548-466E-966D-E5E7C2732B60}"/>
    <cellStyle name="Normal 4 3 3 7 5" xfId="10632" xr:uid="{6FD0C525-61B3-44EF-9AFD-EF204259714B}"/>
    <cellStyle name="Normal 4 3 3 8" xfId="2530" xr:uid="{00000000-0005-0000-0000-0000AA140000}"/>
    <cellStyle name="Normal 4 3 3 8 2" xfId="6813" xr:uid="{00000000-0005-0000-0000-0000AB140000}"/>
    <cellStyle name="Normal 4 3 3 8 2 2" xfId="24543" xr:uid="{2CBED9BB-843D-4D46-B3B8-316AC4F9E10A}"/>
    <cellStyle name="Normal 4 3 3 8 2 3" xfId="15263" xr:uid="{45B4FC76-9031-45AF-86B4-06291F41E02C}"/>
    <cellStyle name="Normal 4 3 3 8 3" xfId="20326" xr:uid="{E12A311E-1163-4B86-97F2-6270E6DF947B}"/>
    <cellStyle name="Normal 4 3 3 8 4" xfId="11045" xr:uid="{ABBAE7DE-4667-4630-A9DB-A905455D897F}"/>
    <cellStyle name="Normal 4 3 3 9" xfId="4748" xr:uid="{00000000-0005-0000-0000-0000AC140000}"/>
    <cellStyle name="Normal 4 3 3 9 2" xfId="22478" xr:uid="{A28BA4C5-A370-4C37-A2B8-F9715B0F7A1F}"/>
    <cellStyle name="Normal 4 3 3 9 3" xfId="13198" xr:uid="{AE7594B4-73A5-409F-BA25-CBB19B6EC703}"/>
    <cellStyle name="Normal 4 3 4" xfId="842" xr:uid="{00000000-0005-0000-0000-0000AD140000}"/>
    <cellStyle name="Normal 4 3 4 2" xfId="3079" xr:uid="{00000000-0005-0000-0000-0000AE140000}"/>
    <cellStyle name="Normal 4 3 4 2 2" xfId="7301" xr:uid="{00000000-0005-0000-0000-0000AF140000}"/>
    <cellStyle name="Normal 4 3 4 2 2 2" xfId="25031" xr:uid="{922E9E47-B3B7-4714-B1A8-B02B1C115A48}"/>
    <cellStyle name="Normal 4 3 4 2 2 3" xfId="15751" xr:uid="{1F41E675-C6B5-427F-8498-34C1377A4E4A}"/>
    <cellStyle name="Normal 4 3 4 2 3" xfId="20814" xr:uid="{39B14E74-9D6B-49E0-ACC7-F94D608355DF}"/>
    <cellStyle name="Normal 4 3 4 2 4" xfId="11533" xr:uid="{B25EE459-0B7E-4B67-A3AC-47149E2D110C}"/>
    <cellStyle name="Normal 4 3 4 3" xfId="5156" xr:uid="{00000000-0005-0000-0000-0000B0140000}"/>
    <cellStyle name="Normal 4 3 4 3 2" xfId="22886" xr:uid="{B90E3780-FCBC-4529-B34B-C0F1163FEE06}"/>
    <cellStyle name="Normal 4 3 4 3 3" xfId="13606" xr:uid="{D3EFBF25-4019-48AD-8E13-46DD748BB7E0}"/>
    <cellStyle name="Normal 4 3 4 4" xfId="18669" xr:uid="{AAE5D2C7-1CBC-40F8-875F-C0301C2F8059}"/>
    <cellStyle name="Normal 4 3 4 5" xfId="17841" xr:uid="{589CB8CF-779C-413B-B2B1-693D24B6F331}"/>
    <cellStyle name="Normal 4 3 4 6" xfId="9388" xr:uid="{0638E6B2-792A-4E29-B649-7955B194E0BD}"/>
    <cellStyle name="Normal 4 3 5" xfId="1262" xr:uid="{00000000-0005-0000-0000-0000B1140000}"/>
    <cellStyle name="Normal 4 3 5 2" xfId="3492" xr:uid="{00000000-0005-0000-0000-0000B2140000}"/>
    <cellStyle name="Normal 4 3 5 2 2" xfId="7714" xr:uid="{00000000-0005-0000-0000-0000B3140000}"/>
    <cellStyle name="Normal 4 3 5 2 2 2" xfId="25444" xr:uid="{C3465DAD-2B70-430E-BCC0-BC903B572055}"/>
    <cellStyle name="Normal 4 3 5 2 2 3" xfId="16164" xr:uid="{FC33CFE8-65FC-46ED-97B4-E49F62A811D8}"/>
    <cellStyle name="Normal 4 3 5 2 3" xfId="21227" xr:uid="{FBFB6578-DF27-47BB-A1EA-B6A88516CB48}"/>
    <cellStyle name="Normal 4 3 5 2 4" xfId="11946" xr:uid="{32DC3B85-2D50-4EC7-927D-30C565FC64AA}"/>
    <cellStyle name="Normal 4 3 5 3" xfId="5569" xr:uid="{00000000-0005-0000-0000-0000B4140000}"/>
    <cellStyle name="Normal 4 3 5 3 2" xfId="23299" xr:uid="{AA1A3E10-33B5-4971-84A2-F237409C7BAE}"/>
    <cellStyle name="Normal 4 3 5 3 3" xfId="14019" xr:uid="{2570B030-06C6-4C76-9E4C-E8AE40478AF3}"/>
    <cellStyle name="Normal 4 3 5 4" xfId="19082" xr:uid="{02347A61-CE98-4218-A1DF-72CE83B1778E}"/>
    <cellStyle name="Normal 4 3 5 5" xfId="9801" xr:uid="{A482512E-A6BE-45A2-8B1B-979AFD1B1E81}"/>
    <cellStyle name="Normal 4 3 6" xfId="1675" xr:uid="{00000000-0005-0000-0000-0000B5140000}"/>
    <cellStyle name="Normal 4 3 6 2" xfId="3905" xr:uid="{00000000-0005-0000-0000-0000B6140000}"/>
    <cellStyle name="Normal 4 3 6 2 2" xfId="8127" xr:uid="{00000000-0005-0000-0000-0000B7140000}"/>
    <cellStyle name="Normal 4 3 6 2 2 2" xfId="25857" xr:uid="{A9D6802B-D4AB-4C55-A0CB-702121E4163B}"/>
    <cellStyle name="Normal 4 3 6 2 2 3" xfId="16577" xr:uid="{546883E8-00DA-4F9F-909F-EE57B0F8BD36}"/>
    <cellStyle name="Normal 4 3 6 2 3" xfId="21640" xr:uid="{A5012F79-5C7F-4E41-A9EF-15BE79095017}"/>
    <cellStyle name="Normal 4 3 6 2 4" xfId="12359" xr:uid="{2F3C05C2-C9DD-4405-86C7-62B61CBE8ED3}"/>
    <cellStyle name="Normal 4 3 6 3" xfId="5982" xr:uid="{00000000-0005-0000-0000-0000B8140000}"/>
    <cellStyle name="Normal 4 3 6 3 2" xfId="23712" xr:uid="{2262751C-53B0-4088-AB7C-DF5D7296C1F7}"/>
    <cellStyle name="Normal 4 3 6 3 3" xfId="14432" xr:uid="{83747E8B-471A-4C96-A91C-7F961019E9AA}"/>
    <cellStyle name="Normal 4 3 6 4" xfId="19495" xr:uid="{2DA9F8A8-C6A7-4011-9359-031DA469AB0E}"/>
    <cellStyle name="Normal 4 3 6 5" xfId="10214" xr:uid="{88C0D4CD-211A-4E43-81DE-093CCECC739C}"/>
    <cellStyle name="Normal 4 3 7" xfId="2089" xr:uid="{00000000-0005-0000-0000-0000B9140000}"/>
    <cellStyle name="Normal 4 3 7 2" xfId="4318" xr:uid="{00000000-0005-0000-0000-0000BA140000}"/>
    <cellStyle name="Normal 4 3 7 2 2" xfId="8540" xr:uid="{00000000-0005-0000-0000-0000BB140000}"/>
    <cellStyle name="Normal 4 3 7 2 2 2" xfId="26270" xr:uid="{29575A85-ADBD-46BF-8412-0E48BDBDF7ED}"/>
    <cellStyle name="Normal 4 3 7 2 2 3" xfId="16990" xr:uid="{1D00B1E3-943E-4EE7-890D-FC368302D76D}"/>
    <cellStyle name="Normal 4 3 7 2 3" xfId="22053" xr:uid="{3033C2F7-6A63-41B2-9383-835667A390A3}"/>
    <cellStyle name="Normal 4 3 7 2 4" xfId="12772" xr:uid="{B6097C21-CB82-4D65-AE44-00D60E8E150B}"/>
    <cellStyle name="Normal 4 3 7 3" xfId="6395" xr:uid="{00000000-0005-0000-0000-0000BC140000}"/>
    <cellStyle name="Normal 4 3 7 3 2" xfId="24125" xr:uid="{488DBCAF-5A76-487E-90C9-47C049EAFDE9}"/>
    <cellStyle name="Normal 4 3 7 3 3" xfId="14845" xr:uid="{2C6C8695-0127-422A-BBDC-CF8DE68AA7B4}"/>
    <cellStyle name="Normal 4 3 7 4" xfId="19908" xr:uid="{C8C22C98-975A-45F8-9DB6-50614C0C3EF7}"/>
    <cellStyle name="Normal 4 3 7 5" xfId="10627" xr:uid="{AF43FB93-8525-45E6-A37D-2F045DE00271}"/>
    <cellStyle name="Normal 4 3 8" xfId="2525" xr:uid="{00000000-0005-0000-0000-0000BD140000}"/>
    <cellStyle name="Normal 4 3 8 2" xfId="6808" xr:uid="{00000000-0005-0000-0000-0000BE140000}"/>
    <cellStyle name="Normal 4 3 8 2 2" xfId="24538" xr:uid="{1672A60E-1634-43C9-83A9-A7FBA3EED775}"/>
    <cellStyle name="Normal 4 3 8 2 3" xfId="15258" xr:uid="{BFAE9119-8D4D-4964-A4BB-16C45CA03043}"/>
    <cellStyle name="Normal 4 3 8 3" xfId="20321" xr:uid="{BC7C8FD8-C032-4266-AA62-F65FC7F98B55}"/>
    <cellStyle name="Normal 4 3 8 4" xfId="11040" xr:uid="{544B9B89-DF0A-42E9-BE3B-034F370EBDDF}"/>
    <cellStyle name="Normal 4 3 9" xfId="4743" xr:uid="{00000000-0005-0000-0000-0000BF140000}"/>
    <cellStyle name="Normal 4 3 9 2" xfId="22473" xr:uid="{E2642C58-A5B0-406A-B123-C82FE1F4B63D}"/>
    <cellStyle name="Normal 4 3 9 3" xfId="13193" xr:uid="{911737BA-8468-447C-9D17-E4155375D885}"/>
    <cellStyle name="Normal 4 4" xfId="378" xr:uid="{00000000-0005-0000-0000-0000C0140000}"/>
    <cellStyle name="Normal 4 4 10" xfId="2534" xr:uid="{00000000-0005-0000-0000-0000C1140000}"/>
    <cellStyle name="Normal 4 4 10 2" xfId="6817" xr:uid="{00000000-0005-0000-0000-0000C2140000}"/>
    <cellStyle name="Normal 4 4 10 2 2" xfId="24547" xr:uid="{8FAE5D79-C084-42A2-B989-154504362C6D}"/>
    <cellStyle name="Normal 4 4 10 2 3" xfId="15267" xr:uid="{5E9DDEF6-D2DF-41F5-9F46-5E7AD5F3D11D}"/>
    <cellStyle name="Normal 4 4 10 3" xfId="20330" xr:uid="{7321A93E-8525-4110-8716-451F06B04C69}"/>
    <cellStyle name="Normal 4 4 10 4" xfId="11049" xr:uid="{CDE5B311-3A40-4286-8CD1-8AB918DFAECE}"/>
    <cellStyle name="Normal 4 4 11" xfId="4752" xr:uid="{00000000-0005-0000-0000-0000C3140000}"/>
    <cellStyle name="Normal 4 4 11 2" xfId="22482" xr:uid="{3DDBF6C5-68E0-479F-88D3-B2E24DE3A69B}"/>
    <cellStyle name="Normal 4 4 11 3" xfId="13202" xr:uid="{FA67DA73-67C4-426D-BE90-C50D9D0AD868}"/>
    <cellStyle name="Normal 4 4 12" xfId="18265" xr:uid="{59E27A65-9E98-4CEA-BCFA-38F30AED79ED}"/>
    <cellStyle name="Normal 4 4 13" xfId="17431" xr:uid="{805C1E73-7753-4E76-88DB-D1C51BBD0C7D}"/>
    <cellStyle name="Normal 4 4 14" xfId="8984" xr:uid="{747AC1A9-E840-4B26-93C8-2D654570E364}"/>
    <cellStyle name="Normal 4 4 2" xfId="379" xr:uid="{00000000-0005-0000-0000-0000C4140000}"/>
    <cellStyle name="Normal 4 4 2 10" xfId="4753" xr:uid="{00000000-0005-0000-0000-0000C5140000}"/>
    <cellStyle name="Normal 4 4 2 10 2" xfId="22483" xr:uid="{15ED1447-B29F-4F07-B041-7B6450A2CDFC}"/>
    <cellStyle name="Normal 4 4 2 10 3" xfId="13203" xr:uid="{20AA57B3-DB9B-4A04-A4AD-0CB154BF5C94}"/>
    <cellStyle name="Normal 4 4 2 11" xfId="18266" xr:uid="{0F2DEC69-EA65-4048-9A2A-A99E2525CD5E}"/>
    <cellStyle name="Normal 4 4 2 12" xfId="17432" xr:uid="{1C60787D-36B8-45EA-96E5-543BC2A1366C}"/>
    <cellStyle name="Normal 4 4 2 13" xfId="8985" xr:uid="{168DCFC2-DE2B-4B85-8F15-E31C08DD34AC}"/>
    <cellStyle name="Normal 4 4 2 2" xfId="380" xr:uid="{00000000-0005-0000-0000-0000C6140000}"/>
    <cellStyle name="Normal 4 4 2 2 10" xfId="18267" xr:uid="{6E432393-4F59-43E7-BA47-5A9861FA7DCC}"/>
    <cellStyle name="Normal 4 4 2 2 11" xfId="17433" xr:uid="{0B7CCA06-E98F-4350-8796-30F8C50CCDD8}"/>
    <cellStyle name="Normal 4 4 2 2 12" xfId="8986" xr:uid="{D336BD72-F896-46D9-A9D4-336E8C15DB87}"/>
    <cellStyle name="Normal 4 4 2 2 2" xfId="381" xr:uid="{00000000-0005-0000-0000-0000C7140000}"/>
    <cellStyle name="Normal 4 4 2 2 2 10" xfId="17434" xr:uid="{49708CB0-21F5-482C-B888-77C6916ED7FB}"/>
    <cellStyle name="Normal 4 4 2 2 2 11" xfId="8987" xr:uid="{BC3E0887-49E2-4874-8162-846F558BCF24}"/>
    <cellStyle name="Normal 4 4 2 2 2 2" xfId="382" xr:uid="{00000000-0005-0000-0000-0000C8140000}"/>
    <cellStyle name="Normal 4 4 2 2 2 2 10" xfId="8988" xr:uid="{4C97F8E0-A7E6-4DE6-B6A1-0688B0937392}"/>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25044" xr:uid="{BD948327-B6A9-438C-9F66-7A9ED2A3BBF8}"/>
    <cellStyle name="Normal 4 4 2 2 2 2 2 2 2 3" xfId="15764" xr:uid="{88CEBF50-7BC8-4D6B-9226-EB52878C2B13}"/>
    <cellStyle name="Normal 4 4 2 2 2 2 2 2 3" xfId="20827" xr:uid="{C9906376-4EF7-4BD7-A8D3-7FA5738738D4}"/>
    <cellStyle name="Normal 4 4 2 2 2 2 2 2 4" xfId="11546" xr:uid="{CEFA58FE-E78A-44CA-BDBA-D14F3E44BAE7}"/>
    <cellStyle name="Normal 4 4 2 2 2 2 2 3" xfId="5169" xr:uid="{00000000-0005-0000-0000-0000CC140000}"/>
    <cellStyle name="Normal 4 4 2 2 2 2 2 3 2" xfId="22899" xr:uid="{0EA95F64-AC5B-48CF-B83F-A1FB673FF443}"/>
    <cellStyle name="Normal 4 4 2 2 2 2 2 3 3" xfId="13619" xr:uid="{E3AB48DC-D611-4BC1-8038-795099C22478}"/>
    <cellStyle name="Normal 4 4 2 2 2 2 2 4" xfId="18682" xr:uid="{AEEC0773-A901-4351-8663-42809A2A5BEA}"/>
    <cellStyle name="Normal 4 4 2 2 2 2 2 5" xfId="17854" xr:uid="{B464B3E1-8CB2-4C32-86D0-E6562725DC32}"/>
    <cellStyle name="Normal 4 4 2 2 2 2 2 6" xfId="9401" xr:uid="{7DCBCF03-DDC9-403A-9308-5A607643AF4A}"/>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25457" xr:uid="{35C10DEC-85AF-4897-8060-31F14B561D9E}"/>
    <cellStyle name="Normal 4 4 2 2 2 2 3 2 2 3" xfId="16177" xr:uid="{4B560091-4CD5-48C4-B6FE-427C151BE4C0}"/>
    <cellStyle name="Normal 4 4 2 2 2 2 3 2 3" xfId="21240" xr:uid="{DCB8FA7B-A243-40F7-8E6E-84D27C390502}"/>
    <cellStyle name="Normal 4 4 2 2 2 2 3 2 4" xfId="11959" xr:uid="{71579071-AD59-4433-BA77-BBEE06EB183C}"/>
    <cellStyle name="Normal 4 4 2 2 2 2 3 3" xfId="5582" xr:uid="{00000000-0005-0000-0000-0000D0140000}"/>
    <cellStyle name="Normal 4 4 2 2 2 2 3 3 2" xfId="23312" xr:uid="{7F508608-2BBD-4B97-856C-C9F845285546}"/>
    <cellStyle name="Normal 4 4 2 2 2 2 3 3 3" xfId="14032" xr:uid="{AB735BC0-3247-4A73-926A-BA162AA4EAF2}"/>
    <cellStyle name="Normal 4 4 2 2 2 2 3 4" xfId="19095" xr:uid="{E6E4C865-8E93-4DBA-A35A-24B4D26E54CD}"/>
    <cellStyle name="Normal 4 4 2 2 2 2 3 5" xfId="9814" xr:uid="{BF3F8B64-0907-4B4C-B8A9-E05FA939E173}"/>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25870" xr:uid="{261F197D-5CB3-440C-B94F-7C9B86BEEAEF}"/>
    <cellStyle name="Normal 4 4 2 2 2 2 4 2 2 3" xfId="16590" xr:uid="{B8A2EFC8-78A2-4D21-A009-A74BD1F186D3}"/>
    <cellStyle name="Normal 4 4 2 2 2 2 4 2 3" xfId="21653" xr:uid="{21CC30BA-46F8-46D4-99AF-61F042A0745D}"/>
    <cellStyle name="Normal 4 4 2 2 2 2 4 2 4" xfId="12372" xr:uid="{977E5528-1E90-48EA-B444-EB100B03AAA0}"/>
    <cellStyle name="Normal 4 4 2 2 2 2 4 3" xfId="5995" xr:uid="{00000000-0005-0000-0000-0000D4140000}"/>
    <cellStyle name="Normal 4 4 2 2 2 2 4 3 2" xfId="23725" xr:uid="{42E9A4AC-9D25-450E-9B61-60489EFDDEB7}"/>
    <cellStyle name="Normal 4 4 2 2 2 2 4 3 3" xfId="14445" xr:uid="{18D0A51C-1FC6-4968-AB0D-B5D4F5680279}"/>
    <cellStyle name="Normal 4 4 2 2 2 2 4 4" xfId="19508" xr:uid="{E21BAFF6-1ADD-4BFB-832B-F9351F1F9D65}"/>
    <cellStyle name="Normal 4 4 2 2 2 2 4 5" xfId="10227" xr:uid="{AE8D0ED8-CA6F-4ACB-9E4A-2D59BC9F1783}"/>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26283" xr:uid="{524A61B7-0AA1-4181-B512-5BFB75594894}"/>
    <cellStyle name="Normal 4 4 2 2 2 2 5 2 2 3" xfId="17003" xr:uid="{477A7A11-C7A8-457C-B1AF-CF45E53F437F}"/>
    <cellStyle name="Normal 4 4 2 2 2 2 5 2 3" xfId="22066" xr:uid="{0A4DE9AC-461D-4549-882C-DF55BB068AAF}"/>
    <cellStyle name="Normal 4 4 2 2 2 2 5 2 4" xfId="12785" xr:uid="{724724F4-D85F-4890-BEDB-D472D24E7B04}"/>
    <cellStyle name="Normal 4 4 2 2 2 2 5 3" xfId="6408" xr:uid="{00000000-0005-0000-0000-0000D8140000}"/>
    <cellStyle name="Normal 4 4 2 2 2 2 5 3 2" xfId="24138" xr:uid="{6A8AFF08-C3B9-4F0B-91DC-E73DAD21880E}"/>
    <cellStyle name="Normal 4 4 2 2 2 2 5 3 3" xfId="14858" xr:uid="{25D7E60D-8B46-4689-AD6D-79A8E8A76AD0}"/>
    <cellStyle name="Normal 4 4 2 2 2 2 5 4" xfId="19921" xr:uid="{C14336F5-4FFB-418C-969A-0C36860B52C8}"/>
    <cellStyle name="Normal 4 4 2 2 2 2 5 5" xfId="10640" xr:uid="{D47172BC-BD9B-4040-95A9-ABB4383ABBD1}"/>
    <cellStyle name="Normal 4 4 2 2 2 2 6" xfId="2538" xr:uid="{00000000-0005-0000-0000-0000D9140000}"/>
    <cellStyle name="Normal 4 4 2 2 2 2 6 2" xfId="6821" xr:uid="{00000000-0005-0000-0000-0000DA140000}"/>
    <cellStyle name="Normal 4 4 2 2 2 2 6 2 2" xfId="24551" xr:uid="{1E53DCD2-4389-4396-9DB4-468D4774DC5D}"/>
    <cellStyle name="Normal 4 4 2 2 2 2 6 2 3" xfId="15271" xr:uid="{5DBAAC61-77B4-4D66-BC39-A8801F0900FF}"/>
    <cellStyle name="Normal 4 4 2 2 2 2 6 3" xfId="20334" xr:uid="{A7B35E4D-C2CC-4A20-A5D4-37884DA95836}"/>
    <cellStyle name="Normal 4 4 2 2 2 2 6 4" xfId="11053" xr:uid="{C70A6511-D602-4A0F-9DD3-DEA4FC4E13AC}"/>
    <cellStyle name="Normal 4 4 2 2 2 2 7" xfId="4756" xr:uid="{00000000-0005-0000-0000-0000DB140000}"/>
    <cellStyle name="Normal 4 4 2 2 2 2 7 2" xfId="22486" xr:uid="{8D5F089A-0951-4DCD-8D6E-0C858BE725BC}"/>
    <cellStyle name="Normal 4 4 2 2 2 2 7 3" xfId="13206" xr:uid="{596F8008-1AEB-47B8-9DD7-01457DD7CDD9}"/>
    <cellStyle name="Normal 4 4 2 2 2 2 8" xfId="18269" xr:uid="{BD2CDEC3-9067-40FA-967E-C380DFF6BEA6}"/>
    <cellStyle name="Normal 4 4 2 2 2 2 9" xfId="17435" xr:uid="{518E39F9-96FF-43F5-A6E6-4D97581A754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25043" xr:uid="{909B1A22-B875-49CD-ADF2-C747F98E2509}"/>
    <cellStyle name="Normal 4 4 2 2 2 3 2 2 3" xfId="15763" xr:uid="{768DFF51-9271-4277-98E1-5BD602F981DE}"/>
    <cellStyle name="Normal 4 4 2 2 2 3 2 3" xfId="20826" xr:uid="{BDB31F08-5ADA-45F0-974F-F60D0C5E92F3}"/>
    <cellStyle name="Normal 4 4 2 2 2 3 2 4" xfId="11545" xr:uid="{32622935-BF87-4ED1-BC52-7B07AED0AF76}"/>
    <cellStyle name="Normal 4 4 2 2 2 3 3" xfId="5168" xr:uid="{00000000-0005-0000-0000-0000DF140000}"/>
    <cellStyle name="Normal 4 4 2 2 2 3 3 2" xfId="22898" xr:uid="{B2E9A9ED-E220-4667-A69A-3F2E93C4FF69}"/>
    <cellStyle name="Normal 4 4 2 2 2 3 3 3" xfId="13618" xr:uid="{E1604E05-93CF-44BF-93B8-2B7414A38622}"/>
    <cellStyle name="Normal 4 4 2 2 2 3 4" xfId="18681" xr:uid="{9C733C22-DDE9-4A14-9219-E6200A53A984}"/>
    <cellStyle name="Normal 4 4 2 2 2 3 5" xfId="17853" xr:uid="{5609283E-8451-4205-B248-E3F7C4AA7DE7}"/>
    <cellStyle name="Normal 4 4 2 2 2 3 6" xfId="9400" xr:uid="{D6F18567-F38A-4118-942F-5CB1014E2BC3}"/>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25456" xr:uid="{5B7B75C6-25F8-4068-8315-EF534C8C683A}"/>
    <cellStyle name="Normal 4 4 2 2 2 4 2 2 3" xfId="16176" xr:uid="{2C6089D1-19C6-4668-BF86-9A156F84F630}"/>
    <cellStyle name="Normal 4 4 2 2 2 4 2 3" xfId="21239" xr:uid="{7CC4585D-3D84-435E-8989-330BB5D8CBAD}"/>
    <cellStyle name="Normal 4 4 2 2 2 4 2 4" xfId="11958" xr:uid="{AB9633F4-E22C-416C-9E45-CDF36D74EAD6}"/>
    <cellStyle name="Normal 4 4 2 2 2 4 3" xfId="5581" xr:uid="{00000000-0005-0000-0000-0000E3140000}"/>
    <cellStyle name="Normal 4 4 2 2 2 4 3 2" xfId="23311" xr:uid="{FAE87D63-6A12-4A97-9E61-EE1E8504B321}"/>
    <cellStyle name="Normal 4 4 2 2 2 4 3 3" xfId="14031" xr:uid="{6EE0AB4D-F137-43D7-80C6-3DE8C6C43260}"/>
    <cellStyle name="Normal 4 4 2 2 2 4 4" xfId="19094" xr:uid="{1EB0B898-9BDB-4F39-B400-03B7B4D0BF19}"/>
    <cellStyle name="Normal 4 4 2 2 2 4 5" xfId="9813" xr:uid="{8E32BD72-F7CE-4A59-9859-BB9521645751}"/>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25869" xr:uid="{626D6F96-946F-4A23-B6E8-97FD44295D16}"/>
    <cellStyle name="Normal 4 4 2 2 2 5 2 2 3" xfId="16589" xr:uid="{277BAF0B-9772-46FC-8295-900BDB27C287}"/>
    <cellStyle name="Normal 4 4 2 2 2 5 2 3" xfId="21652" xr:uid="{47B9FBD4-955B-4936-B507-CDDF89FED4A7}"/>
    <cellStyle name="Normal 4 4 2 2 2 5 2 4" xfId="12371" xr:uid="{D756F7D8-2EBC-41DA-A1CF-C8F837C373DA}"/>
    <cellStyle name="Normal 4 4 2 2 2 5 3" xfId="5994" xr:uid="{00000000-0005-0000-0000-0000E7140000}"/>
    <cellStyle name="Normal 4 4 2 2 2 5 3 2" xfId="23724" xr:uid="{2D88BEC5-C264-420A-98CA-D9D0214CCE69}"/>
    <cellStyle name="Normal 4 4 2 2 2 5 3 3" xfId="14444" xr:uid="{3D72ADCE-26F9-45EB-BBDE-B3A92F68C647}"/>
    <cellStyle name="Normal 4 4 2 2 2 5 4" xfId="19507" xr:uid="{2E65B63B-00E4-42D6-A424-5106F6E1DB55}"/>
    <cellStyle name="Normal 4 4 2 2 2 5 5" xfId="10226" xr:uid="{76AFDD89-C949-4780-B9A9-5E85FCBA5A4E}"/>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26282" xr:uid="{9ACF4ED7-7F23-4580-A0EB-383444A652F2}"/>
    <cellStyle name="Normal 4 4 2 2 2 6 2 2 3" xfId="17002" xr:uid="{04FB967F-B402-434B-B1F1-201C5F9F1BDE}"/>
    <cellStyle name="Normal 4 4 2 2 2 6 2 3" xfId="22065" xr:uid="{A1C249DC-48DE-4A6C-8E84-C5C645A31439}"/>
    <cellStyle name="Normal 4 4 2 2 2 6 2 4" xfId="12784" xr:uid="{202BAB40-76FF-44FD-9425-A98AD6D2AF14}"/>
    <cellStyle name="Normal 4 4 2 2 2 6 3" xfId="6407" xr:uid="{00000000-0005-0000-0000-0000EB140000}"/>
    <cellStyle name="Normal 4 4 2 2 2 6 3 2" xfId="24137" xr:uid="{D250F225-ABA1-4A76-8C03-EA21951C3077}"/>
    <cellStyle name="Normal 4 4 2 2 2 6 3 3" xfId="14857" xr:uid="{7EF52283-9937-486B-B6C5-15E18BC659F3}"/>
    <cellStyle name="Normal 4 4 2 2 2 6 4" xfId="19920" xr:uid="{F6167139-DBE8-4A6E-80BF-F8C81BA14A66}"/>
    <cellStyle name="Normal 4 4 2 2 2 6 5" xfId="10639" xr:uid="{E1C1C1B8-D15F-48BB-9D92-56E7FBFFFBB0}"/>
    <cellStyle name="Normal 4 4 2 2 2 7" xfId="2537" xr:uid="{00000000-0005-0000-0000-0000EC140000}"/>
    <cellStyle name="Normal 4 4 2 2 2 7 2" xfId="6820" xr:uid="{00000000-0005-0000-0000-0000ED140000}"/>
    <cellStyle name="Normal 4 4 2 2 2 7 2 2" xfId="24550" xr:uid="{26DBF432-0E7B-4A42-AFBE-093CB5359297}"/>
    <cellStyle name="Normal 4 4 2 2 2 7 2 3" xfId="15270" xr:uid="{09FC671A-B1C0-4102-9200-FC5DA1A8252D}"/>
    <cellStyle name="Normal 4 4 2 2 2 7 3" xfId="20333" xr:uid="{D15EBA70-F23F-4CF0-804E-2A6499230AEC}"/>
    <cellStyle name="Normal 4 4 2 2 2 7 4" xfId="11052" xr:uid="{DC852801-FE53-4BEB-B182-48DF9B700955}"/>
    <cellStyle name="Normal 4 4 2 2 2 8" xfId="4755" xr:uid="{00000000-0005-0000-0000-0000EE140000}"/>
    <cellStyle name="Normal 4 4 2 2 2 8 2" xfId="22485" xr:uid="{E7764C4A-DD53-4A28-8E74-62039699CEDD}"/>
    <cellStyle name="Normal 4 4 2 2 2 8 3" xfId="13205" xr:uid="{957A1E68-3B6A-44D6-9A3A-D9CE4C750A62}"/>
    <cellStyle name="Normal 4 4 2 2 2 9" xfId="18268" xr:uid="{4CC6E380-2D9E-4627-8572-D537B47C579C}"/>
    <cellStyle name="Normal 4 4 2 2 3" xfId="383" xr:uid="{00000000-0005-0000-0000-0000EF140000}"/>
    <cellStyle name="Normal 4 4 2 2 3 10" xfId="8989" xr:uid="{DD18EC89-D4D8-4DAD-91A5-6519849E4E82}"/>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25045" xr:uid="{C6BE1ED1-E9C9-487A-8EBF-D4763E93507B}"/>
    <cellStyle name="Normal 4 4 2 2 3 2 2 2 3" xfId="15765" xr:uid="{AD08C4EE-896A-489D-923C-CD3AF1AAD851}"/>
    <cellStyle name="Normal 4 4 2 2 3 2 2 3" xfId="20828" xr:uid="{AEC03D09-DABA-40AF-B5A7-CA770AEF2C06}"/>
    <cellStyle name="Normal 4 4 2 2 3 2 2 4" xfId="11547" xr:uid="{5B574839-D2FE-42FF-A2BE-E061DE9D8E62}"/>
    <cellStyle name="Normal 4 4 2 2 3 2 3" xfId="5170" xr:uid="{00000000-0005-0000-0000-0000F3140000}"/>
    <cellStyle name="Normal 4 4 2 2 3 2 3 2" xfId="22900" xr:uid="{9EB82BF7-CB93-47AE-8FEF-D7C931775CAB}"/>
    <cellStyle name="Normal 4 4 2 2 3 2 3 3" xfId="13620" xr:uid="{D47298EA-81E1-46BC-ADD6-1133DA86FD7B}"/>
    <cellStyle name="Normal 4 4 2 2 3 2 4" xfId="18683" xr:uid="{8F69DA1D-F849-48F3-9CD0-26F7920B7CB7}"/>
    <cellStyle name="Normal 4 4 2 2 3 2 5" xfId="17855" xr:uid="{598A2F09-24CB-4FC7-9DAD-B8E47D672AC1}"/>
    <cellStyle name="Normal 4 4 2 2 3 2 6" xfId="9402" xr:uid="{BAAF7D40-A8D5-4AD5-9244-96B0A034CC4B}"/>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25458" xr:uid="{9AE28F84-BAA3-457D-A5BA-9D688C81F7A0}"/>
    <cellStyle name="Normal 4 4 2 2 3 3 2 2 3" xfId="16178" xr:uid="{750A0CDE-A9BD-4428-B12E-A6D19DA2D489}"/>
    <cellStyle name="Normal 4 4 2 2 3 3 2 3" xfId="21241" xr:uid="{079952A0-7318-4382-B36F-BFE35B079A20}"/>
    <cellStyle name="Normal 4 4 2 2 3 3 2 4" xfId="11960" xr:uid="{BB430CB6-C754-41E5-86DC-193DF9614602}"/>
    <cellStyle name="Normal 4 4 2 2 3 3 3" xfId="5583" xr:uid="{00000000-0005-0000-0000-0000F7140000}"/>
    <cellStyle name="Normal 4 4 2 2 3 3 3 2" xfId="23313" xr:uid="{DD065FA0-E331-4292-B3F9-46B2D1254CEA}"/>
    <cellStyle name="Normal 4 4 2 2 3 3 3 3" xfId="14033" xr:uid="{97D061CF-A912-42E7-8091-AA5DBA858751}"/>
    <cellStyle name="Normal 4 4 2 2 3 3 4" xfId="19096" xr:uid="{7BA9C26D-E36A-45B3-B6F4-0EDBE266C087}"/>
    <cellStyle name="Normal 4 4 2 2 3 3 5" xfId="9815" xr:uid="{744011D8-C00A-484F-A124-0440B11D88FA}"/>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25871" xr:uid="{654F4FEF-6910-4F8B-8715-06552B1226E1}"/>
    <cellStyle name="Normal 4 4 2 2 3 4 2 2 3" xfId="16591" xr:uid="{5B0BA42D-A640-4B71-9EDB-75EC1DFF3832}"/>
    <cellStyle name="Normal 4 4 2 2 3 4 2 3" xfId="21654" xr:uid="{9D972F3D-3B6E-49D2-AEE3-67557162BDE5}"/>
    <cellStyle name="Normal 4 4 2 2 3 4 2 4" xfId="12373" xr:uid="{A1221DEB-5875-4C96-ABDE-0EB7266FE816}"/>
    <cellStyle name="Normal 4 4 2 2 3 4 3" xfId="5996" xr:uid="{00000000-0005-0000-0000-0000FB140000}"/>
    <cellStyle name="Normal 4 4 2 2 3 4 3 2" xfId="23726" xr:uid="{C5DDD2A6-D652-4C9B-815B-FAA5D29E947B}"/>
    <cellStyle name="Normal 4 4 2 2 3 4 3 3" xfId="14446" xr:uid="{F5AEC9CA-D57A-47D2-ACA3-428C4F173DBB}"/>
    <cellStyle name="Normal 4 4 2 2 3 4 4" xfId="19509" xr:uid="{2661DD38-9C67-400D-8E88-1F3F5B5428A1}"/>
    <cellStyle name="Normal 4 4 2 2 3 4 5" xfId="10228" xr:uid="{834D8E78-02F1-4008-BF2C-4E8C3EFEBB79}"/>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26284" xr:uid="{C3DCA0E8-5544-49A5-8560-EB239F5DF996}"/>
    <cellStyle name="Normal 4 4 2 2 3 5 2 2 3" xfId="17004" xr:uid="{7644F275-30DC-48B7-AB85-A22BEA34D2C1}"/>
    <cellStyle name="Normal 4 4 2 2 3 5 2 3" xfId="22067" xr:uid="{0FA442BD-C0B2-4662-B8F7-7D49CCB37FF8}"/>
    <cellStyle name="Normal 4 4 2 2 3 5 2 4" xfId="12786" xr:uid="{71303904-70F9-4E03-B266-F27499205090}"/>
    <cellStyle name="Normal 4 4 2 2 3 5 3" xfId="6409" xr:uid="{00000000-0005-0000-0000-0000FF140000}"/>
    <cellStyle name="Normal 4 4 2 2 3 5 3 2" xfId="24139" xr:uid="{DDE279F3-0B61-436E-A55A-18313E4B5EC1}"/>
    <cellStyle name="Normal 4 4 2 2 3 5 3 3" xfId="14859" xr:uid="{5980B591-C479-40B6-BAA9-695DBD7A62AD}"/>
    <cellStyle name="Normal 4 4 2 2 3 5 4" xfId="19922" xr:uid="{A829D7EC-DE30-41B6-874C-C769FC7D2230}"/>
    <cellStyle name="Normal 4 4 2 2 3 5 5" xfId="10641" xr:uid="{15521FE4-C82D-4857-9DD1-71C66395F2A5}"/>
    <cellStyle name="Normal 4 4 2 2 3 6" xfId="2539" xr:uid="{00000000-0005-0000-0000-000000150000}"/>
    <cellStyle name="Normal 4 4 2 2 3 6 2" xfId="6822" xr:uid="{00000000-0005-0000-0000-000001150000}"/>
    <cellStyle name="Normal 4 4 2 2 3 6 2 2" xfId="24552" xr:uid="{4B45AA6B-BC29-4058-BBE1-7EE095DFEB8E}"/>
    <cellStyle name="Normal 4 4 2 2 3 6 2 3" xfId="15272" xr:uid="{4AD1D4D5-424A-44BB-BDBD-43D5A32CF33C}"/>
    <cellStyle name="Normal 4 4 2 2 3 6 3" xfId="20335" xr:uid="{7762F500-53DD-4EB3-9A9F-FC5F54CE9852}"/>
    <cellStyle name="Normal 4 4 2 2 3 6 4" xfId="11054" xr:uid="{D415BF74-2576-4B81-A070-AB327E76A827}"/>
    <cellStyle name="Normal 4 4 2 2 3 7" xfId="4757" xr:uid="{00000000-0005-0000-0000-000002150000}"/>
    <cellStyle name="Normal 4 4 2 2 3 7 2" xfId="22487" xr:uid="{858ADC45-6A1B-4E8F-BB25-1709651675A0}"/>
    <cellStyle name="Normal 4 4 2 2 3 7 3" xfId="13207" xr:uid="{6B9A5C8E-1C87-4ACC-BF4C-1BEF507D3EB2}"/>
    <cellStyle name="Normal 4 4 2 2 3 8" xfId="18270" xr:uid="{AC78D7E9-6B0B-42D3-ACF7-EDE4CB4758D1}"/>
    <cellStyle name="Normal 4 4 2 2 3 9" xfId="17436" xr:uid="{6B30DD42-4FE7-4454-BD53-C14368B24F01}"/>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25042" xr:uid="{D1484877-94C1-49B2-9B4C-5BC2138939E1}"/>
    <cellStyle name="Normal 4 4 2 2 4 2 2 3" xfId="15762" xr:uid="{880DD255-6155-4394-8F32-8D99DE1FEDD2}"/>
    <cellStyle name="Normal 4 4 2 2 4 2 3" xfId="20825" xr:uid="{8524A078-A1E8-4549-B400-0D39E92F6D92}"/>
    <cellStyle name="Normal 4 4 2 2 4 2 4" xfId="11544" xr:uid="{074FAF16-4F8E-4377-AC98-D0A9B86434D6}"/>
    <cellStyle name="Normal 4 4 2 2 4 3" xfId="5167" xr:uid="{00000000-0005-0000-0000-000006150000}"/>
    <cellStyle name="Normal 4 4 2 2 4 3 2" xfId="22897" xr:uid="{06BCD97D-5BCC-4319-89E8-CABF95552480}"/>
    <cellStyle name="Normal 4 4 2 2 4 3 3" xfId="13617" xr:uid="{F00573EE-C5DB-408A-94B8-D44982AA3060}"/>
    <cellStyle name="Normal 4 4 2 2 4 4" xfId="18680" xr:uid="{A37AF4AA-B312-4F55-841B-774D080DFBD6}"/>
    <cellStyle name="Normal 4 4 2 2 4 5" xfId="17852" xr:uid="{56A7E541-C3ED-47A4-99E7-44481EF8DE6B}"/>
    <cellStyle name="Normal 4 4 2 2 4 6" xfId="9399" xr:uid="{BB495383-5A31-45E5-BCE6-75354C9212E3}"/>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25455" xr:uid="{9E4B8D44-D088-4BBF-8E8C-32D8E3B9A9C9}"/>
    <cellStyle name="Normal 4 4 2 2 5 2 2 3" xfId="16175" xr:uid="{E82058CA-81B3-4195-B759-2B839D23CB94}"/>
    <cellStyle name="Normal 4 4 2 2 5 2 3" xfId="21238" xr:uid="{D26FE286-6E0F-4F82-A458-78A2582A8770}"/>
    <cellStyle name="Normal 4 4 2 2 5 2 4" xfId="11957" xr:uid="{D17D3FCE-25FF-4465-AB7C-1F8A2AC0994B}"/>
    <cellStyle name="Normal 4 4 2 2 5 3" xfId="5580" xr:uid="{00000000-0005-0000-0000-00000A150000}"/>
    <cellStyle name="Normal 4 4 2 2 5 3 2" xfId="23310" xr:uid="{0045F3AE-CD83-49DD-944C-2114174DEC3E}"/>
    <cellStyle name="Normal 4 4 2 2 5 3 3" xfId="14030" xr:uid="{AD041922-95C7-43D3-951C-4D98A8BFCC35}"/>
    <cellStyle name="Normal 4 4 2 2 5 4" xfId="19093" xr:uid="{B982ABFE-3ECF-48E6-9D43-8F89E2779522}"/>
    <cellStyle name="Normal 4 4 2 2 5 5" xfId="9812" xr:uid="{1FC6BCC9-146E-4C80-9DFC-0A537F1F97ED}"/>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25868" xr:uid="{CF696C01-4ACE-4008-9AEA-E98B2F7156DE}"/>
    <cellStyle name="Normal 4 4 2 2 6 2 2 3" xfId="16588" xr:uid="{D56C9543-4FF8-4656-9446-FC15BD85BB9E}"/>
    <cellStyle name="Normal 4 4 2 2 6 2 3" xfId="21651" xr:uid="{D9CAEB33-C802-4F16-B0B2-E4DFD62854F9}"/>
    <cellStyle name="Normal 4 4 2 2 6 2 4" xfId="12370" xr:uid="{8CB390F9-0222-4F83-A64A-DF4F3C5011D7}"/>
    <cellStyle name="Normal 4 4 2 2 6 3" xfId="5993" xr:uid="{00000000-0005-0000-0000-00000E150000}"/>
    <cellStyle name="Normal 4 4 2 2 6 3 2" xfId="23723" xr:uid="{15B85F37-CEFF-4813-A380-A2190DBCD2EF}"/>
    <cellStyle name="Normal 4 4 2 2 6 3 3" xfId="14443" xr:uid="{19A80C71-C5D3-4109-A662-234FCEF7FC9E}"/>
    <cellStyle name="Normal 4 4 2 2 6 4" xfId="19506" xr:uid="{B2E4EDA5-0365-4199-AD27-91078FA57B9B}"/>
    <cellStyle name="Normal 4 4 2 2 6 5" xfId="10225" xr:uid="{5DFD0C3A-E93E-4800-8029-7A9EFCFE825F}"/>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26281" xr:uid="{2ECD1C32-5C55-4C32-BBED-68F9F78654A7}"/>
    <cellStyle name="Normal 4 4 2 2 7 2 2 3" xfId="17001" xr:uid="{EDDA660B-47C2-4D32-B3A4-347B405F26D7}"/>
    <cellStyle name="Normal 4 4 2 2 7 2 3" xfId="22064" xr:uid="{375C54CF-EFB1-4587-96C0-C396290109CE}"/>
    <cellStyle name="Normal 4 4 2 2 7 2 4" xfId="12783" xr:uid="{A4E0CAE5-9870-4923-BE31-37D3B6610F68}"/>
    <cellStyle name="Normal 4 4 2 2 7 3" xfId="6406" xr:uid="{00000000-0005-0000-0000-000012150000}"/>
    <cellStyle name="Normal 4 4 2 2 7 3 2" xfId="24136" xr:uid="{A9FDBC71-954E-4548-899B-5DC490A13044}"/>
    <cellStyle name="Normal 4 4 2 2 7 3 3" xfId="14856" xr:uid="{02990E12-5950-48E1-BB44-6F6DB1D4F039}"/>
    <cellStyle name="Normal 4 4 2 2 7 4" xfId="19919" xr:uid="{DC44DE8B-57D1-4AC5-942B-832BB37BA467}"/>
    <cellStyle name="Normal 4 4 2 2 7 5" xfId="10638" xr:uid="{69F656A0-8D65-472B-9278-4171262155FD}"/>
    <cellStyle name="Normal 4 4 2 2 8" xfId="2536" xr:uid="{00000000-0005-0000-0000-000013150000}"/>
    <cellStyle name="Normal 4 4 2 2 8 2" xfId="6819" xr:uid="{00000000-0005-0000-0000-000014150000}"/>
    <cellStyle name="Normal 4 4 2 2 8 2 2" xfId="24549" xr:uid="{0FBE8B02-BA11-440E-8D2C-CBD687CB7F2E}"/>
    <cellStyle name="Normal 4 4 2 2 8 2 3" xfId="15269" xr:uid="{535DFB67-78FC-49A4-A8C7-E844F2DBA169}"/>
    <cellStyle name="Normal 4 4 2 2 8 3" xfId="20332" xr:uid="{F66EF89F-3400-4588-B446-5CDE0E6D929F}"/>
    <cellStyle name="Normal 4 4 2 2 8 4" xfId="11051" xr:uid="{5BBEE62D-1507-4CAA-9F0C-131411B62B6B}"/>
    <cellStyle name="Normal 4 4 2 2 9" xfId="4754" xr:uid="{00000000-0005-0000-0000-000015150000}"/>
    <cellStyle name="Normal 4 4 2 2 9 2" xfId="22484" xr:uid="{83089142-80EB-4656-90C9-C1659312A7E4}"/>
    <cellStyle name="Normal 4 4 2 2 9 3" xfId="13204" xr:uid="{72BD6E94-7183-4243-978A-7E0DEF33F123}"/>
    <cellStyle name="Normal 4 4 2 3" xfId="384" xr:uid="{00000000-0005-0000-0000-000016150000}"/>
    <cellStyle name="Normal 4 4 2 3 10" xfId="17437" xr:uid="{CBD0C11F-B5A5-4414-97D2-7FE69A7F880A}"/>
    <cellStyle name="Normal 4 4 2 3 11" xfId="8990" xr:uid="{1E2C2BAC-02C4-4D4F-A675-3B07BD737DA9}"/>
    <cellStyle name="Normal 4 4 2 3 2" xfId="385" xr:uid="{00000000-0005-0000-0000-000017150000}"/>
    <cellStyle name="Normal 4 4 2 3 2 10" xfId="8991" xr:uid="{AD811FB2-EE99-41FA-9DC1-C506897FE626}"/>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25047" xr:uid="{E5879B7B-D8E9-4DE9-B685-1FD8CA20B97E}"/>
    <cellStyle name="Normal 4 4 2 3 2 2 2 2 3" xfId="15767" xr:uid="{B586075F-79F5-4EE8-A739-AB8880153AD0}"/>
    <cellStyle name="Normal 4 4 2 3 2 2 2 3" xfId="20830" xr:uid="{3CF32BE0-FAD2-445D-8A52-6196280AE8B9}"/>
    <cellStyle name="Normal 4 4 2 3 2 2 2 4" xfId="11549" xr:uid="{724E89BF-253C-49FC-9402-D0E6E61866F2}"/>
    <cellStyle name="Normal 4 4 2 3 2 2 3" xfId="5172" xr:uid="{00000000-0005-0000-0000-00001B150000}"/>
    <cellStyle name="Normal 4 4 2 3 2 2 3 2" xfId="22902" xr:uid="{4A22F993-A1A5-42B1-AAC2-A5F33DB3AA1C}"/>
    <cellStyle name="Normal 4 4 2 3 2 2 3 3" xfId="13622" xr:uid="{4D808E85-6B13-469A-9072-DE10914E4EB7}"/>
    <cellStyle name="Normal 4 4 2 3 2 2 4" xfId="18685" xr:uid="{ECB0A40C-D807-43D7-8A44-49D2C92110BA}"/>
    <cellStyle name="Normal 4 4 2 3 2 2 5" xfId="17857" xr:uid="{ADA18DD2-6CA0-48E2-AF85-4A7F3E4D5868}"/>
    <cellStyle name="Normal 4 4 2 3 2 2 6" xfId="9404" xr:uid="{8DB13433-ED3C-45C3-8BB8-E17386993BDA}"/>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25460" xr:uid="{59F448E4-13F9-48ED-9F3A-D78352D9B9E6}"/>
    <cellStyle name="Normal 4 4 2 3 2 3 2 2 3" xfId="16180" xr:uid="{7AE9C163-41B8-478B-B4CE-72A688D258A6}"/>
    <cellStyle name="Normal 4 4 2 3 2 3 2 3" xfId="21243" xr:uid="{D266AF6E-BB40-43CC-9A6B-CBA55D6684D1}"/>
    <cellStyle name="Normal 4 4 2 3 2 3 2 4" xfId="11962" xr:uid="{15D6EAE5-8613-4FF7-B471-ECAC41AFD694}"/>
    <cellStyle name="Normal 4 4 2 3 2 3 3" xfId="5585" xr:uid="{00000000-0005-0000-0000-00001F150000}"/>
    <cellStyle name="Normal 4 4 2 3 2 3 3 2" xfId="23315" xr:uid="{B40CB62A-E7D2-4BBE-9D39-4568DB0BFCCC}"/>
    <cellStyle name="Normal 4 4 2 3 2 3 3 3" xfId="14035" xr:uid="{CD1FD099-8C56-4F8A-BA42-8DA22B85D913}"/>
    <cellStyle name="Normal 4 4 2 3 2 3 4" xfId="19098" xr:uid="{DD773584-E848-4DD1-BA23-967911676057}"/>
    <cellStyle name="Normal 4 4 2 3 2 3 5" xfId="9817" xr:uid="{AE3A2761-C990-4397-8AF6-2F192C136673}"/>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25873" xr:uid="{84CF571E-3CB5-4BD9-982A-6C2AAADACCDD}"/>
    <cellStyle name="Normal 4 4 2 3 2 4 2 2 3" xfId="16593" xr:uid="{3A56DD1E-84A8-4386-9BCB-2981A7FCC2BB}"/>
    <cellStyle name="Normal 4 4 2 3 2 4 2 3" xfId="21656" xr:uid="{59C708B1-560B-45A1-A170-507209DE65EA}"/>
    <cellStyle name="Normal 4 4 2 3 2 4 2 4" xfId="12375" xr:uid="{EFF89F49-F460-4F4F-994A-E00F2BA2644B}"/>
    <cellStyle name="Normal 4 4 2 3 2 4 3" xfId="5998" xr:uid="{00000000-0005-0000-0000-000023150000}"/>
    <cellStyle name="Normal 4 4 2 3 2 4 3 2" xfId="23728" xr:uid="{0E5CB102-9A91-4444-924B-E016063F03B1}"/>
    <cellStyle name="Normal 4 4 2 3 2 4 3 3" xfId="14448" xr:uid="{2C7B8AF9-5E54-4A8B-859D-7BEDA7B7E5CA}"/>
    <cellStyle name="Normal 4 4 2 3 2 4 4" xfId="19511" xr:uid="{DBAF2DF8-99E1-4FC2-B183-04A7426A5F5E}"/>
    <cellStyle name="Normal 4 4 2 3 2 4 5" xfId="10230" xr:uid="{E423C69E-EF24-4D93-AA52-C006CE723926}"/>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26286" xr:uid="{B6D4C579-D7DE-44AB-84C3-E93F88F4A6D0}"/>
    <cellStyle name="Normal 4 4 2 3 2 5 2 2 3" xfId="17006" xr:uid="{BA3BFC7B-3FDC-4E94-9646-3035AA14CC6D}"/>
    <cellStyle name="Normal 4 4 2 3 2 5 2 3" xfId="22069" xr:uid="{42CD29C3-507B-4FBC-B299-735336B4C0A0}"/>
    <cellStyle name="Normal 4 4 2 3 2 5 2 4" xfId="12788" xr:uid="{59DF1844-5D45-4734-8F76-65DD2361028F}"/>
    <cellStyle name="Normal 4 4 2 3 2 5 3" xfId="6411" xr:uid="{00000000-0005-0000-0000-000027150000}"/>
    <cellStyle name="Normal 4 4 2 3 2 5 3 2" xfId="24141" xr:uid="{080B1A71-41FB-4EFB-912D-FDEA716DEDBE}"/>
    <cellStyle name="Normal 4 4 2 3 2 5 3 3" xfId="14861" xr:uid="{F79DA3AC-BAB9-4D1B-B491-3C877CAF93B2}"/>
    <cellStyle name="Normal 4 4 2 3 2 5 4" xfId="19924" xr:uid="{99ACE052-2B78-46C5-B05C-AB75A88A1510}"/>
    <cellStyle name="Normal 4 4 2 3 2 5 5" xfId="10643" xr:uid="{649997A5-91E8-49DA-BEE6-11237FA5BEC7}"/>
    <cellStyle name="Normal 4 4 2 3 2 6" xfId="2541" xr:uid="{00000000-0005-0000-0000-000028150000}"/>
    <cellStyle name="Normal 4 4 2 3 2 6 2" xfId="6824" xr:uid="{00000000-0005-0000-0000-000029150000}"/>
    <cellStyle name="Normal 4 4 2 3 2 6 2 2" xfId="24554" xr:uid="{130D0C86-FA85-4807-A422-1B63CBFA0DDA}"/>
    <cellStyle name="Normal 4 4 2 3 2 6 2 3" xfId="15274" xr:uid="{6D4BBD5D-0397-40EA-BC50-EA6168F69823}"/>
    <cellStyle name="Normal 4 4 2 3 2 6 3" xfId="20337" xr:uid="{3F7000E8-D1F1-41EA-AA02-BDE128BB0438}"/>
    <cellStyle name="Normal 4 4 2 3 2 6 4" xfId="11056" xr:uid="{B95EAAA0-0F2C-4368-B2F3-9D57A8858874}"/>
    <cellStyle name="Normal 4 4 2 3 2 7" xfId="4759" xr:uid="{00000000-0005-0000-0000-00002A150000}"/>
    <cellStyle name="Normal 4 4 2 3 2 7 2" xfId="22489" xr:uid="{388B264B-01BC-43CE-B1A9-84C43B02A56B}"/>
    <cellStyle name="Normal 4 4 2 3 2 7 3" xfId="13209" xr:uid="{9DEE70DF-F9D8-4A7F-B95F-59F999D24FDC}"/>
    <cellStyle name="Normal 4 4 2 3 2 8" xfId="18272" xr:uid="{850E2D24-03CC-4AF4-81E7-4577A1B1E7E7}"/>
    <cellStyle name="Normal 4 4 2 3 2 9" xfId="17438" xr:uid="{7FA041C8-4795-40DF-A74C-7B57699E05F7}"/>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25046" xr:uid="{85B15485-A96A-4E7B-B911-97F81173DE75}"/>
    <cellStyle name="Normal 4 4 2 3 3 2 2 3" xfId="15766" xr:uid="{85082F73-5116-4372-BA92-AB16E56E4618}"/>
    <cellStyle name="Normal 4 4 2 3 3 2 3" xfId="20829" xr:uid="{5B17E83D-7804-4B2C-B6CF-D38010BBB4D8}"/>
    <cellStyle name="Normal 4 4 2 3 3 2 4" xfId="11548" xr:uid="{CC07D94F-5A23-4CA8-85DF-F4CB96674A35}"/>
    <cellStyle name="Normal 4 4 2 3 3 3" xfId="5171" xr:uid="{00000000-0005-0000-0000-00002E150000}"/>
    <cellStyle name="Normal 4 4 2 3 3 3 2" xfId="22901" xr:uid="{7DE5D978-8DA5-4D78-9628-ADAFA15607F4}"/>
    <cellStyle name="Normal 4 4 2 3 3 3 3" xfId="13621" xr:uid="{7D529648-66E0-4033-A530-F5AC65B9318B}"/>
    <cellStyle name="Normal 4 4 2 3 3 4" xfId="18684" xr:uid="{2CCEBB4C-204D-4D39-B9AA-667B69537B96}"/>
    <cellStyle name="Normal 4 4 2 3 3 5" xfId="17856" xr:uid="{00C203AA-7692-4D5B-9307-1218E8999689}"/>
    <cellStyle name="Normal 4 4 2 3 3 6" xfId="9403" xr:uid="{F9FDFF75-73F7-4A7E-95DE-B6107363E640}"/>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25459" xr:uid="{F819FD21-480A-4A53-8729-600123B8B967}"/>
    <cellStyle name="Normal 4 4 2 3 4 2 2 3" xfId="16179" xr:uid="{9BFF0B40-C2A7-4C74-B23D-9FF1A3820189}"/>
    <cellStyle name="Normal 4 4 2 3 4 2 3" xfId="21242" xr:uid="{1EC24D30-7DCE-4B02-A304-48041639DAD8}"/>
    <cellStyle name="Normal 4 4 2 3 4 2 4" xfId="11961" xr:uid="{343442EB-626C-4446-B2F0-8933921271B7}"/>
    <cellStyle name="Normal 4 4 2 3 4 3" xfId="5584" xr:uid="{00000000-0005-0000-0000-000032150000}"/>
    <cellStyle name="Normal 4 4 2 3 4 3 2" xfId="23314" xr:uid="{4DFEF21A-8483-4FA7-9118-98EF035F6EA4}"/>
    <cellStyle name="Normal 4 4 2 3 4 3 3" xfId="14034" xr:uid="{91641D91-2C35-4565-A103-7CB161FDFF44}"/>
    <cellStyle name="Normal 4 4 2 3 4 4" xfId="19097" xr:uid="{A51CC0F8-907B-4A79-8015-4ACD411776EF}"/>
    <cellStyle name="Normal 4 4 2 3 4 5" xfId="9816" xr:uid="{74B75BE4-57B3-436E-9697-9C6062C6B020}"/>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25872" xr:uid="{35A9FBA4-9D97-4675-8481-42EA1043BD19}"/>
    <cellStyle name="Normal 4 4 2 3 5 2 2 3" xfId="16592" xr:uid="{0FEE532F-ED17-498A-94C6-33E154B2A366}"/>
    <cellStyle name="Normal 4 4 2 3 5 2 3" xfId="21655" xr:uid="{96E08C14-7823-4E73-9C95-47F26F90EA65}"/>
    <cellStyle name="Normal 4 4 2 3 5 2 4" xfId="12374" xr:uid="{B87FF14E-75EB-4068-92C7-6C4069FC0BB0}"/>
    <cellStyle name="Normal 4 4 2 3 5 3" xfId="5997" xr:uid="{00000000-0005-0000-0000-000036150000}"/>
    <cellStyle name="Normal 4 4 2 3 5 3 2" xfId="23727" xr:uid="{C4035BDD-64F6-4DE9-AE19-AAEEE2DB3511}"/>
    <cellStyle name="Normal 4 4 2 3 5 3 3" xfId="14447" xr:uid="{DE091445-CD96-4879-ADC5-EF5122CAD779}"/>
    <cellStyle name="Normal 4 4 2 3 5 4" xfId="19510" xr:uid="{5174B411-583C-4947-AC92-83904F1012B4}"/>
    <cellStyle name="Normal 4 4 2 3 5 5" xfId="10229" xr:uid="{BFFFF5FF-5701-46C4-8E93-8DF817880AA2}"/>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26285" xr:uid="{E57D84C1-C9F0-4543-827B-E942DF67BFFE}"/>
    <cellStyle name="Normal 4 4 2 3 6 2 2 3" xfId="17005" xr:uid="{11AFCC13-9978-4786-950B-53A4218DFEB8}"/>
    <cellStyle name="Normal 4 4 2 3 6 2 3" xfId="22068" xr:uid="{91DC0F07-063A-4EF8-ABFE-300BB9C62DF2}"/>
    <cellStyle name="Normal 4 4 2 3 6 2 4" xfId="12787" xr:uid="{A606F62C-1BAB-4ADB-93B7-B738809D85B6}"/>
    <cellStyle name="Normal 4 4 2 3 6 3" xfId="6410" xr:uid="{00000000-0005-0000-0000-00003A150000}"/>
    <cellStyle name="Normal 4 4 2 3 6 3 2" xfId="24140" xr:uid="{CD539348-E3F3-4EA7-9DCA-EBCFE531E6CD}"/>
    <cellStyle name="Normal 4 4 2 3 6 3 3" xfId="14860" xr:uid="{59B70963-2E4E-47D5-9BFD-3C4C25FF107F}"/>
    <cellStyle name="Normal 4 4 2 3 6 4" xfId="19923" xr:uid="{D73D1FA1-CCF9-4E62-BE02-3A161B554654}"/>
    <cellStyle name="Normal 4 4 2 3 6 5" xfId="10642" xr:uid="{5C8AD934-BEB7-43C6-A5B6-A8EC0D60C579}"/>
    <cellStyle name="Normal 4 4 2 3 7" xfId="2540" xr:uid="{00000000-0005-0000-0000-00003B150000}"/>
    <cellStyle name="Normal 4 4 2 3 7 2" xfId="6823" xr:uid="{00000000-0005-0000-0000-00003C150000}"/>
    <cellStyle name="Normal 4 4 2 3 7 2 2" xfId="24553" xr:uid="{88774243-08B4-484B-85BB-0E9DE3C7687E}"/>
    <cellStyle name="Normal 4 4 2 3 7 2 3" xfId="15273" xr:uid="{87A2A7F1-EB65-48A0-B733-56A2045593BD}"/>
    <cellStyle name="Normal 4 4 2 3 7 3" xfId="20336" xr:uid="{1CE1480E-F821-4559-B735-CFD698B3D4C5}"/>
    <cellStyle name="Normal 4 4 2 3 7 4" xfId="11055" xr:uid="{2F503F32-39EE-430A-9473-001A8E42EEEA}"/>
    <cellStyle name="Normal 4 4 2 3 8" xfId="4758" xr:uid="{00000000-0005-0000-0000-00003D150000}"/>
    <cellStyle name="Normal 4 4 2 3 8 2" xfId="22488" xr:uid="{441CC011-0D21-4DCE-8266-E41EE6F9F12E}"/>
    <cellStyle name="Normal 4 4 2 3 8 3" xfId="13208" xr:uid="{687D8486-05F9-4211-B8AE-5384356B04F0}"/>
    <cellStyle name="Normal 4 4 2 3 9" xfId="18271" xr:uid="{B1374D52-BBC9-4E42-A5B2-5E08408796E7}"/>
    <cellStyle name="Normal 4 4 2 4" xfId="386" xr:uid="{00000000-0005-0000-0000-00003E150000}"/>
    <cellStyle name="Normal 4 4 2 4 10" xfId="8992" xr:uid="{08195B4C-3EE0-417E-A014-F409896BDF94}"/>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25048" xr:uid="{C9737C38-AF05-4610-B141-2B6B8E031845}"/>
    <cellStyle name="Normal 4 4 2 4 2 2 2 3" xfId="15768" xr:uid="{9FCE43A4-5790-486E-92E8-2FC1D46DEE47}"/>
    <cellStyle name="Normal 4 4 2 4 2 2 3" xfId="20831" xr:uid="{F16B1994-A241-4701-A752-B8AC1D5D0E53}"/>
    <cellStyle name="Normal 4 4 2 4 2 2 4" xfId="11550" xr:uid="{B31C1B1D-4B3E-4DE0-94DD-C7690E42E5C6}"/>
    <cellStyle name="Normal 4 4 2 4 2 3" xfId="5173" xr:uid="{00000000-0005-0000-0000-000042150000}"/>
    <cellStyle name="Normal 4 4 2 4 2 3 2" xfId="22903" xr:uid="{056A8AD4-A6B9-4931-8FAA-A603B9E12F81}"/>
    <cellStyle name="Normal 4 4 2 4 2 3 3" xfId="13623" xr:uid="{EC4BC17E-F8E8-433A-99D1-F97AC2CDEE35}"/>
    <cellStyle name="Normal 4 4 2 4 2 4" xfId="18686" xr:uid="{92927917-D96F-43B1-B797-BB90EC100BE1}"/>
    <cellStyle name="Normal 4 4 2 4 2 5" xfId="17858" xr:uid="{047B184A-385D-4FE3-9AC1-BDAB0EC59500}"/>
    <cellStyle name="Normal 4 4 2 4 2 6" xfId="9405" xr:uid="{8C8B3534-8E48-4B61-8E28-8DA3FEF4633F}"/>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25461" xr:uid="{DE54BA58-A4B6-41C4-8653-54C44E58A019}"/>
    <cellStyle name="Normal 4 4 2 4 3 2 2 3" xfId="16181" xr:uid="{ACD1C8E4-7470-457B-8F05-A59A206A0DBF}"/>
    <cellStyle name="Normal 4 4 2 4 3 2 3" xfId="21244" xr:uid="{0D6F58E0-4BF7-4F2D-897B-5DECD7C5D3B5}"/>
    <cellStyle name="Normal 4 4 2 4 3 2 4" xfId="11963" xr:uid="{6E10321A-96DE-45EA-ACE0-545F597E23A6}"/>
    <cellStyle name="Normal 4 4 2 4 3 3" xfId="5586" xr:uid="{00000000-0005-0000-0000-000046150000}"/>
    <cellStyle name="Normal 4 4 2 4 3 3 2" xfId="23316" xr:uid="{D2D0D1CF-CDED-44FE-9280-F3BBAEAC5B2E}"/>
    <cellStyle name="Normal 4 4 2 4 3 3 3" xfId="14036" xr:uid="{B33CF9CA-D1A4-4E5B-97C0-1146C61AE787}"/>
    <cellStyle name="Normal 4 4 2 4 3 4" xfId="19099" xr:uid="{121F2F01-BF87-41DF-A516-D54A19EBCEC1}"/>
    <cellStyle name="Normal 4 4 2 4 3 5" xfId="9818" xr:uid="{FA1C6AB4-D57D-42CB-B226-50A0235F3B74}"/>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25874" xr:uid="{230EC703-284E-428B-B2EC-D307DD94238E}"/>
    <cellStyle name="Normal 4 4 2 4 4 2 2 3" xfId="16594" xr:uid="{24C6CDEF-32E2-4B1E-A9EF-6C85248A1BC7}"/>
    <cellStyle name="Normal 4 4 2 4 4 2 3" xfId="21657" xr:uid="{564E56BD-9A06-47D2-9CB6-7EAE86795E72}"/>
    <cellStyle name="Normal 4 4 2 4 4 2 4" xfId="12376" xr:uid="{AC7B6153-6A8E-49D8-906A-E780D502FF2C}"/>
    <cellStyle name="Normal 4 4 2 4 4 3" xfId="5999" xr:uid="{00000000-0005-0000-0000-00004A150000}"/>
    <cellStyle name="Normal 4 4 2 4 4 3 2" xfId="23729" xr:uid="{E440FC59-3C69-4D3E-B830-5B2E5E14C5D4}"/>
    <cellStyle name="Normal 4 4 2 4 4 3 3" xfId="14449" xr:uid="{FA8F58CB-BC1B-4678-B3A0-E54F547A5602}"/>
    <cellStyle name="Normal 4 4 2 4 4 4" xfId="19512" xr:uid="{71092A99-3473-437C-B990-FDF54AE19ED1}"/>
    <cellStyle name="Normal 4 4 2 4 4 5" xfId="10231" xr:uid="{9DD8EE29-7A0C-4086-B853-9F0563AB2AAA}"/>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26287" xr:uid="{3A63B076-CC36-4CCE-BA03-0432CBF95ECE}"/>
    <cellStyle name="Normal 4 4 2 4 5 2 2 3" xfId="17007" xr:uid="{BFC06C4B-120D-4B17-AE75-9EFE889E1345}"/>
    <cellStyle name="Normal 4 4 2 4 5 2 3" xfId="22070" xr:uid="{81B247C3-94C4-4F24-A4C2-802D403A1989}"/>
    <cellStyle name="Normal 4 4 2 4 5 2 4" xfId="12789" xr:uid="{69F3E082-DB5B-4460-8E03-0F21226B3A9F}"/>
    <cellStyle name="Normal 4 4 2 4 5 3" xfId="6412" xr:uid="{00000000-0005-0000-0000-00004E150000}"/>
    <cellStyle name="Normal 4 4 2 4 5 3 2" xfId="24142" xr:uid="{0B223CBA-EBF3-4045-9DEF-8660A6A13496}"/>
    <cellStyle name="Normal 4 4 2 4 5 3 3" xfId="14862" xr:uid="{CC55FB35-D7AF-4C50-9335-237CB9E11895}"/>
    <cellStyle name="Normal 4 4 2 4 5 4" xfId="19925" xr:uid="{3D923D2F-0BA1-4FEE-AAC7-E66CC9770683}"/>
    <cellStyle name="Normal 4 4 2 4 5 5" xfId="10644" xr:uid="{D3FC4950-E4B1-4824-9C7A-5A685C4E125B}"/>
    <cellStyle name="Normal 4 4 2 4 6" xfId="2542" xr:uid="{00000000-0005-0000-0000-00004F150000}"/>
    <cellStyle name="Normal 4 4 2 4 6 2" xfId="6825" xr:uid="{00000000-0005-0000-0000-000050150000}"/>
    <cellStyle name="Normal 4 4 2 4 6 2 2" xfId="24555" xr:uid="{AB8CEAAF-6A68-4DC9-8D99-82A228052C43}"/>
    <cellStyle name="Normal 4 4 2 4 6 2 3" xfId="15275" xr:uid="{73F31C08-8BF7-454E-A928-EDC2BFC88CB7}"/>
    <cellStyle name="Normal 4 4 2 4 6 3" xfId="20338" xr:uid="{96EC1473-A761-4A63-A6E8-2F4DDDBD47DE}"/>
    <cellStyle name="Normal 4 4 2 4 6 4" xfId="11057" xr:uid="{778860C4-005D-4FDA-A560-7CE1E91E1983}"/>
    <cellStyle name="Normal 4 4 2 4 7" xfId="4760" xr:uid="{00000000-0005-0000-0000-000051150000}"/>
    <cellStyle name="Normal 4 4 2 4 7 2" xfId="22490" xr:uid="{E331DB0B-5F37-4001-8DC4-BDB2C8E91387}"/>
    <cellStyle name="Normal 4 4 2 4 7 3" xfId="13210" xr:uid="{25486B08-181A-4011-934B-7CE22EBA5C99}"/>
    <cellStyle name="Normal 4 4 2 4 8" xfId="18273" xr:uid="{2AD6C8E0-5254-44AE-8517-3405C3B7767A}"/>
    <cellStyle name="Normal 4 4 2 4 9" xfId="17439" xr:uid="{ABF0C9D5-841D-4102-B1CF-613FFF3A7B9C}"/>
    <cellStyle name="Normal 4 4 2 5" xfId="854" xr:uid="{00000000-0005-0000-0000-000052150000}"/>
    <cellStyle name="Normal 4 4 2 5 2" xfId="3089" xr:uid="{00000000-0005-0000-0000-000053150000}"/>
    <cellStyle name="Normal 4 4 2 5 2 2" xfId="7311" xr:uid="{00000000-0005-0000-0000-000054150000}"/>
    <cellStyle name="Normal 4 4 2 5 2 2 2" xfId="25041" xr:uid="{54850CE6-3523-4A63-94CD-AED0AEE6BD91}"/>
    <cellStyle name="Normal 4 4 2 5 2 2 3" xfId="15761" xr:uid="{2D4AC4A3-1B2C-4F30-AB6E-F74A24951225}"/>
    <cellStyle name="Normal 4 4 2 5 2 3" xfId="20824" xr:uid="{818A0436-3F76-48FC-A6C6-08A7A0620181}"/>
    <cellStyle name="Normal 4 4 2 5 2 4" xfId="11543" xr:uid="{8A2B7D49-4EFB-426C-995F-68CD499D15C0}"/>
    <cellStyle name="Normal 4 4 2 5 3" xfId="5166" xr:uid="{00000000-0005-0000-0000-000055150000}"/>
    <cellStyle name="Normal 4 4 2 5 3 2" xfId="22896" xr:uid="{40D581A9-2D1E-4D47-A5BB-E40AD84FF3EB}"/>
    <cellStyle name="Normal 4 4 2 5 3 3" xfId="13616" xr:uid="{B6D9D5AF-ECA9-4EA7-A58E-272BB35E980D}"/>
    <cellStyle name="Normal 4 4 2 5 4" xfId="18679" xr:uid="{3A9E9CCD-1101-462F-B78A-77D8894EDF51}"/>
    <cellStyle name="Normal 4 4 2 5 5" xfId="17851" xr:uid="{2AE76D5D-A767-42AB-B104-EED9807D5954}"/>
    <cellStyle name="Normal 4 4 2 5 6" xfId="9398" xr:uid="{A61EED92-C1D6-4D46-A5D1-68657EB39F20}"/>
    <cellStyle name="Normal 4 4 2 6" xfId="1272" xr:uid="{00000000-0005-0000-0000-000056150000}"/>
    <cellStyle name="Normal 4 4 2 6 2" xfId="3502" xr:uid="{00000000-0005-0000-0000-000057150000}"/>
    <cellStyle name="Normal 4 4 2 6 2 2" xfId="7724" xr:uid="{00000000-0005-0000-0000-000058150000}"/>
    <cellStyle name="Normal 4 4 2 6 2 2 2" xfId="25454" xr:uid="{676D7131-1AA4-4178-B9F7-09E537DC05BA}"/>
    <cellStyle name="Normal 4 4 2 6 2 2 3" xfId="16174" xr:uid="{B94A5A44-B725-43ED-8EBE-6AC7DC2FCFAF}"/>
    <cellStyle name="Normal 4 4 2 6 2 3" xfId="21237" xr:uid="{65E194E3-26C5-4F38-B1C2-BE76A21106E6}"/>
    <cellStyle name="Normal 4 4 2 6 2 4" xfId="11956" xr:uid="{55724F56-A6E6-4319-AE4C-6C0774C3023A}"/>
    <cellStyle name="Normal 4 4 2 6 3" xfId="5579" xr:uid="{00000000-0005-0000-0000-000059150000}"/>
    <cellStyle name="Normal 4 4 2 6 3 2" xfId="23309" xr:uid="{FA93F38B-82BE-4BD0-84EA-317539768BA8}"/>
    <cellStyle name="Normal 4 4 2 6 3 3" xfId="14029" xr:uid="{EFBB9CDC-6789-4C80-B04C-4C4BAA3B3EED}"/>
    <cellStyle name="Normal 4 4 2 6 4" xfId="19092" xr:uid="{7F86CBD2-C4D0-4596-9CC6-95D7D625BA20}"/>
    <cellStyle name="Normal 4 4 2 6 5" xfId="9811" xr:uid="{4B96658E-8AE6-4119-B52F-9EF2208F50EF}"/>
    <cellStyle name="Normal 4 4 2 7" xfId="1685" xr:uid="{00000000-0005-0000-0000-00005A150000}"/>
    <cellStyle name="Normal 4 4 2 7 2" xfId="3915" xr:uid="{00000000-0005-0000-0000-00005B150000}"/>
    <cellStyle name="Normal 4 4 2 7 2 2" xfId="8137" xr:uid="{00000000-0005-0000-0000-00005C150000}"/>
    <cellStyle name="Normal 4 4 2 7 2 2 2" xfId="25867" xr:uid="{C7EE9A11-5FF1-4A2F-826F-2D462A404F61}"/>
    <cellStyle name="Normal 4 4 2 7 2 2 3" xfId="16587" xr:uid="{3BF25F3C-343E-4906-8D26-9C3B3E78F08C}"/>
    <cellStyle name="Normal 4 4 2 7 2 3" xfId="21650" xr:uid="{FC75EF23-DAD9-40E6-872A-3C74E6F483E0}"/>
    <cellStyle name="Normal 4 4 2 7 2 4" xfId="12369" xr:uid="{ECBECA70-9B36-4AE7-B68C-A99569FEFFB6}"/>
    <cellStyle name="Normal 4 4 2 7 3" xfId="5992" xr:uid="{00000000-0005-0000-0000-00005D150000}"/>
    <cellStyle name="Normal 4 4 2 7 3 2" xfId="23722" xr:uid="{4D65B7B4-FE9A-472B-A3E7-4330A19C9543}"/>
    <cellStyle name="Normal 4 4 2 7 3 3" xfId="14442" xr:uid="{FE04F32B-93FE-4988-8781-CCC304E59D35}"/>
    <cellStyle name="Normal 4 4 2 7 4" xfId="19505" xr:uid="{5B435521-F8CD-4C21-A8DF-83D4AE20E3D5}"/>
    <cellStyle name="Normal 4 4 2 7 5" xfId="10224" xr:uid="{80741472-942C-4679-A85B-CB860007D3B9}"/>
    <cellStyle name="Normal 4 4 2 8" xfId="2099" xr:uid="{00000000-0005-0000-0000-00005E150000}"/>
    <cellStyle name="Normal 4 4 2 8 2" xfId="4328" xr:uid="{00000000-0005-0000-0000-00005F150000}"/>
    <cellStyle name="Normal 4 4 2 8 2 2" xfId="8550" xr:uid="{00000000-0005-0000-0000-000060150000}"/>
    <cellStyle name="Normal 4 4 2 8 2 2 2" xfId="26280" xr:uid="{DC788CB4-8B8C-4096-8B5B-892A75334C89}"/>
    <cellStyle name="Normal 4 4 2 8 2 2 3" xfId="17000" xr:uid="{241F3022-F781-4041-92B2-9D700453B27E}"/>
    <cellStyle name="Normal 4 4 2 8 2 3" xfId="22063" xr:uid="{4BE44C17-67E9-4F96-9000-F2BBA9EFDD2D}"/>
    <cellStyle name="Normal 4 4 2 8 2 4" xfId="12782" xr:uid="{801F9B6C-FBA8-40A1-8114-883FCBEC3F6C}"/>
    <cellStyle name="Normal 4 4 2 8 3" xfId="6405" xr:uid="{00000000-0005-0000-0000-000061150000}"/>
    <cellStyle name="Normal 4 4 2 8 3 2" xfId="24135" xr:uid="{ABD8A436-D65E-4C58-9F25-393C019A4CAF}"/>
    <cellStyle name="Normal 4 4 2 8 3 3" xfId="14855" xr:uid="{45D6E68C-BBDD-45E9-8526-5B5B01D28D84}"/>
    <cellStyle name="Normal 4 4 2 8 4" xfId="19918" xr:uid="{1D28B1C1-5932-44AE-B5DF-8E4771D87752}"/>
    <cellStyle name="Normal 4 4 2 8 5" xfId="10637" xr:uid="{1F0FD904-B7DF-4629-87F8-3076EBBE582C}"/>
    <cellStyle name="Normal 4 4 2 9" xfId="2535" xr:uid="{00000000-0005-0000-0000-000062150000}"/>
    <cellStyle name="Normal 4 4 2 9 2" xfId="6818" xr:uid="{00000000-0005-0000-0000-000063150000}"/>
    <cellStyle name="Normal 4 4 2 9 2 2" xfId="24548" xr:uid="{4D3B30EE-BEC0-4BEA-987D-48B7B02F126E}"/>
    <cellStyle name="Normal 4 4 2 9 2 3" xfId="15268" xr:uid="{55A23461-7FFB-4A5D-B18E-CFCB2D1B7FF2}"/>
    <cellStyle name="Normal 4 4 2 9 3" xfId="20331" xr:uid="{6B218927-39F6-4F81-ADEB-B55E20DC2C52}"/>
    <cellStyle name="Normal 4 4 2 9 4" xfId="11050" xr:uid="{A9F8A026-15FC-4965-96AF-07FF825FBA6F}"/>
    <cellStyle name="Normal 4 4 3" xfId="387" xr:uid="{00000000-0005-0000-0000-000064150000}"/>
    <cellStyle name="Normal 4 4 3 10" xfId="18274" xr:uid="{EE89A0D2-80FA-4F69-8236-BE6312676641}"/>
    <cellStyle name="Normal 4 4 3 11" xfId="17440" xr:uid="{3113843F-E8B3-4049-A9CA-792BFA8D6CDC}"/>
    <cellStyle name="Normal 4 4 3 12" xfId="8993" xr:uid="{7ABFBED6-60D8-47F7-B86C-41D4AEF0000D}"/>
    <cellStyle name="Normal 4 4 3 2" xfId="388" xr:uid="{00000000-0005-0000-0000-000065150000}"/>
    <cellStyle name="Normal 4 4 3 2 10" xfId="17441" xr:uid="{0C1EE798-2C68-4CD1-9F44-4FB9FCC6D707}"/>
    <cellStyle name="Normal 4 4 3 2 11" xfId="8994" xr:uid="{027F599B-D085-40DC-B41F-92A96B084C63}"/>
    <cellStyle name="Normal 4 4 3 2 2" xfId="389" xr:uid="{00000000-0005-0000-0000-000066150000}"/>
    <cellStyle name="Normal 4 4 3 2 2 10" xfId="8995" xr:uid="{51EF9BB7-AC55-4FA9-BE6A-A3813B1DAAD5}"/>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25051" xr:uid="{36FD0273-F3EE-41F2-841B-6572E994970C}"/>
    <cellStyle name="Normal 4 4 3 2 2 2 2 2 3" xfId="15771" xr:uid="{88B627F3-2BE4-4F86-8030-04212F770D2E}"/>
    <cellStyle name="Normal 4 4 3 2 2 2 2 3" xfId="20834" xr:uid="{C6C723D6-43A4-4EB1-8D0E-F2871D079B51}"/>
    <cellStyle name="Normal 4 4 3 2 2 2 2 4" xfId="11553" xr:uid="{4B99A5AC-42A2-4612-8CD0-D93F22653E67}"/>
    <cellStyle name="Normal 4 4 3 2 2 2 3" xfId="5176" xr:uid="{00000000-0005-0000-0000-00006A150000}"/>
    <cellStyle name="Normal 4 4 3 2 2 2 3 2" xfId="22906" xr:uid="{D007B0ED-F393-491A-BF0D-53F4F59782A3}"/>
    <cellStyle name="Normal 4 4 3 2 2 2 3 3" xfId="13626" xr:uid="{DAF7665A-F8EC-4713-9750-F93525FBFC87}"/>
    <cellStyle name="Normal 4 4 3 2 2 2 4" xfId="18689" xr:uid="{C503E540-7F4A-4791-B7BB-0027FAEB15BD}"/>
    <cellStyle name="Normal 4 4 3 2 2 2 5" xfId="17861" xr:uid="{5171EB61-ECD3-4FE5-99F4-2E12854C2007}"/>
    <cellStyle name="Normal 4 4 3 2 2 2 6" xfId="9408" xr:uid="{A6229BB9-3D29-417D-975D-F4B3D465B5C8}"/>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25464" xr:uid="{8C1F6EBC-7BB1-46B0-B6AE-DAA041CB2DD7}"/>
    <cellStyle name="Normal 4 4 3 2 2 3 2 2 3" xfId="16184" xr:uid="{15057C96-AB3D-4932-8C4F-6AE82E26219D}"/>
    <cellStyle name="Normal 4 4 3 2 2 3 2 3" xfId="21247" xr:uid="{1421AF64-841F-445F-979C-397E0A5D4984}"/>
    <cellStyle name="Normal 4 4 3 2 2 3 2 4" xfId="11966" xr:uid="{F6CB29D9-6F05-4E5A-9F16-D599F92C11E9}"/>
    <cellStyle name="Normal 4 4 3 2 2 3 3" xfId="5589" xr:uid="{00000000-0005-0000-0000-00006E150000}"/>
    <cellStyle name="Normal 4 4 3 2 2 3 3 2" xfId="23319" xr:uid="{5B83AFA3-D77C-4F47-876A-CD73C04CED95}"/>
    <cellStyle name="Normal 4 4 3 2 2 3 3 3" xfId="14039" xr:uid="{C7FA4A3E-113A-4521-9CC7-45127B36CDD0}"/>
    <cellStyle name="Normal 4 4 3 2 2 3 4" xfId="19102" xr:uid="{783DCC8B-B9F6-40E9-BFBB-199B08F77698}"/>
    <cellStyle name="Normal 4 4 3 2 2 3 5" xfId="9821" xr:uid="{BB9554B8-D5ED-4E68-A8BB-74550D36F039}"/>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25877" xr:uid="{C9BE4350-6BAD-4F9A-8F00-F3A5B6568D2A}"/>
    <cellStyle name="Normal 4 4 3 2 2 4 2 2 3" xfId="16597" xr:uid="{CCCCDD58-4992-4FF0-A4B4-14AAC8C59210}"/>
    <cellStyle name="Normal 4 4 3 2 2 4 2 3" xfId="21660" xr:uid="{648F96B8-11B5-4946-994B-BD1F1BEDBB01}"/>
    <cellStyle name="Normal 4 4 3 2 2 4 2 4" xfId="12379" xr:uid="{65E21E0D-1589-4616-9844-7512476C6A3B}"/>
    <cellStyle name="Normal 4 4 3 2 2 4 3" xfId="6002" xr:uid="{00000000-0005-0000-0000-000072150000}"/>
    <cellStyle name="Normal 4 4 3 2 2 4 3 2" xfId="23732" xr:uid="{F04F4EA0-F190-4577-9443-C2DA893AE607}"/>
    <cellStyle name="Normal 4 4 3 2 2 4 3 3" xfId="14452" xr:uid="{390DFDCB-24F6-4ECE-A305-9D25FE94016A}"/>
    <cellStyle name="Normal 4 4 3 2 2 4 4" xfId="19515" xr:uid="{03336726-E932-455D-9462-E599D4540BDD}"/>
    <cellStyle name="Normal 4 4 3 2 2 4 5" xfId="10234" xr:uid="{65F7FC9E-8BCF-4A87-A0A4-320F64A8D2DD}"/>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26290" xr:uid="{65192DBD-007D-4B06-A3BC-B683CA51D6DC}"/>
    <cellStyle name="Normal 4 4 3 2 2 5 2 2 3" xfId="17010" xr:uid="{34CEA869-D541-4947-B119-071809D8C02E}"/>
    <cellStyle name="Normal 4 4 3 2 2 5 2 3" xfId="22073" xr:uid="{2C4C8217-FD48-4899-B7C9-2CDC92B78844}"/>
    <cellStyle name="Normal 4 4 3 2 2 5 2 4" xfId="12792" xr:uid="{3EE44639-E758-462D-81F8-ED4FF2B677EA}"/>
    <cellStyle name="Normal 4 4 3 2 2 5 3" xfId="6415" xr:uid="{00000000-0005-0000-0000-000076150000}"/>
    <cellStyle name="Normal 4 4 3 2 2 5 3 2" xfId="24145" xr:uid="{3B10D63F-177B-4A90-89BA-60327C4582DC}"/>
    <cellStyle name="Normal 4 4 3 2 2 5 3 3" xfId="14865" xr:uid="{33AE7F8C-6CFE-419A-A27D-42E3468DA7E4}"/>
    <cellStyle name="Normal 4 4 3 2 2 5 4" xfId="19928" xr:uid="{983B26B2-2DFE-4985-AD38-E0EE4B05DA65}"/>
    <cellStyle name="Normal 4 4 3 2 2 5 5" xfId="10647" xr:uid="{8C42C543-F8ED-4B5B-9FE2-05333479B238}"/>
    <cellStyle name="Normal 4 4 3 2 2 6" xfId="2545" xr:uid="{00000000-0005-0000-0000-000077150000}"/>
    <cellStyle name="Normal 4 4 3 2 2 6 2" xfId="6828" xr:uid="{00000000-0005-0000-0000-000078150000}"/>
    <cellStyle name="Normal 4 4 3 2 2 6 2 2" xfId="24558" xr:uid="{FD4949E1-D937-4485-A6E6-A3B2F3A43B48}"/>
    <cellStyle name="Normal 4 4 3 2 2 6 2 3" xfId="15278" xr:uid="{AB066091-8FF8-4AEA-A3F6-EB73A49840C4}"/>
    <cellStyle name="Normal 4 4 3 2 2 6 3" xfId="20341" xr:uid="{A0FF78F8-E57C-44E8-93AF-5D3890F830B0}"/>
    <cellStyle name="Normal 4 4 3 2 2 6 4" xfId="11060" xr:uid="{39C845B6-7680-41F7-A208-5184B21FBA13}"/>
    <cellStyle name="Normal 4 4 3 2 2 7" xfId="4763" xr:uid="{00000000-0005-0000-0000-000079150000}"/>
    <cellStyle name="Normal 4 4 3 2 2 7 2" xfId="22493" xr:uid="{9CBAE5C9-B357-47C3-A9D6-6176C47C76C8}"/>
    <cellStyle name="Normal 4 4 3 2 2 7 3" xfId="13213" xr:uid="{A23909B9-5B10-41D7-98E7-D7EF37F9D2E6}"/>
    <cellStyle name="Normal 4 4 3 2 2 8" xfId="18276" xr:uid="{12E28B04-2A2D-47CE-BD39-A93642249ED4}"/>
    <cellStyle name="Normal 4 4 3 2 2 9" xfId="17442" xr:uid="{94E07158-E1E5-470E-827D-8A979033DC32}"/>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25050" xr:uid="{19DD63F7-0D83-4DA5-A40D-029398B62F9A}"/>
    <cellStyle name="Normal 4 4 3 2 3 2 2 3" xfId="15770" xr:uid="{A98F6CE1-AE43-4B3A-AB58-1253F0E64483}"/>
    <cellStyle name="Normal 4 4 3 2 3 2 3" xfId="20833" xr:uid="{03F2CF5E-FD8A-4F7F-97CE-59DB9974A60F}"/>
    <cellStyle name="Normal 4 4 3 2 3 2 4" xfId="11552" xr:uid="{66D8C677-FF45-4C41-A5ED-776D2B6805FC}"/>
    <cellStyle name="Normal 4 4 3 2 3 3" xfId="5175" xr:uid="{00000000-0005-0000-0000-00007D150000}"/>
    <cellStyle name="Normal 4 4 3 2 3 3 2" xfId="22905" xr:uid="{E5B42756-CA92-47FB-A5C3-92110972B79C}"/>
    <cellStyle name="Normal 4 4 3 2 3 3 3" xfId="13625" xr:uid="{2B15A1F1-B1DF-419A-B092-6FA9D3C54D3A}"/>
    <cellStyle name="Normal 4 4 3 2 3 4" xfId="18688" xr:uid="{1734E45E-45BB-4E53-AF5B-960A70FE4B09}"/>
    <cellStyle name="Normal 4 4 3 2 3 5" xfId="17860" xr:uid="{A3F72AE3-52A6-4B79-9423-D4B1638FF72A}"/>
    <cellStyle name="Normal 4 4 3 2 3 6" xfId="9407" xr:uid="{09BED8A5-FFDD-48D7-8103-7325B16CD1B9}"/>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25463" xr:uid="{581482D6-3E47-4DA2-8A7A-8E46CEF41E3E}"/>
    <cellStyle name="Normal 4 4 3 2 4 2 2 3" xfId="16183" xr:uid="{0FF1D0AD-952A-4CE2-96F8-34222E7D3435}"/>
    <cellStyle name="Normal 4 4 3 2 4 2 3" xfId="21246" xr:uid="{AF8EB1C4-00F8-40DB-8CE8-F6D9A1D72276}"/>
    <cellStyle name="Normal 4 4 3 2 4 2 4" xfId="11965" xr:uid="{537F77B4-57FA-44A6-8786-7E1A907B527F}"/>
    <cellStyle name="Normal 4 4 3 2 4 3" xfId="5588" xr:uid="{00000000-0005-0000-0000-000081150000}"/>
    <cellStyle name="Normal 4 4 3 2 4 3 2" xfId="23318" xr:uid="{62F6AE12-A79F-4186-BC6C-07DD33623B88}"/>
    <cellStyle name="Normal 4 4 3 2 4 3 3" xfId="14038" xr:uid="{F58DDC3F-FB45-43A2-847E-284C804985DA}"/>
    <cellStyle name="Normal 4 4 3 2 4 4" xfId="19101" xr:uid="{2D982544-FCA1-4137-8EDA-6F32FB5C631D}"/>
    <cellStyle name="Normal 4 4 3 2 4 5" xfId="9820" xr:uid="{2578629F-2819-4B03-80DF-C7176EE79D47}"/>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25876" xr:uid="{C76A8DD0-4297-4DB3-8962-6E1981EB0B61}"/>
    <cellStyle name="Normal 4 4 3 2 5 2 2 3" xfId="16596" xr:uid="{300E95E2-6680-463C-A808-42839037E8AC}"/>
    <cellStyle name="Normal 4 4 3 2 5 2 3" xfId="21659" xr:uid="{640DE86D-9B4E-487D-AE26-799B80DED527}"/>
    <cellStyle name="Normal 4 4 3 2 5 2 4" xfId="12378" xr:uid="{79600E63-9881-4CF3-A39C-BA33B43F5E3B}"/>
    <cellStyle name="Normal 4 4 3 2 5 3" xfId="6001" xr:uid="{00000000-0005-0000-0000-000085150000}"/>
    <cellStyle name="Normal 4 4 3 2 5 3 2" xfId="23731" xr:uid="{5AD5C63E-3A2B-483D-90E3-C2F1AA90B57B}"/>
    <cellStyle name="Normal 4 4 3 2 5 3 3" xfId="14451" xr:uid="{12A0AFDA-5FAD-41F4-9D75-E094B0B7E160}"/>
    <cellStyle name="Normal 4 4 3 2 5 4" xfId="19514" xr:uid="{F7E2E9EC-9830-43FA-8D8A-91D9B0124ABB}"/>
    <cellStyle name="Normal 4 4 3 2 5 5" xfId="10233" xr:uid="{A5370165-E07C-4E5C-8D50-C1331CD6CC32}"/>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26289" xr:uid="{B7708B1B-288C-4D76-8EAC-1006E3667375}"/>
    <cellStyle name="Normal 4 4 3 2 6 2 2 3" xfId="17009" xr:uid="{8DE872FD-D875-4026-B16E-DE93DA0EEAFF}"/>
    <cellStyle name="Normal 4 4 3 2 6 2 3" xfId="22072" xr:uid="{D494E339-C715-436E-A07D-D9A5EE816444}"/>
    <cellStyle name="Normal 4 4 3 2 6 2 4" xfId="12791" xr:uid="{FA873DCE-0FBE-4026-B973-968591FC088A}"/>
    <cellStyle name="Normal 4 4 3 2 6 3" xfId="6414" xr:uid="{00000000-0005-0000-0000-000089150000}"/>
    <cellStyle name="Normal 4 4 3 2 6 3 2" xfId="24144" xr:uid="{34C33D30-6DF3-4B83-ADCF-9B3E67574917}"/>
    <cellStyle name="Normal 4 4 3 2 6 3 3" xfId="14864" xr:uid="{E9178E70-0E8A-4417-8DBF-A909CE0E1BAA}"/>
    <cellStyle name="Normal 4 4 3 2 6 4" xfId="19927" xr:uid="{455396BE-6FB0-4237-97F3-7BB573C8F166}"/>
    <cellStyle name="Normal 4 4 3 2 6 5" xfId="10646" xr:uid="{09700804-2F58-48DF-9CAA-D4D1E2CE45DC}"/>
    <cellStyle name="Normal 4 4 3 2 7" xfId="2544" xr:uid="{00000000-0005-0000-0000-00008A150000}"/>
    <cellStyle name="Normal 4 4 3 2 7 2" xfId="6827" xr:uid="{00000000-0005-0000-0000-00008B150000}"/>
    <cellStyle name="Normal 4 4 3 2 7 2 2" xfId="24557" xr:uid="{A1E637DF-B78F-4660-88DF-DF5F09FFA9FC}"/>
    <cellStyle name="Normal 4 4 3 2 7 2 3" xfId="15277" xr:uid="{30C27533-9EEF-4F32-B96D-BB822614BB28}"/>
    <cellStyle name="Normal 4 4 3 2 7 3" xfId="20340" xr:uid="{412C2708-34E1-422E-AB13-A7EED45DDB11}"/>
    <cellStyle name="Normal 4 4 3 2 7 4" xfId="11059" xr:uid="{38CF1139-B414-4BF8-A400-F1D873F215BF}"/>
    <cellStyle name="Normal 4 4 3 2 8" xfId="4762" xr:uid="{00000000-0005-0000-0000-00008C150000}"/>
    <cellStyle name="Normal 4 4 3 2 8 2" xfId="22492" xr:uid="{1B8C257B-673E-41F8-9F59-EA3E0FE2178A}"/>
    <cellStyle name="Normal 4 4 3 2 8 3" xfId="13212" xr:uid="{2AC8E28F-459F-4CE0-A015-CD03C2DF9FFC}"/>
    <cellStyle name="Normal 4 4 3 2 9" xfId="18275" xr:uid="{CE556104-B378-4C3F-A1EA-72FFDA1D9343}"/>
    <cellStyle name="Normal 4 4 3 3" xfId="390" xr:uid="{00000000-0005-0000-0000-00008D150000}"/>
    <cellStyle name="Normal 4 4 3 3 10" xfId="8996" xr:uid="{A887D4A9-90E4-497D-B372-A1D170FECADD}"/>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25052" xr:uid="{2E70CA91-5500-4457-944F-65E81F26BC9D}"/>
    <cellStyle name="Normal 4 4 3 3 2 2 2 3" xfId="15772" xr:uid="{3BA24958-35C2-4C0F-9C4D-B5D224CEF6C0}"/>
    <cellStyle name="Normal 4 4 3 3 2 2 3" xfId="20835" xr:uid="{BA9F5BF7-4596-403D-8D6B-949133B7AF58}"/>
    <cellStyle name="Normal 4 4 3 3 2 2 4" xfId="11554" xr:uid="{AFB802E4-5DB0-4F4F-960C-DD9E929416E3}"/>
    <cellStyle name="Normal 4 4 3 3 2 3" xfId="5177" xr:uid="{00000000-0005-0000-0000-000091150000}"/>
    <cellStyle name="Normal 4 4 3 3 2 3 2" xfId="22907" xr:uid="{38CB1620-6B6A-4C81-8216-443FCACA53B9}"/>
    <cellStyle name="Normal 4 4 3 3 2 3 3" xfId="13627" xr:uid="{8DD6FB0F-1335-4BB3-92AB-A420794B1F5F}"/>
    <cellStyle name="Normal 4 4 3 3 2 4" xfId="18690" xr:uid="{8407808B-D965-401D-A3A8-E3B0691FEEFD}"/>
    <cellStyle name="Normal 4 4 3 3 2 5" xfId="17862" xr:uid="{60C7F341-3DCE-4D53-9FC6-E3B367E986B8}"/>
    <cellStyle name="Normal 4 4 3 3 2 6" xfId="9409" xr:uid="{11F172B8-95ED-40CC-9424-AEB3A8DAA95B}"/>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25465" xr:uid="{91705EC1-5E9E-410D-AA12-1D32004A5E07}"/>
    <cellStyle name="Normal 4 4 3 3 3 2 2 3" xfId="16185" xr:uid="{3699ED0F-7D13-4301-8E7F-CA0C0721594E}"/>
    <cellStyle name="Normal 4 4 3 3 3 2 3" xfId="21248" xr:uid="{32CFFC53-9B59-4D41-8973-BD689FD88F2C}"/>
    <cellStyle name="Normal 4 4 3 3 3 2 4" xfId="11967" xr:uid="{9E3AC05C-77BE-4E17-A340-012142D38043}"/>
    <cellStyle name="Normal 4 4 3 3 3 3" xfId="5590" xr:uid="{00000000-0005-0000-0000-000095150000}"/>
    <cellStyle name="Normal 4 4 3 3 3 3 2" xfId="23320" xr:uid="{FC2E9EF9-BD8A-4CBA-871A-B4DE62CED806}"/>
    <cellStyle name="Normal 4 4 3 3 3 3 3" xfId="14040" xr:uid="{DB7565A8-1282-4F65-8CA2-349F940A7F3D}"/>
    <cellStyle name="Normal 4 4 3 3 3 4" xfId="19103" xr:uid="{12D38FDF-23A5-4043-89C5-B8D20741C0B2}"/>
    <cellStyle name="Normal 4 4 3 3 3 5" xfId="9822" xr:uid="{400CFDBB-9EFF-401C-B1CF-10A55831FD78}"/>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25878" xr:uid="{2812FA0D-E0AA-4C7A-B1DA-5F529C3B359F}"/>
    <cellStyle name="Normal 4 4 3 3 4 2 2 3" xfId="16598" xr:uid="{221C3BB3-5B5D-414F-A4A8-87D326D80B00}"/>
    <cellStyle name="Normal 4 4 3 3 4 2 3" xfId="21661" xr:uid="{76282ABF-0A5E-47DD-8337-E2F9B49ADCF2}"/>
    <cellStyle name="Normal 4 4 3 3 4 2 4" xfId="12380" xr:uid="{5BEEB4C1-D876-4E23-9965-6FA16A140507}"/>
    <cellStyle name="Normal 4 4 3 3 4 3" xfId="6003" xr:uid="{00000000-0005-0000-0000-000099150000}"/>
    <cellStyle name="Normal 4 4 3 3 4 3 2" xfId="23733" xr:uid="{E2B3B437-6B33-414E-83B8-00CDA083963F}"/>
    <cellStyle name="Normal 4 4 3 3 4 3 3" xfId="14453" xr:uid="{9C24B50F-C61F-41CC-8524-4962E75AF989}"/>
    <cellStyle name="Normal 4 4 3 3 4 4" xfId="19516" xr:uid="{57B33072-E3B2-4DDF-8658-CB084917C2DA}"/>
    <cellStyle name="Normal 4 4 3 3 4 5" xfId="10235" xr:uid="{CF104609-834B-46B8-954E-102DFD1B7B81}"/>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26291" xr:uid="{B7391B4A-B48C-41C5-976F-B00E5875D942}"/>
    <cellStyle name="Normal 4 4 3 3 5 2 2 3" xfId="17011" xr:uid="{B905C2A2-B61F-43D0-9C31-5928F9143191}"/>
    <cellStyle name="Normal 4 4 3 3 5 2 3" xfId="22074" xr:uid="{024694DC-CC10-41BA-AA35-801A960BEF76}"/>
    <cellStyle name="Normal 4 4 3 3 5 2 4" xfId="12793" xr:uid="{8F95EF37-B6AB-4764-8ECE-47726DE69246}"/>
    <cellStyle name="Normal 4 4 3 3 5 3" xfId="6416" xr:uid="{00000000-0005-0000-0000-00009D150000}"/>
    <cellStyle name="Normal 4 4 3 3 5 3 2" xfId="24146" xr:uid="{97F289CA-4602-4C83-A801-B88C1127180A}"/>
    <cellStyle name="Normal 4 4 3 3 5 3 3" xfId="14866" xr:uid="{31251B09-A9B5-453E-A11B-459C164F5FE6}"/>
    <cellStyle name="Normal 4 4 3 3 5 4" xfId="19929" xr:uid="{194ED7AE-A476-4119-9282-E21601EAE75B}"/>
    <cellStyle name="Normal 4 4 3 3 5 5" xfId="10648" xr:uid="{DE15057D-62B7-4BCC-A287-2CD59AF33A7C}"/>
    <cellStyle name="Normal 4 4 3 3 6" xfId="2546" xr:uid="{00000000-0005-0000-0000-00009E150000}"/>
    <cellStyle name="Normal 4 4 3 3 6 2" xfId="6829" xr:uid="{00000000-0005-0000-0000-00009F150000}"/>
    <cellStyle name="Normal 4 4 3 3 6 2 2" xfId="24559" xr:uid="{D9EFEB83-AF86-4E21-80E6-B73F24B8C580}"/>
    <cellStyle name="Normal 4 4 3 3 6 2 3" xfId="15279" xr:uid="{351AFC45-98ED-4E90-B942-990E608C771E}"/>
    <cellStyle name="Normal 4 4 3 3 6 3" xfId="20342" xr:uid="{C5D72419-4DEC-4954-AD72-1E62EB25AB97}"/>
    <cellStyle name="Normal 4 4 3 3 6 4" xfId="11061" xr:uid="{701AB94A-2821-4C36-9A10-767BA5C9933F}"/>
    <cellStyle name="Normal 4 4 3 3 7" xfId="4764" xr:uid="{00000000-0005-0000-0000-0000A0150000}"/>
    <cellStyle name="Normal 4 4 3 3 7 2" xfId="22494" xr:uid="{5E8B36E3-A5CF-44FF-80B7-194B625B7413}"/>
    <cellStyle name="Normal 4 4 3 3 7 3" xfId="13214" xr:uid="{A4DCE4B1-06E5-4E4E-85A4-8B90E4D3CA80}"/>
    <cellStyle name="Normal 4 4 3 3 8" xfId="18277" xr:uid="{16DEE8BA-4B17-4C6D-9A7B-1C998671617B}"/>
    <cellStyle name="Normal 4 4 3 3 9" xfId="17443" xr:uid="{93CE3BD3-E964-457C-8D4B-BE710DF97ACC}"/>
    <cellStyle name="Normal 4 4 3 4" xfId="862" xr:uid="{00000000-0005-0000-0000-0000A1150000}"/>
    <cellStyle name="Normal 4 4 3 4 2" xfId="3097" xr:uid="{00000000-0005-0000-0000-0000A2150000}"/>
    <cellStyle name="Normal 4 4 3 4 2 2" xfId="7319" xr:uid="{00000000-0005-0000-0000-0000A3150000}"/>
    <cellStyle name="Normal 4 4 3 4 2 2 2" xfId="25049" xr:uid="{B7AEFC3B-46AE-4A0F-B475-8B2A65F9FE7D}"/>
    <cellStyle name="Normal 4 4 3 4 2 2 3" xfId="15769" xr:uid="{64872801-2ACA-4FAB-8093-910911C35285}"/>
    <cellStyle name="Normal 4 4 3 4 2 3" xfId="20832" xr:uid="{314B8B38-C116-4AC2-BFE1-EBDBCFCE238A}"/>
    <cellStyle name="Normal 4 4 3 4 2 4" xfId="11551" xr:uid="{EB78E35A-DDAD-4BAB-B259-CBCFE4296046}"/>
    <cellStyle name="Normal 4 4 3 4 3" xfId="5174" xr:uid="{00000000-0005-0000-0000-0000A4150000}"/>
    <cellStyle name="Normal 4 4 3 4 3 2" xfId="22904" xr:uid="{65B9E1FF-BDBC-4713-8172-01EF1E3F9CE2}"/>
    <cellStyle name="Normal 4 4 3 4 3 3" xfId="13624" xr:uid="{2153E46E-6975-4814-AE0C-1C130C7A7AFD}"/>
    <cellStyle name="Normal 4 4 3 4 4" xfId="18687" xr:uid="{BD652511-4034-4FA6-882A-9656581F8CD9}"/>
    <cellStyle name="Normal 4 4 3 4 5" xfId="17859" xr:uid="{EC4FDB99-5BE5-451C-AFD1-D17A9C717923}"/>
    <cellStyle name="Normal 4 4 3 4 6" xfId="9406" xr:uid="{74AC701D-501E-4E26-B793-A6FB675FA927}"/>
    <cellStyle name="Normal 4 4 3 5" xfId="1280" xr:uid="{00000000-0005-0000-0000-0000A5150000}"/>
    <cellStyle name="Normal 4 4 3 5 2" xfId="3510" xr:uid="{00000000-0005-0000-0000-0000A6150000}"/>
    <cellStyle name="Normal 4 4 3 5 2 2" xfId="7732" xr:uid="{00000000-0005-0000-0000-0000A7150000}"/>
    <cellStyle name="Normal 4 4 3 5 2 2 2" xfId="25462" xr:uid="{A28FC797-B9C1-462E-867C-FE943B2B05FC}"/>
    <cellStyle name="Normal 4 4 3 5 2 2 3" xfId="16182" xr:uid="{185143C7-300C-4C3D-AFFF-5FEBB4F2FC48}"/>
    <cellStyle name="Normal 4 4 3 5 2 3" xfId="21245" xr:uid="{524A9E74-7271-44A9-86C6-7F0FD5EA3CD4}"/>
    <cellStyle name="Normal 4 4 3 5 2 4" xfId="11964" xr:uid="{323DE92F-B652-44AD-8539-FF0B25BEE3B5}"/>
    <cellStyle name="Normal 4 4 3 5 3" xfId="5587" xr:uid="{00000000-0005-0000-0000-0000A8150000}"/>
    <cellStyle name="Normal 4 4 3 5 3 2" xfId="23317" xr:uid="{B3550417-2A6B-44D5-BEED-126BC9DF1736}"/>
    <cellStyle name="Normal 4 4 3 5 3 3" xfId="14037" xr:uid="{3ACFCB6E-199B-4516-BE30-0A12E0B7DAA9}"/>
    <cellStyle name="Normal 4 4 3 5 4" xfId="19100" xr:uid="{F9C0C90B-4882-4D04-A955-FAF970E8F65D}"/>
    <cellStyle name="Normal 4 4 3 5 5" xfId="9819" xr:uid="{5FF0F237-13BF-48FE-BBFB-47D12FC32330}"/>
    <cellStyle name="Normal 4 4 3 6" xfId="1693" xr:uid="{00000000-0005-0000-0000-0000A9150000}"/>
    <cellStyle name="Normal 4 4 3 6 2" xfId="3923" xr:uid="{00000000-0005-0000-0000-0000AA150000}"/>
    <cellStyle name="Normal 4 4 3 6 2 2" xfId="8145" xr:uid="{00000000-0005-0000-0000-0000AB150000}"/>
    <cellStyle name="Normal 4 4 3 6 2 2 2" xfId="25875" xr:uid="{C88CF47D-F3A7-4B5F-9ECB-E7E8F0045F8F}"/>
    <cellStyle name="Normal 4 4 3 6 2 2 3" xfId="16595" xr:uid="{4715FEBC-A83F-4041-A13D-599E6B556459}"/>
    <cellStyle name="Normal 4 4 3 6 2 3" xfId="21658" xr:uid="{FBD7812C-3CD0-46E7-BBAF-029CA3F94B5A}"/>
    <cellStyle name="Normal 4 4 3 6 2 4" xfId="12377" xr:uid="{AFB50199-C666-4F6F-B6EF-69AABA12F35E}"/>
    <cellStyle name="Normal 4 4 3 6 3" xfId="6000" xr:uid="{00000000-0005-0000-0000-0000AC150000}"/>
    <cellStyle name="Normal 4 4 3 6 3 2" xfId="23730" xr:uid="{DF0B3864-4D55-4CF0-939A-09B8B1B7C08B}"/>
    <cellStyle name="Normal 4 4 3 6 3 3" xfId="14450" xr:uid="{77DAD46B-277D-4CD1-9B36-CA57CB7264C6}"/>
    <cellStyle name="Normal 4 4 3 6 4" xfId="19513" xr:uid="{42E6FB08-06BB-4660-8582-CC0C0CEEC458}"/>
    <cellStyle name="Normal 4 4 3 6 5" xfId="10232" xr:uid="{FD20C013-FF2B-4611-B2B9-61577A8EBEEE}"/>
    <cellStyle name="Normal 4 4 3 7" xfId="2107" xr:uid="{00000000-0005-0000-0000-0000AD150000}"/>
    <cellStyle name="Normal 4 4 3 7 2" xfId="4336" xr:uid="{00000000-0005-0000-0000-0000AE150000}"/>
    <cellStyle name="Normal 4 4 3 7 2 2" xfId="8558" xr:uid="{00000000-0005-0000-0000-0000AF150000}"/>
    <cellStyle name="Normal 4 4 3 7 2 2 2" xfId="26288" xr:uid="{068C987E-4EA9-47C3-B82E-5AC987DAED6F}"/>
    <cellStyle name="Normal 4 4 3 7 2 2 3" xfId="17008" xr:uid="{FCD675AE-B28A-451E-B1F3-96EE82F393FE}"/>
    <cellStyle name="Normal 4 4 3 7 2 3" xfId="22071" xr:uid="{910C4D94-B393-4116-8F61-B14903AA837B}"/>
    <cellStyle name="Normal 4 4 3 7 2 4" xfId="12790" xr:uid="{437945C5-FE4E-46A3-B5AE-22FAF1712CD5}"/>
    <cellStyle name="Normal 4 4 3 7 3" xfId="6413" xr:uid="{00000000-0005-0000-0000-0000B0150000}"/>
    <cellStyle name="Normal 4 4 3 7 3 2" xfId="24143" xr:uid="{3EF74776-A617-4CEE-8D3A-1CEE7BFBAD64}"/>
    <cellStyle name="Normal 4 4 3 7 3 3" xfId="14863" xr:uid="{6DE524E9-B640-4861-AEC8-D2777D161D1E}"/>
    <cellStyle name="Normal 4 4 3 7 4" xfId="19926" xr:uid="{253EDB87-D768-40D2-9EEC-CAD4802AB128}"/>
    <cellStyle name="Normal 4 4 3 7 5" xfId="10645" xr:uid="{1D3CAC56-FB6A-41F2-9F50-109E3C3A0125}"/>
    <cellStyle name="Normal 4 4 3 8" xfId="2543" xr:uid="{00000000-0005-0000-0000-0000B1150000}"/>
    <cellStyle name="Normal 4 4 3 8 2" xfId="6826" xr:uid="{00000000-0005-0000-0000-0000B2150000}"/>
    <cellStyle name="Normal 4 4 3 8 2 2" xfId="24556" xr:uid="{8816641E-698D-43A5-92D4-ECF78A8BE74C}"/>
    <cellStyle name="Normal 4 4 3 8 2 3" xfId="15276" xr:uid="{01D99431-417B-4F35-A5F6-64013AA46573}"/>
    <cellStyle name="Normal 4 4 3 8 3" xfId="20339" xr:uid="{12D27856-9D61-4488-AD31-3B17176CEBBC}"/>
    <cellStyle name="Normal 4 4 3 8 4" xfId="11058" xr:uid="{FFD36864-4A52-4D92-BC50-6E6979424DC9}"/>
    <cellStyle name="Normal 4 4 3 9" xfId="4761" xr:uid="{00000000-0005-0000-0000-0000B3150000}"/>
    <cellStyle name="Normal 4 4 3 9 2" xfId="22491" xr:uid="{C43C44D3-0054-48A6-AAC9-C7D670775BC1}"/>
    <cellStyle name="Normal 4 4 3 9 3" xfId="13211" xr:uid="{0C4CE4E9-FD7F-4F51-8137-EF1995D4EA08}"/>
    <cellStyle name="Normal 4 4 4" xfId="391" xr:uid="{00000000-0005-0000-0000-0000B4150000}"/>
    <cellStyle name="Normal 4 4 4 10" xfId="17444" xr:uid="{D74DFFD0-F33B-41A4-885D-E40BF3BBC021}"/>
    <cellStyle name="Normal 4 4 4 11" xfId="8997" xr:uid="{9BB7FF26-B22D-4EAC-BE75-AED23BD1D78F}"/>
    <cellStyle name="Normal 4 4 4 2" xfId="392" xr:uid="{00000000-0005-0000-0000-0000B5150000}"/>
    <cellStyle name="Normal 4 4 4 2 10" xfId="8998" xr:uid="{394E41A3-BE2A-4D79-AE25-B32761B2CED6}"/>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25054" xr:uid="{1AFBEBE9-6A3B-46F4-B968-F9A2D75EA190}"/>
    <cellStyle name="Normal 4 4 4 2 2 2 2 3" xfId="15774" xr:uid="{48BD5763-A86B-4EE8-AC54-E00A943FF816}"/>
    <cellStyle name="Normal 4 4 4 2 2 2 3" xfId="20837" xr:uid="{869EDB26-9AD5-4E3C-86B7-26C58E02A296}"/>
    <cellStyle name="Normal 4 4 4 2 2 2 4" xfId="11556" xr:uid="{23CC6E74-1F98-4783-A038-BFD1455E58C9}"/>
    <cellStyle name="Normal 4 4 4 2 2 3" xfId="5179" xr:uid="{00000000-0005-0000-0000-0000B9150000}"/>
    <cellStyle name="Normal 4 4 4 2 2 3 2" xfId="22909" xr:uid="{862EC56F-4DCE-4E4D-84A5-941B360112A5}"/>
    <cellStyle name="Normal 4 4 4 2 2 3 3" xfId="13629" xr:uid="{C33287DE-FFA4-48D1-A340-A4878EF2B1A4}"/>
    <cellStyle name="Normal 4 4 4 2 2 4" xfId="18692" xr:uid="{B2264D91-6842-41A4-B6C9-374055DB2F4C}"/>
    <cellStyle name="Normal 4 4 4 2 2 5" xfId="17864" xr:uid="{72F9564C-522E-4224-8F48-21F09BBF965F}"/>
    <cellStyle name="Normal 4 4 4 2 2 6" xfId="9411" xr:uid="{0DCB85E4-AA91-45D8-873B-ADC1D90B60A8}"/>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25467" xr:uid="{CC2B013D-6A31-47C2-A28B-7EF2B2E74F1C}"/>
    <cellStyle name="Normal 4 4 4 2 3 2 2 3" xfId="16187" xr:uid="{BD8C6663-5925-4508-940B-E2BAD1209F33}"/>
    <cellStyle name="Normal 4 4 4 2 3 2 3" xfId="21250" xr:uid="{86BD0A4B-B7BA-45DC-862B-B88EB5F2ADA7}"/>
    <cellStyle name="Normal 4 4 4 2 3 2 4" xfId="11969" xr:uid="{DE3C6067-3A9A-4709-966E-702A6C0D9B37}"/>
    <cellStyle name="Normal 4 4 4 2 3 3" xfId="5592" xr:uid="{00000000-0005-0000-0000-0000BD150000}"/>
    <cellStyle name="Normal 4 4 4 2 3 3 2" xfId="23322" xr:uid="{6A892F76-0A86-43A4-BA86-005BF9313B3B}"/>
    <cellStyle name="Normal 4 4 4 2 3 3 3" xfId="14042" xr:uid="{F796BF71-0018-4859-9915-67CC858C90C2}"/>
    <cellStyle name="Normal 4 4 4 2 3 4" xfId="19105" xr:uid="{65EE134A-2FD4-4980-8B75-D5A39C97C5AC}"/>
    <cellStyle name="Normal 4 4 4 2 3 5" xfId="9824" xr:uid="{16A774B4-521A-4134-A984-AC746E589973}"/>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25880" xr:uid="{AFE9283F-7D79-4239-AA70-4B7A59A5656E}"/>
    <cellStyle name="Normal 4 4 4 2 4 2 2 3" xfId="16600" xr:uid="{55471C3F-4BC7-4A6B-A5F7-DB29FFAA1C53}"/>
    <cellStyle name="Normal 4 4 4 2 4 2 3" xfId="21663" xr:uid="{5287549D-C39D-49CA-BE6E-1ED9DB5EB407}"/>
    <cellStyle name="Normal 4 4 4 2 4 2 4" xfId="12382" xr:uid="{249DA3B9-F479-479F-BA77-6C43D5F8B5C1}"/>
    <cellStyle name="Normal 4 4 4 2 4 3" xfId="6005" xr:uid="{00000000-0005-0000-0000-0000C1150000}"/>
    <cellStyle name="Normal 4 4 4 2 4 3 2" xfId="23735" xr:uid="{C2014FA1-243E-474A-98C8-177E8B5DB37F}"/>
    <cellStyle name="Normal 4 4 4 2 4 3 3" xfId="14455" xr:uid="{9F8B144B-0D19-47CF-AAB9-EABF114D284D}"/>
    <cellStyle name="Normal 4 4 4 2 4 4" xfId="19518" xr:uid="{F68B871A-D2FA-41E1-8077-371A664F7B99}"/>
    <cellStyle name="Normal 4 4 4 2 4 5" xfId="10237" xr:uid="{7BE68187-BA17-47D8-A90D-C681862DBE77}"/>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26293" xr:uid="{1484F1C8-F9EB-4450-9309-DA8479B310C2}"/>
    <cellStyle name="Normal 4 4 4 2 5 2 2 3" xfId="17013" xr:uid="{B5EEAC90-24AA-4261-8B5B-49E9664381AC}"/>
    <cellStyle name="Normal 4 4 4 2 5 2 3" xfId="22076" xr:uid="{D9C6FEE7-8622-4E2D-BD88-00988CD91566}"/>
    <cellStyle name="Normal 4 4 4 2 5 2 4" xfId="12795" xr:uid="{F71AB21C-BA73-47EC-BED0-327E18C769D7}"/>
    <cellStyle name="Normal 4 4 4 2 5 3" xfId="6418" xr:uid="{00000000-0005-0000-0000-0000C5150000}"/>
    <cellStyle name="Normal 4 4 4 2 5 3 2" xfId="24148" xr:uid="{60F7C531-7FB4-4792-99AF-1110359342D3}"/>
    <cellStyle name="Normal 4 4 4 2 5 3 3" xfId="14868" xr:uid="{F5D71A8F-4267-470D-A07F-EAEF8C8BD311}"/>
    <cellStyle name="Normal 4 4 4 2 5 4" xfId="19931" xr:uid="{11A73C79-14F3-4977-93E6-04E67CABA9ED}"/>
    <cellStyle name="Normal 4 4 4 2 5 5" xfId="10650" xr:uid="{D21C7249-D0CF-40A7-8BFC-C04965714014}"/>
    <cellStyle name="Normal 4 4 4 2 6" xfId="2548" xr:uid="{00000000-0005-0000-0000-0000C6150000}"/>
    <cellStyle name="Normal 4 4 4 2 6 2" xfId="6831" xr:uid="{00000000-0005-0000-0000-0000C7150000}"/>
    <cellStyle name="Normal 4 4 4 2 6 2 2" xfId="24561" xr:uid="{612E9B83-43FC-418C-BC7A-6AC4D298BF37}"/>
    <cellStyle name="Normal 4 4 4 2 6 2 3" xfId="15281" xr:uid="{76978EBF-F520-4349-B2D0-2E1F3F808503}"/>
    <cellStyle name="Normal 4 4 4 2 6 3" xfId="20344" xr:uid="{32CC5D31-832B-4267-95BF-B345539C750D}"/>
    <cellStyle name="Normal 4 4 4 2 6 4" xfId="11063" xr:uid="{87A5489C-822B-446E-A498-B7BAB8B6E3D8}"/>
    <cellStyle name="Normal 4 4 4 2 7" xfId="4766" xr:uid="{00000000-0005-0000-0000-0000C8150000}"/>
    <cellStyle name="Normal 4 4 4 2 7 2" xfId="22496" xr:uid="{D5DC934C-F1C2-479B-997F-63633B7E8559}"/>
    <cellStyle name="Normal 4 4 4 2 7 3" xfId="13216" xr:uid="{61133E1C-06E8-4E89-8ECA-BAE8921D4F47}"/>
    <cellStyle name="Normal 4 4 4 2 8" xfId="18279" xr:uid="{875D433A-058E-4E04-9E40-E0CB263AB5C9}"/>
    <cellStyle name="Normal 4 4 4 2 9" xfId="17445" xr:uid="{A80AE6FA-BED0-408F-9577-49D91830E55F}"/>
    <cellStyle name="Normal 4 4 4 3" xfId="866" xr:uid="{00000000-0005-0000-0000-0000C9150000}"/>
    <cellStyle name="Normal 4 4 4 3 2" xfId="3101" xr:uid="{00000000-0005-0000-0000-0000CA150000}"/>
    <cellStyle name="Normal 4 4 4 3 2 2" xfId="7323" xr:uid="{00000000-0005-0000-0000-0000CB150000}"/>
    <cellStyle name="Normal 4 4 4 3 2 2 2" xfId="25053" xr:uid="{B74A59BC-03B5-45F3-8E68-3FF8367406F0}"/>
    <cellStyle name="Normal 4 4 4 3 2 2 3" xfId="15773" xr:uid="{9338113F-576D-4C59-B1F1-978135B0F234}"/>
    <cellStyle name="Normal 4 4 4 3 2 3" xfId="20836" xr:uid="{78F83339-C1D3-482B-85E6-EF2FF2F9F1B8}"/>
    <cellStyle name="Normal 4 4 4 3 2 4" xfId="11555" xr:uid="{D9D66837-87E5-4A8A-97F1-D253C38F162E}"/>
    <cellStyle name="Normal 4 4 4 3 3" xfId="5178" xr:uid="{00000000-0005-0000-0000-0000CC150000}"/>
    <cellStyle name="Normal 4 4 4 3 3 2" xfId="22908" xr:uid="{6715A3F9-2044-49FF-9971-2099D2BBBC2F}"/>
    <cellStyle name="Normal 4 4 4 3 3 3" xfId="13628" xr:uid="{949BA642-9514-409B-91CD-A347B79C1004}"/>
    <cellStyle name="Normal 4 4 4 3 4" xfId="18691" xr:uid="{D8325ADF-9377-4F94-9B3F-8906B288C413}"/>
    <cellStyle name="Normal 4 4 4 3 5" xfId="17863" xr:uid="{641E5390-EF49-484B-9079-0E7844B29C7D}"/>
    <cellStyle name="Normal 4 4 4 3 6" xfId="9410" xr:uid="{540571E2-ED83-4C64-BB87-1CD06AE88F87}"/>
    <cellStyle name="Normal 4 4 4 4" xfId="1284" xr:uid="{00000000-0005-0000-0000-0000CD150000}"/>
    <cellStyle name="Normal 4 4 4 4 2" xfId="3514" xr:uid="{00000000-0005-0000-0000-0000CE150000}"/>
    <cellStyle name="Normal 4 4 4 4 2 2" xfId="7736" xr:uid="{00000000-0005-0000-0000-0000CF150000}"/>
    <cellStyle name="Normal 4 4 4 4 2 2 2" xfId="25466" xr:uid="{7F8BD456-28F5-4C47-BB6D-513C084D348D}"/>
    <cellStyle name="Normal 4 4 4 4 2 2 3" xfId="16186" xr:uid="{F6CA17D5-7BAD-4CC3-BB2D-811D0A055373}"/>
    <cellStyle name="Normal 4 4 4 4 2 3" xfId="21249" xr:uid="{64D60383-8A3C-4D55-A033-DB70173FB56D}"/>
    <cellStyle name="Normal 4 4 4 4 2 4" xfId="11968" xr:uid="{556611DB-50A8-4CAA-8AB2-89A23D07BA8C}"/>
    <cellStyle name="Normal 4 4 4 4 3" xfId="5591" xr:uid="{00000000-0005-0000-0000-0000D0150000}"/>
    <cellStyle name="Normal 4 4 4 4 3 2" xfId="23321" xr:uid="{C6904ED9-CD00-499C-A707-39FD55CC0BA7}"/>
    <cellStyle name="Normal 4 4 4 4 3 3" xfId="14041" xr:uid="{FBD9FABF-F43C-4F1B-94A3-BF9871A38928}"/>
    <cellStyle name="Normal 4 4 4 4 4" xfId="19104" xr:uid="{BBA7F302-80E4-4FC5-BAB8-8731BED3445C}"/>
    <cellStyle name="Normal 4 4 4 4 5" xfId="9823" xr:uid="{CE3498D0-0B90-49CF-B72A-DC879A504323}"/>
    <cellStyle name="Normal 4 4 4 5" xfId="1697" xr:uid="{00000000-0005-0000-0000-0000D1150000}"/>
    <cellStyle name="Normal 4 4 4 5 2" xfId="3927" xr:uid="{00000000-0005-0000-0000-0000D2150000}"/>
    <cellStyle name="Normal 4 4 4 5 2 2" xfId="8149" xr:uid="{00000000-0005-0000-0000-0000D3150000}"/>
    <cellStyle name="Normal 4 4 4 5 2 2 2" xfId="25879" xr:uid="{DFF948D2-A639-4DD0-A299-F9E4CCA4B271}"/>
    <cellStyle name="Normal 4 4 4 5 2 2 3" xfId="16599" xr:uid="{4BE72E72-F3B4-4140-9133-382009FBEDCD}"/>
    <cellStyle name="Normal 4 4 4 5 2 3" xfId="21662" xr:uid="{11E3C023-DC1E-4F22-B35B-22EE9088E655}"/>
    <cellStyle name="Normal 4 4 4 5 2 4" xfId="12381" xr:uid="{EEA5B52C-DC7A-47B0-A28A-43500DE8B226}"/>
    <cellStyle name="Normal 4 4 4 5 3" xfId="6004" xr:uid="{00000000-0005-0000-0000-0000D4150000}"/>
    <cellStyle name="Normal 4 4 4 5 3 2" xfId="23734" xr:uid="{ADD28479-9853-492A-9DBC-6108130989FE}"/>
    <cellStyle name="Normal 4 4 4 5 3 3" xfId="14454" xr:uid="{10AF207C-1B91-4E94-A3D2-52565104081B}"/>
    <cellStyle name="Normal 4 4 4 5 4" xfId="19517" xr:uid="{710F3A55-CBE0-4FDC-A661-267E43D1E1CD}"/>
    <cellStyle name="Normal 4 4 4 5 5" xfId="10236" xr:uid="{4453F7C9-4A3A-4520-B4BE-AA0C98E587C7}"/>
    <cellStyle name="Normal 4 4 4 6" xfId="2111" xr:uid="{00000000-0005-0000-0000-0000D5150000}"/>
    <cellStyle name="Normal 4 4 4 6 2" xfId="4340" xr:uid="{00000000-0005-0000-0000-0000D6150000}"/>
    <cellStyle name="Normal 4 4 4 6 2 2" xfId="8562" xr:uid="{00000000-0005-0000-0000-0000D7150000}"/>
    <cellStyle name="Normal 4 4 4 6 2 2 2" xfId="26292" xr:uid="{508B36DF-6B90-4652-96BC-2196AC17A89F}"/>
    <cellStyle name="Normal 4 4 4 6 2 2 3" xfId="17012" xr:uid="{E55041FD-C01C-4220-A50B-289B8065EB49}"/>
    <cellStyle name="Normal 4 4 4 6 2 3" xfId="22075" xr:uid="{DCC65E8B-30A4-4793-A677-3F0E9001536F}"/>
    <cellStyle name="Normal 4 4 4 6 2 4" xfId="12794" xr:uid="{506831F7-988D-4C3A-9BC5-EC7011F7081A}"/>
    <cellStyle name="Normal 4 4 4 6 3" xfId="6417" xr:uid="{00000000-0005-0000-0000-0000D8150000}"/>
    <cellStyle name="Normal 4 4 4 6 3 2" xfId="24147" xr:uid="{1B0ED57B-10C8-4B32-BF43-E6ADF59EEE28}"/>
    <cellStyle name="Normal 4 4 4 6 3 3" xfId="14867" xr:uid="{B3EAAF42-89F9-418E-A0B3-E6EED02B808C}"/>
    <cellStyle name="Normal 4 4 4 6 4" xfId="19930" xr:uid="{2922A5EB-2DCB-4175-BD42-F2695BCDD84F}"/>
    <cellStyle name="Normal 4 4 4 6 5" xfId="10649" xr:uid="{FD5D6914-EF7B-49A5-97F5-57D47B684C85}"/>
    <cellStyle name="Normal 4 4 4 7" xfId="2547" xr:uid="{00000000-0005-0000-0000-0000D9150000}"/>
    <cellStyle name="Normal 4 4 4 7 2" xfId="6830" xr:uid="{00000000-0005-0000-0000-0000DA150000}"/>
    <cellStyle name="Normal 4 4 4 7 2 2" xfId="24560" xr:uid="{8297A082-3865-4493-AA52-10E134A68100}"/>
    <cellStyle name="Normal 4 4 4 7 2 3" xfId="15280" xr:uid="{548F98E9-1C6D-4313-BB86-427F7E974015}"/>
    <cellStyle name="Normal 4 4 4 7 3" xfId="20343" xr:uid="{07C2C746-D8D6-42CA-BB15-65FDFB74658B}"/>
    <cellStyle name="Normal 4 4 4 7 4" xfId="11062" xr:uid="{DFA04DDD-AB80-4D14-B4D7-8B9368F402B6}"/>
    <cellStyle name="Normal 4 4 4 8" xfId="4765" xr:uid="{00000000-0005-0000-0000-0000DB150000}"/>
    <cellStyle name="Normal 4 4 4 8 2" xfId="22495" xr:uid="{8AA965C7-F6D5-407E-941F-2BFBFF7209B7}"/>
    <cellStyle name="Normal 4 4 4 8 3" xfId="13215" xr:uid="{8D406768-BE25-4119-B318-1AD9374CBAEC}"/>
    <cellStyle name="Normal 4 4 4 9" xfId="18278" xr:uid="{02F4686C-6BEE-4C53-AC63-EC86C9F7CC4D}"/>
    <cellStyle name="Normal 4 4 5" xfId="393" xr:uid="{00000000-0005-0000-0000-0000DC150000}"/>
    <cellStyle name="Normal 4 4 5 10" xfId="8999" xr:uid="{E83BA78C-371A-4D00-8107-0ED146DEFB6B}"/>
    <cellStyle name="Normal 4 4 5 2" xfId="868" xr:uid="{00000000-0005-0000-0000-0000DD150000}"/>
    <cellStyle name="Normal 4 4 5 2 2" xfId="3103" xr:uid="{00000000-0005-0000-0000-0000DE150000}"/>
    <cellStyle name="Normal 4 4 5 2 2 2" xfId="7325" xr:uid="{00000000-0005-0000-0000-0000DF150000}"/>
    <cellStyle name="Normal 4 4 5 2 2 2 2" xfId="25055" xr:uid="{2C440223-11A4-4898-9B08-9B834A5BEC8D}"/>
    <cellStyle name="Normal 4 4 5 2 2 2 3" xfId="15775" xr:uid="{6112680A-8808-4F57-A2C4-8A6977BE96EC}"/>
    <cellStyle name="Normal 4 4 5 2 2 3" xfId="20838" xr:uid="{08EAB490-5B5D-4CA5-B887-37EDDEDC9369}"/>
    <cellStyle name="Normal 4 4 5 2 2 4" xfId="11557" xr:uid="{9BA33D0A-76E9-4525-8DA3-338A33AA97EC}"/>
    <cellStyle name="Normal 4 4 5 2 3" xfId="5180" xr:uid="{00000000-0005-0000-0000-0000E0150000}"/>
    <cellStyle name="Normal 4 4 5 2 3 2" xfId="22910" xr:uid="{FFC61EE2-A51E-4C85-B149-6A6B616707DF}"/>
    <cellStyle name="Normal 4 4 5 2 3 3" xfId="13630" xr:uid="{E1682337-9615-4351-ADAE-6A565D57EFED}"/>
    <cellStyle name="Normal 4 4 5 2 4" xfId="18693" xr:uid="{BCE976B5-1036-44A3-A7ED-BAEA8A80EBB5}"/>
    <cellStyle name="Normal 4 4 5 2 5" xfId="17865" xr:uid="{E67711BC-4612-4A83-9DBD-6EBD641DEE7F}"/>
    <cellStyle name="Normal 4 4 5 2 6" xfId="9412" xr:uid="{56391A17-40A6-48FE-83FE-9B75350D6F57}"/>
    <cellStyle name="Normal 4 4 5 3" xfId="1286" xr:uid="{00000000-0005-0000-0000-0000E1150000}"/>
    <cellStyle name="Normal 4 4 5 3 2" xfId="3516" xr:uid="{00000000-0005-0000-0000-0000E2150000}"/>
    <cellStyle name="Normal 4 4 5 3 2 2" xfId="7738" xr:uid="{00000000-0005-0000-0000-0000E3150000}"/>
    <cellStyle name="Normal 4 4 5 3 2 2 2" xfId="25468" xr:uid="{F4E7D7C7-0BDF-4838-8FED-00D29730B171}"/>
    <cellStyle name="Normal 4 4 5 3 2 2 3" xfId="16188" xr:uid="{5988D10E-1CB1-41EA-9BFC-B28F7F60703B}"/>
    <cellStyle name="Normal 4 4 5 3 2 3" xfId="21251" xr:uid="{18D0B2AE-4411-4F34-B993-DE4D60D50FA5}"/>
    <cellStyle name="Normal 4 4 5 3 2 4" xfId="11970" xr:uid="{998BA944-2B7C-461E-A8BF-A94E510871D1}"/>
    <cellStyle name="Normal 4 4 5 3 3" xfId="5593" xr:uid="{00000000-0005-0000-0000-0000E4150000}"/>
    <cellStyle name="Normal 4 4 5 3 3 2" xfId="23323" xr:uid="{BADCB1AF-F768-4940-9FBF-2BD634B6C90E}"/>
    <cellStyle name="Normal 4 4 5 3 3 3" xfId="14043" xr:uid="{08DB6BBB-3BC6-498C-A097-8AC08C705725}"/>
    <cellStyle name="Normal 4 4 5 3 4" xfId="19106" xr:uid="{EA1D05A5-516B-4F5F-94C5-DA3BEAF001A8}"/>
    <cellStyle name="Normal 4 4 5 3 5" xfId="9825" xr:uid="{25C67CF1-A3B3-41B8-B906-9F3B36183909}"/>
    <cellStyle name="Normal 4 4 5 4" xfId="1699" xr:uid="{00000000-0005-0000-0000-0000E5150000}"/>
    <cellStyle name="Normal 4 4 5 4 2" xfId="3929" xr:uid="{00000000-0005-0000-0000-0000E6150000}"/>
    <cellStyle name="Normal 4 4 5 4 2 2" xfId="8151" xr:uid="{00000000-0005-0000-0000-0000E7150000}"/>
    <cellStyle name="Normal 4 4 5 4 2 2 2" xfId="25881" xr:uid="{65CDBC1D-89A4-4A0C-BF03-09F93D44492C}"/>
    <cellStyle name="Normal 4 4 5 4 2 2 3" xfId="16601" xr:uid="{1454221C-B8D2-44C8-895C-E0A27CC23500}"/>
    <cellStyle name="Normal 4 4 5 4 2 3" xfId="21664" xr:uid="{7F8BB15A-07C1-4E50-8550-DD81D45494B8}"/>
    <cellStyle name="Normal 4 4 5 4 2 4" xfId="12383" xr:uid="{69182F8C-C9CB-4BB5-B345-D150F54B5032}"/>
    <cellStyle name="Normal 4 4 5 4 3" xfId="6006" xr:uid="{00000000-0005-0000-0000-0000E8150000}"/>
    <cellStyle name="Normal 4 4 5 4 3 2" xfId="23736" xr:uid="{FA9EF2A1-AEA3-411B-B6E1-062DB60E16C9}"/>
    <cellStyle name="Normal 4 4 5 4 3 3" xfId="14456" xr:uid="{881BBD75-84AB-470B-9E80-B49C88633B34}"/>
    <cellStyle name="Normal 4 4 5 4 4" xfId="19519" xr:uid="{CE0ACE0B-81E9-47D4-8D32-2B13924DCFBC}"/>
    <cellStyle name="Normal 4 4 5 4 5" xfId="10238" xr:uid="{45A7856F-F2FE-4665-B968-3EDEA7ADDD3B}"/>
    <cellStyle name="Normal 4 4 5 5" xfId="2113" xr:uid="{00000000-0005-0000-0000-0000E9150000}"/>
    <cellStyle name="Normal 4 4 5 5 2" xfId="4342" xr:uid="{00000000-0005-0000-0000-0000EA150000}"/>
    <cellStyle name="Normal 4 4 5 5 2 2" xfId="8564" xr:uid="{00000000-0005-0000-0000-0000EB150000}"/>
    <cellStyle name="Normal 4 4 5 5 2 2 2" xfId="26294" xr:uid="{A96C9CB3-424E-44BF-A142-1E556F76344E}"/>
    <cellStyle name="Normal 4 4 5 5 2 2 3" xfId="17014" xr:uid="{64D48174-9C89-4400-8E34-EB7AF2F59047}"/>
    <cellStyle name="Normal 4 4 5 5 2 3" xfId="22077" xr:uid="{E224896A-BE2A-4DE2-85C4-847549E8DD06}"/>
    <cellStyle name="Normal 4 4 5 5 2 4" xfId="12796" xr:uid="{923F6EA0-0456-4E03-8670-B21414642DFC}"/>
    <cellStyle name="Normal 4 4 5 5 3" xfId="6419" xr:uid="{00000000-0005-0000-0000-0000EC150000}"/>
    <cellStyle name="Normal 4 4 5 5 3 2" xfId="24149" xr:uid="{875EADCD-693D-452A-83CA-D1B309AC04E5}"/>
    <cellStyle name="Normal 4 4 5 5 3 3" xfId="14869" xr:uid="{B62D0B86-DC68-43DB-B9AF-6DCEDE45B5E4}"/>
    <cellStyle name="Normal 4 4 5 5 4" xfId="19932" xr:uid="{6C056626-B8FF-42D2-81F1-4999F77BB6FC}"/>
    <cellStyle name="Normal 4 4 5 5 5" xfId="10651" xr:uid="{AEF6EDFC-77C6-4B8C-837A-7F61FDA56F1F}"/>
    <cellStyle name="Normal 4 4 5 6" xfId="2549" xr:uid="{00000000-0005-0000-0000-0000ED150000}"/>
    <cellStyle name="Normal 4 4 5 6 2" xfId="6832" xr:uid="{00000000-0005-0000-0000-0000EE150000}"/>
    <cellStyle name="Normal 4 4 5 6 2 2" xfId="24562" xr:uid="{8957184F-714E-4D6B-8193-B7141743A6F0}"/>
    <cellStyle name="Normal 4 4 5 6 2 3" xfId="15282" xr:uid="{6B29506E-DA07-4314-B071-C3C74245D118}"/>
    <cellStyle name="Normal 4 4 5 6 3" xfId="20345" xr:uid="{CA0F88FF-BBBE-40F7-83D3-8CEE09B0A2B4}"/>
    <cellStyle name="Normal 4 4 5 6 4" xfId="11064" xr:uid="{4C275440-2F8A-4FB7-A859-9847EA6B761C}"/>
    <cellStyle name="Normal 4 4 5 7" xfId="4767" xr:uid="{00000000-0005-0000-0000-0000EF150000}"/>
    <cellStyle name="Normal 4 4 5 7 2" xfId="22497" xr:uid="{2B0E07B1-8499-4651-8C93-F30A8E79163B}"/>
    <cellStyle name="Normal 4 4 5 7 3" xfId="13217" xr:uid="{91E98CD7-A7DC-450B-BFDF-D4B7068C8983}"/>
    <cellStyle name="Normal 4 4 5 8" xfId="18280" xr:uid="{22F3319B-4C54-4AE9-B8AC-A47E9BB08115}"/>
    <cellStyle name="Normal 4 4 5 9" xfId="17446" xr:uid="{C58AEDF9-BD35-4E5C-9679-77E8E833EB81}"/>
    <cellStyle name="Normal 4 4 6" xfId="853" xr:uid="{00000000-0005-0000-0000-0000F0150000}"/>
    <cellStyle name="Normal 4 4 6 2" xfId="3088" xr:uid="{00000000-0005-0000-0000-0000F1150000}"/>
    <cellStyle name="Normal 4 4 6 2 2" xfId="7310" xr:uid="{00000000-0005-0000-0000-0000F2150000}"/>
    <cellStyle name="Normal 4 4 6 2 2 2" xfId="25040" xr:uid="{01B91B1E-A9E1-42AB-818F-BF01D1932177}"/>
    <cellStyle name="Normal 4 4 6 2 2 3" xfId="15760" xr:uid="{FFCDF6D0-30FF-4915-8C83-7AEB8DB1B7E6}"/>
    <cellStyle name="Normal 4 4 6 2 3" xfId="20823" xr:uid="{12E916AF-B8A9-412C-B904-A8367B828310}"/>
    <cellStyle name="Normal 4 4 6 2 4" xfId="11542" xr:uid="{CE5A2B29-8731-4665-B61E-DD8E8C1D5FFE}"/>
    <cellStyle name="Normal 4 4 6 3" xfId="5165" xr:uid="{00000000-0005-0000-0000-0000F3150000}"/>
    <cellStyle name="Normal 4 4 6 3 2" xfId="22895" xr:uid="{F6291736-E4ED-48D5-A686-ABE3197735F4}"/>
    <cellStyle name="Normal 4 4 6 3 3" xfId="13615" xr:uid="{75171904-8047-4BA9-BC2F-44D5FE8A6791}"/>
    <cellStyle name="Normal 4 4 6 4" xfId="18678" xr:uid="{0128EAEB-88F4-44CB-B404-A296174C3581}"/>
    <cellStyle name="Normal 4 4 6 5" xfId="17850" xr:uid="{E3A1366B-11FD-4E4F-8E1B-0720B74F2E2D}"/>
    <cellStyle name="Normal 4 4 6 6" xfId="9397" xr:uid="{B862D088-E9FB-4995-BD87-101730AD8B3B}"/>
    <cellStyle name="Normal 4 4 7" xfId="1271" xr:uid="{00000000-0005-0000-0000-0000F4150000}"/>
    <cellStyle name="Normal 4 4 7 2" xfId="3501" xr:uid="{00000000-0005-0000-0000-0000F5150000}"/>
    <cellStyle name="Normal 4 4 7 2 2" xfId="7723" xr:uid="{00000000-0005-0000-0000-0000F6150000}"/>
    <cellStyle name="Normal 4 4 7 2 2 2" xfId="25453" xr:uid="{766B8CD5-37E9-4AC9-8880-B6CD7483AE39}"/>
    <cellStyle name="Normal 4 4 7 2 2 3" xfId="16173" xr:uid="{1BBD1D5A-8D40-4C79-A6B6-EDA210EF9AEB}"/>
    <cellStyle name="Normal 4 4 7 2 3" xfId="21236" xr:uid="{CB59EACD-A351-4308-8039-87362F364D11}"/>
    <cellStyle name="Normal 4 4 7 2 4" xfId="11955" xr:uid="{464C5785-2365-436E-AECA-538EA6411131}"/>
    <cellStyle name="Normal 4 4 7 3" xfId="5578" xr:uid="{00000000-0005-0000-0000-0000F7150000}"/>
    <cellStyle name="Normal 4 4 7 3 2" xfId="23308" xr:uid="{04F3A83E-9FD1-4E20-9744-259586DD67F9}"/>
    <cellStyle name="Normal 4 4 7 3 3" xfId="14028" xr:uid="{152DB811-7678-4DF9-9746-4FC353A5AC3D}"/>
    <cellStyle name="Normal 4 4 7 4" xfId="19091" xr:uid="{ED74F1EB-B9AD-4ABC-BFF5-DFD6ADF0DE5D}"/>
    <cellStyle name="Normal 4 4 7 5" xfId="9810" xr:uid="{88A43A7C-62EB-4368-A1EE-1A2854A22073}"/>
    <cellStyle name="Normal 4 4 8" xfId="1684" xr:uid="{00000000-0005-0000-0000-0000F8150000}"/>
    <cellStyle name="Normal 4 4 8 2" xfId="3914" xr:uid="{00000000-0005-0000-0000-0000F9150000}"/>
    <cellStyle name="Normal 4 4 8 2 2" xfId="8136" xr:uid="{00000000-0005-0000-0000-0000FA150000}"/>
    <cellStyle name="Normal 4 4 8 2 2 2" xfId="25866" xr:uid="{14798F60-97D0-4C5D-A9B3-FDA881B5A2E5}"/>
    <cellStyle name="Normal 4 4 8 2 2 3" xfId="16586" xr:uid="{4D4CC429-3D67-402F-9E13-324661BBAECF}"/>
    <cellStyle name="Normal 4 4 8 2 3" xfId="21649" xr:uid="{576E6FD5-397D-4D19-8C5A-59FB49014C9D}"/>
    <cellStyle name="Normal 4 4 8 2 4" xfId="12368" xr:uid="{24E34F1A-9C9E-4BC7-A9C4-9A6F2F88C00E}"/>
    <cellStyle name="Normal 4 4 8 3" xfId="5991" xr:uid="{00000000-0005-0000-0000-0000FB150000}"/>
    <cellStyle name="Normal 4 4 8 3 2" xfId="23721" xr:uid="{C6F9B25B-2200-41F5-9CE4-EC68FB797F25}"/>
    <cellStyle name="Normal 4 4 8 3 3" xfId="14441" xr:uid="{CC1DE662-4ED6-4EEE-97D1-F2B7CF53CEB8}"/>
    <cellStyle name="Normal 4 4 8 4" xfId="19504" xr:uid="{1CB1A2CD-0191-47AB-AE20-E22DE3B51205}"/>
    <cellStyle name="Normal 4 4 8 5" xfId="10223" xr:uid="{7DAE0D31-30F6-4049-8CDB-3C093D04CF49}"/>
    <cellStyle name="Normal 4 4 9" xfId="2098" xr:uid="{00000000-0005-0000-0000-0000FC150000}"/>
    <cellStyle name="Normal 4 4 9 2" xfId="4327" xr:uid="{00000000-0005-0000-0000-0000FD150000}"/>
    <cellStyle name="Normal 4 4 9 2 2" xfId="8549" xr:uid="{00000000-0005-0000-0000-0000FE150000}"/>
    <cellStyle name="Normal 4 4 9 2 2 2" xfId="26279" xr:uid="{50B1AE4B-47E7-4175-A05E-C9A8F4F913FC}"/>
    <cellStyle name="Normal 4 4 9 2 2 3" xfId="16999" xr:uid="{2F42AA46-0B8E-42D6-9842-6F895F1699ED}"/>
    <cellStyle name="Normal 4 4 9 2 3" xfId="22062" xr:uid="{AC80AE73-5F74-4742-B276-0C78BF24B45C}"/>
    <cellStyle name="Normal 4 4 9 2 4" xfId="12781" xr:uid="{DD4C27E7-FA9F-47AA-86C8-0D6F53F23D29}"/>
    <cellStyle name="Normal 4 4 9 3" xfId="6404" xr:uid="{00000000-0005-0000-0000-0000FF150000}"/>
    <cellStyle name="Normal 4 4 9 3 2" xfId="24134" xr:uid="{415C1D70-585A-4AD3-956C-721478B41E36}"/>
    <cellStyle name="Normal 4 4 9 3 3" xfId="14854" xr:uid="{4C1C49C3-E383-4258-853B-F8576CA655DC}"/>
    <cellStyle name="Normal 4 4 9 4" xfId="19917" xr:uid="{BE67D0DD-D699-4A38-9D57-3C8B874B91F5}"/>
    <cellStyle name="Normal 4 4 9 5" xfId="10636" xr:uid="{FE2F4229-7917-40D1-A44F-8544B1DEF2F4}"/>
    <cellStyle name="Normal 4 5" xfId="394" xr:uid="{00000000-0005-0000-0000-000000160000}"/>
    <cellStyle name="Normal 4 6" xfId="395" xr:uid="{00000000-0005-0000-0000-000001160000}"/>
    <cellStyle name="Normal 4 6 10" xfId="4768" xr:uid="{00000000-0005-0000-0000-000002160000}"/>
    <cellStyle name="Normal 4 6 10 2" xfId="22498" xr:uid="{EF471EC5-5ACE-4D1C-9942-D99E963894B1}"/>
    <cellStyle name="Normal 4 6 10 3" xfId="13218" xr:uid="{A2FF8B22-9DD2-41E1-9237-55DD98535917}"/>
    <cellStyle name="Normal 4 6 11" xfId="18281" xr:uid="{57FCF953-07CC-453B-8AA6-1C117AC8D5F6}"/>
    <cellStyle name="Normal 4 6 12" xfId="17447" xr:uid="{C498F6EF-FCA7-4D4A-B27E-7ABC9E5E72CD}"/>
    <cellStyle name="Normal 4 6 13" xfId="9000" xr:uid="{E2A23BFD-39C4-4518-90B0-D0FBB12E9852}"/>
    <cellStyle name="Normal 4 6 2" xfId="396" xr:uid="{00000000-0005-0000-0000-000003160000}"/>
    <cellStyle name="Normal 4 6 2 10" xfId="18282" xr:uid="{ACEC2CBA-8F5C-4E34-AB2E-EFD2E9A26E95}"/>
    <cellStyle name="Normal 4 6 2 11" xfId="17448" xr:uid="{6ED41A6B-597B-4BD6-A2D1-B4E086A21D99}"/>
    <cellStyle name="Normal 4 6 2 12" xfId="9001" xr:uid="{ABD5104E-FC1C-460B-9E3F-2B9EFD284D52}"/>
    <cellStyle name="Normal 4 6 2 2" xfId="397" xr:uid="{00000000-0005-0000-0000-000004160000}"/>
    <cellStyle name="Normal 4 6 2 2 10" xfId="17449" xr:uid="{A38E1383-7639-4E2F-A305-A2975D06F281}"/>
    <cellStyle name="Normal 4 6 2 2 11" xfId="9002" xr:uid="{1BD54F58-E028-44CC-874A-26F40139659F}"/>
    <cellStyle name="Normal 4 6 2 2 2" xfId="398" xr:uid="{00000000-0005-0000-0000-000005160000}"/>
    <cellStyle name="Normal 4 6 2 2 2 10" xfId="9003" xr:uid="{54F99942-4EDE-4EC8-93A9-E93DEDC1CC6F}"/>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25059" xr:uid="{3948326D-969F-4008-8196-8634CB6B723E}"/>
    <cellStyle name="Normal 4 6 2 2 2 2 2 2 3" xfId="15779" xr:uid="{17FA4AD9-040F-4702-980D-45A5E4FFB3F7}"/>
    <cellStyle name="Normal 4 6 2 2 2 2 2 3" xfId="20842" xr:uid="{983A7622-7204-445A-B492-EE0E5C834DE5}"/>
    <cellStyle name="Normal 4 6 2 2 2 2 2 4" xfId="11561" xr:uid="{3A119FE6-29AA-443F-B344-DBA131B088DA}"/>
    <cellStyle name="Normal 4 6 2 2 2 2 3" xfId="5184" xr:uid="{00000000-0005-0000-0000-000009160000}"/>
    <cellStyle name="Normal 4 6 2 2 2 2 3 2" xfId="22914" xr:uid="{65C01F69-989A-4E9C-A9F7-6ADDD67E9560}"/>
    <cellStyle name="Normal 4 6 2 2 2 2 3 3" xfId="13634" xr:uid="{AC6E944E-6D81-4C2D-905D-70B233AE915E}"/>
    <cellStyle name="Normal 4 6 2 2 2 2 4" xfId="18697" xr:uid="{9DFB2DE2-761B-4365-A11E-D7DD56F598C5}"/>
    <cellStyle name="Normal 4 6 2 2 2 2 5" xfId="17869" xr:uid="{A4C1A237-89E0-41A4-8B75-FFB5A76538A8}"/>
    <cellStyle name="Normal 4 6 2 2 2 2 6" xfId="9416" xr:uid="{A845120E-5D95-4F5F-A263-7C8F32644EEE}"/>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25472" xr:uid="{9F517D98-F51B-443A-AAD5-91D0D58908F0}"/>
    <cellStyle name="Normal 4 6 2 2 2 3 2 2 3" xfId="16192" xr:uid="{0A51F6AC-E160-4E4C-8AAE-9D2315394A64}"/>
    <cellStyle name="Normal 4 6 2 2 2 3 2 3" xfId="21255" xr:uid="{C544CC59-42A8-4C6E-858F-AAF209B5E60C}"/>
    <cellStyle name="Normal 4 6 2 2 2 3 2 4" xfId="11974" xr:uid="{6E17DF95-CED3-40B9-9BBC-C8C9E7DA41CD}"/>
    <cellStyle name="Normal 4 6 2 2 2 3 3" xfId="5597" xr:uid="{00000000-0005-0000-0000-00000D160000}"/>
    <cellStyle name="Normal 4 6 2 2 2 3 3 2" xfId="23327" xr:uid="{A7597E24-1C84-4AD8-BCC8-28970F7333E0}"/>
    <cellStyle name="Normal 4 6 2 2 2 3 3 3" xfId="14047" xr:uid="{1AB9F19B-BD42-4C84-84D8-4DF76879643E}"/>
    <cellStyle name="Normal 4 6 2 2 2 3 4" xfId="19110" xr:uid="{1CE89F11-9658-424D-AA86-5A7138E44656}"/>
    <cellStyle name="Normal 4 6 2 2 2 3 5" xfId="9829" xr:uid="{3D8FA3A5-E3F6-4ECB-915D-350EFF840047}"/>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25885" xr:uid="{D131A704-C6DE-4BCF-ACC5-1278D7EF8B26}"/>
    <cellStyle name="Normal 4 6 2 2 2 4 2 2 3" xfId="16605" xr:uid="{3C5B7EA1-47F9-483A-9EAB-77EDB670427F}"/>
    <cellStyle name="Normal 4 6 2 2 2 4 2 3" xfId="21668" xr:uid="{3E27F04B-5723-442E-815D-B0411B8A3093}"/>
    <cellStyle name="Normal 4 6 2 2 2 4 2 4" xfId="12387" xr:uid="{2634BD93-F6B0-40EE-99B9-189743752E05}"/>
    <cellStyle name="Normal 4 6 2 2 2 4 3" xfId="6010" xr:uid="{00000000-0005-0000-0000-000011160000}"/>
    <cellStyle name="Normal 4 6 2 2 2 4 3 2" xfId="23740" xr:uid="{F2F7CBE1-49F0-4CFB-B561-49EEC1FD22CC}"/>
    <cellStyle name="Normal 4 6 2 2 2 4 3 3" xfId="14460" xr:uid="{D118A6E5-2C29-45C0-8D8D-366E8FFB8984}"/>
    <cellStyle name="Normal 4 6 2 2 2 4 4" xfId="19523" xr:uid="{4CD36BA0-F482-43A0-BBDD-E98005F684DC}"/>
    <cellStyle name="Normal 4 6 2 2 2 4 5" xfId="10242" xr:uid="{28CC2891-7ED0-45A6-B2C8-93950C8566A2}"/>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26298" xr:uid="{2970B68E-3D95-4B10-881D-61CF67445DC6}"/>
    <cellStyle name="Normal 4 6 2 2 2 5 2 2 3" xfId="17018" xr:uid="{FB049EB3-5DDD-473C-91D5-1536AD5F4484}"/>
    <cellStyle name="Normal 4 6 2 2 2 5 2 3" xfId="22081" xr:uid="{6653992D-87C5-482F-A0EA-CDA279F877CE}"/>
    <cellStyle name="Normal 4 6 2 2 2 5 2 4" xfId="12800" xr:uid="{F44B57D2-A6B7-4E2B-A320-F96E65BD478B}"/>
    <cellStyle name="Normal 4 6 2 2 2 5 3" xfId="6423" xr:uid="{00000000-0005-0000-0000-000015160000}"/>
    <cellStyle name="Normal 4 6 2 2 2 5 3 2" xfId="24153" xr:uid="{71B27736-7F12-40E7-8866-06F19F741DE2}"/>
    <cellStyle name="Normal 4 6 2 2 2 5 3 3" xfId="14873" xr:uid="{BB24A592-2CA0-4FB3-9A54-F142A0C3842D}"/>
    <cellStyle name="Normal 4 6 2 2 2 5 4" xfId="19936" xr:uid="{5427799C-119B-468B-B926-0B6FA4EC8E56}"/>
    <cellStyle name="Normal 4 6 2 2 2 5 5" xfId="10655" xr:uid="{D91AF0BA-06CE-4EB5-92EB-4B947C84672B}"/>
    <cellStyle name="Normal 4 6 2 2 2 6" xfId="2553" xr:uid="{00000000-0005-0000-0000-000016160000}"/>
    <cellStyle name="Normal 4 6 2 2 2 6 2" xfId="6836" xr:uid="{00000000-0005-0000-0000-000017160000}"/>
    <cellStyle name="Normal 4 6 2 2 2 6 2 2" xfId="24566" xr:uid="{F972D675-6937-4DF2-8790-6D7F748F59BC}"/>
    <cellStyle name="Normal 4 6 2 2 2 6 2 3" xfId="15286" xr:uid="{6CE8F988-FF42-42FD-BB97-FCDF3065B97F}"/>
    <cellStyle name="Normal 4 6 2 2 2 6 3" xfId="20349" xr:uid="{5A28EDCA-0A4D-4804-A777-69CF8AF5B689}"/>
    <cellStyle name="Normal 4 6 2 2 2 6 4" xfId="11068" xr:uid="{BB9FCD38-96B2-4BD9-86D1-B5CAC6A41D5E}"/>
    <cellStyle name="Normal 4 6 2 2 2 7" xfId="4771" xr:uid="{00000000-0005-0000-0000-000018160000}"/>
    <cellStyle name="Normal 4 6 2 2 2 7 2" xfId="22501" xr:uid="{3861C4ED-5BBB-485A-B875-6E7A14749E25}"/>
    <cellStyle name="Normal 4 6 2 2 2 7 3" xfId="13221" xr:uid="{6BDD46AC-18FE-42D4-8CDE-A55D404FBF49}"/>
    <cellStyle name="Normal 4 6 2 2 2 8" xfId="18284" xr:uid="{A73E1B47-2BDC-42E0-8C02-F5EC03EA25F2}"/>
    <cellStyle name="Normal 4 6 2 2 2 9" xfId="17450" xr:uid="{051CCD07-001C-4016-A685-81A7DEFDB751}"/>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25058" xr:uid="{90841596-E4F1-4CED-A959-AD3D65B74A9B}"/>
    <cellStyle name="Normal 4 6 2 2 3 2 2 3" xfId="15778" xr:uid="{7D3024FD-8767-4ACD-8E47-DCB1091375E8}"/>
    <cellStyle name="Normal 4 6 2 2 3 2 3" xfId="20841" xr:uid="{FF421292-669D-4597-BBB5-6CCFBF28FA3C}"/>
    <cellStyle name="Normal 4 6 2 2 3 2 4" xfId="11560" xr:uid="{2DEF53C5-452B-4039-8D5C-BFCB6FD5D3C1}"/>
    <cellStyle name="Normal 4 6 2 2 3 3" xfId="5183" xr:uid="{00000000-0005-0000-0000-00001C160000}"/>
    <cellStyle name="Normal 4 6 2 2 3 3 2" xfId="22913" xr:uid="{9E739797-2A49-46EA-BA91-1BC2D0D77ACE}"/>
    <cellStyle name="Normal 4 6 2 2 3 3 3" xfId="13633" xr:uid="{F81EADD3-6AFA-4307-977B-31B69D6026B7}"/>
    <cellStyle name="Normal 4 6 2 2 3 4" xfId="18696" xr:uid="{D6FD31FD-EEB0-41CE-B829-3DD255FFA054}"/>
    <cellStyle name="Normal 4 6 2 2 3 5" xfId="17868" xr:uid="{FC4AA49B-37D0-4362-AB4A-78DBB47394CF}"/>
    <cellStyle name="Normal 4 6 2 2 3 6" xfId="9415" xr:uid="{FF32F838-2CA6-4595-A2CD-C9F4BDC96D1F}"/>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25471" xr:uid="{34961301-94B8-4333-A41B-D425A8733BAD}"/>
    <cellStyle name="Normal 4 6 2 2 4 2 2 3" xfId="16191" xr:uid="{B71760BA-9D14-4E43-84D1-194A403CA6A8}"/>
    <cellStyle name="Normal 4 6 2 2 4 2 3" xfId="21254" xr:uid="{428FEF26-B8ED-433B-91CB-E6C3D406A6FA}"/>
    <cellStyle name="Normal 4 6 2 2 4 2 4" xfId="11973" xr:uid="{10624E36-FA8F-4EA6-8F95-186FFB4B3859}"/>
    <cellStyle name="Normal 4 6 2 2 4 3" xfId="5596" xr:uid="{00000000-0005-0000-0000-000020160000}"/>
    <cellStyle name="Normal 4 6 2 2 4 3 2" xfId="23326" xr:uid="{4409C515-8780-4EC4-8E7F-E2834DF6C886}"/>
    <cellStyle name="Normal 4 6 2 2 4 3 3" xfId="14046" xr:uid="{15B50A79-E14B-4806-B122-69B6D513F870}"/>
    <cellStyle name="Normal 4 6 2 2 4 4" xfId="19109" xr:uid="{55D4CD5F-2A67-4CA4-95B2-8E8B860C68FF}"/>
    <cellStyle name="Normal 4 6 2 2 4 5" xfId="9828" xr:uid="{3C91B1EA-8010-470F-9DF4-B0675D6B4BCE}"/>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25884" xr:uid="{4019CA1B-A531-4BC2-8459-BCA0277F5170}"/>
    <cellStyle name="Normal 4 6 2 2 5 2 2 3" xfId="16604" xr:uid="{86AEF756-44F5-4C10-8A09-D976AD88AF0A}"/>
    <cellStyle name="Normal 4 6 2 2 5 2 3" xfId="21667" xr:uid="{0EA1F3F1-B46F-4BB5-9789-3539532F73A1}"/>
    <cellStyle name="Normal 4 6 2 2 5 2 4" xfId="12386" xr:uid="{CD04D362-7312-4B77-B26B-66E256F84EAF}"/>
    <cellStyle name="Normal 4 6 2 2 5 3" xfId="6009" xr:uid="{00000000-0005-0000-0000-000024160000}"/>
    <cellStyle name="Normal 4 6 2 2 5 3 2" xfId="23739" xr:uid="{AFC93126-1E5F-47B2-B65A-8DE30B036C1D}"/>
    <cellStyle name="Normal 4 6 2 2 5 3 3" xfId="14459" xr:uid="{47C63134-0261-40A8-BE47-BE4498A9CB35}"/>
    <cellStyle name="Normal 4 6 2 2 5 4" xfId="19522" xr:uid="{0BD33D4E-C7B6-4ECA-89B7-A2B3285F713D}"/>
    <cellStyle name="Normal 4 6 2 2 5 5" xfId="10241" xr:uid="{96E8ED37-88DC-426B-8A1F-24A13BF2223D}"/>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26297" xr:uid="{84E5E02C-3A54-4D9F-8C5F-6EA073A8003A}"/>
    <cellStyle name="Normal 4 6 2 2 6 2 2 3" xfId="17017" xr:uid="{A84BF0F2-226F-45AA-BFD5-62283C889925}"/>
    <cellStyle name="Normal 4 6 2 2 6 2 3" xfId="22080" xr:uid="{1C3DCA0C-01EF-4FD0-9A0D-2ACFF846E217}"/>
    <cellStyle name="Normal 4 6 2 2 6 2 4" xfId="12799" xr:uid="{64BA2200-D412-49BC-AA16-3983A7FE8F5C}"/>
    <cellStyle name="Normal 4 6 2 2 6 3" xfId="6422" xr:uid="{00000000-0005-0000-0000-000028160000}"/>
    <cellStyle name="Normal 4 6 2 2 6 3 2" xfId="24152" xr:uid="{4EECE3EB-2395-4A33-80B7-B845FD1E10FC}"/>
    <cellStyle name="Normal 4 6 2 2 6 3 3" xfId="14872" xr:uid="{3034BDE2-3379-40C4-95B6-0C00447D2198}"/>
    <cellStyle name="Normal 4 6 2 2 6 4" xfId="19935" xr:uid="{5702987D-5E54-49D1-95C1-345CEA2C95B2}"/>
    <cellStyle name="Normal 4 6 2 2 6 5" xfId="10654" xr:uid="{D2F83953-1267-4895-A684-85AD80CDECDC}"/>
    <cellStyle name="Normal 4 6 2 2 7" xfId="2552" xr:uid="{00000000-0005-0000-0000-000029160000}"/>
    <cellStyle name="Normal 4 6 2 2 7 2" xfId="6835" xr:uid="{00000000-0005-0000-0000-00002A160000}"/>
    <cellStyle name="Normal 4 6 2 2 7 2 2" xfId="24565" xr:uid="{4B4D50A2-863B-400D-8C96-75B3B6E67780}"/>
    <cellStyle name="Normal 4 6 2 2 7 2 3" xfId="15285" xr:uid="{9BD5BF37-8241-430D-96B1-552A238E099B}"/>
    <cellStyle name="Normal 4 6 2 2 7 3" xfId="20348" xr:uid="{04469BD6-389F-47B2-BDDE-7C992E9FC902}"/>
    <cellStyle name="Normal 4 6 2 2 7 4" xfId="11067" xr:uid="{49404412-79B8-48E9-89F0-5C115998530C}"/>
    <cellStyle name="Normal 4 6 2 2 8" xfId="4770" xr:uid="{00000000-0005-0000-0000-00002B160000}"/>
    <cellStyle name="Normal 4 6 2 2 8 2" xfId="22500" xr:uid="{046423B6-5DC1-41E9-8F58-CC20F9FD7C6E}"/>
    <cellStyle name="Normal 4 6 2 2 8 3" xfId="13220" xr:uid="{B89AB62D-F054-4617-A37F-4B86FE4FAD98}"/>
    <cellStyle name="Normal 4 6 2 2 9" xfId="18283" xr:uid="{B904836C-4FB9-41A6-99D1-D2780097BF3A}"/>
    <cellStyle name="Normal 4 6 2 3" xfId="399" xr:uid="{00000000-0005-0000-0000-00002C160000}"/>
    <cellStyle name="Normal 4 6 2 3 10" xfId="9004" xr:uid="{CEC45677-0EA3-4D1A-87B4-5D55ACB2B9FC}"/>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25060" xr:uid="{146A5339-D6B6-497D-AA93-CF7FF2ABB62F}"/>
    <cellStyle name="Normal 4 6 2 3 2 2 2 3" xfId="15780" xr:uid="{F337B969-04BC-4B34-8DA8-C56B8E3B97F6}"/>
    <cellStyle name="Normal 4 6 2 3 2 2 3" xfId="20843" xr:uid="{E03A28CE-BF43-455C-AE43-48FD3E86B5B3}"/>
    <cellStyle name="Normal 4 6 2 3 2 2 4" xfId="11562" xr:uid="{035B14DC-066D-4644-9875-45C574FF7B5A}"/>
    <cellStyle name="Normal 4 6 2 3 2 3" xfId="5185" xr:uid="{00000000-0005-0000-0000-000030160000}"/>
    <cellStyle name="Normal 4 6 2 3 2 3 2" xfId="22915" xr:uid="{21E8ABE7-73D5-40CA-9877-233694EEC011}"/>
    <cellStyle name="Normal 4 6 2 3 2 3 3" xfId="13635" xr:uid="{AEC8D1AA-BBB0-48BC-BEB0-18248FCD34DA}"/>
    <cellStyle name="Normal 4 6 2 3 2 4" xfId="18698" xr:uid="{A03B83AA-00A4-46FE-9B37-D969C29E3D89}"/>
    <cellStyle name="Normal 4 6 2 3 2 5" xfId="17870" xr:uid="{E26B7D63-34F1-41D1-9413-9A3C18999FA0}"/>
    <cellStyle name="Normal 4 6 2 3 2 6" xfId="9417" xr:uid="{1DC675E2-78C3-4796-AECA-03C8E5A7C5FE}"/>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25473" xr:uid="{E25F3653-D211-4C2E-BB47-BFFBDF4578B1}"/>
    <cellStyle name="Normal 4 6 2 3 3 2 2 3" xfId="16193" xr:uid="{90461606-F1A9-49F5-9307-894ECC4D49CA}"/>
    <cellStyle name="Normal 4 6 2 3 3 2 3" xfId="21256" xr:uid="{99569893-FB83-4D32-985D-443A17FB1353}"/>
    <cellStyle name="Normal 4 6 2 3 3 2 4" xfId="11975" xr:uid="{2BAB5829-6075-4D38-BAC7-8D481574C6CD}"/>
    <cellStyle name="Normal 4 6 2 3 3 3" xfId="5598" xr:uid="{00000000-0005-0000-0000-000034160000}"/>
    <cellStyle name="Normal 4 6 2 3 3 3 2" xfId="23328" xr:uid="{718C0E9E-8CC2-41DF-BA2D-E3A7A3FEE12D}"/>
    <cellStyle name="Normal 4 6 2 3 3 3 3" xfId="14048" xr:uid="{C40B0662-FE3F-4949-9652-5A14E2FC84CA}"/>
    <cellStyle name="Normal 4 6 2 3 3 4" xfId="19111" xr:uid="{DC8F1614-9DC7-4454-8CB8-CDBA1659B00F}"/>
    <cellStyle name="Normal 4 6 2 3 3 5" xfId="9830" xr:uid="{CD5F4896-5B67-4250-8742-B7BB670F58A4}"/>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25886" xr:uid="{7CD21060-934E-4530-96D0-36A21186730B}"/>
    <cellStyle name="Normal 4 6 2 3 4 2 2 3" xfId="16606" xr:uid="{A2AD03DD-0E14-4AF6-A649-C2864FF82154}"/>
    <cellStyle name="Normal 4 6 2 3 4 2 3" xfId="21669" xr:uid="{AE3C5215-62C6-4D31-9A04-7A13F6B1D470}"/>
    <cellStyle name="Normal 4 6 2 3 4 2 4" xfId="12388" xr:uid="{B01BA644-9046-41CA-B972-200D8EECACC3}"/>
    <cellStyle name="Normal 4 6 2 3 4 3" xfId="6011" xr:uid="{00000000-0005-0000-0000-000038160000}"/>
    <cellStyle name="Normal 4 6 2 3 4 3 2" xfId="23741" xr:uid="{3CD4E64A-8BE6-41D4-BFFB-E424FD552A7E}"/>
    <cellStyle name="Normal 4 6 2 3 4 3 3" xfId="14461" xr:uid="{594E0EBE-6CA6-4F77-AE76-5A74C0DE1846}"/>
    <cellStyle name="Normal 4 6 2 3 4 4" xfId="19524" xr:uid="{2C08638D-436A-4C6F-81DD-CD94B8BC6B17}"/>
    <cellStyle name="Normal 4 6 2 3 4 5" xfId="10243" xr:uid="{EDF0C90E-4FC7-4ACC-9EE1-26045FCE71C3}"/>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26299" xr:uid="{376A45C9-0B93-44CA-9830-4B2DCF839E5C}"/>
    <cellStyle name="Normal 4 6 2 3 5 2 2 3" xfId="17019" xr:uid="{BC07110A-90F1-4D74-BE61-5A68BCC35FC9}"/>
    <cellStyle name="Normal 4 6 2 3 5 2 3" xfId="22082" xr:uid="{56447D47-BF3E-477F-9D78-96DC0D0B5EEA}"/>
    <cellStyle name="Normal 4 6 2 3 5 2 4" xfId="12801" xr:uid="{74D437C0-7B28-439E-99E9-21A949603059}"/>
    <cellStyle name="Normal 4 6 2 3 5 3" xfId="6424" xr:uid="{00000000-0005-0000-0000-00003C160000}"/>
    <cellStyle name="Normal 4 6 2 3 5 3 2" xfId="24154" xr:uid="{1C2940F0-AA88-435C-AD75-C33D5129ABF9}"/>
    <cellStyle name="Normal 4 6 2 3 5 3 3" xfId="14874" xr:uid="{8654524D-5011-47AD-A0D2-0B0329334261}"/>
    <cellStyle name="Normal 4 6 2 3 5 4" xfId="19937" xr:uid="{7481E2EB-7F3E-4A6C-A879-A00826A77964}"/>
    <cellStyle name="Normal 4 6 2 3 5 5" xfId="10656" xr:uid="{099EFA76-B991-471F-AB89-E1CA917646B0}"/>
    <cellStyle name="Normal 4 6 2 3 6" xfId="2554" xr:uid="{00000000-0005-0000-0000-00003D160000}"/>
    <cellStyle name="Normal 4 6 2 3 6 2" xfId="6837" xr:uid="{00000000-0005-0000-0000-00003E160000}"/>
    <cellStyle name="Normal 4 6 2 3 6 2 2" xfId="24567" xr:uid="{9C8171CE-7053-4636-967F-3CFAA55D08C5}"/>
    <cellStyle name="Normal 4 6 2 3 6 2 3" xfId="15287" xr:uid="{F8092E01-522B-4D89-A02C-6C68BC843686}"/>
    <cellStyle name="Normal 4 6 2 3 6 3" xfId="20350" xr:uid="{93DB4228-BA02-4BB5-89D8-80FB7192611B}"/>
    <cellStyle name="Normal 4 6 2 3 6 4" xfId="11069" xr:uid="{D494736D-2DCE-4F68-88BC-8FB470DDE723}"/>
    <cellStyle name="Normal 4 6 2 3 7" xfId="4772" xr:uid="{00000000-0005-0000-0000-00003F160000}"/>
    <cellStyle name="Normal 4 6 2 3 7 2" xfId="22502" xr:uid="{57998B7D-54BB-4ED5-B593-0DF7AF412C9C}"/>
    <cellStyle name="Normal 4 6 2 3 7 3" xfId="13222" xr:uid="{730F6C5B-1758-4AE6-87C9-E16CCF4BD1A7}"/>
    <cellStyle name="Normal 4 6 2 3 8" xfId="18285" xr:uid="{327D2974-36EA-46C6-9118-A8B94FCDC474}"/>
    <cellStyle name="Normal 4 6 2 3 9" xfId="17451" xr:uid="{1434340C-C88F-4350-ABD5-598F5DBC00BB}"/>
    <cellStyle name="Normal 4 6 2 4" xfId="870" xr:uid="{00000000-0005-0000-0000-000040160000}"/>
    <cellStyle name="Normal 4 6 2 4 2" xfId="3105" xr:uid="{00000000-0005-0000-0000-000041160000}"/>
    <cellStyle name="Normal 4 6 2 4 2 2" xfId="7327" xr:uid="{00000000-0005-0000-0000-000042160000}"/>
    <cellStyle name="Normal 4 6 2 4 2 2 2" xfId="25057" xr:uid="{7A7B3866-573A-41B9-8DCA-825D663DF447}"/>
    <cellStyle name="Normal 4 6 2 4 2 2 3" xfId="15777" xr:uid="{32C5D5D2-ACF0-4CE4-B494-A726528E8BED}"/>
    <cellStyle name="Normal 4 6 2 4 2 3" xfId="20840" xr:uid="{E91A330B-58B2-4F03-9475-672746C7EDA2}"/>
    <cellStyle name="Normal 4 6 2 4 2 4" xfId="11559" xr:uid="{444CF4B3-0406-4729-9692-8D6CFE5522AE}"/>
    <cellStyle name="Normal 4 6 2 4 3" xfId="5182" xr:uid="{00000000-0005-0000-0000-000043160000}"/>
    <cellStyle name="Normal 4 6 2 4 3 2" xfId="22912" xr:uid="{37C37345-1A61-4A52-BB42-26CC53651496}"/>
    <cellStyle name="Normal 4 6 2 4 3 3" xfId="13632" xr:uid="{7AF05733-D155-48E7-A15F-D1CCC17D96BA}"/>
    <cellStyle name="Normal 4 6 2 4 4" xfId="18695" xr:uid="{2B18D80E-9602-4A44-A23D-557C5F17FF8B}"/>
    <cellStyle name="Normal 4 6 2 4 5" xfId="17867" xr:uid="{ED364510-F56E-4B40-A54A-AFCB11431ADC}"/>
    <cellStyle name="Normal 4 6 2 4 6" xfId="9414" xr:uid="{657BFF12-6FE3-4CBC-A7E3-34FA25A2111C}"/>
    <cellStyle name="Normal 4 6 2 5" xfId="1288" xr:uid="{00000000-0005-0000-0000-000044160000}"/>
    <cellStyle name="Normal 4 6 2 5 2" xfId="3518" xr:uid="{00000000-0005-0000-0000-000045160000}"/>
    <cellStyle name="Normal 4 6 2 5 2 2" xfId="7740" xr:uid="{00000000-0005-0000-0000-000046160000}"/>
    <cellStyle name="Normal 4 6 2 5 2 2 2" xfId="25470" xr:uid="{8697718E-40B7-4497-8E9D-AD3E79D7CBDC}"/>
    <cellStyle name="Normal 4 6 2 5 2 2 3" xfId="16190" xr:uid="{F1E397E9-83C0-4BD1-A8F2-CF82872F0FA2}"/>
    <cellStyle name="Normal 4 6 2 5 2 3" xfId="21253" xr:uid="{BD152860-1C8B-474E-9B62-929A038E2F22}"/>
    <cellStyle name="Normal 4 6 2 5 2 4" xfId="11972" xr:uid="{A50A16FD-958E-428A-A19D-867BF7246EC1}"/>
    <cellStyle name="Normal 4 6 2 5 3" xfId="5595" xr:uid="{00000000-0005-0000-0000-000047160000}"/>
    <cellStyle name="Normal 4 6 2 5 3 2" xfId="23325" xr:uid="{EC9FD3D2-CA6C-446A-BB29-881ED819E342}"/>
    <cellStyle name="Normal 4 6 2 5 3 3" xfId="14045" xr:uid="{355573BD-C27B-4FCB-8579-D1F913233CEA}"/>
    <cellStyle name="Normal 4 6 2 5 4" xfId="19108" xr:uid="{9E45F2F3-DBB0-41EE-B4FB-C060D9CFFE0F}"/>
    <cellStyle name="Normal 4 6 2 5 5" xfId="9827" xr:uid="{674B338F-930F-44C5-B861-EFDCD9CD9FF7}"/>
    <cellStyle name="Normal 4 6 2 6" xfId="1701" xr:uid="{00000000-0005-0000-0000-000048160000}"/>
    <cellStyle name="Normal 4 6 2 6 2" xfId="3931" xr:uid="{00000000-0005-0000-0000-000049160000}"/>
    <cellStyle name="Normal 4 6 2 6 2 2" xfId="8153" xr:uid="{00000000-0005-0000-0000-00004A160000}"/>
    <cellStyle name="Normal 4 6 2 6 2 2 2" xfId="25883" xr:uid="{90215EFD-6C85-40FE-B0EA-BCBD51D33032}"/>
    <cellStyle name="Normal 4 6 2 6 2 2 3" xfId="16603" xr:uid="{20CF3F08-E38B-4BE1-80B5-3C805D372B5C}"/>
    <cellStyle name="Normal 4 6 2 6 2 3" xfId="21666" xr:uid="{4AE24FD3-0DC7-4C66-8ECA-A4A691AFAA01}"/>
    <cellStyle name="Normal 4 6 2 6 2 4" xfId="12385" xr:uid="{14EC3D56-5FDD-45EE-9678-3720F9D5E65E}"/>
    <cellStyle name="Normal 4 6 2 6 3" xfId="6008" xr:uid="{00000000-0005-0000-0000-00004B160000}"/>
    <cellStyle name="Normal 4 6 2 6 3 2" xfId="23738" xr:uid="{7A4F343E-A2F7-4D03-BCF1-8C1FB32893E5}"/>
    <cellStyle name="Normal 4 6 2 6 3 3" xfId="14458" xr:uid="{B4530311-4A98-49D8-88F0-1517A7400E4B}"/>
    <cellStyle name="Normal 4 6 2 6 4" xfId="19521" xr:uid="{81D9E7C7-7016-47C8-BC86-5E032088BF28}"/>
    <cellStyle name="Normal 4 6 2 6 5" xfId="10240" xr:uid="{00BD7AC1-86A0-43F1-8373-8A323FCD6E52}"/>
    <cellStyle name="Normal 4 6 2 7" xfId="2115" xr:uid="{00000000-0005-0000-0000-00004C160000}"/>
    <cellStyle name="Normal 4 6 2 7 2" xfId="4344" xr:uid="{00000000-0005-0000-0000-00004D160000}"/>
    <cellStyle name="Normal 4 6 2 7 2 2" xfId="8566" xr:uid="{00000000-0005-0000-0000-00004E160000}"/>
    <cellStyle name="Normal 4 6 2 7 2 2 2" xfId="26296" xr:uid="{E2B562D0-9919-4287-855F-2996C915AFA8}"/>
    <cellStyle name="Normal 4 6 2 7 2 2 3" xfId="17016" xr:uid="{EBF50581-6EAE-4E57-9525-E163CF4758D7}"/>
    <cellStyle name="Normal 4 6 2 7 2 3" xfId="22079" xr:uid="{5D0499F7-ADD5-4CED-9309-EB78ED5F84F2}"/>
    <cellStyle name="Normal 4 6 2 7 2 4" xfId="12798" xr:uid="{3FD83150-4827-4DFE-88A8-0F4618D4E33F}"/>
    <cellStyle name="Normal 4 6 2 7 3" xfId="6421" xr:uid="{00000000-0005-0000-0000-00004F160000}"/>
    <cellStyle name="Normal 4 6 2 7 3 2" xfId="24151" xr:uid="{50A870F2-AA0C-4E7F-826B-0CB078A888C2}"/>
    <cellStyle name="Normal 4 6 2 7 3 3" xfId="14871" xr:uid="{77D1E9B5-F05E-4F17-9A44-9794C97470CC}"/>
    <cellStyle name="Normal 4 6 2 7 4" xfId="19934" xr:uid="{217BA712-948C-43D1-8E86-8D01778DD65B}"/>
    <cellStyle name="Normal 4 6 2 7 5" xfId="10653" xr:uid="{EE906CE4-6551-489F-B673-05B3DC48C041}"/>
    <cellStyle name="Normal 4 6 2 8" xfId="2551" xr:uid="{00000000-0005-0000-0000-000050160000}"/>
    <cellStyle name="Normal 4 6 2 8 2" xfId="6834" xr:uid="{00000000-0005-0000-0000-000051160000}"/>
    <cellStyle name="Normal 4 6 2 8 2 2" xfId="24564" xr:uid="{4FCA406C-6AFA-44D7-9CB7-18D5CD3E8736}"/>
    <cellStyle name="Normal 4 6 2 8 2 3" xfId="15284" xr:uid="{6ABDDFAE-8994-477A-A030-9E19394A119C}"/>
    <cellStyle name="Normal 4 6 2 8 3" xfId="20347" xr:uid="{3D238DA8-7F33-4C7C-8B0D-5DFC5915D6E2}"/>
    <cellStyle name="Normal 4 6 2 8 4" xfId="11066" xr:uid="{C85A9BB5-B023-4809-90A0-9288A5C3D293}"/>
    <cellStyle name="Normal 4 6 2 9" xfId="4769" xr:uid="{00000000-0005-0000-0000-000052160000}"/>
    <cellStyle name="Normal 4 6 2 9 2" xfId="22499" xr:uid="{598AACAA-C8A8-4122-8E43-211CEC3A589E}"/>
    <cellStyle name="Normal 4 6 2 9 3" xfId="13219" xr:uid="{3F008115-A84E-4ADE-831F-1C5DB5748302}"/>
    <cellStyle name="Normal 4 6 3" xfId="400" xr:uid="{00000000-0005-0000-0000-000053160000}"/>
    <cellStyle name="Normal 4 6 3 10" xfId="17452" xr:uid="{81A7E1D2-FB21-4DE1-B5E6-FCB5A6048607}"/>
    <cellStyle name="Normal 4 6 3 11" xfId="9005" xr:uid="{7D6073DB-83D0-4FE8-9A76-352FBF456755}"/>
    <cellStyle name="Normal 4 6 3 2" xfId="401" xr:uid="{00000000-0005-0000-0000-000054160000}"/>
    <cellStyle name="Normal 4 6 3 2 10" xfId="9006" xr:uid="{9006C29F-386E-46F7-8E1C-D565E7E33C37}"/>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25062" xr:uid="{72EA99E9-4E92-437F-BF87-331390CA949D}"/>
    <cellStyle name="Normal 4 6 3 2 2 2 2 3" xfId="15782" xr:uid="{FE00D5D1-599E-41C0-A629-AF9B87DC9EE9}"/>
    <cellStyle name="Normal 4 6 3 2 2 2 3" xfId="20845" xr:uid="{1E41CB16-0012-430B-AC31-76A0D8A5413D}"/>
    <cellStyle name="Normal 4 6 3 2 2 2 4" xfId="11564" xr:uid="{99BD70D2-00AF-4102-BC8C-EE00FF47EEBE}"/>
    <cellStyle name="Normal 4 6 3 2 2 3" xfId="5187" xr:uid="{00000000-0005-0000-0000-000058160000}"/>
    <cellStyle name="Normal 4 6 3 2 2 3 2" xfId="22917" xr:uid="{606493EC-AE89-4B9E-9BDD-B72A657A6DAE}"/>
    <cellStyle name="Normal 4 6 3 2 2 3 3" xfId="13637" xr:uid="{0C461E4F-3217-46FB-A52A-FA2301C54206}"/>
    <cellStyle name="Normal 4 6 3 2 2 4" xfId="18700" xr:uid="{75404C96-7D30-4E68-A1AD-E88405A01EF7}"/>
    <cellStyle name="Normal 4 6 3 2 2 5" xfId="17872" xr:uid="{9DDEC082-96D6-4C96-8BD0-5376DDCA0F59}"/>
    <cellStyle name="Normal 4 6 3 2 2 6" xfId="9419" xr:uid="{945FA741-3F63-4B48-9D0A-62D4F692DB81}"/>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25475" xr:uid="{89706CBC-68F8-4B72-9BCC-FE484F710961}"/>
    <cellStyle name="Normal 4 6 3 2 3 2 2 3" xfId="16195" xr:uid="{A91401A3-6F51-4E2F-83B8-2E194D916AA2}"/>
    <cellStyle name="Normal 4 6 3 2 3 2 3" xfId="21258" xr:uid="{4796F2E6-4A4F-4D57-812A-53A7B4F3034A}"/>
    <cellStyle name="Normal 4 6 3 2 3 2 4" xfId="11977" xr:uid="{19F89C72-5045-4BA4-AE32-96C81C99524F}"/>
    <cellStyle name="Normal 4 6 3 2 3 3" xfId="5600" xr:uid="{00000000-0005-0000-0000-00005C160000}"/>
    <cellStyle name="Normal 4 6 3 2 3 3 2" xfId="23330" xr:uid="{1865AA4D-8E4D-4BFA-8F99-2312CDF92E41}"/>
    <cellStyle name="Normal 4 6 3 2 3 3 3" xfId="14050" xr:uid="{58023933-A1ED-4C6F-9F3C-223E61CABD2C}"/>
    <cellStyle name="Normal 4 6 3 2 3 4" xfId="19113" xr:uid="{E575D495-64A4-4698-A761-D8F85DFFD752}"/>
    <cellStyle name="Normal 4 6 3 2 3 5" xfId="9832" xr:uid="{A20BDFAD-23AE-41E6-BA83-C415524C8817}"/>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25888" xr:uid="{3B2E837E-3C19-4461-BDB8-5E6AF63ACDD9}"/>
    <cellStyle name="Normal 4 6 3 2 4 2 2 3" xfId="16608" xr:uid="{068B1F0B-D4F9-40DE-984F-819C7DD1801F}"/>
    <cellStyle name="Normal 4 6 3 2 4 2 3" xfId="21671" xr:uid="{508B18D0-B307-496E-B585-B3EF846878C5}"/>
    <cellStyle name="Normal 4 6 3 2 4 2 4" xfId="12390" xr:uid="{A2C6685F-4EA6-4CB1-A6EA-624FCCC36EDD}"/>
    <cellStyle name="Normal 4 6 3 2 4 3" xfId="6013" xr:uid="{00000000-0005-0000-0000-000060160000}"/>
    <cellStyle name="Normal 4 6 3 2 4 3 2" xfId="23743" xr:uid="{8E4A4DD1-9C0C-4EED-A75A-CF64AA87B540}"/>
    <cellStyle name="Normal 4 6 3 2 4 3 3" xfId="14463" xr:uid="{86E09701-564B-4CB8-ADF7-ECCA5BEEFA4E}"/>
    <cellStyle name="Normal 4 6 3 2 4 4" xfId="19526" xr:uid="{165B7550-6F42-40E7-8211-7AA21CBDAD6D}"/>
    <cellStyle name="Normal 4 6 3 2 4 5" xfId="10245" xr:uid="{FFAA1A3A-395F-4A23-8C03-238D8FA64BBE}"/>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26301" xr:uid="{4B6BDE1B-2B29-4D77-86AC-6A550030BFE0}"/>
    <cellStyle name="Normal 4 6 3 2 5 2 2 3" xfId="17021" xr:uid="{11B106A2-D807-42DD-BC6C-EFFDBC824A1E}"/>
    <cellStyle name="Normal 4 6 3 2 5 2 3" xfId="22084" xr:uid="{02B84E9D-B7AD-4163-B434-55D8931FCED7}"/>
    <cellStyle name="Normal 4 6 3 2 5 2 4" xfId="12803" xr:uid="{57871E02-26B5-4AB3-AE30-DEAEE24A73A7}"/>
    <cellStyle name="Normal 4 6 3 2 5 3" xfId="6426" xr:uid="{00000000-0005-0000-0000-000064160000}"/>
    <cellStyle name="Normal 4 6 3 2 5 3 2" xfId="24156" xr:uid="{988F67AD-E3F1-4CA3-A81C-26BA0924C539}"/>
    <cellStyle name="Normal 4 6 3 2 5 3 3" xfId="14876" xr:uid="{ECD5EC98-9F59-438C-93BB-CE348A63EE03}"/>
    <cellStyle name="Normal 4 6 3 2 5 4" xfId="19939" xr:uid="{4342DE9E-4E25-4D3C-A9E8-13F1C78B921E}"/>
    <cellStyle name="Normal 4 6 3 2 5 5" xfId="10658" xr:uid="{719E064A-2864-4B85-853C-54332E706566}"/>
    <cellStyle name="Normal 4 6 3 2 6" xfId="2556" xr:uid="{00000000-0005-0000-0000-000065160000}"/>
    <cellStyle name="Normal 4 6 3 2 6 2" xfId="6839" xr:uid="{00000000-0005-0000-0000-000066160000}"/>
    <cellStyle name="Normal 4 6 3 2 6 2 2" xfId="24569" xr:uid="{C3A9AD72-ECCF-484B-9584-45B76CB95D08}"/>
    <cellStyle name="Normal 4 6 3 2 6 2 3" xfId="15289" xr:uid="{7684B8B0-EA97-4BE1-8A22-979CA70622D5}"/>
    <cellStyle name="Normal 4 6 3 2 6 3" xfId="20352" xr:uid="{11D1BBF2-2555-4159-8724-63E3FBCFFCB6}"/>
    <cellStyle name="Normal 4 6 3 2 6 4" xfId="11071" xr:uid="{D37DD0CF-71FD-427D-ADC5-2ABE65EA3BDF}"/>
    <cellStyle name="Normal 4 6 3 2 7" xfId="4774" xr:uid="{00000000-0005-0000-0000-000067160000}"/>
    <cellStyle name="Normal 4 6 3 2 7 2" xfId="22504" xr:uid="{A22F2925-9B00-4C76-8EE9-EA7DBE552C19}"/>
    <cellStyle name="Normal 4 6 3 2 7 3" xfId="13224" xr:uid="{63C1749C-76CB-4D1D-B8F8-6EFEB4D1A412}"/>
    <cellStyle name="Normal 4 6 3 2 8" xfId="18287" xr:uid="{051024A6-50EA-470E-AB8B-720733F2B825}"/>
    <cellStyle name="Normal 4 6 3 2 9" xfId="17453" xr:uid="{336CAA8D-4BE3-4E3A-BE2C-EDB830EA2413}"/>
    <cellStyle name="Normal 4 6 3 3" xfId="874" xr:uid="{00000000-0005-0000-0000-000068160000}"/>
    <cellStyle name="Normal 4 6 3 3 2" xfId="3109" xr:uid="{00000000-0005-0000-0000-000069160000}"/>
    <cellStyle name="Normal 4 6 3 3 2 2" xfId="7331" xr:uid="{00000000-0005-0000-0000-00006A160000}"/>
    <cellStyle name="Normal 4 6 3 3 2 2 2" xfId="25061" xr:uid="{67A8683D-B653-4465-BF30-A88C85BCD158}"/>
    <cellStyle name="Normal 4 6 3 3 2 2 3" xfId="15781" xr:uid="{B0509361-9E96-44D2-A949-0853BA8969D3}"/>
    <cellStyle name="Normal 4 6 3 3 2 3" xfId="20844" xr:uid="{5FF92637-3993-4861-BEDB-E35E0CAF41AC}"/>
    <cellStyle name="Normal 4 6 3 3 2 4" xfId="11563" xr:uid="{48D43253-C27F-4C36-8830-06E2983579B3}"/>
    <cellStyle name="Normal 4 6 3 3 3" xfId="5186" xr:uid="{00000000-0005-0000-0000-00006B160000}"/>
    <cellStyle name="Normal 4 6 3 3 3 2" xfId="22916" xr:uid="{F99A42CD-E016-45D3-ACA6-A3E450EC95EA}"/>
    <cellStyle name="Normal 4 6 3 3 3 3" xfId="13636" xr:uid="{239868E6-F91C-4B23-9B12-2324CF28C47B}"/>
    <cellStyle name="Normal 4 6 3 3 4" xfId="18699" xr:uid="{FE6C5E40-BDEC-48DB-A19F-32B98C30F02E}"/>
    <cellStyle name="Normal 4 6 3 3 5" xfId="17871" xr:uid="{0A884797-DCF6-407A-86D3-3F1B92CBBFBE}"/>
    <cellStyle name="Normal 4 6 3 3 6" xfId="9418" xr:uid="{936683E5-6496-4D15-AF51-7CF894B67B8C}"/>
    <cellStyle name="Normal 4 6 3 4" xfId="1292" xr:uid="{00000000-0005-0000-0000-00006C160000}"/>
    <cellStyle name="Normal 4 6 3 4 2" xfId="3522" xr:uid="{00000000-0005-0000-0000-00006D160000}"/>
    <cellStyle name="Normal 4 6 3 4 2 2" xfId="7744" xr:uid="{00000000-0005-0000-0000-00006E160000}"/>
    <cellStyle name="Normal 4 6 3 4 2 2 2" xfId="25474" xr:uid="{23D4DFC7-BC8C-4384-ABEE-D92B1DA9429E}"/>
    <cellStyle name="Normal 4 6 3 4 2 2 3" xfId="16194" xr:uid="{B27AA8DA-749B-4DB7-8947-9E40AD9CB5BB}"/>
    <cellStyle name="Normal 4 6 3 4 2 3" xfId="21257" xr:uid="{547CF4EF-B118-4C29-BD4A-C91316F21C09}"/>
    <cellStyle name="Normal 4 6 3 4 2 4" xfId="11976" xr:uid="{C00F7EB8-0344-4AC2-BAD7-FE6F31B591D4}"/>
    <cellStyle name="Normal 4 6 3 4 3" xfId="5599" xr:uid="{00000000-0005-0000-0000-00006F160000}"/>
    <cellStyle name="Normal 4 6 3 4 3 2" xfId="23329" xr:uid="{849383AB-96B3-44ED-807C-D02AB1B7807D}"/>
    <cellStyle name="Normal 4 6 3 4 3 3" xfId="14049" xr:uid="{30C121E6-6830-4499-8B73-35547DCC9F3D}"/>
    <cellStyle name="Normal 4 6 3 4 4" xfId="19112" xr:uid="{AA75A698-49B8-4D9A-B59C-530F72CA656A}"/>
    <cellStyle name="Normal 4 6 3 4 5" xfId="9831" xr:uid="{A357CF90-28DD-42DF-9CA4-845D430FB74D}"/>
    <cellStyle name="Normal 4 6 3 5" xfId="1705" xr:uid="{00000000-0005-0000-0000-000070160000}"/>
    <cellStyle name="Normal 4 6 3 5 2" xfId="3935" xr:uid="{00000000-0005-0000-0000-000071160000}"/>
    <cellStyle name="Normal 4 6 3 5 2 2" xfId="8157" xr:uid="{00000000-0005-0000-0000-000072160000}"/>
    <cellStyle name="Normal 4 6 3 5 2 2 2" xfId="25887" xr:uid="{E85B0D1E-5AB0-4DB9-9D7D-5DA9A752B053}"/>
    <cellStyle name="Normal 4 6 3 5 2 2 3" xfId="16607" xr:uid="{0D6CAD55-6A32-4EFA-B14C-758911127360}"/>
    <cellStyle name="Normal 4 6 3 5 2 3" xfId="21670" xr:uid="{13A8E7AE-78F2-4DC8-8864-ABDA4E48980B}"/>
    <cellStyle name="Normal 4 6 3 5 2 4" xfId="12389" xr:uid="{B5D6D568-974C-46D8-9158-9026932ADF77}"/>
    <cellStyle name="Normal 4 6 3 5 3" xfId="6012" xr:uid="{00000000-0005-0000-0000-000073160000}"/>
    <cellStyle name="Normal 4 6 3 5 3 2" xfId="23742" xr:uid="{71943E1D-DA4A-4B1D-A21F-8FF4C4F71C7E}"/>
    <cellStyle name="Normal 4 6 3 5 3 3" xfId="14462" xr:uid="{44F1EB79-3CC6-4948-8709-011C624CB6A3}"/>
    <cellStyle name="Normal 4 6 3 5 4" xfId="19525" xr:uid="{793A067B-8CA9-4722-8FF2-982252F98454}"/>
    <cellStyle name="Normal 4 6 3 5 5" xfId="10244" xr:uid="{3F5DE8FF-B91D-4880-9A9A-F5906827D21F}"/>
    <cellStyle name="Normal 4 6 3 6" xfId="2119" xr:uid="{00000000-0005-0000-0000-000074160000}"/>
    <cellStyle name="Normal 4 6 3 6 2" xfId="4348" xr:uid="{00000000-0005-0000-0000-000075160000}"/>
    <cellStyle name="Normal 4 6 3 6 2 2" xfId="8570" xr:uid="{00000000-0005-0000-0000-000076160000}"/>
    <cellStyle name="Normal 4 6 3 6 2 2 2" xfId="26300" xr:uid="{6F9C5C2A-ABAB-485F-B4F5-5A7B9B41D1C2}"/>
    <cellStyle name="Normal 4 6 3 6 2 2 3" xfId="17020" xr:uid="{BDEAC04B-D0F1-4A45-9A56-0BFEB20C3743}"/>
    <cellStyle name="Normal 4 6 3 6 2 3" xfId="22083" xr:uid="{4DC78DAF-EA56-401F-9BD2-74708FC6C09F}"/>
    <cellStyle name="Normal 4 6 3 6 2 4" xfId="12802" xr:uid="{A4A3973C-A714-43E3-84DC-466693906BB5}"/>
    <cellStyle name="Normal 4 6 3 6 3" xfId="6425" xr:uid="{00000000-0005-0000-0000-000077160000}"/>
    <cellStyle name="Normal 4 6 3 6 3 2" xfId="24155" xr:uid="{B79CC988-DE82-4F83-9098-94939897A7FC}"/>
    <cellStyle name="Normal 4 6 3 6 3 3" xfId="14875" xr:uid="{1D352610-FB44-4A4A-927F-8C2B390121D1}"/>
    <cellStyle name="Normal 4 6 3 6 4" xfId="19938" xr:uid="{59ACAEB7-BE63-4EE7-B502-B0BABDB79DEF}"/>
    <cellStyle name="Normal 4 6 3 6 5" xfId="10657" xr:uid="{59384F29-D16D-4C22-B125-07A9F7BB61E9}"/>
    <cellStyle name="Normal 4 6 3 7" xfId="2555" xr:uid="{00000000-0005-0000-0000-000078160000}"/>
    <cellStyle name="Normal 4 6 3 7 2" xfId="6838" xr:uid="{00000000-0005-0000-0000-000079160000}"/>
    <cellStyle name="Normal 4 6 3 7 2 2" xfId="24568" xr:uid="{0D6C08C1-A196-4DBB-830C-A851AB233E49}"/>
    <cellStyle name="Normal 4 6 3 7 2 3" xfId="15288" xr:uid="{AF89A149-C75B-4760-AF4A-D9B7BD6798BC}"/>
    <cellStyle name="Normal 4 6 3 7 3" xfId="20351" xr:uid="{7E0D74E5-7D37-4D39-98D8-BB2B5E140377}"/>
    <cellStyle name="Normal 4 6 3 7 4" xfId="11070" xr:uid="{E5474A47-FE7C-405F-93D9-538D2A6D229F}"/>
    <cellStyle name="Normal 4 6 3 8" xfId="4773" xr:uid="{00000000-0005-0000-0000-00007A160000}"/>
    <cellStyle name="Normal 4 6 3 8 2" xfId="22503" xr:uid="{854C3925-6A1E-4178-846B-458741BC758D}"/>
    <cellStyle name="Normal 4 6 3 8 3" xfId="13223" xr:uid="{7CDB16AA-A478-4CD6-8734-C55763375DEB}"/>
    <cellStyle name="Normal 4 6 3 9" xfId="18286" xr:uid="{A665FA28-41EB-440E-8065-B10E5C6816CC}"/>
    <cellStyle name="Normal 4 6 4" xfId="402" xr:uid="{00000000-0005-0000-0000-00007B160000}"/>
    <cellStyle name="Normal 4 6 4 10" xfId="9007" xr:uid="{DD2B07ED-7E53-473D-9FB5-EA9770B11072}"/>
    <cellStyle name="Normal 4 6 4 2" xfId="876" xr:uid="{00000000-0005-0000-0000-00007C160000}"/>
    <cellStyle name="Normal 4 6 4 2 2" xfId="3111" xr:uid="{00000000-0005-0000-0000-00007D160000}"/>
    <cellStyle name="Normal 4 6 4 2 2 2" xfId="7333" xr:uid="{00000000-0005-0000-0000-00007E160000}"/>
    <cellStyle name="Normal 4 6 4 2 2 2 2" xfId="25063" xr:uid="{431D8FE9-C715-473B-A025-402DC899B639}"/>
    <cellStyle name="Normal 4 6 4 2 2 2 3" xfId="15783" xr:uid="{DD7014DC-B2F1-4C5D-9ADF-F3AFC1631117}"/>
    <cellStyle name="Normal 4 6 4 2 2 3" xfId="20846" xr:uid="{422C414B-4EBC-4A04-BF76-5A405C7D6FBF}"/>
    <cellStyle name="Normal 4 6 4 2 2 4" xfId="11565" xr:uid="{406005A8-0A84-4AD3-BA57-B47C194C28B1}"/>
    <cellStyle name="Normal 4 6 4 2 3" xfId="5188" xr:uid="{00000000-0005-0000-0000-00007F160000}"/>
    <cellStyle name="Normal 4 6 4 2 3 2" xfId="22918" xr:uid="{2FA671D8-702B-4B22-87BC-E05F739AF762}"/>
    <cellStyle name="Normal 4 6 4 2 3 3" xfId="13638" xr:uid="{A1C29F57-49BD-4F46-8CE4-65722D4BE68C}"/>
    <cellStyle name="Normal 4 6 4 2 4" xfId="18701" xr:uid="{93944A9E-927D-40A3-90FC-10C6C4339D14}"/>
    <cellStyle name="Normal 4 6 4 2 5" xfId="17873" xr:uid="{208255ED-130F-44C8-B75F-FCDE45400A3D}"/>
    <cellStyle name="Normal 4 6 4 2 6" xfId="9420" xr:uid="{519004EC-D573-4B2F-BCB7-1CE4201ACE92}"/>
    <cellStyle name="Normal 4 6 4 3" xfId="1294" xr:uid="{00000000-0005-0000-0000-000080160000}"/>
    <cellStyle name="Normal 4 6 4 3 2" xfId="3524" xr:uid="{00000000-0005-0000-0000-000081160000}"/>
    <cellStyle name="Normal 4 6 4 3 2 2" xfId="7746" xr:uid="{00000000-0005-0000-0000-000082160000}"/>
    <cellStyle name="Normal 4 6 4 3 2 2 2" xfId="25476" xr:uid="{B6F36BED-8129-402A-8705-C5FE8831460D}"/>
    <cellStyle name="Normal 4 6 4 3 2 2 3" xfId="16196" xr:uid="{7DA2BF68-1BE2-48E5-BCFD-869D90D1A3C4}"/>
    <cellStyle name="Normal 4 6 4 3 2 3" xfId="21259" xr:uid="{206176D8-AE0F-4BA9-BACD-B5FA3C8AF481}"/>
    <cellStyle name="Normal 4 6 4 3 2 4" xfId="11978" xr:uid="{3EE4582F-843B-4F76-8134-E355E4A3E5F7}"/>
    <cellStyle name="Normal 4 6 4 3 3" xfId="5601" xr:uid="{00000000-0005-0000-0000-000083160000}"/>
    <cellStyle name="Normal 4 6 4 3 3 2" xfId="23331" xr:uid="{FB2BE55B-E026-4218-93B3-060E9A6206E7}"/>
    <cellStyle name="Normal 4 6 4 3 3 3" xfId="14051" xr:uid="{6A3C4936-1175-4772-B0C1-ED4C89FF3CB0}"/>
    <cellStyle name="Normal 4 6 4 3 4" xfId="19114" xr:uid="{0392D041-4991-4942-AF02-E8952DEFAC82}"/>
    <cellStyle name="Normal 4 6 4 3 5" xfId="9833" xr:uid="{483310BC-2128-4087-B56D-A3797B669B1A}"/>
    <cellStyle name="Normal 4 6 4 4" xfId="1707" xr:uid="{00000000-0005-0000-0000-000084160000}"/>
    <cellStyle name="Normal 4 6 4 4 2" xfId="3937" xr:uid="{00000000-0005-0000-0000-000085160000}"/>
    <cellStyle name="Normal 4 6 4 4 2 2" xfId="8159" xr:uid="{00000000-0005-0000-0000-000086160000}"/>
    <cellStyle name="Normal 4 6 4 4 2 2 2" xfId="25889" xr:uid="{801D8136-A42B-4594-A5BE-149F9CC4E0A4}"/>
    <cellStyle name="Normal 4 6 4 4 2 2 3" xfId="16609" xr:uid="{50CAA668-1B27-4889-A96F-1BBB89BD16DE}"/>
    <cellStyle name="Normal 4 6 4 4 2 3" xfId="21672" xr:uid="{DDA80CCE-B0EF-466C-8515-C74C333DF615}"/>
    <cellStyle name="Normal 4 6 4 4 2 4" xfId="12391" xr:uid="{60101844-76D4-441F-8A7A-D892416312B1}"/>
    <cellStyle name="Normal 4 6 4 4 3" xfId="6014" xr:uid="{00000000-0005-0000-0000-000087160000}"/>
    <cellStyle name="Normal 4 6 4 4 3 2" xfId="23744" xr:uid="{B3F9C8B8-4279-4648-984C-DB0FA98C2F33}"/>
    <cellStyle name="Normal 4 6 4 4 3 3" xfId="14464" xr:uid="{1F0F92A4-733C-40F1-A856-2CE1EEEDC2F2}"/>
    <cellStyle name="Normal 4 6 4 4 4" xfId="19527" xr:uid="{91B5CC87-0DCB-4F5E-9101-472C3FC64128}"/>
    <cellStyle name="Normal 4 6 4 4 5" xfId="10246" xr:uid="{5CA185FF-F191-4CBB-A697-9B898C886300}"/>
    <cellStyle name="Normal 4 6 4 5" xfId="2121" xr:uid="{00000000-0005-0000-0000-000088160000}"/>
    <cellStyle name="Normal 4 6 4 5 2" xfId="4350" xr:uid="{00000000-0005-0000-0000-000089160000}"/>
    <cellStyle name="Normal 4 6 4 5 2 2" xfId="8572" xr:uid="{00000000-0005-0000-0000-00008A160000}"/>
    <cellStyle name="Normal 4 6 4 5 2 2 2" xfId="26302" xr:uid="{35BD75FF-2AFF-41D1-A1EE-CA3FAD4B51CB}"/>
    <cellStyle name="Normal 4 6 4 5 2 2 3" xfId="17022" xr:uid="{12604C2C-3A95-4782-BBCD-041382DE42D3}"/>
    <cellStyle name="Normal 4 6 4 5 2 3" xfId="22085" xr:uid="{5F47D37C-E02D-4C66-B9E3-45AD5A6F8EA6}"/>
    <cellStyle name="Normal 4 6 4 5 2 4" xfId="12804" xr:uid="{8A3AA120-FB06-4E90-8012-8552C3AE607F}"/>
    <cellStyle name="Normal 4 6 4 5 3" xfId="6427" xr:uid="{00000000-0005-0000-0000-00008B160000}"/>
    <cellStyle name="Normal 4 6 4 5 3 2" xfId="24157" xr:uid="{93ACF282-BBEB-49F9-8710-6F43E97683B1}"/>
    <cellStyle name="Normal 4 6 4 5 3 3" xfId="14877" xr:uid="{F56CF920-08F6-469D-A29C-013178EF7783}"/>
    <cellStyle name="Normal 4 6 4 5 4" xfId="19940" xr:uid="{923124F8-87AD-4799-80AD-A0B104B6E28F}"/>
    <cellStyle name="Normal 4 6 4 5 5" xfId="10659" xr:uid="{DD7BEE58-F929-43D8-B0FE-21941F50401F}"/>
    <cellStyle name="Normal 4 6 4 6" xfId="2557" xr:uid="{00000000-0005-0000-0000-00008C160000}"/>
    <cellStyle name="Normal 4 6 4 6 2" xfId="6840" xr:uid="{00000000-0005-0000-0000-00008D160000}"/>
    <cellStyle name="Normal 4 6 4 6 2 2" xfId="24570" xr:uid="{3402E725-6CA5-4100-9550-7F948A0BA6D7}"/>
    <cellStyle name="Normal 4 6 4 6 2 3" xfId="15290" xr:uid="{C88A50E4-F0CA-40D7-9A6B-3058822F0C07}"/>
    <cellStyle name="Normal 4 6 4 6 3" xfId="20353" xr:uid="{2B136990-91C3-4F67-B114-C87D3AAB1B8A}"/>
    <cellStyle name="Normal 4 6 4 6 4" xfId="11072" xr:uid="{90EC2707-0DEE-4864-8F8C-5259EB470342}"/>
    <cellStyle name="Normal 4 6 4 7" xfId="4775" xr:uid="{00000000-0005-0000-0000-00008E160000}"/>
    <cellStyle name="Normal 4 6 4 7 2" xfId="22505" xr:uid="{9FE5450F-0FB9-44EA-8DF5-1E0A00978B23}"/>
    <cellStyle name="Normal 4 6 4 7 3" xfId="13225" xr:uid="{FAA90C96-1076-4391-B6CC-56C07B958008}"/>
    <cellStyle name="Normal 4 6 4 8" xfId="18288" xr:uid="{3886428D-183A-4C4D-8695-8C34B9B37CE4}"/>
    <cellStyle name="Normal 4 6 4 9" xfId="17454" xr:uid="{60139F39-4A72-410C-9E8A-247D1A14403E}"/>
    <cellStyle name="Normal 4 6 5" xfId="869" xr:uid="{00000000-0005-0000-0000-00008F160000}"/>
    <cellStyle name="Normal 4 6 5 2" xfId="3104" xr:uid="{00000000-0005-0000-0000-000090160000}"/>
    <cellStyle name="Normal 4 6 5 2 2" xfId="7326" xr:uid="{00000000-0005-0000-0000-000091160000}"/>
    <cellStyle name="Normal 4 6 5 2 2 2" xfId="25056" xr:uid="{BDF32750-E4D5-4673-A69D-08B28743087C}"/>
    <cellStyle name="Normal 4 6 5 2 2 3" xfId="15776" xr:uid="{49510BC8-7770-4E9A-9368-F3630F533486}"/>
    <cellStyle name="Normal 4 6 5 2 3" xfId="20839" xr:uid="{05BCED64-1480-4DF2-BF88-22441D2C0A1C}"/>
    <cellStyle name="Normal 4 6 5 2 4" xfId="11558" xr:uid="{6A7C4056-8ABC-4BF7-881D-BE627CFB8D32}"/>
    <cellStyle name="Normal 4 6 5 3" xfId="5181" xr:uid="{00000000-0005-0000-0000-000092160000}"/>
    <cellStyle name="Normal 4 6 5 3 2" xfId="22911" xr:uid="{91907B8C-99B4-4945-AB66-01E05E663FAE}"/>
    <cellStyle name="Normal 4 6 5 3 3" xfId="13631" xr:uid="{0261C2D5-8FEB-44C6-BE17-09DE608DFA97}"/>
    <cellStyle name="Normal 4 6 5 4" xfId="18694" xr:uid="{8CD2881E-6088-468C-9D4F-973C7872E944}"/>
    <cellStyle name="Normal 4 6 5 5" xfId="17866" xr:uid="{0E425BCA-ED19-4F58-9168-B6C906E7A7B4}"/>
    <cellStyle name="Normal 4 6 5 6" xfId="9413" xr:uid="{1935DE83-3296-40F4-8445-82E031C5362C}"/>
    <cellStyle name="Normal 4 6 6" xfId="1287" xr:uid="{00000000-0005-0000-0000-000093160000}"/>
    <cellStyle name="Normal 4 6 6 2" xfId="3517" xr:uid="{00000000-0005-0000-0000-000094160000}"/>
    <cellStyle name="Normal 4 6 6 2 2" xfId="7739" xr:uid="{00000000-0005-0000-0000-000095160000}"/>
    <cellStyle name="Normal 4 6 6 2 2 2" xfId="25469" xr:uid="{1F6ED600-B7E5-48F7-86B7-97437A1659E7}"/>
    <cellStyle name="Normal 4 6 6 2 2 3" xfId="16189" xr:uid="{C08906CD-E4E1-4590-8504-251349AE7259}"/>
    <cellStyle name="Normal 4 6 6 2 3" xfId="21252" xr:uid="{86F82860-A4E5-4768-9B3C-8B4B05BC354C}"/>
    <cellStyle name="Normal 4 6 6 2 4" xfId="11971" xr:uid="{6510C369-5181-48EA-B494-B0CC9FC11230}"/>
    <cellStyle name="Normal 4 6 6 3" xfId="5594" xr:uid="{00000000-0005-0000-0000-000096160000}"/>
    <cellStyle name="Normal 4 6 6 3 2" xfId="23324" xr:uid="{9B566C56-EA79-4F3F-A9CD-4FEC90C80168}"/>
    <cellStyle name="Normal 4 6 6 3 3" xfId="14044" xr:uid="{6F30CF04-6E44-4228-A9DA-7A67F019B61F}"/>
    <cellStyle name="Normal 4 6 6 4" xfId="19107" xr:uid="{9CE5A213-A37B-4D3A-8AA0-7C6977A084A5}"/>
    <cellStyle name="Normal 4 6 6 5" xfId="9826" xr:uid="{27CD0994-8301-48EA-A4F2-FC1613AB8EE6}"/>
    <cellStyle name="Normal 4 6 7" xfId="1700" xr:uid="{00000000-0005-0000-0000-000097160000}"/>
    <cellStyle name="Normal 4 6 7 2" xfId="3930" xr:uid="{00000000-0005-0000-0000-000098160000}"/>
    <cellStyle name="Normal 4 6 7 2 2" xfId="8152" xr:uid="{00000000-0005-0000-0000-000099160000}"/>
    <cellStyle name="Normal 4 6 7 2 2 2" xfId="25882" xr:uid="{D6364F15-1768-4996-9F4B-AF7DCCE5C4BF}"/>
    <cellStyle name="Normal 4 6 7 2 2 3" xfId="16602" xr:uid="{43D177D6-564F-400D-BD60-BA9E5CA3647C}"/>
    <cellStyle name="Normal 4 6 7 2 3" xfId="21665" xr:uid="{299964C2-0B1C-4060-AA8A-5CCA28F3371A}"/>
    <cellStyle name="Normal 4 6 7 2 4" xfId="12384" xr:uid="{2FFBE874-E436-4ED7-83E4-2E95CA1E6D06}"/>
    <cellStyle name="Normal 4 6 7 3" xfId="6007" xr:uid="{00000000-0005-0000-0000-00009A160000}"/>
    <cellStyle name="Normal 4 6 7 3 2" xfId="23737" xr:uid="{8445E95B-0E11-4645-834D-382A6EA7B2A9}"/>
    <cellStyle name="Normal 4 6 7 3 3" xfId="14457" xr:uid="{F321CBEC-60DE-4224-84D7-694B8C5E6B4C}"/>
    <cellStyle name="Normal 4 6 7 4" xfId="19520" xr:uid="{AE39905E-2632-4FE0-B089-1B5BBE290477}"/>
    <cellStyle name="Normal 4 6 7 5" xfId="10239" xr:uid="{A659995C-07AB-4E7B-9114-55823BB8D4CA}"/>
    <cellStyle name="Normal 4 6 8" xfId="2114" xr:uid="{00000000-0005-0000-0000-00009B160000}"/>
    <cellStyle name="Normal 4 6 8 2" xfId="4343" xr:uid="{00000000-0005-0000-0000-00009C160000}"/>
    <cellStyle name="Normal 4 6 8 2 2" xfId="8565" xr:uid="{00000000-0005-0000-0000-00009D160000}"/>
    <cellStyle name="Normal 4 6 8 2 2 2" xfId="26295" xr:uid="{51D4B45A-4216-42EA-A53D-0BD373217DAD}"/>
    <cellStyle name="Normal 4 6 8 2 2 3" xfId="17015" xr:uid="{C49BA4B1-6266-4A1C-8225-763DCC28252B}"/>
    <cellStyle name="Normal 4 6 8 2 3" xfId="22078" xr:uid="{B156DB62-F11E-45C2-8670-73D831723597}"/>
    <cellStyle name="Normal 4 6 8 2 4" xfId="12797" xr:uid="{B2CCD910-037A-457F-84F6-ED07AA547362}"/>
    <cellStyle name="Normal 4 6 8 3" xfId="6420" xr:uid="{00000000-0005-0000-0000-00009E160000}"/>
    <cellStyle name="Normal 4 6 8 3 2" xfId="24150" xr:uid="{74FF3A2B-A913-41EE-82A4-729AD5B1CE0B}"/>
    <cellStyle name="Normal 4 6 8 3 3" xfId="14870" xr:uid="{CCAAEA23-0E15-4F05-A807-97A1C1C1F50D}"/>
    <cellStyle name="Normal 4 6 8 4" xfId="19933" xr:uid="{CAC76BD6-52A6-47AC-B0C0-C50C04E0D595}"/>
    <cellStyle name="Normal 4 6 8 5" xfId="10652" xr:uid="{1B34E0C9-7381-4AF7-9097-B040238ACED8}"/>
    <cellStyle name="Normal 4 6 9" xfId="2550" xr:uid="{00000000-0005-0000-0000-00009F160000}"/>
    <cellStyle name="Normal 4 6 9 2" xfId="6833" xr:uid="{00000000-0005-0000-0000-0000A0160000}"/>
    <cellStyle name="Normal 4 6 9 2 2" xfId="24563" xr:uid="{C326FA07-8D71-49F7-A51F-ADA1644D9C41}"/>
    <cellStyle name="Normal 4 6 9 2 3" xfId="15283" xr:uid="{52CE6307-8F6E-443F-8175-B64F63E0C56D}"/>
    <cellStyle name="Normal 4 6 9 3" xfId="20346" xr:uid="{941DFF10-C1D7-4536-830A-7E74D196E358}"/>
    <cellStyle name="Normal 4 6 9 4" xfId="11065" xr:uid="{43000835-7134-479D-8457-6C3FF4FABF8E}"/>
    <cellStyle name="Normal 4 7" xfId="403" xr:uid="{00000000-0005-0000-0000-0000A1160000}"/>
    <cellStyle name="Normal 4 7 10" xfId="17455" xr:uid="{D5D986FE-C28A-4AB8-8EC8-5FC55C5399F1}"/>
    <cellStyle name="Normal 4 7 11" xfId="9008" xr:uid="{064B03D9-1058-42E6-BA7E-6D52D05CD533}"/>
    <cellStyle name="Normal 4 7 2" xfId="404" xr:uid="{00000000-0005-0000-0000-0000A2160000}"/>
    <cellStyle name="Normal 4 7 2 10" xfId="9009" xr:uid="{D098EF43-F7D8-4DFC-9266-86CF5CDE6EA1}"/>
    <cellStyle name="Normal 4 7 2 2" xfId="878" xr:uid="{00000000-0005-0000-0000-0000A3160000}"/>
    <cellStyle name="Normal 4 7 2 2 2" xfId="3113" xr:uid="{00000000-0005-0000-0000-0000A4160000}"/>
    <cellStyle name="Normal 4 7 2 2 2 2" xfId="7335" xr:uid="{00000000-0005-0000-0000-0000A5160000}"/>
    <cellStyle name="Normal 4 7 2 2 2 2 2" xfId="25065" xr:uid="{EE0F5F2A-198E-45AF-B184-BB2050FBF7C3}"/>
    <cellStyle name="Normal 4 7 2 2 2 2 3" xfId="15785" xr:uid="{BB55C785-58B1-4773-B42A-2EBCB5ABAF5F}"/>
    <cellStyle name="Normal 4 7 2 2 2 3" xfId="20848" xr:uid="{6D8DACB6-36E2-41CE-A195-862BB73A3096}"/>
    <cellStyle name="Normal 4 7 2 2 2 4" xfId="11567" xr:uid="{90E0D096-8090-411F-A713-F99E8B4849CF}"/>
    <cellStyle name="Normal 4 7 2 2 3" xfId="5190" xr:uid="{00000000-0005-0000-0000-0000A6160000}"/>
    <cellStyle name="Normal 4 7 2 2 3 2" xfId="22920" xr:uid="{777B310C-0DB7-4B94-868C-3C15434F408E}"/>
    <cellStyle name="Normal 4 7 2 2 3 3" xfId="13640" xr:uid="{DFEB8B04-9418-4BA7-97D0-E6393B6B82C9}"/>
    <cellStyle name="Normal 4 7 2 2 4" xfId="18703" xr:uid="{220C142A-CB23-41D2-8658-15DA2AA96109}"/>
    <cellStyle name="Normal 4 7 2 2 5" xfId="17875" xr:uid="{019ACA36-F6DD-46B4-9FC6-ADB6FFAFBB13}"/>
    <cellStyle name="Normal 4 7 2 2 6" xfId="9422" xr:uid="{AF529D4D-B3D4-4AB6-AF20-33D6EBA334AF}"/>
    <cellStyle name="Normal 4 7 2 3" xfId="1296" xr:uid="{00000000-0005-0000-0000-0000A7160000}"/>
    <cellStyle name="Normal 4 7 2 3 2" xfId="3526" xr:uid="{00000000-0005-0000-0000-0000A8160000}"/>
    <cellStyle name="Normal 4 7 2 3 2 2" xfId="7748" xr:uid="{00000000-0005-0000-0000-0000A9160000}"/>
    <cellStyle name="Normal 4 7 2 3 2 2 2" xfId="25478" xr:uid="{7311BD57-5AC3-498C-97F9-90D0CD90FD1B}"/>
    <cellStyle name="Normal 4 7 2 3 2 2 3" xfId="16198" xr:uid="{E8579E38-AB91-4053-8727-285DB0286788}"/>
    <cellStyle name="Normal 4 7 2 3 2 3" xfId="21261" xr:uid="{AD13DB1D-EB23-420F-ADF9-7DA0F753F007}"/>
    <cellStyle name="Normal 4 7 2 3 2 4" xfId="11980" xr:uid="{FCE8E709-E77C-41DC-BDF0-40D9F52DA41A}"/>
    <cellStyle name="Normal 4 7 2 3 3" xfId="5603" xr:uid="{00000000-0005-0000-0000-0000AA160000}"/>
    <cellStyle name="Normal 4 7 2 3 3 2" xfId="23333" xr:uid="{F61C5F61-6F20-4C01-B707-852930044D15}"/>
    <cellStyle name="Normal 4 7 2 3 3 3" xfId="14053" xr:uid="{5546EEC2-AEAD-43C6-A0F7-554652280A70}"/>
    <cellStyle name="Normal 4 7 2 3 4" xfId="19116" xr:uid="{B958FDBA-229A-49CE-B3BB-A76DBEB63A16}"/>
    <cellStyle name="Normal 4 7 2 3 5" xfId="9835" xr:uid="{B370E1B0-06BF-4C48-B3FB-77F5D09868AB}"/>
    <cellStyle name="Normal 4 7 2 4" xfId="1709" xr:uid="{00000000-0005-0000-0000-0000AB160000}"/>
    <cellStyle name="Normal 4 7 2 4 2" xfId="3939" xr:uid="{00000000-0005-0000-0000-0000AC160000}"/>
    <cellStyle name="Normal 4 7 2 4 2 2" xfId="8161" xr:uid="{00000000-0005-0000-0000-0000AD160000}"/>
    <cellStyle name="Normal 4 7 2 4 2 2 2" xfId="25891" xr:uid="{4933A796-F961-4F80-9847-678E0C97F47D}"/>
    <cellStyle name="Normal 4 7 2 4 2 2 3" xfId="16611" xr:uid="{327332DC-C015-4376-AB12-FE2150A14064}"/>
    <cellStyle name="Normal 4 7 2 4 2 3" xfId="21674" xr:uid="{95ED3284-6AAD-42F6-8E05-94A952E6AC31}"/>
    <cellStyle name="Normal 4 7 2 4 2 4" xfId="12393" xr:uid="{2BCADDB2-35AA-4B69-9FA0-7B9DBC04444C}"/>
    <cellStyle name="Normal 4 7 2 4 3" xfId="6016" xr:uid="{00000000-0005-0000-0000-0000AE160000}"/>
    <cellStyle name="Normal 4 7 2 4 3 2" xfId="23746" xr:uid="{D7E17082-F12C-4C39-81FB-C3CDC1DDF063}"/>
    <cellStyle name="Normal 4 7 2 4 3 3" xfId="14466" xr:uid="{F73698AC-D66A-428F-BE5E-19DE55F18755}"/>
    <cellStyle name="Normal 4 7 2 4 4" xfId="19529" xr:uid="{7FDBCF12-8C49-431F-9F32-6DA6D96756B6}"/>
    <cellStyle name="Normal 4 7 2 4 5" xfId="10248" xr:uid="{4279E570-71F2-48F1-AA21-4CB3929A079E}"/>
    <cellStyle name="Normal 4 7 2 5" xfId="2123" xr:uid="{00000000-0005-0000-0000-0000AF160000}"/>
    <cellStyle name="Normal 4 7 2 5 2" xfId="4352" xr:uid="{00000000-0005-0000-0000-0000B0160000}"/>
    <cellStyle name="Normal 4 7 2 5 2 2" xfId="8574" xr:uid="{00000000-0005-0000-0000-0000B1160000}"/>
    <cellStyle name="Normal 4 7 2 5 2 2 2" xfId="26304" xr:uid="{E5CD789E-6638-44C0-A716-23AB211896D1}"/>
    <cellStyle name="Normal 4 7 2 5 2 2 3" xfId="17024" xr:uid="{E4DA302B-CC6B-40B6-9E5C-E358EE65850E}"/>
    <cellStyle name="Normal 4 7 2 5 2 3" xfId="22087" xr:uid="{35C48CDA-4FA6-4F8B-81FA-8D064C06DF6E}"/>
    <cellStyle name="Normal 4 7 2 5 2 4" xfId="12806" xr:uid="{3CE5EF0D-F7DF-4C28-93B4-0C0A7E8D652A}"/>
    <cellStyle name="Normal 4 7 2 5 3" xfId="6429" xr:uid="{00000000-0005-0000-0000-0000B2160000}"/>
    <cellStyle name="Normal 4 7 2 5 3 2" xfId="24159" xr:uid="{86D922CD-E44C-4FCA-9668-9F4AFC9BFB2E}"/>
    <cellStyle name="Normal 4 7 2 5 3 3" xfId="14879" xr:uid="{D2C2BBBD-766D-4AA3-B952-E8E81A04F7D5}"/>
    <cellStyle name="Normal 4 7 2 5 4" xfId="19942" xr:uid="{A052E787-6B04-4C39-962E-0D04DF80764D}"/>
    <cellStyle name="Normal 4 7 2 5 5" xfId="10661" xr:uid="{401CF228-4C6D-44B9-8005-56080CFC8155}"/>
    <cellStyle name="Normal 4 7 2 6" xfId="2559" xr:uid="{00000000-0005-0000-0000-0000B3160000}"/>
    <cellStyle name="Normal 4 7 2 6 2" xfId="6842" xr:uid="{00000000-0005-0000-0000-0000B4160000}"/>
    <cellStyle name="Normal 4 7 2 6 2 2" xfId="24572" xr:uid="{89D99260-D2C1-4F55-9AB1-1FD6FCEC584A}"/>
    <cellStyle name="Normal 4 7 2 6 2 3" xfId="15292" xr:uid="{054CA2AA-7D3B-4B34-9FCC-6F8636162938}"/>
    <cellStyle name="Normal 4 7 2 6 3" xfId="20355" xr:uid="{806D9013-18C6-4724-8F77-D549D226E79A}"/>
    <cellStyle name="Normal 4 7 2 6 4" xfId="11074" xr:uid="{D299BAFA-055E-4258-9F36-8089AFD6DF78}"/>
    <cellStyle name="Normal 4 7 2 7" xfId="4777" xr:uid="{00000000-0005-0000-0000-0000B5160000}"/>
    <cellStyle name="Normal 4 7 2 7 2" xfId="22507" xr:uid="{F762E968-AAE0-42ED-97FD-B94409A6DA89}"/>
    <cellStyle name="Normal 4 7 2 7 3" xfId="13227" xr:uid="{30CB168F-EB33-4930-A3EA-087D56D935EF}"/>
    <cellStyle name="Normal 4 7 2 8" xfId="18290" xr:uid="{7A1DD7D5-C7D6-4FF6-8F2B-BBA0160C0281}"/>
    <cellStyle name="Normal 4 7 2 9" xfId="17456" xr:uid="{F7E93AE2-2221-499F-98EE-24BB4E947BEF}"/>
    <cellStyle name="Normal 4 7 3" xfId="877" xr:uid="{00000000-0005-0000-0000-0000B6160000}"/>
    <cellStyle name="Normal 4 7 3 2" xfId="3112" xr:uid="{00000000-0005-0000-0000-0000B7160000}"/>
    <cellStyle name="Normal 4 7 3 2 2" xfId="7334" xr:uid="{00000000-0005-0000-0000-0000B8160000}"/>
    <cellStyle name="Normal 4 7 3 2 2 2" xfId="25064" xr:uid="{4E979F53-7D02-4321-B488-DCAF4B7CC93D}"/>
    <cellStyle name="Normal 4 7 3 2 2 3" xfId="15784" xr:uid="{97A24611-D473-42D3-BD4E-FB9AF8BFC058}"/>
    <cellStyle name="Normal 4 7 3 2 3" xfId="20847" xr:uid="{89C04A19-759B-41C6-A038-9AD4DE0BA923}"/>
    <cellStyle name="Normal 4 7 3 2 4" xfId="11566" xr:uid="{A686E443-9D0F-4C47-9638-6852C3246B81}"/>
    <cellStyle name="Normal 4 7 3 3" xfId="5189" xr:uid="{00000000-0005-0000-0000-0000B9160000}"/>
    <cellStyle name="Normal 4 7 3 3 2" xfId="22919" xr:uid="{576E30FB-B329-4441-9264-962CEE50B664}"/>
    <cellStyle name="Normal 4 7 3 3 3" xfId="13639" xr:uid="{3FE40D2A-E83E-43D2-99F4-7695FE643E2A}"/>
    <cellStyle name="Normal 4 7 3 4" xfId="18702" xr:uid="{C83703DF-6826-4DD6-8D1A-753D7E9CB5CD}"/>
    <cellStyle name="Normal 4 7 3 5" xfId="17874" xr:uid="{2CEEC3CD-1510-409B-B858-4A83AA4B7E44}"/>
    <cellStyle name="Normal 4 7 3 6" xfId="9421" xr:uid="{9ECCE809-9EE0-4C71-BB50-611CF7B4514D}"/>
    <cellStyle name="Normal 4 7 4" xfId="1295" xr:uid="{00000000-0005-0000-0000-0000BA160000}"/>
    <cellStyle name="Normal 4 7 4 2" xfId="3525" xr:uid="{00000000-0005-0000-0000-0000BB160000}"/>
    <cellStyle name="Normal 4 7 4 2 2" xfId="7747" xr:uid="{00000000-0005-0000-0000-0000BC160000}"/>
    <cellStyle name="Normal 4 7 4 2 2 2" xfId="25477" xr:uid="{CF0BEFDC-90BB-4215-B428-26A67AA67D82}"/>
    <cellStyle name="Normal 4 7 4 2 2 3" xfId="16197" xr:uid="{371EBF09-C40D-49C4-9A01-D98C1540BD13}"/>
    <cellStyle name="Normal 4 7 4 2 3" xfId="21260" xr:uid="{1849718F-D2FD-40FE-A303-052FC698B258}"/>
    <cellStyle name="Normal 4 7 4 2 4" xfId="11979" xr:uid="{48E2E30F-AF47-4753-8C85-B0993C1F0D3B}"/>
    <cellStyle name="Normal 4 7 4 3" xfId="5602" xr:uid="{00000000-0005-0000-0000-0000BD160000}"/>
    <cellStyle name="Normal 4 7 4 3 2" xfId="23332" xr:uid="{440E6D45-19EA-46E1-B493-B4CACF6C5A4A}"/>
    <cellStyle name="Normal 4 7 4 3 3" xfId="14052" xr:uid="{E7264AAD-64D4-4440-8984-E411A626A683}"/>
    <cellStyle name="Normal 4 7 4 4" xfId="19115" xr:uid="{643C9EB5-77B9-47B5-9184-1796C203F8EB}"/>
    <cellStyle name="Normal 4 7 4 5" xfId="9834" xr:uid="{ACA5A918-AC69-4300-9AB5-BD046EF6E964}"/>
    <cellStyle name="Normal 4 7 5" xfId="1708" xr:uid="{00000000-0005-0000-0000-0000BE160000}"/>
    <cellStyle name="Normal 4 7 5 2" xfId="3938" xr:uid="{00000000-0005-0000-0000-0000BF160000}"/>
    <cellStyle name="Normal 4 7 5 2 2" xfId="8160" xr:uid="{00000000-0005-0000-0000-0000C0160000}"/>
    <cellStyle name="Normal 4 7 5 2 2 2" xfId="25890" xr:uid="{9D0E321A-034B-4AB3-82AB-8238208BA6A6}"/>
    <cellStyle name="Normal 4 7 5 2 2 3" xfId="16610" xr:uid="{B167C23A-677F-431B-ABE0-8E911CB0560A}"/>
    <cellStyle name="Normal 4 7 5 2 3" xfId="21673" xr:uid="{B2847E51-CD87-4B18-9C68-80D148960322}"/>
    <cellStyle name="Normal 4 7 5 2 4" xfId="12392" xr:uid="{F8B30BF3-7F42-4CD1-9AE6-F21AEFAD3609}"/>
    <cellStyle name="Normal 4 7 5 3" xfId="6015" xr:uid="{00000000-0005-0000-0000-0000C1160000}"/>
    <cellStyle name="Normal 4 7 5 3 2" xfId="23745" xr:uid="{96E8A83B-B3F0-4551-B350-9D592114CE88}"/>
    <cellStyle name="Normal 4 7 5 3 3" xfId="14465" xr:uid="{C3937052-890E-4AE2-8FD1-6525B92C6E60}"/>
    <cellStyle name="Normal 4 7 5 4" xfId="19528" xr:uid="{CA9C484E-D5A0-443F-9040-38128581CB75}"/>
    <cellStyle name="Normal 4 7 5 5" xfId="10247" xr:uid="{1E115447-B384-4DCA-BABF-22A349A1BCCF}"/>
    <cellStyle name="Normal 4 7 6" xfId="2122" xr:uid="{00000000-0005-0000-0000-0000C2160000}"/>
    <cellStyle name="Normal 4 7 6 2" xfId="4351" xr:uid="{00000000-0005-0000-0000-0000C3160000}"/>
    <cellStyle name="Normal 4 7 6 2 2" xfId="8573" xr:uid="{00000000-0005-0000-0000-0000C4160000}"/>
    <cellStyle name="Normal 4 7 6 2 2 2" xfId="26303" xr:uid="{05E41CC9-8BE4-4D3F-8A70-F872693328BD}"/>
    <cellStyle name="Normal 4 7 6 2 2 3" xfId="17023" xr:uid="{EEEA6571-5E73-4347-9DB8-102AE9324CA8}"/>
    <cellStyle name="Normal 4 7 6 2 3" xfId="22086" xr:uid="{41A7465C-93FC-4820-B036-3DE31BDB26D8}"/>
    <cellStyle name="Normal 4 7 6 2 4" xfId="12805" xr:uid="{802C8D28-ACCC-4C42-AC35-1DDD81549575}"/>
    <cellStyle name="Normal 4 7 6 3" xfId="6428" xr:uid="{00000000-0005-0000-0000-0000C5160000}"/>
    <cellStyle name="Normal 4 7 6 3 2" xfId="24158" xr:uid="{8BB5C3D9-3905-448C-A0EB-A311DB97CD8E}"/>
    <cellStyle name="Normal 4 7 6 3 3" xfId="14878" xr:uid="{0B222921-E501-47EF-90B1-1082D36095AD}"/>
    <cellStyle name="Normal 4 7 6 4" xfId="19941" xr:uid="{23BBD228-6FCE-490B-B993-1E591C3D52A3}"/>
    <cellStyle name="Normal 4 7 6 5" xfId="10660" xr:uid="{9ED42C8C-8268-4621-8F60-A3F9A27F80CC}"/>
    <cellStyle name="Normal 4 7 7" xfId="2558" xr:uid="{00000000-0005-0000-0000-0000C6160000}"/>
    <cellStyle name="Normal 4 7 7 2" xfId="6841" xr:uid="{00000000-0005-0000-0000-0000C7160000}"/>
    <cellStyle name="Normal 4 7 7 2 2" xfId="24571" xr:uid="{88BEA6CC-205F-4497-8C32-DFBA9E6F91C7}"/>
    <cellStyle name="Normal 4 7 7 2 3" xfId="15291" xr:uid="{93775381-E751-4140-8650-19EBD24CA646}"/>
    <cellStyle name="Normal 4 7 7 3" xfId="20354" xr:uid="{85BE13CB-9F69-4EA9-8559-1273625B19D2}"/>
    <cellStyle name="Normal 4 7 7 4" xfId="11073" xr:uid="{4099209F-E5B9-4F46-A225-CFD2709B78F0}"/>
    <cellStyle name="Normal 4 7 8" xfId="4776" xr:uid="{00000000-0005-0000-0000-0000C8160000}"/>
    <cellStyle name="Normal 4 7 8 2" xfId="22506" xr:uid="{3F96F0EA-5AD8-4D77-8247-E8F445773701}"/>
    <cellStyle name="Normal 4 7 8 3" xfId="13226" xr:uid="{5FCC17AF-FA88-45A1-A3D5-B5EB6ECD6386}"/>
    <cellStyle name="Normal 4 7 9" xfId="18289" xr:uid="{F85BFF43-D0C8-46E3-9BE6-B7D4AB5B51F4}"/>
    <cellStyle name="Normal 4 8" xfId="405" xr:uid="{00000000-0005-0000-0000-0000C9160000}"/>
    <cellStyle name="Normal 4 8 10" xfId="9010" xr:uid="{82DFBEE0-98F4-4E69-839A-0B1F3E88510E}"/>
    <cellStyle name="Normal 4 8 2" xfId="879" xr:uid="{00000000-0005-0000-0000-0000CA160000}"/>
    <cellStyle name="Normal 4 8 2 2" xfId="3114" xr:uid="{00000000-0005-0000-0000-0000CB160000}"/>
    <cellStyle name="Normal 4 8 2 2 2" xfId="7336" xr:uid="{00000000-0005-0000-0000-0000CC160000}"/>
    <cellStyle name="Normal 4 8 2 2 2 2" xfId="25066" xr:uid="{D9F07A16-5A44-4602-8E5C-C82BA8053CE4}"/>
    <cellStyle name="Normal 4 8 2 2 2 3" xfId="15786" xr:uid="{E2A32989-BC58-49CB-8EE7-57EB43329970}"/>
    <cellStyle name="Normal 4 8 2 2 3" xfId="20849" xr:uid="{B3532040-0490-4738-9DBE-79CD564A6320}"/>
    <cellStyle name="Normal 4 8 2 2 4" xfId="11568" xr:uid="{9F6AF5BD-7A42-4F18-8A55-5C395D469967}"/>
    <cellStyle name="Normal 4 8 2 3" xfId="5191" xr:uid="{00000000-0005-0000-0000-0000CD160000}"/>
    <cellStyle name="Normal 4 8 2 3 2" xfId="22921" xr:uid="{709BC159-56E2-4A62-8F43-5A59D88F2AD7}"/>
    <cellStyle name="Normal 4 8 2 3 3" xfId="13641" xr:uid="{DB41CBD9-A4AF-406D-9386-D5B138E2FDCA}"/>
    <cellStyle name="Normal 4 8 2 4" xfId="18704" xr:uid="{5ECD37FE-D620-466A-A067-8B01BE494C64}"/>
    <cellStyle name="Normal 4 8 2 5" xfId="17876" xr:uid="{C416E05B-8041-4A0D-9BA4-C4DD5E5FDA0C}"/>
    <cellStyle name="Normal 4 8 2 6" xfId="9423" xr:uid="{C45101B0-B193-4795-A16F-2CBD421710D0}"/>
    <cellStyle name="Normal 4 8 3" xfId="1297" xr:uid="{00000000-0005-0000-0000-0000CE160000}"/>
    <cellStyle name="Normal 4 8 3 2" xfId="3527" xr:uid="{00000000-0005-0000-0000-0000CF160000}"/>
    <cellStyle name="Normal 4 8 3 2 2" xfId="7749" xr:uid="{00000000-0005-0000-0000-0000D0160000}"/>
    <cellStyle name="Normal 4 8 3 2 2 2" xfId="25479" xr:uid="{988BEE61-2D67-4218-AAB4-B91610679E35}"/>
    <cellStyle name="Normal 4 8 3 2 2 3" xfId="16199" xr:uid="{398C399A-E407-445B-8C88-CD9A907630C2}"/>
    <cellStyle name="Normal 4 8 3 2 3" xfId="21262" xr:uid="{A8CF2E5C-1688-4DAC-A107-30774017071F}"/>
    <cellStyle name="Normal 4 8 3 2 4" xfId="11981" xr:uid="{31BEC72A-01CE-4106-82AF-573743090230}"/>
    <cellStyle name="Normal 4 8 3 3" xfId="5604" xr:uid="{00000000-0005-0000-0000-0000D1160000}"/>
    <cellStyle name="Normal 4 8 3 3 2" xfId="23334" xr:uid="{E522C581-9BCA-48E3-894D-3961D5A4032E}"/>
    <cellStyle name="Normal 4 8 3 3 3" xfId="14054" xr:uid="{1BCB557F-E091-4685-A4D9-B75A0772D24B}"/>
    <cellStyle name="Normal 4 8 3 4" xfId="19117" xr:uid="{7EFD51DE-D1CC-499E-9D6B-8BBEF4DE8B3B}"/>
    <cellStyle name="Normal 4 8 3 5" xfId="9836" xr:uid="{B7414105-F7C1-4252-8F22-CA7B828F69EB}"/>
    <cellStyle name="Normal 4 8 4" xfId="1710" xr:uid="{00000000-0005-0000-0000-0000D2160000}"/>
    <cellStyle name="Normal 4 8 4 2" xfId="3940" xr:uid="{00000000-0005-0000-0000-0000D3160000}"/>
    <cellStyle name="Normal 4 8 4 2 2" xfId="8162" xr:uid="{00000000-0005-0000-0000-0000D4160000}"/>
    <cellStyle name="Normal 4 8 4 2 2 2" xfId="25892" xr:uid="{D8498BB9-2036-4223-969E-63F63435695C}"/>
    <cellStyle name="Normal 4 8 4 2 2 3" xfId="16612" xr:uid="{CEBF7E1A-89E1-4B15-B1F0-FBE7ED753042}"/>
    <cellStyle name="Normal 4 8 4 2 3" xfId="21675" xr:uid="{24E56062-0547-47EE-9F6F-C975D3D0CBC5}"/>
    <cellStyle name="Normal 4 8 4 2 4" xfId="12394" xr:uid="{CA00EA6F-57A2-46A2-9A7D-CB1698B375B4}"/>
    <cellStyle name="Normal 4 8 4 3" xfId="6017" xr:uid="{00000000-0005-0000-0000-0000D5160000}"/>
    <cellStyle name="Normal 4 8 4 3 2" xfId="23747" xr:uid="{48EE4C0C-8FF2-4A77-B46C-E0EC29CC264F}"/>
    <cellStyle name="Normal 4 8 4 3 3" xfId="14467" xr:uid="{7B5B07BF-0F56-4666-81FB-77515239E83D}"/>
    <cellStyle name="Normal 4 8 4 4" xfId="19530" xr:uid="{4F9BFB2A-AB18-4099-B4B9-D31777AAE47E}"/>
    <cellStyle name="Normal 4 8 4 5" xfId="10249" xr:uid="{114DE46A-4251-498D-B60A-654C864CC557}"/>
    <cellStyle name="Normal 4 8 5" xfId="2124" xr:uid="{00000000-0005-0000-0000-0000D6160000}"/>
    <cellStyle name="Normal 4 8 5 2" xfId="4353" xr:uid="{00000000-0005-0000-0000-0000D7160000}"/>
    <cellStyle name="Normal 4 8 5 2 2" xfId="8575" xr:uid="{00000000-0005-0000-0000-0000D8160000}"/>
    <cellStyle name="Normal 4 8 5 2 2 2" xfId="26305" xr:uid="{14F16B1F-1D9C-4FB6-98D0-DF4EBBA62465}"/>
    <cellStyle name="Normal 4 8 5 2 2 3" xfId="17025" xr:uid="{D5685B00-0889-4987-A7DB-7E33220F1863}"/>
    <cellStyle name="Normal 4 8 5 2 3" xfId="22088" xr:uid="{A1BD1543-424E-4444-92DA-DACA638AC46C}"/>
    <cellStyle name="Normal 4 8 5 2 4" xfId="12807" xr:uid="{D9CB8AB0-0BF2-43C6-B802-DC943DD93549}"/>
    <cellStyle name="Normal 4 8 5 3" xfId="6430" xr:uid="{00000000-0005-0000-0000-0000D9160000}"/>
    <cellStyle name="Normal 4 8 5 3 2" xfId="24160" xr:uid="{592E7CC2-723B-43D0-8B18-0DBFCA84846A}"/>
    <cellStyle name="Normal 4 8 5 3 3" xfId="14880" xr:uid="{DF4B0841-27C9-4175-BADD-9D0991AD6FD7}"/>
    <cellStyle name="Normal 4 8 5 4" xfId="19943" xr:uid="{68487F11-591D-420D-97EA-7EB0533A7D6B}"/>
    <cellStyle name="Normal 4 8 5 5" xfId="10662" xr:uid="{48131BCC-2F0E-497A-A24E-AA2E9001CEB7}"/>
    <cellStyle name="Normal 4 8 6" xfId="2560" xr:uid="{00000000-0005-0000-0000-0000DA160000}"/>
    <cellStyle name="Normal 4 8 6 2" xfId="6843" xr:uid="{00000000-0005-0000-0000-0000DB160000}"/>
    <cellStyle name="Normal 4 8 6 2 2" xfId="24573" xr:uid="{1A20DE43-594E-48A7-9726-1CAF458D0BCF}"/>
    <cellStyle name="Normal 4 8 6 2 3" xfId="15293" xr:uid="{01650366-415A-431C-9A3D-374DD5B0726C}"/>
    <cellStyle name="Normal 4 8 6 3" xfId="20356" xr:uid="{1621B94A-AF03-4AD5-8F38-46DE79CFD39A}"/>
    <cellStyle name="Normal 4 8 6 4" xfId="11075" xr:uid="{9CDE9FD3-36E9-4065-8E00-A6FE84EEE4F0}"/>
    <cellStyle name="Normal 4 8 7" xfId="4778" xr:uid="{00000000-0005-0000-0000-0000DC160000}"/>
    <cellStyle name="Normal 4 8 7 2" xfId="22508" xr:uid="{2E57AB55-D66A-4955-949F-8506022C5586}"/>
    <cellStyle name="Normal 4 8 7 3" xfId="13228" xr:uid="{99EF36ED-5580-451C-B1D0-EC1990EC571F}"/>
    <cellStyle name="Normal 4 8 8" xfId="18291" xr:uid="{101398D8-25B5-4A43-B93E-FFBFA79D9502}"/>
    <cellStyle name="Normal 4 8 9" xfId="17457" xr:uid="{A2F0FE30-B47C-473B-8749-1A06C7A5E922}"/>
    <cellStyle name="Normal 4 9" xfId="4715" xr:uid="{00000000-0005-0000-0000-0000DD160000}"/>
    <cellStyle name="Normal 4 9 2" xfId="22445" xr:uid="{F411BECE-D4A4-4386-8C86-4D0F8A30C2A4}"/>
    <cellStyle name="Normal 4 9 3" xfId="13165" xr:uid="{F0234556-5154-4A59-BCC6-590CFA0A8151}"/>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25893" xr:uid="{B2B41519-B07B-4128-A04F-004A8A9E425C}"/>
    <cellStyle name="Normal 5 10 2 2 3" xfId="16613" xr:uid="{A9324684-F884-4A5D-A157-BA3EDB86CE92}"/>
    <cellStyle name="Normal 5 10 2 3" xfId="21676" xr:uid="{001196FF-2798-42D8-9AD2-EFFD10D75056}"/>
    <cellStyle name="Normal 5 10 2 4" xfId="12395" xr:uid="{013BE000-98B9-490B-A999-3F4F73D237BC}"/>
    <cellStyle name="Normal 5 10 3" xfId="6018" xr:uid="{00000000-0005-0000-0000-0000E2160000}"/>
    <cellStyle name="Normal 5 10 3 2" xfId="23748" xr:uid="{41BE59BB-42B1-4BD5-89E1-6AA754EF58BC}"/>
    <cellStyle name="Normal 5 10 3 3" xfId="14468" xr:uid="{260A189E-8A42-4BB2-9AE5-F0ADF827CBDD}"/>
    <cellStyle name="Normal 5 10 4" xfId="19531" xr:uid="{B73228CF-F83F-47AD-8114-2DBAC2D4542D}"/>
    <cellStyle name="Normal 5 10 5" xfId="10250" xr:uid="{414A10AC-8B27-4AD0-9421-2AEEADFBAD47}"/>
    <cellStyle name="Normal 5 11" xfId="2125" xr:uid="{00000000-0005-0000-0000-0000E3160000}"/>
    <cellStyle name="Normal 5 11 2" xfId="4354" xr:uid="{00000000-0005-0000-0000-0000E4160000}"/>
    <cellStyle name="Normal 5 11 2 2" xfId="8576" xr:uid="{00000000-0005-0000-0000-0000E5160000}"/>
    <cellStyle name="Normal 5 11 2 2 2" xfId="26306" xr:uid="{BA5DCD27-DE7A-411C-B0A5-E79E8ED7236D}"/>
    <cellStyle name="Normal 5 11 2 2 3" xfId="17026" xr:uid="{20648DA7-299F-40A8-8424-412BF60033E2}"/>
    <cellStyle name="Normal 5 11 2 3" xfId="22089" xr:uid="{EC6B567D-908F-4FD0-AD0C-A15BBECF74D9}"/>
    <cellStyle name="Normal 5 11 2 4" xfId="12808" xr:uid="{A4BDE749-CE25-408E-B597-61CAD1D644DB}"/>
    <cellStyle name="Normal 5 11 3" xfId="6431" xr:uid="{00000000-0005-0000-0000-0000E6160000}"/>
    <cellStyle name="Normal 5 11 3 2" xfId="24161" xr:uid="{48B3B9B6-315D-4FA5-8D32-66B77FE1FE90}"/>
    <cellStyle name="Normal 5 11 3 3" xfId="14881" xr:uid="{5FD27454-CD22-496C-A3AF-794CA6E030E7}"/>
    <cellStyle name="Normal 5 11 4" xfId="19944" xr:uid="{11670985-2492-481A-8481-9D22BCC66D60}"/>
    <cellStyle name="Normal 5 11 5" xfId="10663" xr:uid="{8B68FB3F-1B6D-4258-A0BD-716AAC076090}"/>
    <cellStyle name="Normal 5 12" xfId="2561" xr:uid="{00000000-0005-0000-0000-0000E7160000}"/>
    <cellStyle name="Normal 5 12 2" xfId="6844" xr:uid="{00000000-0005-0000-0000-0000E8160000}"/>
    <cellStyle name="Normal 5 12 2 2" xfId="24574" xr:uid="{770C4EFE-0585-4511-B964-03267E8D13A4}"/>
    <cellStyle name="Normal 5 12 2 3" xfId="15294" xr:uid="{F3913028-FEB9-4FA1-B50D-9CF531FA2EB4}"/>
    <cellStyle name="Normal 5 12 3" xfId="20357" xr:uid="{D55D1118-333A-4BA1-9147-AF39EED32755}"/>
    <cellStyle name="Normal 5 12 4" xfId="11076" xr:uid="{F5B2A90B-73A9-4C89-94D0-8EA091E4A46D}"/>
    <cellStyle name="Normal 5 13" xfId="4779" xr:uid="{00000000-0005-0000-0000-0000E9160000}"/>
    <cellStyle name="Normal 5 13 2" xfId="22509" xr:uid="{3E8D2186-AEB3-46D8-8670-499FB9A4604C}"/>
    <cellStyle name="Normal 5 13 3" xfId="13229" xr:uid="{3A69E3EC-B8B6-4184-B5E6-6C4319A85021}"/>
    <cellStyle name="Normal 5 14" xfId="18292" xr:uid="{055C1B44-12C1-41EE-8624-8D17631F6FA1}"/>
    <cellStyle name="Normal 5 15" xfId="17458" xr:uid="{BDFDD1A7-1A30-4B12-95CD-8F51A467B49E}"/>
    <cellStyle name="Normal 5 16" xfId="9011" xr:uid="{C1D6CF94-129B-49CA-A2CF-D2356ECF8E3C}"/>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26307" xr:uid="{34DFBC68-1759-4BE1-B8CD-BCA3F81A3B5B}"/>
    <cellStyle name="Normal 5 2 10 2 2 3" xfId="17027" xr:uid="{FAA34F0E-2507-416E-8BBC-D073B6F9B32E}"/>
    <cellStyle name="Normal 5 2 10 2 3" xfId="22090" xr:uid="{15BD4419-D225-4755-A560-A91A4CDF0109}"/>
    <cellStyle name="Normal 5 2 10 2 4" xfId="12809" xr:uid="{9750DBB8-0C5F-45A4-81B0-0DBA7766FAAD}"/>
    <cellStyle name="Normal 5 2 10 3" xfId="6432" xr:uid="{00000000-0005-0000-0000-0000EE160000}"/>
    <cellStyle name="Normal 5 2 10 3 2" xfId="24162" xr:uid="{E3AF1527-60CA-49BD-A4DA-5619F7924E8B}"/>
    <cellStyle name="Normal 5 2 10 3 3" xfId="14882" xr:uid="{11AE40CC-0A0A-491C-BEDC-53E92D1BEF56}"/>
    <cellStyle name="Normal 5 2 10 4" xfId="19945" xr:uid="{6669D608-CB0E-4AA4-A876-B26FE8F9B8AD}"/>
    <cellStyle name="Normal 5 2 10 5" xfId="10664" xr:uid="{ABAC04FB-C463-40F0-BE6F-3B55AEE19826}"/>
    <cellStyle name="Normal 5 2 11" xfId="2562" xr:uid="{00000000-0005-0000-0000-0000EF160000}"/>
    <cellStyle name="Normal 5 2 11 2" xfId="6845" xr:uid="{00000000-0005-0000-0000-0000F0160000}"/>
    <cellStyle name="Normal 5 2 11 2 2" xfId="24575" xr:uid="{D47C0160-CBB7-436F-BEAD-F8DF22E13306}"/>
    <cellStyle name="Normal 5 2 11 2 3" xfId="15295" xr:uid="{35931C10-8569-4B41-BADE-E62895465FB8}"/>
    <cellStyle name="Normal 5 2 11 3" xfId="20358" xr:uid="{96ED62FB-FD7D-43D0-BDCF-9A05234D3171}"/>
    <cellStyle name="Normal 5 2 11 4" xfId="11077" xr:uid="{4599DED5-EF42-411D-8F06-EC7EA8F8539C}"/>
    <cellStyle name="Normal 5 2 12" xfId="4780" xr:uid="{00000000-0005-0000-0000-0000F1160000}"/>
    <cellStyle name="Normal 5 2 12 2" xfId="22510" xr:uid="{3950289A-00D7-4C1E-B44A-4CAB8704F011}"/>
    <cellStyle name="Normal 5 2 12 3" xfId="13230" xr:uid="{96E1748B-66A8-4854-BEB0-E273A9A9F127}"/>
    <cellStyle name="Normal 5 2 13" xfId="18293" xr:uid="{A3EF8A6C-AD19-4A45-B7B2-05D3153F5321}"/>
    <cellStyle name="Normal 5 2 14" xfId="17459" xr:uid="{EED36BB6-BFB0-494A-A953-4461EE3D940F}"/>
    <cellStyle name="Normal 5 2 15" xfId="9012" xr:uid="{6B631158-3DC2-44EE-A0FF-AAC254FA5F18}"/>
    <cellStyle name="Normal 5 2 2" xfId="408" xr:uid="{00000000-0005-0000-0000-0000F2160000}"/>
    <cellStyle name="Normal 5 2 2 10" xfId="2563" xr:uid="{00000000-0005-0000-0000-0000F3160000}"/>
    <cellStyle name="Normal 5 2 2 10 2" xfId="6846" xr:uid="{00000000-0005-0000-0000-0000F4160000}"/>
    <cellStyle name="Normal 5 2 2 10 2 2" xfId="24576" xr:uid="{EDA451BB-D970-4551-8C70-A93DA081DDD6}"/>
    <cellStyle name="Normal 5 2 2 10 2 3" xfId="15296" xr:uid="{F3164BF0-4B71-45B9-A2A4-EF247392FB4E}"/>
    <cellStyle name="Normal 5 2 2 10 3" xfId="20359" xr:uid="{074ACA39-7436-4501-A8CA-9979302E8A02}"/>
    <cellStyle name="Normal 5 2 2 10 4" xfId="11078" xr:uid="{B87A77BE-1F23-4693-AB7B-67FBB6B38B7D}"/>
    <cellStyle name="Normal 5 2 2 11" xfId="4781" xr:uid="{00000000-0005-0000-0000-0000F5160000}"/>
    <cellStyle name="Normal 5 2 2 11 2" xfId="22511" xr:uid="{35E1D6CB-7DA2-4DA6-A89B-405A7A7BDBFB}"/>
    <cellStyle name="Normal 5 2 2 11 3" xfId="13231" xr:uid="{6147B869-A404-4765-8CCD-3433B7A98F70}"/>
    <cellStyle name="Normal 5 2 2 12" xfId="18294" xr:uid="{F7C7473F-0C3E-44FD-8E65-C777BE6713BD}"/>
    <cellStyle name="Normal 5 2 2 13" xfId="17460" xr:uid="{BC08573C-3527-4A75-B5DD-112A6E2DF565}"/>
    <cellStyle name="Normal 5 2 2 14" xfId="9013" xr:uid="{D0D1023F-D807-4B64-A297-EB59A9752BF3}"/>
    <cellStyle name="Normal 5 2 2 2" xfId="409" xr:uid="{00000000-0005-0000-0000-0000F6160000}"/>
    <cellStyle name="Normal 5 2 2 2 10" xfId="4782" xr:uid="{00000000-0005-0000-0000-0000F7160000}"/>
    <cellStyle name="Normal 5 2 2 2 10 2" xfId="22512" xr:uid="{95027B66-723E-44E5-8BF9-7D12F6C02341}"/>
    <cellStyle name="Normal 5 2 2 2 10 3" xfId="13232" xr:uid="{6FC821C3-119B-4030-A9AF-B447A05C88D9}"/>
    <cellStyle name="Normal 5 2 2 2 11" xfId="18295" xr:uid="{75FEF699-91BC-48FF-A7E7-D86B761B1D41}"/>
    <cellStyle name="Normal 5 2 2 2 12" xfId="17461" xr:uid="{7B7F1EC6-0590-4F14-A5FD-A604BE2D34C2}"/>
    <cellStyle name="Normal 5 2 2 2 13" xfId="9014" xr:uid="{FC5C1700-1634-4619-83D0-40047A7D4216}"/>
    <cellStyle name="Normal 5 2 2 2 2" xfId="410" xr:uid="{00000000-0005-0000-0000-0000F8160000}"/>
    <cellStyle name="Normal 5 2 2 2 2 10" xfId="18296" xr:uid="{64356232-CA18-4A79-9789-952CD7491532}"/>
    <cellStyle name="Normal 5 2 2 2 2 11" xfId="17462" xr:uid="{7CE85783-5280-4031-A3DB-1BA99092F603}"/>
    <cellStyle name="Normal 5 2 2 2 2 12" xfId="9015" xr:uid="{BFFB4F92-31E1-48AD-93B5-08D137932955}"/>
    <cellStyle name="Normal 5 2 2 2 2 2" xfId="411" xr:uid="{00000000-0005-0000-0000-0000F9160000}"/>
    <cellStyle name="Normal 5 2 2 2 2 2 10" xfId="17463" xr:uid="{140E44B9-B38F-43FC-B3C4-776E9CF84DB0}"/>
    <cellStyle name="Normal 5 2 2 2 2 2 11" xfId="9016" xr:uid="{8157E87C-B0B1-4668-B75A-F38A10274A6B}"/>
    <cellStyle name="Normal 5 2 2 2 2 2 2" xfId="412" xr:uid="{00000000-0005-0000-0000-0000FA160000}"/>
    <cellStyle name="Normal 5 2 2 2 2 2 2 10" xfId="9017" xr:uid="{0C6B36F5-A033-46FD-BFB6-DC53E2B55E16}"/>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25073" xr:uid="{B34DD6EA-DE6D-49F2-823F-35B2C2B9753A}"/>
    <cellStyle name="Normal 5 2 2 2 2 2 2 2 2 2 3" xfId="15793" xr:uid="{5436A1A1-64C7-4D47-B27F-FF0495F46F9A}"/>
    <cellStyle name="Normal 5 2 2 2 2 2 2 2 2 3" xfId="20856" xr:uid="{1231B3D3-C7BB-48E7-9679-9FDAA13EB797}"/>
    <cellStyle name="Normal 5 2 2 2 2 2 2 2 2 4" xfId="11575" xr:uid="{4B9D2B2E-CEF8-4B39-91C5-754828026C78}"/>
    <cellStyle name="Normal 5 2 2 2 2 2 2 2 3" xfId="5198" xr:uid="{00000000-0005-0000-0000-0000FE160000}"/>
    <cellStyle name="Normal 5 2 2 2 2 2 2 2 3 2" xfId="22928" xr:uid="{B447AC6A-09DC-4BAC-890B-BE01B63524DB}"/>
    <cellStyle name="Normal 5 2 2 2 2 2 2 2 3 3" xfId="13648" xr:uid="{BFE0A5C0-A053-4CE7-960F-A7A945B1A95C}"/>
    <cellStyle name="Normal 5 2 2 2 2 2 2 2 4" xfId="18711" xr:uid="{73D01E3B-D667-4A93-8F44-BF513CA15AD3}"/>
    <cellStyle name="Normal 5 2 2 2 2 2 2 2 5" xfId="17883" xr:uid="{94615C93-A7B8-452D-910E-ACB18EDEA50F}"/>
    <cellStyle name="Normal 5 2 2 2 2 2 2 2 6" xfId="9430" xr:uid="{374A57E7-F1E5-4E95-A72E-CDF9D493E1AC}"/>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25486" xr:uid="{F9D334A0-9981-4D05-AAE4-8D74C42CCE31}"/>
    <cellStyle name="Normal 5 2 2 2 2 2 2 3 2 2 3" xfId="16206" xr:uid="{DA4AC9F8-43CA-4CE5-9B93-487C027F5636}"/>
    <cellStyle name="Normal 5 2 2 2 2 2 2 3 2 3" xfId="21269" xr:uid="{6689844B-F383-43D3-BC61-281D50CEF883}"/>
    <cellStyle name="Normal 5 2 2 2 2 2 2 3 2 4" xfId="11988" xr:uid="{3A76C221-C0AB-4D91-B4EB-90B654C0CA2D}"/>
    <cellStyle name="Normal 5 2 2 2 2 2 2 3 3" xfId="5611" xr:uid="{00000000-0005-0000-0000-000002170000}"/>
    <cellStyle name="Normal 5 2 2 2 2 2 2 3 3 2" xfId="23341" xr:uid="{36065B5A-CA29-425B-956D-669F7200EFB6}"/>
    <cellStyle name="Normal 5 2 2 2 2 2 2 3 3 3" xfId="14061" xr:uid="{A712BEDB-451F-4855-BCC5-A1EABF12D7AA}"/>
    <cellStyle name="Normal 5 2 2 2 2 2 2 3 4" xfId="19124" xr:uid="{66683964-6C10-49C7-AB5B-50419EE9BE14}"/>
    <cellStyle name="Normal 5 2 2 2 2 2 2 3 5" xfId="9843" xr:uid="{F70AEDBF-FB63-48B5-AC10-1BCBC3BAE8C6}"/>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25899" xr:uid="{DDE41F14-F386-4E9E-888D-4B77B3EC55FA}"/>
    <cellStyle name="Normal 5 2 2 2 2 2 2 4 2 2 3" xfId="16619" xr:uid="{A5BE4A92-09A7-40CE-9B8E-1EB98DDA35DF}"/>
    <cellStyle name="Normal 5 2 2 2 2 2 2 4 2 3" xfId="21682" xr:uid="{2DFD4E20-F675-479B-84FF-DEF8B57A748D}"/>
    <cellStyle name="Normal 5 2 2 2 2 2 2 4 2 4" xfId="12401" xr:uid="{6EAB9331-BE03-4EA2-ADE5-B0F97E3BB169}"/>
    <cellStyle name="Normal 5 2 2 2 2 2 2 4 3" xfId="6024" xr:uid="{00000000-0005-0000-0000-000006170000}"/>
    <cellStyle name="Normal 5 2 2 2 2 2 2 4 3 2" xfId="23754" xr:uid="{31902A20-A63A-4D39-9049-BC9A163CD588}"/>
    <cellStyle name="Normal 5 2 2 2 2 2 2 4 3 3" xfId="14474" xr:uid="{58C9E101-CDEB-4B64-A367-2C04CCB83DE4}"/>
    <cellStyle name="Normal 5 2 2 2 2 2 2 4 4" xfId="19537" xr:uid="{16D80D72-5CDA-4FC0-8474-FA2D8733E07B}"/>
    <cellStyle name="Normal 5 2 2 2 2 2 2 4 5" xfId="10256" xr:uid="{34E36811-A9C6-412F-B7EA-51B9B2279122}"/>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26312" xr:uid="{B235FA86-3BDC-4706-A704-3A4C6BBFF6CA}"/>
    <cellStyle name="Normal 5 2 2 2 2 2 2 5 2 2 3" xfId="17032" xr:uid="{03C4DADF-0C00-4795-9490-88D4E66CF7BD}"/>
    <cellStyle name="Normal 5 2 2 2 2 2 2 5 2 3" xfId="22095" xr:uid="{B7E34828-7F33-4761-9606-90E125D249B1}"/>
    <cellStyle name="Normal 5 2 2 2 2 2 2 5 2 4" xfId="12814" xr:uid="{85E87792-0EC6-4B6D-847C-3FA2221EF2B8}"/>
    <cellStyle name="Normal 5 2 2 2 2 2 2 5 3" xfId="6437" xr:uid="{00000000-0005-0000-0000-00000A170000}"/>
    <cellStyle name="Normal 5 2 2 2 2 2 2 5 3 2" xfId="24167" xr:uid="{C43F89FC-AB1A-40B4-BBD8-B02378F03610}"/>
    <cellStyle name="Normal 5 2 2 2 2 2 2 5 3 3" xfId="14887" xr:uid="{8F686200-CD28-4EAE-98F9-94CC821A63E1}"/>
    <cellStyle name="Normal 5 2 2 2 2 2 2 5 4" xfId="19950" xr:uid="{3E82941F-DB2F-4322-94EA-59525EB3F6F1}"/>
    <cellStyle name="Normal 5 2 2 2 2 2 2 5 5" xfId="10669" xr:uid="{697A58D8-C7BC-4BB4-9E7C-F40CB4565252}"/>
    <cellStyle name="Normal 5 2 2 2 2 2 2 6" xfId="2567" xr:uid="{00000000-0005-0000-0000-00000B170000}"/>
    <cellStyle name="Normal 5 2 2 2 2 2 2 6 2" xfId="6850" xr:uid="{00000000-0005-0000-0000-00000C170000}"/>
    <cellStyle name="Normal 5 2 2 2 2 2 2 6 2 2" xfId="24580" xr:uid="{A6E9594D-F278-4D5E-826B-5362FA5D0E11}"/>
    <cellStyle name="Normal 5 2 2 2 2 2 2 6 2 3" xfId="15300" xr:uid="{C65BBC7C-6814-4581-8284-1CA026B5D89B}"/>
    <cellStyle name="Normal 5 2 2 2 2 2 2 6 3" xfId="20363" xr:uid="{A9812C5B-B031-4DFA-88AD-27D359A9AF3F}"/>
    <cellStyle name="Normal 5 2 2 2 2 2 2 6 4" xfId="11082" xr:uid="{FE4DD84F-E0D1-414E-89DA-BC9BC3C2AC90}"/>
    <cellStyle name="Normal 5 2 2 2 2 2 2 7" xfId="4785" xr:uid="{00000000-0005-0000-0000-00000D170000}"/>
    <cellStyle name="Normal 5 2 2 2 2 2 2 7 2" xfId="22515" xr:uid="{281F140A-382C-4CC1-937A-C074A608BEB5}"/>
    <cellStyle name="Normal 5 2 2 2 2 2 2 7 3" xfId="13235" xr:uid="{0AA6C895-0690-4F2B-8C4E-CF763B474367}"/>
    <cellStyle name="Normal 5 2 2 2 2 2 2 8" xfId="18298" xr:uid="{93B8AE96-173E-45D9-913D-66ACD75D2ED2}"/>
    <cellStyle name="Normal 5 2 2 2 2 2 2 9" xfId="17464" xr:uid="{54EE63E5-D2C4-4BB2-9199-32B786BA3C1D}"/>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25072" xr:uid="{B312E604-5C8D-41AE-A70F-0345F67373F7}"/>
    <cellStyle name="Normal 5 2 2 2 2 2 3 2 2 3" xfId="15792" xr:uid="{66788B58-9DB6-4764-88ED-948E99B30FC2}"/>
    <cellStyle name="Normal 5 2 2 2 2 2 3 2 3" xfId="20855" xr:uid="{2D4FAB33-5AE3-4CF9-8989-BAA018DC7324}"/>
    <cellStyle name="Normal 5 2 2 2 2 2 3 2 4" xfId="11574" xr:uid="{95F545DF-BDC4-4EDB-8B5B-93B0A65637F0}"/>
    <cellStyle name="Normal 5 2 2 2 2 2 3 3" xfId="5197" xr:uid="{00000000-0005-0000-0000-000011170000}"/>
    <cellStyle name="Normal 5 2 2 2 2 2 3 3 2" xfId="22927" xr:uid="{8D1B344B-D342-42FB-880B-1543CF673080}"/>
    <cellStyle name="Normal 5 2 2 2 2 2 3 3 3" xfId="13647" xr:uid="{2A70A821-9CED-4303-9E7F-2966F0A35201}"/>
    <cellStyle name="Normal 5 2 2 2 2 2 3 4" xfId="18710" xr:uid="{A43DF2C4-82D2-4321-9661-EFD0F93CE924}"/>
    <cellStyle name="Normal 5 2 2 2 2 2 3 5" xfId="17882" xr:uid="{57734150-EDE0-468A-AC88-A37CD594386F}"/>
    <cellStyle name="Normal 5 2 2 2 2 2 3 6" xfId="9429" xr:uid="{0BD8F859-4796-4CA1-8928-A95FA6D5F1FF}"/>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25485" xr:uid="{2DCB11BD-F45F-4F4F-A816-4BB5A927BFE7}"/>
    <cellStyle name="Normal 5 2 2 2 2 2 4 2 2 3" xfId="16205" xr:uid="{4E93C608-4F8C-4B24-AAB7-55A012029AE5}"/>
    <cellStyle name="Normal 5 2 2 2 2 2 4 2 3" xfId="21268" xr:uid="{5FB2B497-60DF-4728-AAA4-888D92734A02}"/>
    <cellStyle name="Normal 5 2 2 2 2 2 4 2 4" xfId="11987" xr:uid="{1EB866D1-3927-4BB7-A569-3DFA6306AE47}"/>
    <cellStyle name="Normal 5 2 2 2 2 2 4 3" xfId="5610" xr:uid="{00000000-0005-0000-0000-000015170000}"/>
    <cellStyle name="Normal 5 2 2 2 2 2 4 3 2" xfId="23340" xr:uid="{856235F9-89C3-4076-B6A0-B9E65B35584C}"/>
    <cellStyle name="Normal 5 2 2 2 2 2 4 3 3" xfId="14060" xr:uid="{9E70F9E2-983C-4106-AE66-45B25C5E6F19}"/>
    <cellStyle name="Normal 5 2 2 2 2 2 4 4" xfId="19123" xr:uid="{A3639201-E983-4743-8B64-76FE7B904D9F}"/>
    <cellStyle name="Normal 5 2 2 2 2 2 4 5" xfId="9842" xr:uid="{AB3B2F00-73A7-4575-BF10-EA5DA5195B93}"/>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25898" xr:uid="{8A112B4A-7BC2-4081-A0CD-E6EA2D6915BC}"/>
    <cellStyle name="Normal 5 2 2 2 2 2 5 2 2 3" xfId="16618" xr:uid="{688BA35B-3506-48FE-9457-13B7CA01707E}"/>
    <cellStyle name="Normal 5 2 2 2 2 2 5 2 3" xfId="21681" xr:uid="{B90254B2-DDF7-4AFB-858B-BE5E43D3AE7F}"/>
    <cellStyle name="Normal 5 2 2 2 2 2 5 2 4" xfId="12400" xr:uid="{0D6B4D27-F567-445A-A692-886336491DEB}"/>
    <cellStyle name="Normal 5 2 2 2 2 2 5 3" xfId="6023" xr:uid="{00000000-0005-0000-0000-000019170000}"/>
    <cellStyle name="Normal 5 2 2 2 2 2 5 3 2" xfId="23753" xr:uid="{C2459A8F-1E73-489A-ACAE-08C3101AA64E}"/>
    <cellStyle name="Normal 5 2 2 2 2 2 5 3 3" xfId="14473" xr:uid="{627C1858-6887-4664-9054-4C7931FE88F7}"/>
    <cellStyle name="Normal 5 2 2 2 2 2 5 4" xfId="19536" xr:uid="{BC865C14-5588-4E5B-BA4F-272A207AFD34}"/>
    <cellStyle name="Normal 5 2 2 2 2 2 5 5" xfId="10255" xr:uid="{DDC3AD95-CA93-4B7E-8137-41C288A501FA}"/>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26311" xr:uid="{20A9BE2A-73C6-458B-A192-42E9A1EC6E3E}"/>
    <cellStyle name="Normal 5 2 2 2 2 2 6 2 2 3" xfId="17031" xr:uid="{70477904-4D05-40A4-AEC0-8B01FE78C815}"/>
    <cellStyle name="Normal 5 2 2 2 2 2 6 2 3" xfId="22094" xr:uid="{3D6D1E25-9485-45E4-8121-982C44471B64}"/>
    <cellStyle name="Normal 5 2 2 2 2 2 6 2 4" xfId="12813" xr:uid="{5D60C7DF-A2FA-46CA-BD42-B5BA8FA9814A}"/>
    <cellStyle name="Normal 5 2 2 2 2 2 6 3" xfId="6436" xr:uid="{00000000-0005-0000-0000-00001D170000}"/>
    <cellStyle name="Normal 5 2 2 2 2 2 6 3 2" xfId="24166" xr:uid="{C5082157-3D5F-4D01-8796-6DB467041AED}"/>
    <cellStyle name="Normal 5 2 2 2 2 2 6 3 3" xfId="14886" xr:uid="{2FB68E76-BE8B-4325-BAFF-0ABEAC1DD6DB}"/>
    <cellStyle name="Normal 5 2 2 2 2 2 6 4" xfId="19949" xr:uid="{A660B6B6-18F1-4670-AD66-EA1492569253}"/>
    <cellStyle name="Normal 5 2 2 2 2 2 6 5" xfId="10668" xr:uid="{2C99C772-2169-493F-A17F-D93B9DCE82DF}"/>
    <cellStyle name="Normal 5 2 2 2 2 2 7" xfId="2566" xr:uid="{00000000-0005-0000-0000-00001E170000}"/>
    <cellStyle name="Normal 5 2 2 2 2 2 7 2" xfId="6849" xr:uid="{00000000-0005-0000-0000-00001F170000}"/>
    <cellStyle name="Normal 5 2 2 2 2 2 7 2 2" xfId="24579" xr:uid="{A08F256C-9E4B-4E4F-9399-3857F9595B8C}"/>
    <cellStyle name="Normal 5 2 2 2 2 2 7 2 3" xfId="15299" xr:uid="{BDC6A289-DE8C-4FE5-8747-04BCE371D349}"/>
    <cellStyle name="Normal 5 2 2 2 2 2 7 3" xfId="20362" xr:uid="{B7E57DFD-4485-4B93-B812-094EA8CB64B2}"/>
    <cellStyle name="Normal 5 2 2 2 2 2 7 4" xfId="11081" xr:uid="{3032A204-8711-41C7-BF0D-19C93A4B72C4}"/>
    <cellStyle name="Normal 5 2 2 2 2 2 8" xfId="4784" xr:uid="{00000000-0005-0000-0000-000020170000}"/>
    <cellStyle name="Normal 5 2 2 2 2 2 8 2" xfId="22514" xr:uid="{0A165AC5-140E-4BDE-B82B-16062C02A36B}"/>
    <cellStyle name="Normal 5 2 2 2 2 2 8 3" xfId="13234" xr:uid="{796F81C5-3892-42FC-BAC1-9A53D3BF68D1}"/>
    <cellStyle name="Normal 5 2 2 2 2 2 9" xfId="18297" xr:uid="{3E47CE82-B8F2-4EF2-9B3B-0713E847B320}"/>
    <cellStyle name="Normal 5 2 2 2 2 3" xfId="413" xr:uid="{00000000-0005-0000-0000-000021170000}"/>
    <cellStyle name="Normal 5 2 2 2 2 3 10" xfId="9018" xr:uid="{F140F593-8142-4924-8599-6BB1613FA645}"/>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25074" xr:uid="{A963AD12-9227-48BF-8123-9FFE74A601C7}"/>
    <cellStyle name="Normal 5 2 2 2 2 3 2 2 2 3" xfId="15794" xr:uid="{B2E0F4FF-1AE0-4545-B410-7ECE15C5BB22}"/>
    <cellStyle name="Normal 5 2 2 2 2 3 2 2 3" xfId="20857" xr:uid="{F213136E-62C4-410D-BFDB-777951C8A8CC}"/>
    <cellStyle name="Normal 5 2 2 2 2 3 2 2 4" xfId="11576" xr:uid="{2882970E-861A-4833-9EDE-530822EE8ABC}"/>
    <cellStyle name="Normal 5 2 2 2 2 3 2 3" xfId="5199" xr:uid="{00000000-0005-0000-0000-000025170000}"/>
    <cellStyle name="Normal 5 2 2 2 2 3 2 3 2" xfId="22929" xr:uid="{983919A9-9755-4068-BAC8-C2C065389A58}"/>
    <cellStyle name="Normal 5 2 2 2 2 3 2 3 3" xfId="13649" xr:uid="{332D9FC1-394C-4DA4-8D42-EDA28C4170A9}"/>
    <cellStyle name="Normal 5 2 2 2 2 3 2 4" xfId="18712" xr:uid="{0E947567-BA28-4AF7-A3E9-398FC6E6B6A7}"/>
    <cellStyle name="Normal 5 2 2 2 2 3 2 5" xfId="17884" xr:uid="{28A0ABCD-D838-4A70-819B-A598C2C40434}"/>
    <cellStyle name="Normal 5 2 2 2 2 3 2 6" xfId="9431" xr:uid="{F0C83AF4-787F-4606-8B8A-9AED5D6B1542}"/>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25487" xr:uid="{D1EF1B51-FBEC-4E71-81C4-C56AA7C064B9}"/>
    <cellStyle name="Normal 5 2 2 2 2 3 3 2 2 3" xfId="16207" xr:uid="{C5CEEA03-7D2E-4E0C-8A95-FC7CF404DD4C}"/>
    <cellStyle name="Normal 5 2 2 2 2 3 3 2 3" xfId="21270" xr:uid="{0CB9639A-5897-45E1-8923-AF1EFA7A2AE7}"/>
    <cellStyle name="Normal 5 2 2 2 2 3 3 2 4" xfId="11989" xr:uid="{DA5BDF2A-E7D4-4FA5-82A5-959D7406EB95}"/>
    <cellStyle name="Normal 5 2 2 2 2 3 3 3" xfId="5612" xr:uid="{00000000-0005-0000-0000-000029170000}"/>
    <cellStyle name="Normal 5 2 2 2 2 3 3 3 2" xfId="23342" xr:uid="{DC9A71FB-DEAE-4E0F-83FE-4C8031BDAD45}"/>
    <cellStyle name="Normal 5 2 2 2 2 3 3 3 3" xfId="14062" xr:uid="{8ABB616A-4639-47AD-91A3-564A28870B7F}"/>
    <cellStyle name="Normal 5 2 2 2 2 3 3 4" xfId="19125" xr:uid="{E0D7522F-2C85-43D6-86F8-0831D691A3F5}"/>
    <cellStyle name="Normal 5 2 2 2 2 3 3 5" xfId="9844" xr:uid="{DEDE6DE1-B5FB-4385-9F27-74CE8B42121D}"/>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25900" xr:uid="{09379D25-A886-43FD-B39F-BBF03996E3F7}"/>
    <cellStyle name="Normal 5 2 2 2 2 3 4 2 2 3" xfId="16620" xr:uid="{0C4FD23E-5803-4C91-A238-AB7A0476736F}"/>
    <cellStyle name="Normal 5 2 2 2 2 3 4 2 3" xfId="21683" xr:uid="{A3C703DE-5FD7-40AB-B17C-47842CFE5799}"/>
    <cellStyle name="Normal 5 2 2 2 2 3 4 2 4" xfId="12402" xr:uid="{AA94FB76-9956-41FA-BB2E-FCA6B262765E}"/>
    <cellStyle name="Normal 5 2 2 2 2 3 4 3" xfId="6025" xr:uid="{00000000-0005-0000-0000-00002D170000}"/>
    <cellStyle name="Normal 5 2 2 2 2 3 4 3 2" xfId="23755" xr:uid="{EDC211C4-052B-4FBF-B80A-BCDEACE2F8C7}"/>
    <cellStyle name="Normal 5 2 2 2 2 3 4 3 3" xfId="14475" xr:uid="{D9F80BDD-E378-49D9-8B2D-AF2FB5DAD505}"/>
    <cellStyle name="Normal 5 2 2 2 2 3 4 4" xfId="19538" xr:uid="{D77B1A6F-DFD5-4941-86CF-276117D30415}"/>
    <cellStyle name="Normal 5 2 2 2 2 3 4 5" xfId="10257" xr:uid="{E52E0F2B-78F7-4438-A80D-09448D8A8B4C}"/>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26313" xr:uid="{05E1BF4E-F215-40CC-BEB1-8DF5A5EEB337}"/>
    <cellStyle name="Normal 5 2 2 2 2 3 5 2 2 3" xfId="17033" xr:uid="{C7F85771-3E9D-4D21-AC52-9C171635998D}"/>
    <cellStyle name="Normal 5 2 2 2 2 3 5 2 3" xfId="22096" xr:uid="{B07706E1-EB30-4C72-B920-7EAC5375B846}"/>
    <cellStyle name="Normal 5 2 2 2 2 3 5 2 4" xfId="12815" xr:uid="{9ABD75A1-8D50-4E90-A64C-BF8FAAE9694F}"/>
    <cellStyle name="Normal 5 2 2 2 2 3 5 3" xfId="6438" xr:uid="{00000000-0005-0000-0000-000031170000}"/>
    <cellStyle name="Normal 5 2 2 2 2 3 5 3 2" xfId="24168" xr:uid="{A46F32E9-D727-4265-9C9B-6B64AB41B372}"/>
    <cellStyle name="Normal 5 2 2 2 2 3 5 3 3" xfId="14888" xr:uid="{91B693EE-3018-49C3-99AB-3F4A4EC28FCB}"/>
    <cellStyle name="Normal 5 2 2 2 2 3 5 4" xfId="19951" xr:uid="{E2F851B3-9365-4610-8EFF-10F6F90ADB0E}"/>
    <cellStyle name="Normal 5 2 2 2 2 3 5 5" xfId="10670" xr:uid="{566B90D9-298F-4837-A23D-6307110AD741}"/>
    <cellStyle name="Normal 5 2 2 2 2 3 6" xfId="2568" xr:uid="{00000000-0005-0000-0000-000032170000}"/>
    <cellStyle name="Normal 5 2 2 2 2 3 6 2" xfId="6851" xr:uid="{00000000-0005-0000-0000-000033170000}"/>
    <cellStyle name="Normal 5 2 2 2 2 3 6 2 2" xfId="24581" xr:uid="{ADF5BCB0-43C7-40AC-9C64-E896AD1058A1}"/>
    <cellStyle name="Normal 5 2 2 2 2 3 6 2 3" xfId="15301" xr:uid="{E5A7D3F9-7D21-4E66-BBB2-6090E396FD1F}"/>
    <cellStyle name="Normal 5 2 2 2 2 3 6 3" xfId="20364" xr:uid="{7952066F-4023-448A-B23E-8C2336793F14}"/>
    <cellStyle name="Normal 5 2 2 2 2 3 6 4" xfId="11083" xr:uid="{97CBBA10-EA43-490F-B57B-B1896CB4895C}"/>
    <cellStyle name="Normal 5 2 2 2 2 3 7" xfId="4786" xr:uid="{00000000-0005-0000-0000-000034170000}"/>
    <cellStyle name="Normal 5 2 2 2 2 3 7 2" xfId="22516" xr:uid="{8E1EEB09-6204-4C70-BB78-9019E9002B28}"/>
    <cellStyle name="Normal 5 2 2 2 2 3 7 3" xfId="13236" xr:uid="{11C60BFC-A918-4C7E-A319-9F00A7F4B49F}"/>
    <cellStyle name="Normal 5 2 2 2 2 3 8" xfId="18299" xr:uid="{37EAE9BD-3369-4616-8921-860B82834F9E}"/>
    <cellStyle name="Normal 5 2 2 2 2 3 9" xfId="17465" xr:uid="{0A56046D-7CAA-42E6-8169-830D1A9196D7}"/>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25071" xr:uid="{E533885D-8AFA-4040-9990-7A0FD32A3DDA}"/>
    <cellStyle name="Normal 5 2 2 2 2 4 2 2 3" xfId="15791" xr:uid="{A5B5B190-26BE-43A7-91CD-CE6317E2A2FE}"/>
    <cellStyle name="Normal 5 2 2 2 2 4 2 3" xfId="20854" xr:uid="{20079FB6-BCA2-4133-B516-242424AA8B9A}"/>
    <cellStyle name="Normal 5 2 2 2 2 4 2 4" xfId="11573" xr:uid="{9C3D601D-0568-4C76-A3D0-8645448896E3}"/>
    <cellStyle name="Normal 5 2 2 2 2 4 3" xfId="5196" xr:uid="{00000000-0005-0000-0000-000038170000}"/>
    <cellStyle name="Normal 5 2 2 2 2 4 3 2" xfId="22926" xr:uid="{17968EFD-C89F-4908-9683-72F20EF5F163}"/>
    <cellStyle name="Normal 5 2 2 2 2 4 3 3" xfId="13646" xr:uid="{698206C5-BB3F-48B6-82CD-C71D24F049FF}"/>
    <cellStyle name="Normal 5 2 2 2 2 4 4" xfId="18709" xr:uid="{C8E7A96F-45B7-4780-BB5D-568EED8C4BF3}"/>
    <cellStyle name="Normal 5 2 2 2 2 4 5" xfId="17881" xr:uid="{CE770183-F387-4457-8C00-C2A2D5F79843}"/>
    <cellStyle name="Normal 5 2 2 2 2 4 6" xfId="9428" xr:uid="{C45E7EEA-50F4-4959-ACD3-CD06B1D1638D}"/>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25484" xr:uid="{A325F8D2-502C-4E04-82B8-72EA382C8247}"/>
    <cellStyle name="Normal 5 2 2 2 2 5 2 2 3" xfId="16204" xr:uid="{C0781CF4-3207-4D2B-910A-EE313B78A2E4}"/>
    <cellStyle name="Normal 5 2 2 2 2 5 2 3" xfId="21267" xr:uid="{037E760C-D123-4C7E-8197-31667E9DC60A}"/>
    <cellStyle name="Normal 5 2 2 2 2 5 2 4" xfId="11986" xr:uid="{153A2503-1428-4DF5-AA9A-CD8ECB1D61E8}"/>
    <cellStyle name="Normal 5 2 2 2 2 5 3" xfId="5609" xr:uid="{00000000-0005-0000-0000-00003C170000}"/>
    <cellStyle name="Normal 5 2 2 2 2 5 3 2" xfId="23339" xr:uid="{A7911F77-1891-47BF-9CB3-7CBFB747DFEA}"/>
    <cellStyle name="Normal 5 2 2 2 2 5 3 3" xfId="14059" xr:uid="{D1E7B4F2-6640-4F34-920C-6B5811797AAE}"/>
    <cellStyle name="Normal 5 2 2 2 2 5 4" xfId="19122" xr:uid="{6C682F65-D0E4-4AE1-B1E0-06D2016801B5}"/>
    <cellStyle name="Normal 5 2 2 2 2 5 5" xfId="9841" xr:uid="{2F26E5B3-198C-49F0-B014-D0083303A98D}"/>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25897" xr:uid="{327B423E-0491-440F-AB2E-0757F1FB30E5}"/>
    <cellStyle name="Normal 5 2 2 2 2 6 2 2 3" xfId="16617" xr:uid="{60D6CC48-3964-4C87-A83F-FC4947E70B26}"/>
    <cellStyle name="Normal 5 2 2 2 2 6 2 3" xfId="21680" xr:uid="{1E4DD368-C517-4BEC-943E-90E616CB18DF}"/>
    <cellStyle name="Normal 5 2 2 2 2 6 2 4" xfId="12399" xr:uid="{08026888-5871-454D-BAD6-CE5303E2793B}"/>
    <cellStyle name="Normal 5 2 2 2 2 6 3" xfId="6022" xr:uid="{00000000-0005-0000-0000-000040170000}"/>
    <cellStyle name="Normal 5 2 2 2 2 6 3 2" xfId="23752" xr:uid="{FCD5EE96-51B8-453D-9728-8490AF9EDC93}"/>
    <cellStyle name="Normal 5 2 2 2 2 6 3 3" xfId="14472" xr:uid="{97645ECB-81C9-4EEF-8DE0-472FBA955094}"/>
    <cellStyle name="Normal 5 2 2 2 2 6 4" xfId="19535" xr:uid="{A5FF54A9-BD2F-46AC-B4BD-9B79AFD6481C}"/>
    <cellStyle name="Normal 5 2 2 2 2 6 5" xfId="10254" xr:uid="{73E9C70E-5A57-4968-A40E-4C226C5CE561}"/>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26310" xr:uid="{249A9454-9C53-44DA-9411-612F1B69DB60}"/>
    <cellStyle name="Normal 5 2 2 2 2 7 2 2 3" xfId="17030" xr:uid="{9BFBBC89-8B3B-4E39-8708-7B4E51A66F1F}"/>
    <cellStyle name="Normal 5 2 2 2 2 7 2 3" xfId="22093" xr:uid="{6CBAB1E8-697D-4AE4-8765-47FF9D410900}"/>
    <cellStyle name="Normal 5 2 2 2 2 7 2 4" xfId="12812" xr:uid="{583EFD0F-250D-42BC-A73E-A5397990E081}"/>
    <cellStyle name="Normal 5 2 2 2 2 7 3" xfId="6435" xr:uid="{00000000-0005-0000-0000-000044170000}"/>
    <cellStyle name="Normal 5 2 2 2 2 7 3 2" xfId="24165" xr:uid="{783FF531-A6D8-4AE3-B14A-340C0518EB47}"/>
    <cellStyle name="Normal 5 2 2 2 2 7 3 3" xfId="14885" xr:uid="{78345DBF-81E0-4291-B2AE-CBEC13F5FBB1}"/>
    <cellStyle name="Normal 5 2 2 2 2 7 4" xfId="19948" xr:uid="{1B52A506-A666-4B14-8CB6-2ECC318857E7}"/>
    <cellStyle name="Normal 5 2 2 2 2 7 5" xfId="10667" xr:uid="{18CE6AC1-921A-4033-BC3A-A86823E77E69}"/>
    <cellStyle name="Normal 5 2 2 2 2 8" xfId="2565" xr:uid="{00000000-0005-0000-0000-000045170000}"/>
    <cellStyle name="Normal 5 2 2 2 2 8 2" xfId="6848" xr:uid="{00000000-0005-0000-0000-000046170000}"/>
    <cellStyle name="Normal 5 2 2 2 2 8 2 2" xfId="24578" xr:uid="{5A3B1850-27DE-4958-A06F-5E060BA28BF4}"/>
    <cellStyle name="Normal 5 2 2 2 2 8 2 3" xfId="15298" xr:uid="{70C36345-0AFC-4B4E-98B6-B26C7A3432F5}"/>
    <cellStyle name="Normal 5 2 2 2 2 8 3" xfId="20361" xr:uid="{7464C696-FFE1-4553-95B6-3B5669861BB2}"/>
    <cellStyle name="Normal 5 2 2 2 2 8 4" xfId="11080" xr:uid="{BF3B6A44-F06C-4F2C-84A6-4FB068C9FF8C}"/>
    <cellStyle name="Normal 5 2 2 2 2 9" xfId="4783" xr:uid="{00000000-0005-0000-0000-000047170000}"/>
    <cellStyle name="Normal 5 2 2 2 2 9 2" xfId="22513" xr:uid="{B9E53407-6EB1-41E7-9409-5CF56ABDD617}"/>
    <cellStyle name="Normal 5 2 2 2 2 9 3" xfId="13233" xr:uid="{AA6A7623-BF0F-4BC6-B7D6-E008003C42CA}"/>
    <cellStyle name="Normal 5 2 2 2 3" xfId="414" xr:uid="{00000000-0005-0000-0000-000048170000}"/>
    <cellStyle name="Normal 5 2 2 2 3 10" xfId="17466" xr:uid="{D66E68C7-232C-456E-9189-5C381573ACC4}"/>
    <cellStyle name="Normal 5 2 2 2 3 11" xfId="9019" xr:uid="{F320295B-5869-457C-BD14-4C892100A80C}"/>
    <cellStyle name="Normal 5 2 2 2 3 2" xfId="415" xr:uid="{00000000-0005-0000-0000-000049170000}"/>
    <cellStyle name="Normal 5 2 2 2 3 2 10" xfId="9020" xr:uid="{FBE329E1-7C78-45BF-AFB5-FF8E7316E834}"/>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25076" xr:uid="{E334E48E-4747-42F6-891F-AC8D51444168}"/>
    <cellStyle name="Normal 5 2 2 2 3 2 2 2 2 3" xfId="15796" xr:uid="{FCEDF252-F30E-4DD3-9A93-F54D4823C5B1}"/>
    <cellStyle name="Normal 5 2 2 2 3 2 2 2 3" xfId="20859" xr:uid="{04C4787D-C5B0-4819-9DDF-9DDBC9A34D74}"/>
    <cellStyle name="Normal 5 2 2 2 3 2 2 2 4" xfId="11578" xr:uid="{449F1C00-8C3D-4540-9B87-A64C43D31316}"/>
    <cellStyle name="Normal 5 2 2 2 3 2 2 3" xfId="5201" xr:uid="{00000000-0005-0000-0000-00004D170000}"/>
    <cellStyle name="Normal 5 2 2 2 3 2 2 3 2" xfId="22931" xr:uid="{59F70612-71C0-4CFA-B0B1-1B2C715997A8}"/>
    <cellStyle name="Normal 5 2 2 2 3 2 2 3 3" xfId="13651" xr:uid="{06C1E228-F071-4DE5-BC32-0FE8A7C4AB5D}"/>
    <cellStyle name="Normal 5 2 2 2 3 2 2 4" xfId="18714" xr:uid="{C7E5B5EF-4032-494C-B9C9-E68A41CD6AB1}"/>
    <cellStyle name="Normal 5 2 2 2 3 2 2 5" xfId="17886" xr:uid="{245E6F8D-95F2-499A-AF57-B14E0AFF1DF0}"/>
    <cellStyle name="Normal 5 2 2 2 3 2 2 6" xfId="9433" xr:uid="{C120C97D-B73C-400B-BBED-FBCE06D14D0F}"/>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25489" xr:uid="{BC95B433-4321-4B9E-8549-4E09519E59C1}"/>
    <cellStyle name="Normal 5 2 2 2 3 2 3 2 2 3" xfId="16209" xr:uid="{8F3D187B-AEEA-4628-B067-A1064C32F3ED}"/>
    <cellStyle name="Normal 5 2 2 2 3 2 3 2 3" xfId="21272" xr:uid="{8103FE24-3DF0-4FFA-92AE-3EFC64EB5D7F}"/>
    <cellStyle name="Normal 5 2 2 2 3 2 3 2 4" xfId="11991" xr:uid="{21C4A46F-E072-488C-A565-7CB95FF42095}"/>
    <cellStyle name="Normal 5 2 2 2 3 2 3 3" xfId="5614" xr:uid="{00000000-0005-0000-0000-000051170000}"/>
    <cellStyle name="Normal 5 2 2 2 3 2 3 3 2" xfId="23344" xr:uid="{D01A1EC2-06E9-4761-B639-AEC2ACD8F380}"/>
    <cellStyle name="Normal 5 2 2 2 3 2 3 3 3" xfId="14064" xr:uid="{5C090EB2-7976-480A-8CCA-2D3DE5BA4F74}"/>
    <cellStyle name="Normal 5 2 2 2 3 2 3 4" xfId="19127" xr:uid="{2FFBDC7D-A9D5-422B-810C-1CD9E6BAD17C}"/>
    <cellStyle name="Normal 5 2 2 2 3 2 3 5" xfId="9846" xr:uid="{8E7C2BB5-77B2-406E-ADFE-E3FA0DA5DE6C}"/>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25902" xr:uid="{E6B1C8E9-7390-457A-9F75-3C4F6FC3F264}"/>
    <cellStyle name="Normal 5 2 2 2 3 2 4 2 2 3" xfId="16622" xr:uid="{1347645D-C866-4A7B-860F-D8FA20A66AAD}"/>
    <cellStyle name="Normal 5 2 2 2 3 2 4 2 3" xfId="21685" xr:uid="{A593C129-6210-4E96-B03B-229BB418AAC7}"/>
    <cellStyle name="Normal 5 2 2 2 3 2 4 2 4" xfId="12404" xr:uid="{20D76F85-51EB-484A-8F74-D2065BF5222A}"/>
    <cellStyle name="Normal 5 2 2 2 3 2 4 3" xfId="6027" xr:uid="{00000000-0005-0000-0000-000055170000}"/>
    <cellStyle name="Normal 5 2 2 2 3 2 4 3 2" xfId="23757" xr:uid="{AD2F208B-450D-4A90-BA0F-6100C60D8FB4}"/>
    <cellStyle name="Normal 5 2 2 2 3 2 4 3 3" xfId="14477" xr:uid="{B1C11198-7300-401D-BA8A-2BC6C31D5EF1}"/>
    <cellStyle name="Normal 5 2 2 2 3 2 4 4" xfId="19540" xr:uid="{E4FE4C99-19F9-41FF-A3C9-019967509080}"/>
    <cellStyle name="Normal 5 2 2 2 3 2 4 5" xfId="10259" xr:uid="{81BFE711-9F51-47C6-AB5F-3B3AB676E53D}"/>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26315" xr:uid="{6059F705-1A79-4075-BF02-4A89BC0993B2}"/>
    <cellStyle name="Normal 5 2 2 2 3 2 5 2 2 3" xfId="17035" xr:uid="{87F13492-4C2F-4AE6-AA8A-D8918D1F8C95}"/>
    <cellStyle name="Normal 5 2 2 2 3 2 5 2 3" xfId="22098" xr:uid="{476FF13D-8B87-4447-ADDE-839943B872EC}"/>
    <cellStyle name="Normal 5 2 2 2 3 2 5 2 4" xfId="12817" xr:uid="{98253BDF-A027-400B-A090-34DA99720DCE}"/>
    <cellStyle name="Normal 5 2 2 2 3 2 5 3" xfId="6440" xr:uid="{00000000-0005-0000-0000-000059170000}"/>
    <cellStyle name="Normal 5 2 2 2 3 2 5 3 2" xfId="24170" xr:uid="{C493AA64-F6A4-4458-B332-CE784457ADF4}"/>
    <cellStyle name="Normal 5 2 2 2 3 2 5 3 3" xfId="14890" xr:uid="{6DE137C1-9B9B-4BCD-83A6-FF510D7879AC}"/>
    <cellStyle name="Normal 5 2 2 2 3 2 5 4" xfId="19953" xr:uid="{36893404-C54B-44E3-B087-773F667E98EE}"/>
    <cellStyle name="Normal 5 2 2 2 3 2 5 5" xfId="10672" xr:uid="{3C785AA2-2D82-4D51-90D4-55A30C0D506B}"/>
    <cellStyle name="Normal 5 2 2 2 3 2 6" xfId="2570" xr:uid="{00000000-0005-0000-0000-00005A170000}"/>
    <cellStyle name="Normal 5 2 2 2 3 2 6 2" xfId="6853" xr:uid="{00000000-0005-0000-0000-00005B170000}"/>
    <cellStyle name="Normal 5 2 2 2 3 2 6 2 2" xfId="24583" xr:uid="{DAF52787-4803-4B56-BA93-942207D5A5AC}"/>
    <cellStyle name="Normal 5 2 2 2 3 2 6 2 3" xfId="15303" xr:uid="{4CF2FB1C-6DFE-4CB2-A067-BE621D3880A9}"/>
    <cellStyle name="Normal 5 2 2 2 3 2 6 3" xfId="20366" xr:uid="{400FC561-175F-4A84-BF3D-4C4087D95BAB}"/>
    <cellStyle name="Normal 5 2 2 2 3 2 6 4" xfId="11085" xr:uid="{005DD3C1-6623-4F8E-9E6C-20D5083EA3C1}"/>
    <cellStyle name="Normal 5 2 2 2 3 2 7" xfId="4788" xr:uid="{00000000-0005-0000-0000-00005C170000}"/>
    <cellStyle name="Normal 5 2 2 2 3 2 7 2" xfId="22518" xr:uid="{C2ED6A6A-2EF1-4BD4-B223-8E7592CA72C3}"/>
    <cellStyle name="Normal 5 2 2 2 3 2 7 3" xfId="13238" xr:uid="{E957BA26-8EF3-44FE-BD52-F71C0BBF258C}"/>
    <cellStyle name="Normal 5 2 2 2 3 2 8" xfId="18301" xr:uid="{D41B5B9A-0484-429B-B826-57ACEB2D77DC}"/>
    <cellStyle name="Normal 5 2 2 2 3 2 9" xfId="17467" xr:uid="{B939697B-19AC-45A2-8F60-4465306C283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25075" xr:uid="{B06B1D5E-0D23-46AB-9498-77D034887BB6}"/>
    <cellStyle name="Normal 5 2 2 2 3 3 2 2 3" xfId="15795" xr:uid="{DC33B5FE-5F2E-4838-BFC8-D9C0D6C31DB8}"/>
    <cellStyle name="Normal 5 2 2 2 3 3 2 3" xfId="20858" xr:uid="{23CF9B4D-52F0-47DC-99B1-C6C6FC41B2AB}"/>
    <cellStyle name="Normal 5 2 2 2 3 3 2 4" xfId="11577" xr:uid="{C3971CFE-2FB5-4F42-90FB-7D5FBD542046}"/>
    <cellStyle name="Normal 5 2 2 2 3 3 3" xfId="5200" xr:uid="{00000000-0005-0000-0000-000060170000}"/>
    <cellStyle name="Normal 5 2 2 2 3 3 3 2" xfId="22930" xr:uid="{328BF053-5780-4DFA-AEAE-DA1C1EA20F2B}"/>
    <cellStyle name="Normal 5 2 2 2 3 3 3 3" xfId="13650" xr:uid="{B7386D34-06C7-4B3A-8D14-9F92B629796F}"/>
    <cellStyle name="Normal 5 2 2 2 3 3 4" xfId="18713" xr:uid="{1FF5A678-5AA1-4682-8F55-D63C9D98A0C6}"/>
    <cellStyle name="Normal 5 2 2 2 3 3 5" xfId="17885" xr:uid="{0B58FA6A-5A82-48B7-8325-FEAA1BDA2A7F}"/>
    <cellStyle name="Normal 5 2 2 2 3 3 6" xfId="9432" xr:uid="{E87D0518-6997-4A22-A058-91751E0D921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25488" xr:uid="{39C7CFB9-0249-40D3-8952-B30277F85802}"/>
    <cellStyle name="Normal 5 2 2 2 3 4 2 2 3" xfId="16208" xr:uid="{731D2C4C-0B91-406E-8623-ACF35D52B88C}"/>
    <cellStyle name="Normal 5 2 2 2 3 4 2 3" xfId="21271" xr:uid="{FEEF09CA-5432-4B7D-A605-E551966F4CBD}"/>
    <cellStyle name="Normal 5 2 2 2 3 4 2 4" xfId="11990" xr:uid="{98920E7E-C67E-4828-9D78-5B00F227D7D8}"/>
    <cellStyle name="Normal 5 2 2 2 3 4 3" xfId="5613" xr:uid="{00000000-0005-0000-0000-000064170000}"/>
    <cellStyle name="Normal 5 2 2 2 3 4 3 2" xfId="23343" xr:uid="{6E2519ED-0C30-415C-8B37-793BE57C91B4}"/>
    <cellStyle name="Normal 5 2 2 2 3 4 3 3" xfId="14063" xr:uid="{26621503-931C-44AD-8BF4-3561C192FE72}"/>
    <cellStyle name="Normal 5 2 2 2 3 4 4" xfId="19126" xr:uid="{0397D347-332F-4E91-9F9F-A29F51C458B4}"/>
    <cellStyle name="Normal 5 2 2 2 3 4 5" xfId="9845" xr:uid="{D8729E64-21E2-4904-81EC-E28967A0A89D}"/>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25901" xr:uid="{479FAAEF-1D58-436F-9962-658B336D38E7}"/>
    <cellStyle name="Normal 5 2 2 2 3 5 2 2 3" xfId="16621" xr:uid="{F0DAE0AF-32FF-487D-BD89-3DA06E0FFCEA}"/>
    <cellStyle name="Normal 5 2 2 2 3 5 2 3" xfId="21684" xr:uid="{C210D07D-ABF5-4920-8BFD-994274F6E3EE}"/>
    <cellStyle name="Normal 5 2 2 2 3 5 2 4" xfId="12403" xr:uid="{0BCADD80-14F5-43C3-B837-7460BEAF7FC6}"/>
    <cellStyle name="Normal 5 2 2 2 3 5 3" xfId="6026" xr:uid="{00000000-0005-0000-0000-000068170000}"/>
    <cellStyle name="Normal 5 2 2 2 3 5 3 2" xfId="23756" xr:uid="{73B4D0C4-FF21-4614-816C-6F85F99436B4}"/>
    <cellStyle name="Normal 5 2 2 2 3 5 3 3" xfId="14476" xr:uid="{436B4950-D268-4D2E-877C-FB30B1581C4A}"/>
    <cellStyle name="Normal 5 2 2 2 3 5 4" xfId="19539" xr:uid="{7FAE5C95-70EE-4A54-BB9F-05B3243B5BC9}"/>
    <cellStyle name="Normal 5 2 2 2 3 5 5" xfId="10258" xr:uid="{DB30E87C-E1D6-478C-B91D-DC42D5E0E2D8}"/>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26314" xr:uid="{5407E1C6-2CD2-42A7-BA5A-B1D8F1CB4A06}"/>
    <cellStyle name="Normal 5 2 2 2 3 6 2 2 3" xfId="17034" xr:uid="{46D5E908-70A2-4D39-BCC0-42E2B116C66D}"/>
    <cellStyle name="Normal 5 2 2 2 3 6 2 3" xfId="22097" xr:uid="{77E5D38D-2D68-4409-BE77-DD1CC82BDC80}"/>
    <cellStyle name="Normal 5 2 2 2 3 6 2 4" xfId="12816" xr:uid="{B8FF8C2A-A84E-496C-95DD-1856E0F092A2}"/>
    <cellStyle name="Normal 5 2 2 2 3 6 3" xfId="6439" xr:uid="{00000000-0005-0000-0000-00006C170000}"/>
    <cellStyle name="Normal 5 2 2 2 3 6 3 2" xfId="24169" xr:uid="{4ABB59D3-9869-4C1A-98E5-55EA48FEA4CC}"/>
    <cellStyle name="Normal 5 2 2 2 3 6 3 3" xfId="14889" xr:uid="{7E8DD3D9-ECA7-4E57-9C1D-3EF98920C290}"/>
    <cellStyle name="Normal 5 2 2 2 3 6 4" xfId="19952" xr:uid="{563E7F50-220C-4A14-B242-CDF2AD6B11B2}"/>
    <cellStyle name="Normal 5 2 2 2 3 6 5" xfId="10671" xr:uid="{42A7132D-C6EC-488C-8B3A-B88356D1931E}"/>
    <cellStyle name="Normal 5 2 2 2 3 7" xfId="2569" xr:uid="{00000000-0005-0000-0000-00006D170000}"/>
    <cellStyle name="Normal 5 2 2 2 3 7 2" xfId="6852" xr:uid="{00000000-0005-0000-0000-00006E170000}"/>
    <cellStyle name="Normal 5 2 2 2 3 7 2 2" xfId="24582" xr:uid="{2D7C9035-F8BE-4511-AC0F-91FD103D17C5}"/>
    <cellStyle name="Normal 5 2 2 2 3 7 2 3" xfId="15302" xr:uid="{70261003-2EC6-4668-96A8-19C8DC92B658}"/>
    <cellStyle name="Normal 5 2 2 2 3 7 3" xfId="20365" xr:uid="{154F02AB-027F-4A66-AE6E-D34809EE0CC2}"/>
    <cellStyle name="Normal 5 2 2 2 3 7 4" xfId="11084" xr:uid="{54258037-4E0C-4B3A-9D24-44D4025302BF}"/>
    <cellStyle name="Normal 5 2 2 2 3 8" xfId="4787" xr:uid="{00000000-0005-0000-0000-00006F170000}"/>
    <cellStyle name="Normal 5 2 2 2 3 8 2" xfId="22517" xr:uid="{BE3FC2D3-DDC7-422D-8139-0155136C7DBB}"/>
    <cellStyle name="Normal 5 2 2 2 3 8 3" xfId="13237" xr:uid="{BFB4C06A-627F-486A-80C4-A5FF481CA8FF}"/>
    <cellStyle name="Normal 5 2 2 2 3 9" xfId="18300" xr:uid="{75C3E698-4767-4E41-94EE-868D6EF98749}"/>
    <cellStyle name="Normal 5 2 2 2 4" xfId="416" xr:uid="{00000000-0005-0000-0000-000070170000}"/>
    <cellStyle name="Normal 5 2 2 2 4 10" xfId="9021" xr:uid="{C8DE763E-250F-4915-BB3C-97E2E97C306A}"/>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25077" xr:uid="{2F34D2A9-2287-4D16-B317-F20C49DFFAEC}"/>
    <cellStyle name="Normal 5 2 2 2 4 2 2 2 3" xfId="15797" xr:uid="{BDA23176-612F-461C-AAF0-B79D7559BF7A}"/>
    <cellStyle name="Normal 5 2 2 2 4 2 2 3" xfId="20860" xr:uid="{6B5123D4-A909-43AE-AED7-4354C304F5DC}"/>
    <cellStyle name="Normal 5 2 2 2 4 2 2 4" xfId="11579" xr:uid="{9C2FA99F-7653-4C47-9152-2B21D7E6C489}"/>
    <cellStyle name="Normal 5 2 2 2 4 2 3" xfId="5202" xr:uid="{00000000-0005-0000-0000-000074170000}"/>
    <cellStyle name="Normal 5 2 2 2 4 2 3 2" xfId="22932" xr:uid="{22040652-CB26-4E09-AF21-B73AA36E827B}"/>
    <cellStyle name="Normal 5 2 2 2 4 2 3 3" xfId="13652" xr:uid="{A0EACB83-7646-459E-82B2-4E1B89374BF7}"/>
    <cellStyle name="Normal 5 2 2 2 4 2 4" xfId="18715" xr:uid="{42E24BEF-3CAF-4F27-9BC7-DE4DF50D0B7E}"/>
    <cellStyle name="Normal 5 2 2 2 4 2 5" xfId="17887" xr:uid="{AC98B63B-C4C8-4B55-817D-24C46B063345}"/>
    <cellStyle name="Normal 5 2 2 2 4 2 6" xfId="9434" xr:uid="{6CFFE063-60EB-4B26-AB28-8F3EB61C829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25490" xr:uid="{293B6090-D7E7-4859-8D71-D5A7ACD81609}"/>
    <cellStyle name="Normal 5 2 2 2 4 3 2 2 3" xfId="16210" xr:uid="{41CA51F5-69EE-4A6C-8529-761A9F2AD710}"/>
    <cellStyle name="Normal 5 2 2 2 4 3 2 3" xfId="21273" xr:uid="{25D7B341-BBB1-4DDB-B6A1-AE40AE002525}"/>
    <cellStyle name="Normal 5 2 2 2 4 3 2 4" xfId="11992" xr:uid="{4965D941-4AE1-44A3-8E7B-B14DDA7A824D}"/>
    <cellStyle name="Normal 5 2 2 2 4 3 3" xfId="5615" xr:uid="{00000000-0005-0000-0000-000078170000}"/>
    <cellStyle name="Normal 5 2 2 2 4 3 3 2" xfId="23345" xr:uid="{C7D50171-030D-4C38-89B8-46DBE0C7A064}"/>
    <cellStyle name="Normal 5 2 2 2 4 3 3 3" xfId="14065" xr:uid="{C9E13DA6-8285-48AD-A6B7-9F20F248EDC2}"/>
    <cellStyle name="Normal 5 2 2 2 4 3 4" xfId="19128" xr:uid="{3F1D5579-AD1E-46F3-99CA-FD3621C0C8FF}"/>
    <cellStyle name="Normal 5 2 2 2 4 3 5" xfId="9847" xr:uid="{82778D73-61D8-48AA-A7EB-E8BD9D97169C}"/>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25903" xr:uid="{8FB951EC-E02F-4960-A61D-181B5AF776A6}"/>
    <cellStyle name="Normal 5 2 2 2 4 4 2 2 3" xfId="16623" xr:uid="{6575E222-9ABE-4706-843E-24034302ADC4}"/>
    <cellStyle name="Normal 5 2 2 2 4 4 2 3" xfId="21686" xr:uid="{8B724381-3DBF-4703-A39F-2880E28CB6E7}"/>
    <cellStyle name="Normal 5 2 2 2 4 4 2 4" xfId="12405" xr:uid="{3F00B3A9-72F7-45E4-BAA8-8BE7DFB68EA7}"/>
    <cellStyle name="Normal 5 2 2 2 4 4 3" xfId="6028" xr:uid="{00000000-0005-0000-0000-00007C170000}"/>
    <cellStyle name="Normal 5 2 2 2 4 4 3 2" xfId="23758" xr:uid="{B6CC8223-A615-47D7-9F36-3A3F02269988}"/>
    <cellStyle name="Normal 5 2 2 2 4 4 3 3" xfId="14478" xr:uid="{A666DBB8-3135-4B65-860A-356C2D92DE5D}"/>
    <cellStyle name="Normal 5 2 2 2 4 4 4" xfId="19541" xr:uid="{0E02E68B-B42B-4D3F-B602-CC1E3583CF44}"/>
    <cellStyle name="Normal 5 2 2 2 4 4 5" xfId="10260" xr:uid="{91B0A0F0-C934-443F-8AA8-CF7515236426}"/>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26316" xr:uid="{920785D3-5BAB-4C22-96A7-E467C128C69C}"/>
    <cellStyle name="Normal 5 2 2 2 4 5 2 2 3" xfId="17036" xr:uid="{F820F92F-E535-4746-9A90-4909A1FBAD3B}"/>
    <cellStyle name="Normal 5 2 2 2 4 5 2 3" xfId="22099" xr:uid="{3A98BE08-F9B9-48D2-A1FE-E753856DA0DC}"/>
    <cellStyle name="Normal 5 2 2 2 4 5 2 4" xfId="12818" xr:uid="{5503E109-844F-4317-A4B1-8F303B6CEB02}"/>
    <cellStyle name="Normal 5 2 2 2 4 5 3" xfId="6441" xr:uid="{00000000-0005-0000-0000-000080170000}"/>
    <cellStyle name="Normal 5 2 2 2 4 5 3 2" xfId="24171" xr:uid="{1175C22C-C4E8-4844-A3B7-20499384687F}"/>
    <cellStyle name="Normal 5 2 2 2 4 5 3 3" xfId="14891" xr:uid="{68D028EE-BDA2-4188-B392-0F6771C46C36}"/>
    <cellStyle name="Normal 5 2 2 2 4 5 4" xfId="19954" xr:uid="{5F0DC83A-160C-4BBB-8467-B1435352F72D}"/>
    <cellStyle name="Normal 5 2 2 2 4 5 5" xfId="10673" xr:uid="{201B7848-89DB-4932-ACCF-0886215D7952}"/>
    <cellStyle name="Normal 5 2 2 2 4 6" xfId="2571" xr:uid="{00000000-0005-0000-0000-000081170000}"/>
    <cellStyle name="Normal 5 2 2 2 4 6 2" xfId="6854" xr:uid="{00000000-0005-0000-0000-000082170000}"/>
    <cellStyle name="Normal 5 2 2 2 4 6 2 2" xfId="24584" xr:uid="{73005FA4-7D59-4FF1-8FD1-67266C1D75C1}"/>
    <cellStyle name="Normal 5 2 2 2 4 6 2 3" xfId="15304" xr:uid="{751064AB-F68A-4929-B142-A791F4ECAD68}"/>
    <cellStyle name="Normal 5 2 2 2 4 6 3" xfId="20367" xr:uid="{D011F66E-98E4-4BE5-A355-B931CCC91B01}"/>
    <cellStyle name="Normal 5 2 2 2 4 6 4" xfId="11086" xr:uid="{EAF2E866-9D4C-4461-8F9A-B95EFDF33C68}"/>
    <cellStyle name="Normal 5 2 2 2 4 7" xfId="4789" xr:uid="{00000000-0005-0000-0000-000083170000}"/>
    <cellStyle name="Normal 5 2 2 2 4 7 2" xfId="22519" xr:uid="{6C0D84AC-0A3A-4CE4-B6A6-A3D14A0A4C50}"/>
    <cellStyle name="Normal 5 2 2 2 4 7 3" xfId="13239" xr:uid="{DD95E6CF-F9B9-4AF7-A6F8-D8CCB00FC268}"/>
    <cellStyle name="Normal 5 2 2 2 4 8" xfId="18302" xr:uid="{F213DB04-E1A2-4CED-9985-1752E8C032A8}"/>
    <cellStyle name="Normal 5 2 2 2 4 9" xfId="17468" xr:uid="{EF14EDC8-34A4-4040-9FFB-3E32F5D9B416}"/>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25070" xr:uid="{773C75FE-28A8-4952-A107-30221A2A2636}"/>
    <cellStyle name="Normal 5 2 2 2 5 2 2 3" xfId="15790" xr:uid="{FD0BF2B1-F629-43A1-9F4E-9151E2B93543}"/>
    <cellStyle name="Normal 5 2 2 2 5 2 3" xfId="20853" xr:uid="{D3C55C69-757F-4A57-A81C-0EB6898BA753}"/>
    <cellStyle name="Normal 5 2 2 2 5 2 4" xfId="11572" xr:uid="{7B9F698C-1B06-425D-A938-A01012E13989}"/>
    <cellStyle name="Normal 5 2 2 2 5 3" xfId="5195" xr:uid="{00000000-0005-0000-0000-000087170000}"/>
    <cellStyle name="Normal 5 2 2 2 5 3 2" xfId="22925" xr:uid="{3CD0DAEF-918A-46D5-BB37-00707D9FF933}"/>
    <cellStyle name="Normal 5 2 2 2 5 3 3" xfId="13645" xr:uid="{05361C73-8733-4664-AC70-7DEF08A916BE}"/>
    <cellStyle name="Normal 5 2 2 2 5 4" xfId="18708" xr:uid="{BCA51BFC-C4C1-4DEF-8A4B-566F2AF82DBA}"/>
    <cellStyle name="Normal 5 2 2 2 5 5" xfId="17880" xr:uid="{FCB90EA0-0111-449D-B1D4-0B02D3903344}"/>
    <cellStyle name="Normal 5 2 2 2 5 6" xfId="9427" xr:uid="{96256FC5-2CF6-4298-9884-B66C50E69281}"/>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25483" xr:uid="{0F5BC522-76D5-4603-A1F6-64B30EE7BF2A}"/>
    <cellStyle name="Normal 5 2 2 2 6 2 2 3" xfId="16203" xr:uid="{20982C11-9D10-453A-A285-5A616C0A2C0A}"/>
    <cellStyle name="Normal 5 2 2 2 6 2 3" xfId="21266" xr:uid="{9450F231-056C-4AE1-A3CD-FE9A90A04BDF}"/>
    <cellStyle name="Normal 5 2 2 2 6 2 4" xfId="11985" xr:uid="{72531280-CF80-47B0-BCD5-D992CFA3262E}"/>
    <cellStyle name="Normal 5 2 2 2 6 3" xfId="5608" xr:uid="{00000000-0005-0000-0000-00008B170000}"/>
    <cellStyle name="Normal 5 2 2 2 6 3 2" xfId="23338" xr:uid="{1273FAB3-6091-4116-904F-A288D89E4E95}"/>
    <cellStyle name="Normal 5 2 2 2 6 3 3" xfId="14058" xr:uid="{8584F6AD-5249-4677-8615-1BF9AE1B78F6}"/>
    <cellStyle name="Normal 5 2 2 2 6 4" xfId="19121" xr:uid="{6F99708B-584D-44E6-94C4-6EF9003876AE}"/>
    <cellStyle name="Normal 5 2 2 2 6 5" xfId="9840" xr:uid="{FB96A8E9-AC8B-4B05-8D0C-13EF24142BC0}"/>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25896" xr:uid="{A573D834-E775-4567-B930-3E08B8EA6F35}"/>
    <cellStyle name="Normal 5 2 2 2 7 2 2 3" xfId="16616" xr:uid="{1154352B-D8C3-41E2-A2BD-559D3D8D114C}"/>
    <cellStyle name="Normal 5 2 2 2 7 2 3" xfId="21679" xr:uid="{201EAB91-252E-4820-BE4A-7BF6785F45E9}"/>
    <cellStyle name="Normal 5 2 2 2 7 2 4" xfId="12398" xr:uid="{7F8621C4-5E33-44AC-93DE-0C219CB54B59}"/>
    <cellStyle name="Normal 5 2 2 2 7 3" xfId="6021" xr:uid="{00000000-0005-0000-0000-00008F170000}"/>
    <cellStyle name="Normal 5 2 2 2 7 3 2" xfId="23751" xr:uid="{8C2AB285-2C4D-4232-A169-4F20BCBC6BA7}"/>
    <cellStyle name="Normal 5 2 2 2 7 3 3" xfId="14471" xr:uid="{19D38CD5-ADDC-4ED6-9466-7F3EC5283CEC}"/>
    <cellStyle name="Normal 5 2 2 2 7 4" xfId="19534" xr:uid="{4C996769-5A08-45C2-8B61-A226264674AF}"/>
    <cellStyle name="Normal 5 2 2 2 7 5" xfId="10253" xr:uid="{E82EF25B-E9E8-450F-8937-30092016F4C5}"/>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26309" xr:uid="{89B511AE-92B8-40AF-B488-E4989FD71C48}"/>
    <cellStyle name="Normal 5 2 2 2 8 2 2 3" xfId="17029" xr:uid="{520E8EBA-6EB5-42CD-B93A-72FC9F8B0992}"/>
    <cellStyle name="Normal 5 2 2 2 8 2 3" xfId="22092" xr:uid="{DDD5993B-8163-4566-BCDA-039D231CB91E}"/>
    <cellStyle name="Normal 5 2 2 2 8 2 4" xfId="12811" xr:uid="{09E1E6D9-0726-45BC-9BA6-F51C34DC816A}"/>
    <cellStyle name="Normal 5 2 2 2 8 3" xfId="6434" xr:uid="{00000000-0005-0000-0000-000093170000}"/>
    <cellStyle name="Normal 5 2 2 2 8 3 2" xfId="24164" xr:uid="{84EF9523-A33B-4F67-8177-270BAA1E0DBA}"/>
    <cellStyle name="Normal 5 2 2 2 8 3 3" xfId="14884" xr:uid="{CF087D8A-8AEB-454E-AFD7-A223FE7471AA}"/>
    <cellStyle name="Normal 5 2 2 2 8 4" xfId="19947" xr:uid="{ABAEECCE-2E01-44CD-B986-1F39A5013C7D}"/>
    <cellStyle name="Normal 5 2 2 2 8 5" xfId="10666" xr:uid="{2A9B1A75-A45C-49F9-B305-86FE0C1B3D98}"/>
    <cellStyle name="Normal 5 2 2 2 9" xfId="2564" xr:uid="{00000000-0005-0000-0000-000094170000}"/>
    <cellStyle name="Normal 5 2 2 2 9 2" xfId="6847" xr:uid="{00000000-0005-0000-0000-000095170000}"/>
    <cellStyle name="Normal 5 2 2 2 9 2 2" xfId="24577" xr:uid="{021180E6-EDD4-450F-BF1F-B852B0580804}"/>
    <cellStyle name="Normal 5 2 2 2 9 2 3" xfId="15297" xr:uid="{2F754CFE-7215-48E3-85B0-E2B907E81A62}"/>
    <cellStyle name="Normal 5 2 2 2 9 3" xfId="20360" xr:uid="{CC9B8615-2BD6-489A-BA3A-47564E208B68}"/>
    <cellStyle name="Normal 5 2 2 2 9 4" xfId="11079" xr:uid="{10847612-ECDE-4475-9050-7A67A326480E}"/>
    <cellStyle name="Normal 5 2 2 3" xfId="417" xr:uid="{00000000-0005-0000-0000-000096170000}"/>
    <cellStyle name="Normal 5 2 2 3 10" xfId="18303" xr:uid="{B860D382-80FB-4918-8C53-237C73789920}"/>
    <cellStyle name="Normal 5 2 2 3 11" xfId="17469" xr:uid="{EE50B967-AED3-4CAE-8E71-F1D762B2DA8E}"/>
    <cellStyle name="Normal 5 2 2 3 12" xfId="9022" xr:uid="{674EAC83-4B5C-49C0-81C3-08B8F8F30318}"/>
    <cellStyle name="Normal 5 2 2 3 2" xfId="418" xr:uid="{00000000-0005-0000-0000-000097170000}"/>
    <cellStyle name="Normal 5 2 2 3 2 10" xfId="17470" xr:uid="{BC50F5C5-669D-4374-8190-663387310AD8}"/>
    <cellStyle name="Normal 5 2 2 3 2 11" xfId="9023" xr:uid="{E0DDA723-5FD2-4026-B11D-1C0D9836971D}"/>
    <cellStyle name="Normal 5 2 2 3 2 2" xfId="419" xr:uid="{00000000-0005-0000-0000-000098170000}"/>
    <cellStyle name="Normal 5 2 2 3 2 2 10" xfId="9024" xr:uid="{BE529BB9-68B7-4018-AB01-4EF0C0B82C35}"/>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25080" xr:uid="{99FA8EDC-6B8B-4444-B326-93B6BBA0B644}"/>
    <cellStyle name="Normal 5 2 2 3 2 2 2 2 2 3" xfId="15800" xr:uid="{531C5984-FE86-4099-AB81-6C482FF19F03}"/>
    <cellStyle name="Normal 5 2 2 3 2 2 2 2 3" xfId="20863" xr:uid="{07E65A44-033E-4B6F-B5D2-E989BEC6F46B}"/>
    <cellStyle name="Normal 5 2 2 3 2 2 2 2 4" xfId="11582" xr:uid="{65678CC9-E28F-4C9E-B253-4645690A8811}"/>
    <cellStyle name="Normal 5 2 2 3 2 2 2 3" xfId="5205" xr:uid="{00000000-0005-0000-0000-00009C170000}"/>
    <cellStyle name="Normal 5 2 2 3 2 2 2 3 2" xfId="22935" xr:uid="{2C524F9A-2A68-4124-B6B6-9693D6B94116}"/>
    <cellStyle name="Normal 5 2 2 3 2 2 2 3 3" xfId="13655" xr:uid="{B74E3AA2-A49D-4B5C-816F-7A4DAA59C5BD}"/>
    <cellStyle name="Normal 5 2 2 3 2 2 2 4" xfId="18718" xr:uid="{8ED48471-B546-4E46-8BA5-829C435FF106}"/>
    <cellStyle name="Normal 5 2 2 3 2 2 2 5" xfId="17890" xr:uid="{1715D60A-4094-4E5D-834B-17F88EAF129A}"/>
    <cellStyle name="Normal 5 2 2 3 2 2 2 6" xfId="9437" xr:uid="{D8E31983-B7A3-4796-984C-1AB7171E1E5A}"/>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25493" xr:uid="{19ECA49A-D5A4-45A9-A8EA-6A1A7203EE99}"/>
    <cellStyle name="Normal 5 2 2 3 2 2 3 2 2 3" xfId="16213" xr:uid="{2284C2B2-910E-4DC7-B1ED-85CFF995493E}"/>
    <cellStyle name="Normal 5 2 2 3 2 2 3 2 3" xfId="21276" xr:uid="{731EBD0A-82B3-4214-8B2F-6DF2E46977A7}"/>
    <cellStyle name="Normal 5 2 2 3 2 2 3 2 4" xfId="11995" xr:uid="{4CB0676C-8F44-438C-9923-F459CBCC42A5}"/>
    <cellStyle name="Normal 5 2 2 3 2 2 3 3" xfId="5618" xr:uid="{00000000-0005-0000-0000-0000A0170000}"/>
    <cellStyle name="Normal 5 2 2 3 2 2 3 3 2" xfId="23348" xr:uid="{E2AD4158-EA8F-4830-B510-2B80C1AB792A}"/>
    <cellStyle name="Normal 5 2 2 3 2 2 3 3 3" xfId="14068" xr:uid="{EA70CBAB-43C6-4145-8AAA-D6532AF3C517}"/>
    <cellStyle name="Normal 5 2 2 3 2 2 3 4" xfId="19131" xr:uid="{8E818911-D876-4D78-B1F9-BB17ADD169AA}"/>
    <cellStyle name="Normal 5 2 2 3 2 2 3 5" xfId="9850" xr:uid="{D4E0F070-66DE-49F9-983B-6D4AC83BF081}"/>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25906" xr:uid="{16D56120-2383-4FB2-84B0-059B409D1AB8}"/>
    <cellStyle name="Normal 5 2 2 3 2 2 4 2 2 3" xfId="16626" xr:uid="{6D6084A3-C5D8-4FF2-BCD9-367D311DDF2B}"/>
    <cellStyle name="Normal 5 2 2 3 2 2 4 2 3" xfId="21689" xr:uid="{306FD683-A951-4F5F-A592-BF31CCE2C314}"/>
    <cellStyle name="Normal 5 2 2 3 2 2 4 2 4" xfId="12408" xr:uid="{F7820F2B-0304-4284-B4C6-F60629496657}"/>
    <cellStyle name="Normal 5 2 2 3 2 2 4 3" xfId="6031" xr:uid="{00000000-0005-0000-0000-0000A4170000}"/>
    <cellStyle name="Normal 5 2 2 3 2 2 4 3 2" xfId="23761" xr:uid="{F500B565-9D6C-4F79-87DA-9ED053273C6E}"/>
    <cellStyle name="Normal 5 2 2 3 2 2 4 3 3" xfId="14481" xr:uid="{BCE91AC7-CD81-458F-8047-B9B1E77BB7C3}"/>
    <cellStyle name="Normal 5 2 2 3 2 2 4 4" xfId="19544" xr:uid="{96514663-4CA2-4E8C-BFF3-188D877ACE21}"/>
    <cellStyle name="Normal 5 2 2 3 2 2 4 5" xfId="10263" xr:uid="{2DE9D3B2-8574-481F-884B-EBDC72314A81}"/>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26319" xr:uid="{7BCAF51E-08BC-4285-941A-9F8BF6E7419B}"/>
    <cellStyle name="Normal 5 2 2 3 2 2 5 2 2 3" xfId="17039" xr:uid="{71F5FFD7-AFBF-4FD8-8AD2-B73FB927F9EF}"/>
    <cellStyle name="Normal 5 2 2 3 2 2 5 2 3" xfId="22102" xr:uid="{CFD4C647-F525-41CC-98C6-C23D773E03B6}"/>
    <cellStyle name="Normal 5 2 2 3 2 2 5 2 4" xfId="12821" xr:uid="{9C5E2E25-5608-4EBF-B3C1-968F83BAA24A}"/>
    <cellStyle name="Normal 5 2 2 3 2 2 5 3" xfId="6444" xr:uid="{00000000-0005-0000-0000-0000A8170000}"/>
    <cellStyle name="Normal 5 2 2 3 2 2 5 3 2" xfId="24174" xr:uid="{27861D10-5029-48B8-9CCD-D272886C087D}"/>
    <cellStyle name="Normal 5 2 2 3 2 2 5 3 3" xfId="14894" xr:uid="{8B56D5B6-B855-4D53-8751-2EADA4A947E3}"/>
    <cellStyle name="Normal 5 2 2 3 2 2 5 4" xfId="19957" xr:uid="{F10F1932-762A-4F85-A35E-ED7862109B4F}"/>
    <cellStyle name="Normal 5 2 2 3 2 2 5 5" xfId="10676" xr:uid="{0ED5669E-18F3-4F39-BD70-D1E515795FFF}"/>
    <cellStyle name="Normal 5 2 2 3 2 2 6" xfId="2574" xr:uid="{00000000-0005-0000-0000-0000A9170000}"/>
    <cellStyle name="Normal 5 2 2 3 2 2 6 2" xfId="6857" xr:uid="{00000000-0005-0000-0000-0000AA170000}"/>
    <cellStyle name="Normal 5 2 2 3 2 2 6 2 2" xfId="24587" xr:uid="{013F6EE9-E9AC-438E-AE64-FDC801CEFD87}"/>
    <cellStyle name="Normal 5 2 2 3 2 2 6 2 3" xfId="15307" xr:uid="{B16F153D-FA54-4FE7-9D3E-2FBC6816F44C}"/>
    <cellStyle name="Normal 5 2 2 3 2 2 6 3" xfId="20370" xr:uid="{6D4460A8-1BB5-4695-A31C-DC82D78670B7}"/>
    <cellStyle name="Normal 5 2 2 3 2 2 6 4" xfId="11089" xr:uid="{80589240-3E8E-4EA5-8D42-263846C40740}"/>
    <cellStyle name="Normal 5 2 2 3 2 2 7" xfId="4792" xr:uid="{00000000-0005-0000-0000-0000AB170000}"/>
    <cellStyle name="Normal 5 2 2 3 2 2 7 2" xfId="22522" xr:uid="{C19AF230-B4A8-46C7-BC03-88F89A7E608D}"/>
    <cellStyle name="Normal 5 2 2 3 2 2 7 3" xfId="13242" xr:uid="{73807284-57BF-4C08-864B-70505BA9E196}"/>
    <cellStyle name="Normal 5 2 2 3 2 2 8" xfId="18305" xr:uid="{47304378-4FA3-41CE-8889-2F3E35078F65}"/>
    <cellStyle name="Normal 5 2 2 3 2 2 9" xfId="17471" xr:uid="{78B0CFC1-7F12-43E5-B962-2663048762BE}"/>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25079" xr:uid="{D2E83E92-8452-4A70-9D5E-C9E78F05FFD2}"/>
    <cellStyle name="Normal 5 2 2 3 2 3 2 2 3" xfId="15799" xr:uid="{9C047095-066F-4206-B0B5-DC665CA36AC2}"/>
    <cellStyle name="Normal 5 2 2 3 2 3 2 3" xfId="20862" xr:uid="{30A618FC-C4D9-44BE-94BC-E608C01C81E6}"/>
    <cellStyle name="Normal 5 2 2 3 2 3 2 4" xfId="11581" xr:uid="{0D8208BC-289F-4A53-9B41-123CCC68FD17}"/>
    <cellStyle name="Normal 5 2 2 3 2 3 3" xfId="5204" xr:uid="{00000000-0005-0000-0000-0000AF170000}"/>
    <cellStyle name="Normal 5 2 2 3 2 3 3 2" xfId="22934" xr:uid="{CC9B9E24-FAAB-4C5B-B6C9-A316AF6D4C8C}"/>
    <cellStyle name="Normal 5 2 2 3 2 3 3 3" xfId="13654" xr:uid="{7757B23C-DB65-41B4-B5BF-6D3C21974472}"/>
    <cellStyle name="Normal 5 2 2 3 2 3 4" xfId="18717" xr:uid="{425FF5C0-81D6-4ED3-A97B-6FF07530786F}"/>
    <cellStyle name="Normal 5 2 2 3 2 3 5" xfId="17889" xr:uid="{7A4E2A8F-C2D7-47ED-A5B9-6632A6B2D7C6}"/>
    <cellStyle name="Normal 5 2 2 3 2 3 6" xfId="9436" xr:uid="{E64A745D-8C84-46D5-B22D-F0174F70987B}"/>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25492" xr:uid="{B0629F7B-1DF7-411D-93D8-442B47342357}"/>
    <cellStyle name="Normal 5 2 2 3 2 4 2 2 3" xfId="16212" xr:uid="{8D233FF5-CE9D-424E-8223-18CE6AD8D81C}"/>
    <cellStyle name="Normal 5 2 2 3 2 4 2 3" xfId="21275" xr:uid="{83F53C4A-C17E-4D64-9F3A-FFCB4ABCEEDA}"/>
    <cellStyle name="Normal 5 2 2 3 2 4 2 4" xfId="11994" xr:uid="{C71FA6BE-F5A8-43AC-8655-2275BFEE7210}"/>
    <cellStyle name="Normal 5 2 2 3 2 4 3" xfId="5617" xr:uid="{00000000-0005-0000-0000-0000B3170000}"/>
    <cellStyle name="Normal 5 2 2 3 2 4 3 2" xfId="23347" xr:uid="{6C993911-ED88-42FE-BFE1-186242AEF287}"/>
    <cellStyle name="Normal 5 2 2 3 2 4 3 3" xfId="14067" xr:uid="{A76A017A-77F3-42BC-8BE7-6488C6BBB1E7}"/>
    <cellStyle name="Normal 5 2 2 3 2 4 4" xfId="19130" xr:uid="{5B80B747-D75D-4A66-93FA-141989934C98}"/>
    <cellStyle name="Normal 5 2 2 3 2 4 5" xfId="9849" xr:uid="{607BC47F-1C3F-4156-9B6E-E78A5BD775C3}"/>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25905" xr:uid="{C55B9E35-8D34-4341-A014-BCD6D8F4D576}"/>
    <cellStyle name="Normal 5 2 2 3 2 5 2 2 3" xfId="16625" xr:uid="{495062C8-AA69-47A7-B6CE-9C573A563FD2}"/>
    <cellStyle name="Normal 5 2 2 3 2 5 2 3" xfId="21688" xr:uid="{4B8E44B0-AB29-4D88-96EC-44EC1056F904}"/>
    <cellStyle name="Normal 5 2 2 3 2 5 2 4" xfId="12407" xr:uid="{9871C450-E45E-4514-B8E8-91816C6AC38C}"/>
    <cellStyle name="Normal 5 2 2 3 2 5 3" xfId="6030" xr:uid="{00000000-0005-0000-0000-0000B7170000}"/>
    <cellStyle name="Normal 5 2 2 3 2 5 3 2" xfId="23760" xr:uid="{6D7FFE4D-657B-4E25-8643-982B9DCCDBDC}"/>
    <cellStyle name="Normal 5 2 2 3 2 5 3 3" xfId="14480" xr:uid="{C45B0EBD-FC83-41F9-B01A-667EE6C67361}"/>
    <cellStyle name="Normal 5 2 2 3 2 5 4" xfId="19543" xr:uid="{066CC896-BAB6-4B05-A235-6AB1BB37CFF2}"/>
    <cellStyle name="Normal 5 2 2 3 2 5 5" xfId="10262" xr:uid="{72CFF2BB-858A-4F30-8596-E61BA25D3F73}"/>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26318" xr:uid="{01202AA9-4F79-4544-8689-ADFBFD1CEDE4}"/>
    <cellStyle name="Normal 5 2 2 3 2 6 2 2 3" xfId="17038" xr:uid="{185F5C3C-2559-4DFA-83CB-17326E06C7E3}"/>
    <cellStyle name="Normal 5 2 2 3 2 6 2 3" xfId="22101" xr:uid="{714A634A-5549-4F93-9AE8-1FB93301DA71}"/>
    <cellStyle name="Normal 5 2 2 3 2 6 2 4" xfId="12820" xr:uid="{06B8B69F-3CEE-475A-87C4-4BCDA079B948}"/>
    <cellStyle name="Normal 5 2 2 3 2 6 3" xfId="6443" xr:uid="{00000000-0005-0000-0000-0000BB170000}"/>
    <cellStyle name="Normal 5 2 2 3 2 6 3 2" xfId="24173" xr:uid="{3EE7BDAB-FAF8-4AAE-82D1-DB463CD7635D}"/>
    <cellStyle name="Normal 5 2 2 3 2 6 3 3" xfId="14893" xr:uid="{1C55C240-FD4A-4189-938A-3089E5EE8C1A}"/>
    <cellStyle name="Normal 5 2 2 3 2 6 4" xfId="19956" xr:uid="{CA529EE8-3062-4EBA-AFEE-238B9D6F7070}"/>
    <cellStyle name="Normal 5 2 2 3 2 6 5" xfId="10675" xr:uid="{8D5A0775-B32F-4D07-82BB-06A751CBACFF}"/>
    <cellStyle name="Normal 5 2 2 3 2 7" xfId="2573" xr:uid="{00000000-0005-0000-0000-0000BC170000}"/>
    <cellStyle name="Normal 5 2 2 3 2 7 2" xfId="6856" xr:uid="{00000000-0005-0000-0000-0000BD170000}"/>
    <cellStyle name="Normal 5 2 2 3 2 7 2 2" xfId="24586" xr:uid="{50C02948-5E62-42C6-A8F0-C37706A64D2A}"/>
    <cellStyle name="Normal 5 2 2 3 2 7 2 3" xfId="15306" xr:uid="{933702D3-354E-4A82-8F4C-8B491E3357CB}"/>
    <cellStyle name="Normal 5 2 2 3 2 7 3" xfId="20369" xr:uid="{668FEFAD-E913-4970-8908-64D767ED4BBC}"/>
    <cellStyle name="Normal 5 2 2 3 2 7 4" xfId="11088" xr:uid="{FB5D13BE-D432-4FEC-BFF7-1297949F2127}"/>
    <cellStyle name="Normal 5 2 2 3 2 8" xfId="4791" xr:uid="{00000000-0005-0000-0000-0000BE170000}"/>
    <cellStyle name="Normal 5 2 2 3 2 8 2" xfId="22521" xr:uid="{54A9A0C1-4E3E-4C32-AE3F-2BB5FDD1B029}"/>
    <cellStyle name="Normal 5 2 2 3 2 8 3" xfId="13241" xr:uid="{15D622C2-78DE-4575-9308-5FE732DA1582}"/>
    <cellStyle name="Normal 5 2 2 3 2 9" xfId="18304" xr:uid="{1AE3E2B8-FD32-47ED-96BC-0766964CD96F}"/>
    <cellStyle name="Normal 5 2 2 3 3" xfId="420" xr:uid="{00000000-0005-0000-0000-0000BF170000}"/>
    <cellStyle name="Normal 5 2 2 3 3 10" xfId="9025" xr:uid="{61E3F06D-E911-4B0C-B49B-696529CC856F}"/>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25081" xr:uid="{9D0F3A49-4327-4932-BD13-26F97AE99B93}"/>
    <cellStyle name="Normal 5 2 2 3 3 2 2 2 3" xfId="15801" xr:uid="{E6C0314E-7A8A-4A86-82A7-F3E167081F49}"/>
    <cellStyle name="Normal 5 2 2 3 3 2 2 3" xfId="20864" xr:uid="{70419AF2-BD2B-4FFA-A240-A246D587549D}"/>
    <cellStyle name="Normal 5 2 2 3 3 2 2 4" xfId="11583" xr:uid="{929E0C42-9C2D-417C-947E-62D1505264C2}"/>
    <cellStyle name="Normal 5 2 2 3 3 2 3" xfId="5206" xr:uid="{00000000-0005-0000-0000-0000C3170000}"/>
    <cellStyle name="Normal 5 2 2 3 3 2 3 2" xfId="22936" xr:uid="{B6495C27-0452-4AF0-8831-CBF89A942BC8}"/>
    <cellStyle name="Normal 5 2 2 3 3 2 3 3" xfId="13656" xr:uid="{508DC02C-3321-44BE-B108-D7126CAD4B83}"/>
    <cellStyle name="Normal 5 2 2 3 3 2 4" xfId="18719" xr:uid="{2093F46F-E9C4-4A16-BE30-8CF5165204B0}"/>
    <cellStyle name="Normal 5 2 2 3 3 2 5" xfId="17891" xr:uid="{4192890D-6F19-4F2C-9E73-1B839E9D3FCE}"/>
    <cellStyle name="Normal 5 2 2 3 3 2 6" xfId="9438" xr:uid="{C37109FD-D72C-4F77-9BBF-92263D675F4B}"/>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25494" xr:uid="{EB737ED0-7868-41C4-9516-96CF193811AB}"/>
    <cellStyle name="Normal 5 2 2 3 3 3 2 2 3" xfId="16214" xr:uid="{D0652BEC-EF35-488D-8FA5-AAEF9818E262}"/>
    <cellStyle name="Normal 5 2 2 3 3 3 2 3" xfId="21277" xr:uid="{3C62C235-4B2F-4D1E-BA81-8DDF488B5B4F}"/>
    <cellStyle name="Normal 5 2 2 3 3 3 2 4" xfId="11996" xr:uid="{8E6A56A1-9E44-47E3-9E9C-FC9E7B1160FF}"/>
    <cellStyle name="Normal 5 2 2 3 3 3 3" xfId="5619" xr:uid="{00000000-0005-0000-0000-0000C7170000}"/>
    <cellStyle name="Normal 5 2 2 3 3 3 3 2" xfId="23349" xr:uid="{89FFB3D2-6171-44F6-B0D7-DB7B453BB34F}"/>
    <cellStyle name="Normal 5 2 2 3 3 3 3 3" xfId="14069" xr:uid="{BDD0B11A-8AFC-4821-8E67-58076DBF20D5}"/>
    <cellStyle name="Normal 5 2 2 3 3 3 4" xfId="19132" xr:uid="{5BE1B342-2CD1-48E0-84A1-379D3E0F2055}"/>
    <cellStyle name="Normal 5 2 2 3 3 3 5" xfId="9851" xr:uid="{EB6D7E98-675A-4E47-952C-93B217871567}"/>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25907" xr:uid="{48FA3ACF-4AF4-432C-AC81-E60D7853483E}"/>
    <cellStyle name="Normal 5 2 2 3 3 4 2 2 3" xfId="16627" xr:uid="{FAE8FC9C-4AC6-48D5-BDC0-D34B3948F8BD}"/>
    <cellStyle name="Normal 5 2 2 3 3 4 2 3" xfId="21690" xr:uid="{46D88983-4635-4DB2-86E6-D5C7BC3FEF01}"/>
    <cellStyle name="Normal 5 2 2 3 3 4 2 4" xfId="12409" xr:uid="{0065C908-9AC2-44F6-8014-79ACA716E2B6}"/>
    <cellStyle name="Normal 5 2 2 3 3 4 3" xfId="6032" xr:uid="{00000000-0005-0000-0000-0000CB170000}"/>
    <cellStyle name="Normal 5 2 2 3 3 4 3 2" xfId="23762" xr:uid="{FA7DFDD5-0D25-44FD-A2D9-A799C70E70EE}"/>
    <cellStyle name="Normal 5 2 2 3 3 4 3 3" xfId="14482" xr:uid="{698F31CC-04FE-4133-9BB3-EC1CA940ED72}"/>
    <cellStyle name="Normal 5 2 2 3 3 4 4" xfId="19545" xr:uid="{9DD2DB31-0CD8-4B04-BA08-9F0EBC8A0BF9}"/>
    <cellStyle name="Normal 5 2 2 3 3 4 5" xfId="10264" xr:uid="{F1E244D8-D745-4B49-B04A-A7BB6F96E4C8}"/>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26320" xr:uid="{87109996-5F36-437F-A590-B8EF999ADAA8}"/>
    <cellStyle name="Normal 5 2 2 3 3 5 2 2 3" xfId="17040" xr:uid="{ED12C9F2-9D3F-4B10-8E2E-95EB46707CF3}"/>
    <cellStyle name="Normal 5 2 2 3 3 5 2 3" xfId="22103" xr:uid="{BADFFD44-24C6-4FFD-84DB-92B5FF6D2221}"/>
    <cellStyle name="Normal 5 2 2 3 3 5 2 4" xfId="12822" xr:uid="{7DD18A8A-9576-41A1-BF01-104376062FA8}"/>
    <cellStyle name="Normal 5 2 2 3 3 5 3" xfId="6445" xr:uid="{00000000-0005-0000-0000-0000CF170000}"/>
    <cellStyle name="Normal 5 2 2 3 3 5 3 2" xfId="24175" xr:uid="{504F09B5-21E1-41C0-BA0F-5551522942FE}"/>
    <cellStyle name="Normal 5 2 2 3 3 5 3 3" xfId="14895" xr:uid="{FD00FFBF-4C97-4976-9195-04D108EACBA9}"/>
    <cellStyle name="Normal 5 2 2 3 3 5 4" xfId="19958" xr:uid="{B0E53E2D-0EEE-4030-AFE3-107AF667C268}"/>
    <cellStyle name="Normal 5 2 2 3 3 5 5" xfId="10677" xr:uid="{A4F37640-A6BE-4121-BA63-969AEF4D1B73}"/>
    <cellStyle name="Normal 5 2 2 3 3 6" xfId="2575" xr:uid="{00000000-0005-0000-0000-0000D0170000}"/>
    <cellStyle name="Normal 5 2 2 3 3 6 2" xfId="6858" xr:uid="{00000000-0005-0000-0000-0000D1170000}"/>
    <cellStyle name="Normal 5 2 2 3 3 6 2 2" xfId="24588" xr:uid="{8A617E02-9E92-4B7A-877C-D9AC58D8A82A}"/>
    <cellStyle name="Normal 5 2 2 3 3 6 2 3" xfId="15308" xr:uid="{8105DE03-D578-43A6-BCF8-F195BE8C6FC4}"/>
    <cellStyle name="Normal 5 2 2 3 3 6 3" xfId="20371" xr:uid="{5F9EA04F-A382-4ECF-B01D-61FEF6B27397}"/>
    <cellStyle name="Normal 5 2 2 3 3 6 4" xfId="11090" xr:uid="{A221E7ED-0655-4E72-A258-880E09573724}"/>
    <cellStyle name="Normal 5 2 2 3 3 7" xfId="4793" xr:uid="{00000000-0005-0000-0000-0000D2170000}"/>
    <cellStyle name="Normal 5 2 2 3 3 7 2" xfId="22523" xr:uid="{CEF79F03-38CC-43B3-84D1-7AB85DE6B63F}"/>
    <cellStyle name="Normal 5 2 2 3 3 7 3" xfId="13243" xr:uid="{3F6E3672-4D9D-4DA5-A001-7B472C9D2FE8}"/>
    <cellStyle name="Normal 5 2 2 3 3 8" xfId="18306" xr:uid="{05ED6242-459F-4D3F-B289-027E81099DF6}"/>
    <cellStyle name="Normal 5 2 2 3 3 9" xfId="17472" xr:uid="{183D2F2E-00DF-4DDB-80C2-D109EE199A07}"/>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25078" xr:uid="{266A4F11-E296-4B2A-AB0B-CE4736D70267}"/>
    <cellStyle name="Normal 5 2 2 3 4 2 2 3" xfId="15798" xr:uid="{A866A0EC-3D96-4844-BF37-1A3D37A9CEA0}"/>
    <cellStyle name="Normal 5 2 2 3 4 2 3" xfId="20861" xr:uid="{690D7B10-8842-4AAC-ABBC-9310660226FD}"/>
    <cellStyle name="Normal 5 2 2 3 4 2 4" xfId="11580" xr:uid="{C6CEAE52-078C-45FE-A885-41DD1FF51D26}"/>
    <cellStyle name="Normal 5 2 2 3 4 3" xfId="5203" xr:uid="{00000000-0005-0000-0000-0000D6170000}"/>
    <cellStyle name="Normal 5 2 2 3 4 3 2" xfId="22933" xr:uid="{E3BD0743-8182-4142-B3D9-D13B079B6F8B}"/>
    <cellStyle name="Normal 5 2 2 3 4 3 3" xfId="13653" xr:uid="{2A98E310-5E6B-40A1-9803-60EC94F19EF9}"/>
    <cellStyle name="Normal 5 2 2 3 4 4" xfId="18716" xr:uid="{850B0C6D-3AE4-49C3-96AB-A6381C8FFC97}"/>
    <cellStyle name="Normal 5 2 2 3 4 5" xfId="17888" xr:uid="{F6ED1C8B-4EA9-4EB3-9848-E28CF22A676B}"/>
    <cellStyle name="Normal 5 2 2 3 4 6" xfId="9435" xr:uid="{686927D0-AC3A-46F6-B13C-6F565B9C6757}"/>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25491" xr:uid="{EC1F2176-26FA-4BFF-9781-3ED68CEA461C}"/>
    <cellStyle name="Normal 5 2 2 3 5 2 2 3" xfId="16211" xr:uid="{EAD60BB8-06B6-407B-94E6-D90D6D2C4427}"/>
    <cellStyle name="Normal 5 2 2 3 5 2 3" xfId="21274" xr:uid="{74E044F1-E92D-48E4-B57A-A3CF1B08D6C3}"/>
    <cellStyle name="Normal 5 2 2 3 5 2 4" xfId="11993" xr:uid="{6EC18A69-B59A-4B81-AF44-30EABFAEC4CE}"/>
    <cellStyle name="Normal 5 2 2 3 5 3" xfId="5616" xr:uid="{00000000-0005-0000-0000-0000DA170000}"/>
    <cellStyle name="Normal 5 2 2 3 5 3 2" xfId="23346" xr:uid="{E26331FE-4D9D-4E24-B7E5-869B7105BC78}"/>
    <cellStyle name="Normal 5 2 2 3 5 3 3" xfId="14066" xr:uid="{1A68BB23-6F57-4CBE-9B8D-26CC856FBB86}"/>
    <cellStyle name="Normal 5 2 2 3 5 4" xfId="19129" xr:uid="{D671CA80-CDC5-4DD1-A15E-9E4AC2A367DE}"/>
    <cellStyle name="Normal 5 2 2 3 5 5" xfId="9848" xr:uid="{2F1D7F6E-B694-4AC4-A9FF-BE119871975D}"/>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25904" xr:uid="{0BDBD70A-C134-4F86-9B8F-701F6C5A4E04}"/>
    <cellStyle name="Normal 5 2 2 3 6 2 2 3" xfId="16624" xr:uid="{D66E3B45-EBF9-41AE-8BB2-A8E010D82337}"/>
    <cellStyle name="Normal 5 2 2 3 6 2 3" xfId="21687" xr:uid="{0359C6ED-DB82-400C-A423-125BE30BD6EF}"/>
    <cellStyle name="Normal 5 2 2 3 6 2 4" xfId="12406" xr:uid="{2A3FA483-BAFF-445B-871A-E05190DF7549}"/>
    <cellStyle name="Normal 5 2 2 3 6 3" xfId="6029" xr:uid="{00000000-0005-0000-0000-0000DE170000}"/>
    <cellStyle name="Normal 5 2 2 3 6 3 2" xfId="23759" xr:uid="{D61C71D0-1098-4A0F-8ACE-67BB68429B8E}"/>
    <cellStyle name="Normal 5 2 2 3 6 3 3" xfId="14479" xr:uid="{93CCAC4E-4B55-4092-A5EA-4E23214D2C5C}"/>
    <cellStyle name="Normal 5 2 2 3 6 4" xfId="19542" xr:uid="{8D65A320-C0DB-433B-9453-DBDAB17EAF31}"/>
    <cellStyle name="Normal 5 2 2 3 6 5" xfId="10261" xr:uid="{37C11301-0320-4E8E-97EA-3451B201CCCA}"/>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26317" xr:uid="{350B02F2-A584-4172-8806-E4BB71D50B18}"/>
    <cellStyle name="Normal 5 2 2 3 7 2 2 3" xfId="17037" xr:uid="{664BDFAA-2E72-48B9-877E-7932D8C9E469}"/>
    <cellStyle name="Normal 5 2 2 3 7 2 3" xfId="22100" xr:uid="{10EDC0E4-F87F-4E4E-80AC-6F641444CC3B}"/>
    <cellStyle name="Normal 5 2 2 3 7 2 4" xfId="12819" xr:uid="{5F336348-B687-44D1-9E5F-2E9C5AEA6BA9}"/>
    <cellStyle name="Normal 5 2 2 3 7 3" xfId="6442" xr:uid="{00000000-0005-0000-0000-0000E2170000}"/>
    <cellStyle name="Normal 5 2 2 3 7 3 2" xfId="24172" xr:uid="{C2C5937B-2780-4A61-AAD8-FB4A2CB70147}"/>
    <cellStyle name="Normal 5 2 2 3 7 3 3" xfId="14892" xr:uid="{AB830DAC-CE08-4137-9F5F-586824BC5D97}"/>
    <cellStyle name="Normal 5 2 2 3 7 4" xfId="19955" xr:uid="{45515F57-5FEB-438D-AB57-92851F83FB28}"/>
    <cellStyle name="Normal 5 2 2 3 7 5" xfId="10674" xr:uid="{C1AB8DFE-9BEE-4A6A-8E68-4FCDE77A758C}"/>
    <cellStyle name="Normal 5 2 2 3 8" xfId="2572" xr:uid="{00000000-0005-0000-0000-0000E3170000}"/>
    <cellStyle name="Normal 5 2 2 3 8 2" xfId="6855" xr:uid="{00000000-0005-0000-0000-0000E4170000}"/>
    <cellStyle name="Normal 5 2 2 3 8 2 2" xfId="24585" xr:uid="{ECD56DAC-9D0B-4D8F-BCC4-11D9BABDC2F6}"/>
    <cellStyle name="Normal 5 2 2 3 8 2 3" xfId="15305" xr:uid="{9F83774A-FFA1-4A92-9619-38171A135528}"/>
    <cellStyle name="Normal 5 2 2 3 8 3" xfId="20368" xr:uid="{A1876E82-7878-42C9-A0F8-2E8F850BAF7D}"/>
    <cellStyle name="Normal 5 2 2 3 8 4" xfId="11087" xr:uid="{6CB90FAF-FEA6-4165-B4E1-4055EB0B9760}"/>
    <cellStyle name="Normal 5 2 2 3 9" xfId="4790" xr:uid="{00000000-0005-0000-0000-0000E5170000}"/>
    <cellStyle name="Normal 5 2 2 3 9 2" xfId="22520" xr:uid="{0BD8BB1E-7E8F-4FF9-A582-E1AF492E2933}"/>
    <cellStyle name="Normal 5 2 2 3 9 3" xfId="13240" xr:uid="{A248E5C5-9145-4A4B-A401-39A44201E593}"/>
    <cellStyle name="Normal 5 2 2 4" xfId="421" xr:uid="{00000000-0005-0000-0000-0000E6170000}"/>
    <cellStyle name="Normal 5 2 2 4 10" xfId="17473" xr:uid="{5E5FB8E1-E61B-41DA-8E86-67E9C1A14141}"/>
    <cellStyle name="Normal 5 2 2 4 11" xfId="9026" xr:uid="{D6C702DB-A1E8-4CDD-B6A4-C2DF8E745F7C}"/>
    <cellStyle name="Normal 5 2 2 4 2" xfId="422" xr:uid="{00000000-0005-0000-0000-0000E7170000}"/>
    <cellStyle name="Normal 5 2 2 4 2 10" xfId="9027" xr:uid="{C27A6214-A25E-42D3-93D5-3CA4AF9641D5}"/>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25083" xr:uid="{1A8A8FD2-CAD3-499B-ACA2-B8684A30BBD8}"/>
    <cellStyle name="Normal 5 2 2 4 2 2 2 2 3" xfId="15803" xr:uid="{51513173-8198-4A03-9EF0-DACBD0969011}"/>
    <cellStyle name="Normal 5 2 2 4 2 2 2 3" xfId="20866" xr:uid="{47CFEC26-58E6-40F3-B243-5792F9618E24}"/>
    <cellStyle name="Normal 5 2 2 4 2 2 2 4" xfId="11585" xr:uid="{218337AF-418B-46D9-B241-0D070B9F0909}"/>
    <cellStyle name="Normal 5 2 2 4 2 2 3" xfId="5208" xr:uid="{00000000-0005-0000-0000-0000EB170000}"/>
    <cellStyle name="Normal 5 2 2 4 2 2 3 2" xfId="22938" xr:uid="{172A83FC-F5AB-4EA6-902C-29680260E87B}"/>
    <cellStyle name="Normal 5 2 2 4 2 2 3 3" xfId="13658" xr:uid="{B72B201C-63A9-4F57-9386-4F4556501056}"/>
    <cellStyle name="Normal 5 2 2 4 2 2 4" xfId="18721" xr:uid="{9B32827A-AD3E-4F74-AA73-9BE5087BA656}"/>
    <cellStyle name="Normal 5 2 2 4 2 2 5" xfId="17893" xr:uid="{E035674C-3CCE-4CFC-94CB-9E5AAE179599}"/>
    <cellStyle name="Normal 5 2 2 4 2 2 6" xfId="9440" xr:uid="{F65820EE-6C25-4945-A328-B5AA5FEF0D92}"/>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25496" xr:uid="{5D87E72D-9395-4587-8467-C155051C0101}"/>
    <cellStyle name="Normal 5 2 2 4 2 3 2 2 3" xfId="16216" xr:uid="{362B6E1B-2C2C-4387-81D8-652F2A4593B6}"/>
    <cellStyle name="Normal 5 2 2 4 2 3 2 3" xfId="21279" xr:uid="{7B69DD5B-56AA-4E3B-A419-06E6CCAD453E}"/>
    <cellStyle name="Normal 5 2 2 4 2 3 2 4" xfId="11998" xr:uid="{D9BC1237-0B2B-4687-B734-8A38423D325A}"/>
    <cellStyle name="Normal 5 2 2 4 2 3 3" xfId="5621" xr:uid="{00000000-0005-0000-0000-0000EF170000}"/>
    <cellStyle name="Normal 5 2 2 4 2 3 3 2" xfId="23351" xr:uid="{C3AFA50A-FA10-41FB-BDB8-A85119AA29B3}"/>
    <cellStyle name="Normal 5 2 2 4 2 3 3 3" xfId="14071" xr:uid="{72BF6B23-338F-4C6A-9395-1E4643ADD563}"/>
    <cellStyle name="Normal 5 2 2 4 2 3 4" xfId="19134" xr:uid="{3BC27CD4-B27D-4DB5-9C09-9A9A7B12506D}"/>
    <cellStyle name="Normal 5 2 2 4 2 3 5" xfId="9853" xr:uid="{6580B015-A614-464D-97C2-48D9660F8D5D}"/>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25909" xr:uid="{86C7FAC5-FAF6-4D74-A86D-A9237A0EA3C8}"/>
    <cellStyle name="Normal 5 2 2 4 2 4 2 2 3" xfId="16629" xr:uid="{0D93C7DC-D55D-4A09-94C8-07846D2DD1BE}"/>
    <cellStyle name="Normal 5 2 2 4 2 4 2 3" xfId="21692" xr:uid="{91086A2E-CE70-4D9C-BD9D-3A6590E85108}"/>
    <cellStyle name="Normal 5 2 2 4 2 4 2 4" xfId="12411" xr:uid="{E622C609-C9BC-4C1C-BD38-9FC182EB9ACE}"/>
    <cellStyle name="Normal 5 2 2 4 2 4 3" xfId="6034" xr:uid="{00000000-0005-0000-0000-0000F3170000}"/>
    <cellStyle name="Normal 5 2 2 4 2 4 3 2" xfId="23764" xr:uid="{A92A49BD-B17B-4106-979A-EC01A4B2ADA0}"/>
    <cellStyle name="Normal 5 2 2 4 2 4 3 3" xfId="14484" xr:uid="{98DD3F05-6C11-4BC6-B825-6836A0C3CB74}"/>
    <cellStyle name="Normal 5 2 2 4 2 4 4" xfId="19547" xr:uid="{DD50773A-970C-40A0-9685-EDE3EBE57491}"/>
    <cellStyle name="Normal 5 2 2 4 2 4 5" xfId="10266" xr:uid="{C075A76C-04CD-4CA1-B346-BAB309C82C82}"/>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26322" xr:uid="{8CB3674A-7171-4F10-9DA6-5C4253B6E013}"/>
    <cellStyle name="Normal 5 2 2 4 2 5 2 2 3" xfId="17042" xr:uid="{C44200E3-9DA2-42B7-AB9C-BDAAEA41E696}"/>
    <cellStyle name="Normal 5 2 2 4 2 5 2 3" xfId="22105" xr:uid="{F1A1C70D-1849-4421-A81A-CDB62638EBAE}"/>
    <cellStyle name="Normal 5 2 2 4 2 5 2 4" xfId="12824" xr:uid="{069CCF42-39C2-4654-A6DF-DE5170F40D1C}"/>
    <cellStyle name="Normal 5 2 2 4 2 5 3" xfId="6447" xr:uid="{00000000-0005-0000-0000-0000F7170000}"/>
    <cellStyle name="Normal 5 2 2 4 2 5 3 2" xfId="24177" xr:uid="{10F44753-98E4-4137-9591-A616486935FA}"/>
    <cellStyle name="Normal 5 2 2 4 2 5 3 3" xfId="14897" xr:uid="{A36960CC-9813-4F74-B323-35C30575A10E}"/>
    <cellStyle name="Normal 5 2 2 4 2 5 4" xfId="19960" xr:uid="{D6BAD9EE-FFE4-4560-8DF1-173287FF2EFA}"/>
    <cellStyle name="Normal 5 2 2 4 2 5 5" xfId="10679" xr:uid="{5791CDAD-8E3F-4B5D-A0B1-382A67784184}"/>
    <cellStyle name="Normal 5 2 2 4 2 6" xfId="2577" xr:uid="{00000000-0005-0000-0000-0000F8170000}"/>
    <cellStyle name="Normal 5 2 2 4 2 6 2" xfId="6860" xr:uid="{00000000-0005-0000-0000-0000F9170000}"/>
    <cellStyle name="Normal 5 2 2 4 2 6 2 2" xfId="24590" xr:uid="{6B5355A1-687E-4741-A2FA-FCFDABEF8739}"/>
    <cellStyle name="Normal 5 2 2 4 2 6 2 3" xfId="15310" xr:uid="{990AE4AB-007D-43DE-9151-ECF08BCC877E}"/>
    <cellStyle name="Normal 5 2 2 4 2 6 3" xfId="20373" xr:uid="{FB1803C1-1EB0-41BC-ABF2-2C77141E5923}"/>
    <cellStyle name="Normal 5 2 2 4 2 6 4" xfId="11092" xr:uid="{DA73C813-DB28-41D8-A415-D8EEBB12DDCA}"/>
    <cellStyle name="Normal 5 2 2 4 2 7" xfId="4795" xr:uid="{00000000-0005-0000-0000-0000FA170000}"/>
    <cellStyle name="Normal 5 2 2 4 2 7 2" xfId="22525" xr:uid="{0452CF49-2ED6-41F2-A0E9-C78E188F4AE5}"/>
    <cellStyle name="Normal 5 2 2 4 2 7 3" xfId="13245" xr:uid="{9FFFAEB3-E6B8-4D6B-8D28-33DCE75D3BE0}"/>
    <cellStyle name="Normal 5 2 2 4 2 8" xfId="18308" xr:uid="{227437C6-985E-4625-AFF5-D699EEC398DD}"/>
    <cellStyle name="Normal 5 2 2 4 2 9" xfId="17474" xr:uid="{D8734B7B-2ABD-423E-866B-83AEB068C1D9}"/>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25082" xr:uid="{B37365C4-7165-4152-9C55-9AB0219752A5}"/>
    <cellStyle name="Normal 5 2 2 4 3 2 2 3" xfId="15802" xr:uid="{F381EFDE-4BA7-4F22-BEF9-72F543702F89}"/>
    <cellStyle name="Normal 5 2 2 4 3 2 3" xfId="20865" xr:uid="{30EE6A9C-443E-4736-B32F-9161FB30603A}"/>
    <cellStyle name="Normal 5 2 2 4 3 2 4" xfId="11584" xr:uid="{4FECEC3C-6C2E-4A4A-A524-84EC1E48DE18}"/>
    <cellStyle name="Normal 5 2 2 4 3 3" xfId="5207" xr:uid="{00000000-0005-0000-0000-0000FE170000}"/>
    <cellStyle name="Normal 5 2 2 4 3 3 2" xfId="22937" xr:uid="{E261C2BB-FF09-49BD-A230-59EE6EB0D22E}"/>
    <cellStyle name="Normal 5 2 2 4 3 3 3" xfId="13657" xr:uid="{26E729FC-5369-46AE-AE0F-1B948BE00C8B}"/>
    <cellStyle name="Normal 5 2 2 4 3 4" xfId="18720" xr:uid="{F8455419-8C89-428C-B196-370BC638B048}"/>
    <cellStyle name="Normal 5 2 2 4 3 5" xfId="17892" xr:uid="{BF95D429-7EA8-4622-B2ED-533C19F31D21}"/>
    <cellStyle name="Normal 5 2 2 4 3 6" xfId="9439" xr:uid="{EE8CAEAF-D501-429D-832B-D0B6CF4BA684}"/>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25495" xr:uid="{672A9984-BC5E-4C5F-96AC-72812FD89712}"/>
    <cellStyle name="Normal 5 2 2 4 4 2 2 3" xfId="16215" xr:uid="{1D07A24D-E0F3-4129-BAB1-4C4BA31CFEF9}"/>
    <cellStyle name="Normal 5 2 2 4 4 2 3" xfId="21278" xr:uid="{65357191-F143-4C4E-89D6-86529D6966D6}"/>
    <cellStyle name="Normal 5 2 2 4 4 2 4" xfId="11997" xr:uid="{27483F22-7EC6-481B-B667-41418DBA85D9}"/>
    <cellStyle name="Normal 5 2 2 4 4 3" xfId="5620" xr:uid="{00000000-0005-0000-0000-000002180000}"/>
    <cellStyle name="Normal 5 2 2 4 4 3 2" xfId="23350" xr:uid="{2D045ADC-BBEE-4EBB-8AC1-3AB50A8C85BE}"/>
    <cellStyle name="Normal 5 2 2 4 4 3 3" xfId="14070" xr:uid="{DD688B37-069C-430F-BE9B-A11FE4DB66E6}"/>
    <cellStyle name="Normal 5 2 2 4 4 4" xfId="19133" xr:uid="{D1CA3391-FA8D-4D1A-AFF6-265D68FA26C6}"/>
    <cellStyle name="Normal 5 2 2 4 4 5" xfId="9852" xr:uid="{563D2736-707F-4AF0-938C-8796F22FDE99}"/>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25908" xr:uid="{3D933BFE-B707-438E-BF6E-3D5620F97A8B}"/>
    <cellStyle name="Normal 5 2 2 4 5 2 2 3" xfId="16628" xr:uid="{ED49525E-3E08-483F-A9B3-996CBC312BBF}"/>
    <cellStyle name="Normal 5 2 2 4 5 2 3" xfId="21691" xr:uid="{F138EB35-4B59-4EA5-8658-98D4B34DFC85}"/>
    <cellStyle name="Normal 5 2 2 4 5 2 4" xfId="12410" xr:uid="{E266D9A8-5541-460E-AE54-A3BF0951D4D0}"/>
    <cellStyle name="Normal 5 2 2 4 5 3" xfId="6033" xr:uid="{00000000-0005-0000-0000-000006180000}"/>
    <cellStyle name="Normal 5 2 2 4 5 3 2" xfId="23763" xr:uid="{CD142655-F4B8-4501-94F5-9E8819504672}"/>
    <cellStyle name="Normal 5 2 2 4 5 3 3" xfId="14483" xr:uid="{F83619D3-C0C5-402E-B215-1593ABC41435}"/>
    <cellStyle name="Normal 5 2 2 4 5 4" xfId="19546" xr:uid="{926310D9-1C80-48DC-9650-06A7FB47BF30}"/>
    <cellStyle name="Normal 5 2 2 4 5 5" xfId="10265" xr:uid="{EA47BD0A-E6B0-44F0-9704-E9E3F20D1CFC}"/>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26321" xr:uid="{7403B66B-505D-4097-A6C1-3186199B50D5}"/>
    <cellStyle name="Normal 5 2 2 4 6 2 2 3" xfId="17041" xr:uid="{DF66B41F-9445-4B03-B88A-DD839B14BDB5}"/>
    <cellStyle name="Normal 5 2 2 4 6 2 3" xfId="22104" xr:uid="{93E9280B-FC15-4AFE-864C-F448BB072FE0}"/>
    <cellStyle name="Normal 5 2 2 4 6 2 4" xfId="12823" xr:uid="{F584F05C-92C0-41CD-A9D0-D4AD4CBAF78A}"/>
    <cellStyle name="Normal 5 2 2 4 6 3" xfId="6446" xr:uid="{00000000-0005-0000-0000-00000A180000}"/>
    <cellStyle name="Normal 5 2 2 4 6 3 2" xfId="24176" xr:uid="{ECA073B5-725A-46F2-AE0D-8DA1CA9F35D2}"/>
    <cellStyle name="Normal 5 2 2 4 6 3 3" xfId="14896" xr:uid="{D74F47BA-2764-47E6-9044-9905F57AB572}"/>
    <cellStyle name="Normal 5 2 2 4 6 4" xfId="19959" xr:uid="{2F4248A8-5D6A-4187-8927-FBCDAA4ED617}"/>
    <cellStyle name="Normal 5 2 2 4 6 5" xfId="10678" xr:uid="{45F2879D-1A43-43FB-BFE9-5602ECCD738E}"/>
    <cellStyle name="Normal 5 2 2 4 7" xfId="2576" xr:uid="{00000000-0005-0000-0000-00000B180000}"/>
    <cellStyle name="Normal 5 2 2 4 7 2" xfId="6859" xr:uid="{00000000-0005-0000-0000-00000C180000}"/>
    <cellStyle name="Normal 5 2 2 4 7 2 2" xfId="24589" xr:uid="{08A55BB7-77B2-4BAB-93BA-1A705D111869}"/>
    <cellStyle name="Normal 5 2 2 4 7 2 3" xfId="15309" xr:uid="{76CC5192-0CC3-46F1-B5C7-1F27C1553AB9}"/>
    <cellStyle name="Normal 5 2 2 4 7 3" xfId="20372" xr:uid="{1C02E0D1-9848-43A8-BEE6-A3593A3774F3}"/>
    <cellStyle name="Normal 5 2 2 4 7 4" xfId="11091" xr:uid="{196176F2-D4C7-407F-8CDB-414219F71BFC}"/>
    <cellStyle name="Normal 5 2 2 4 8" xfId="4794" xr:uid="{00000000-0005-0000-0000-00000D180000}"/>
    <cellStyle name="Normal 5 2 2 4 8 2" xfId="22524" xr:uid="{F3840E21-A85E-4C38-B3C8-5C860AC87A6A}"/>
    <cellStyle name="Normal 5 2 2 4 8 3" xfId="13244" xr:uid="{6402E132-C8F1-4457-B874-B28507FF109B}"/>
    <cellStyle name="Normal 5 2 2 4 9" xfId="18307" xr:uid="{0A924642-E16D-4B96-8B72-8B3E1CDCC72B}"/>
    <cellStyle name="Normal 5 2 2 5" xfId="423" xr:uid="{00000000-0005-0000-0000-00000E180000}"/>
    <cellStyle name="Normal 5 2 2 5 10" xfId="9028" xr:uid="{BDA126AF-6073-437E-A392-5884A0009EA3}"/>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25084" xr:uid="{C1AEC164-C984-4D24-ACCB-5442762D5A0F}"/>
    <cellStyle name="Normal 5 2 2 5 2 2 2 3" xfId="15804" xr:uid="{3A48A8A0-95AF-4AB9-9BBD-9EC688D662DF}"/>
    <cellStyle name="Normal 5 2 2 5 2 2 3" xfId="20867" xr:uid="{C55E9EB4-573A-4DC0-91E9-57188859CCD5}"/>
    <cellStyle name="Normal 5 2 2 5 2 2 4" xfId="11586" xr:uid="{253704E4-8306-4E75-8A75-E5C9AC199730}"/>
    <cellStyle name="Normal 5 2 2 5 2 3" xfId="5209" xr:uid="{00000000-0005-0000-0000-000012180000}"/>
    <cellStyle name="Normal 5 2 2 5 2 3 2" xfId="22939" xr:uid="{A61B1606-54DA-4A19-A376-9C1B9259463F}"/>
    <cellStyle name="Normal 5 2 2 5 2 3 3" xfId="13659" xr:uid="{632DF7C4-A4F7-409E-8F26-BC7A6F1BD4B8}"/>
    <cellStyle name="Normal 5 2 2 5 2 4" xfId="18722" xr:uid="{DC39FAF2-BB62-48EF-8435-17885003E1AA}"/>
    <cellStyle name="Normal 5 2 2 5 2 5" xfId="17894" xr:uid="{4900BBCE-7C44-4DA8-A25F-8E5CB9B5C8A9}"/>
    <cellStyle name="Normal 5 2 2 5 2 6" xfId="9441" xr:uid="{2DEA40E3-399B-412E-BB01-C955F21EBD0F}"/>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25497" xr:uid="{64AFBB15-68C3-4B89-AE35-79E8B4BC5B38}"/>
    <cellStyle name="Normal 5 2 2 5 3 2 2 3" xfId="16217" xr:uid="{06C15F49-36C9-4358-BF2A-24A1C417A884}"/>
    <cellStyle name="Normal 5 2 2 5 3 2 3" xfId="21280" xr:uid="{3CB8A418-35CB-4CCE-8386-78E3F92EB752}"/>
    <cellStyle name="Normal 5 2 2 5 3 2 4" xfId="11999" xr:uid="{94EBC6C6-057D-4EF7-B768-608A7A09428D}"/>
    <cellStyle name="Normal 5 2 2 5 3 3" xfId="5622" xr:uid="{00000000-0005-0000-0000-000016180000}"/>
    <cellStyle name="Normal 5 2 2 5 3 3 2" xfId="23352" xr:uid="{04133DD0-E92E-4F29-B997-AD37BAE481B5}"/>
    <cellStyle name="Normal 5 2 2 5 3 3 3" xfId="14072" xr:uid="{9A1D4900-28F0-44EF-8386-7C8C87846FF8}"/>
    <cellStyle name="Normal 5 2 2 5 3 4" xfId="19135" xr:uid="{6E045574-77E3-46A0-AEFB-C1FB0CA5221C}"/>
    <cellStyle name="Normal 5 2 2 5 3 5" xfId="9854" xr:uid="{5E0A6B2A-1F12-4D82-AA00-C5F1F569A394}"/>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25910" xr:uid="{C6DF2936-9898-4D93-9CE8-7519F698EEAC}"/>
    <cellStyle name="Normal 5 2 2 5 4 2 2 3" xfId="16630" xr:uid="{FBE9C7A8-F3A1-4487-A5F3-934C94E6ACC4}"/>
    <cellStyle name="Normal 5 2 2 5 4 2 3" xfId="21693" xr:uid="{D1D96F50-B9FA-4731-B200-300D14501B5A}"/>
    <cellStyle name="Normal 5 2 2 5 4 2 4" xfId="12412" xr:uid="{C9A1B300-7DE1-451A-85C1-28DCDB94E252}"/>
    <cellStyle name="Normal 5 2 2 5 4 3" xfId="6035" xr:uid="{00000000-0005-0000-0000-00001A180000}"/>
    <cellStyle name="Normal 5 2 2 5 4 3 2" xfId="23765" xr:uid="{C1E5A805-B107-484E-BEB1-BB1AE277BCE3}"/>
    <cellStyle name="Normal 5 2 2 5 4 3 3" xfId="14485" xr:uid="{CB7C4140-1BC2-4056-87BB-E0B23BB563BC}"/>
    <cellStyle name="Normal 5 2 2 5 4 4" xfId="19548" xr:uid="{28A6D0D3-2416-48ED-A4F0-A4955DC0FD4C}"/>
    <cellStyle name="Normal 5 2 2 5 4 5" xfId="10267" xr:uid="{70697A9D-48E3-4AD3-8274-D928713F5A5A}"/>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26323" xr:uid="{C7E0E8C6-AF16-42B8-9437-2E0F4A230E34}"/>
    <cellStyle name="Normal 5 2 2 5 5 2 2 3" xfId="17043" xr:uid="{5D02FC4F-0046-4ECB-880E-132645F7839F}"/>
    <cellStyle name="Normal 5 2 2 5 5 2 3" xfId="22106" xr:uid="{11D18442-F028-4620-87BB-AECE82074DA4}"/>
    <cellStyle name="Normal 5 2 2 5 5 2 4" xfId="12825" xr:uid="{D06CF38E-A11A-48D1-B76D-5DA3339EE270}"/>
    <cellStyle name="Normal 5 2 2 5 5 3" xfId="6448" xr:uid="{00000000-0005-0000-0000-00001E180000}"/>
    <cellStyle name="Normal 5 2 2 5 5 3 2" xfId="24178" xr:uid="{73AB4BB0-A1C2-4F41-AEFA-312056D2D453}"/>
    <cellStyle name="Normal 5 2 2 5 5 3 3" xfId="14898" xr:uid="{8E9E0560-446B-4B76-BFCD-0F009308BCDF}"/>
    <cellStyle name="Normal 5 2 2 5 5 4" xfId="19961" xr:uid="{57FEAE98-E890-49E2-8095-D6DE835D92EB}"/>
    <cellStyle name="Normal 5 2 2 5 5 5" xfId="10680" xr:uid="{3A2CD864-236F-4BFD-9E3B-4890EEEF7181}"/>
    <cellStyle name="Normal 5 2 2 5 6" xfId="2578" xr:uid="{00000000-0005-0000-0000-00001F180000}"/>
    <cellStyle name="Normal 5 2 2 5 6 2" xfId="6861" xr:uid="{00000000-0005-0000-0000-000020180000}"/>
    <cellStyle name="Normal 5 2 2 5 6 2 2" xfId="24591" xr:uid="{E328DBE9-4827-4FA4-B709-42098FBBC173}"/>
    <cellStyle name="Normal 5 2 2 5 6 2 3" xfId="15311" xr:uid="{9C93C28E-C6D5-47D3-A560-9FEEFA5EDBDE}"/>
    <cellStyle name="Normal 5 2 2 5 6 3" xfId="20374" xr:uid="{8F76E12C-A12B-4632-ADFD-5C78B056B86D}"/>
    <cellStyle name="Normal 5 2 2 5 6 4" xfId="11093" xr:uid="{8A7376AA-E2CF-460B-8CDE-A1396B8876C0}"/>
    <cellStyle name="Normal 5 2 2 5 7" xfId="4796" xr:uid="{00000000-0005-0000-0000-000021180000}"/>
    <cellStyle name="Normal 5 2 2 5 7 2" xfId="22526" xr:uid="{7A356795-7D2A-4271-90C8-75DA61D4E6C3}"/>
    <cellStyle name="Normal 5 2 2 5 7 3" xfId="13246" xr:uid="{5085C160-0E3A-4D2E-9BA2-A38A0552D662}"/>
    <cellStyle name="Normal 5 2 2 5 8" xfId="18309" xr:uid="{8B8798A7-B98F-47D9-A82B-11C71FBF762B}"/>
    <cellStyle name="Normal 5 2 2 5 9" xfId="17475" xr:uid="{1D506FB1-5768-4B5D-8400-21922599DF52}"/>
    <cellStyle name="Normal 5 2 2 6" xfId="882" xr:uid="{00000000-0005-0000-0000-000022180000}"/>
    <cellStyle name="Normal 5 2 2 6 2" xfId="3117" xr:uid="{00000000-0005-0000-0000-000023180000}"/>
    <cellStyle name="Normal 5 2 2 6 2 2" xfId="7339" xr:uid="{00000000-0005-0000-0000-000024180000}"/>
    <cellStyle name="Normal 5 2 2 6 2 2 2" xfId="25069" xr:uid="{350464EC-7B68-4782-B21E-0E1861EBC299}"/>
    <cellStyle name="Normal 5 2 2 6 2 2 3" xfId="15789" xr:uid="{332CAC37-D7D2-4792-A944-459A2B83F6A7}"/>
    <cellStyle name="Normal 5 2 2 6 2 3" xfId="20852" xr:uid="{18E3964D-2981-45FD-95C1-B36AD7B964BE}"/>
    <cellStyle name="Normal 5 2 2 6 2 4" xfId="11571" xr:uid="{F4F225C1-9EB1-434E-B45E-799542D80CCD}"/>
    <cellStyle name="Normal 5 2 2 6 3" xfId="5194" xr:uid="{00000000-0005-0000-0000-000025180000}"/>
    <cellStyle name="Normal 5 2 2 6 3 2" xfId="22924" xr:uid="{33AD22A4-24BA-4DB3-8F39-9C50BB865E4E}"/>
    <cellStyle name="Normal 5 2 2 6 3 3" xfId="13644" xr:uid="{5C73DA11-EB43-4152-B0E1-C9627701ECC5}"/>
    <cellStyle name="Normal 5 2 2 6 4" xfId="18707" xr:uid="{1BCC5A3A-626D-4EFC-92ED-1C79CDDBA91F}"/>
    <cellStyle name="Normal 5 2 2 6 5" xfId="17879" xr:uid="{E09F2911-C8B3-4C13-9272-631785D6FF12}"/>
    <cellStyle name="Normal 5 2 2 6 6" xfId="9426" xr:uid="{AE6420E9-8B0F-4D33-9899-0BE5DF7F3AC8}"/>
    <cellStyle name="Normal 5 2 2 7" xfId="1300" xr:uid="{00000000-0005-0000-0000-000026180000}"/>
    <cellStyle name="Normal 5 2 2 7 2" xfId="3530" xr:uid="{00000000-0005-0000-0000-000027180000}"/>
    <cellStyle name="Normal 5 2 2 7 2 2" xfId="7752" xr:uid="{00000000-0005-0000-0000-000028180000}"/>
    <cellStyle name="Normal 5 2 2 7 2 2 2" xfId="25482" xr:uid="{2F7E68D9-B2E0-4072-A315-46D8E5EB218F}"/>
    <cellStyle name="Normal 5 2 2 7 2 2 3" xfId="16202" xr:uid="{601C259D-10E5-4D17-AC6E-126A822FFA3B}"/>
    <cellStyle name="Normal 5 2 2 7 2 3" xfId="21265" xr:uid="{1F018E8C-1018-4C3F-9CBE-337890BC4B34}"/>
    <cellStyle name="Normal 5 2 2 7 2 4" xfId="11984" xr:uid="{477CA4F2-ED80-4121-9887-2CE81A20CCB4}"/>
    <cellStyle name="Normal 5 2 2 7 3" xfId="5607" xr:uid="{00000000-0005-0000-0000-000029180000}"/>
    <cellStyle name="Normal 5 2 2 7 3 2" xfId="23337" xr:uid="{EC5B3067-1BEA-4902-8DD7-76F357F7FA76}"/>
    <cellStyle name="Normal 5 2 2 7 3 3" xfId="14057" xr:uid="{B1A5D4D6-29D0-4CE3-98AC-AB66BCECACE9}"/>
    <cellStyle name="Normal 5 2 2 7 4" xfId="19120" xr:uid="{24D18F36-F159-4737-B9EF-8990EE14A103}"/>
    <cellStyle name="Normal 5 2 2 7 5" xfId="9839" xr:uid="{03328B0B-B539-4079-AF83-7B225E98BA09}"/>
    <cellStyle name="Normal 5 2 2 8" xfId="1713" xr:uid="{00000000-0005-0000-0000-00002A180000}"/>
    <cellStyle name="Normal 5 2 2 8 2" xfId="3943" xr:uid="{00000000-0005-0000-0000-00002B180000}"/>
    <cellStyle name="Normal 5 2 2 8 2 2" xfId="8165" xr:uid="{00000000-0005-0000-0000-00002C180000}"/>
    <cellStyle name="Normal 5 2 2 8 2 2 2" xfId="25895" xr:uid="{F924D942-A487-4445-9254-95021A913988}"/>
    <cellStyle name="Normal 5 2 2 8 2 2 3" xfId="16615" xr:uid="{664D8FA0-536A-45AF-B10F-16694C1D5BF9}"/>
    <cellStyle name="Normal 5 2 2 8 2 3" xfId="21678" xr:uid="{CEF5E2A6-2B06-4A9E-B5D7-D65B0B7DB04A}"/>
    <cellStyle name="Normal 5 2 2 8 2 4" xfId="12397" xr:uid="{8334E979-2FFD-4DEC-873D-124EC643416F}"/>
    <cellStyle name="Normal 5 2 2 8 3" xfId="6020" xr:uid="{00000000-0005-0000-0000-00002D180000}"/>
    <cellStyle name="Normal 5 2 2 8 3 2" xfId="23750" xr:uid="{772E3FBF-1A6B-43DB-B6F6-AD5D211807E6}"/>
    <cellStyle name="Normal 5 2 2 8 3 3" xfId="14470" xr:uid="{C23B86B3-F56D-4503-859E-30BFC96E1B39}"/>
    <cellStyle name="Normal 5 2 2 8 4" xfId="19533" xr:uid="{F40B77EA-E797-429A-8B3E-677D1983C586}"/>
    <cellStyle name="Normal 5 2 2 8 5" xfId="10252" xr:uid="{773143DD-0D19-46B7-803A-BCA2715A88FB}"/>
    <cellStyle name="Normal 5 2 2 9" xfId="2127" xr:uid="{00000000-0005-0000-0000-00002E180000}"/>
    <cellStyle name="Normal 5 2 2 9 2" xfId="4356" xr:uid="{00000000-0005-0000-0000-00002F180000}"/>
    <cellStyle name="Normal 5 2 2 9 2 2" xfId="8578" xr:uid="{00000000-0005-0000-0000-000030180000}"/>
    <cellStyle name="Normal 5 2 2 9 2 2 2" xfId="26308" xr:uid="{2800077A-6F84-4041-AE38-F13A839F2DAA}"/>
    <cellStyle name="Normal 5 2 2 9 2 2 3" xfId="17028" xr:uid="{A002C2B2-B07A-469F-BE7B-A10C8A49E918}"/>
    <cellStyle name="Normal 5 2 2 9 2 3" xfId="22091" xr:uid="{5603C856-A12C-44A4-A65F-218FBBE46F11}"/>
    <cellStyle name="Normal 5 2 2 9 2 4" xfId="12810" xr:uid="{F27F0511-90AA-41ED-B502-7177000A5E3B}"/>
    <cellStyle name="Normal 5 2 2 9 3" xfId="6433" xr:uid="{00000000-0005-0000-0000-000031180000}"/>
    <cellStyle name="Normal 5 2 2 9 3 2" xfId="24163" xr:uid="{E0E2911B-35F8-4813-A22E-94ACE7AD6258}"/>
    <cellStyle name="Normal 5 2 2 9 3 3" xfId="14883" xr:uid="{FD48CA99-4B73-4DAC-AF28-DE588E862C73}"/>
    <cellStyle name="Normal 5 2 2 9 4" xfId="19946" xr:uid="{10DDC001-C942-4691-98D0-4C9C23352B12}"/>
    <cellStyle name="Normal 5 2 2 9 5" xfId="10665" xr:uid="{B4AB479E-EED7-4739-9B19-6EEF79D1F13F}"/>
    <cellStyle name="Normal 5 2 3" xfId="424" xr:uid="{00000000-0005-0000-0000-000032180000}"/>
    <cellStyle name="Normal 5 2 3 10" xfId="4797" xr:uid="{00000000-0005-0000-0000-000033180000}"/>
    <cellStyle name="Normal 5 2 3 10 2" xfId="22527" xr:uid="{58D14E21-42B6-4F42-BFBE-5204335EA4C1}"/>
    <cellStyle name="Normal 5 2 3 10 3" xfId="13247" xr:uid="{512ED663-ABAD-4BA2-AFD9-7B823AB36315}"/>
    <cellStyle name="Normal 5 2 3 11" xfId="18310" xr:uid="{60C4B249-1A5F-4C99-8423-48ED7BCEB5FD}"/>
    <cellStyle name="Normal 5 2 3 12" xfId="17476" xr:uid="{A6EE3079-BD33-4146-A3A1-3442E8F534EC}"/>
    <cellStyle name="Normal 5 2 3 13" xfId="9029" xr:uid="{5E8E88E5-E9E9-49ED-94B6-DCB1750576A8}"/>
    <cellStyle name="Normal 5 2 3 2" xfId="425" xr:uid="{00000000-0005-0000-0000-000034180000}"/>
    <cellStyle name="Normal 5 2 3 2 10" xfId="18311" xr:uid="{3A0D7F0C-C49E-43A8-A2A2-AA07571C9700}"/>
    <cellStyle name="Normal 5 2 3 2 11" xfId="17477" xr:uid="{0D48CA19-BC94-4652-B738-1E5AF7FB2C9E}"/>
    <cellStyle name="Normal 5 2 3 2 12" xfId="9030" xr:uid="{CEBC5411-3846-4DC5-898C-1464D17DF526}"/>
    <cellStyle name="Normal 5 2 3 2 2" xfId="426" xr:uid="{00000000-0005-0000-0000-000035180000}"/>
    <cellStyle name="Normal 5 2 3 2 2 10" xfId="17478" xr:uid="{774DC7D6-0B43-4F94-B620-6D7E76C2F166}"/>
    <cellStyle name="Normal 5 2 3 2 2 11" xfId="9031" xr:uid="{B9C53557-6E9A-48FC-88B4-4C70B2E84C04}"/>
    <cellStyle name="Normal 5 2 3 2 2 2" xfId="427" xr:uid="{00000000-0005-0000-0000-000036180000}"/>
    <cellStyle name="Normal 5 2 3 2 2 2 10" xfId="9032" xr:uid="{2C2C5045-4963-4EB4-8D3E-94C2B3121A5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25088" xr:uid="{580305BF-9CE7-489D-A64A-96545E5754FF}"/>
    <cellStyle name="Normal 5 2 3 2 2 2 2 2 2 3" xfId="15808" xr:uid="{A3836A10-2263-49EE-A86B-CA2F6DCBA746}"/>
    <cellStyle name="Normal 5 2 3 2 2 2 2 2 3" xfId="20871" xr:uid="{EC77C721-F3C1-4A6B-A3C8-7C0D81D25EC4}"/>
    <cellStyle name="Normal 5 2 3 2 2 2 2 2 4" xfId="11590" xr:uid="{DCCC8D87-065A-4828-8EE5-6E566CF13EFC}"/>
    <cellStyle name="Normal 5 2 3 2 2 2 2 3" xfId="5213" xr:uid="{00000000-0005-0000-0000-00003A180000}"/>
    <cellStyle name="Normal 5 2 3 2 2 2 2 3 2" xfId="22943" xr:uid="{36B98714-6872-44FD-BE1E-1D11370711E8}"/>
    <cellStyle name="Normal 5 2 3 2 2 2 2 3 3" xfId="13663" xr:uid="{96DFF7BC-5AE3-4601-966F-48355B705B08}"/>
    <cellStyle name="Normal 5 2 3 2 2 2 2 4" xfId="18726" xr:uid="{AF32B81A-9619-4E50-A70A-E300614351DA}"/>
    <cellStyle name="Normal 5 2 3 2 2 2 2 5" xfId="17898" xr:uid="{295BFC57-D1BE-4EC2-B843-60B9FF687D58}"/>
    <cellStyle name="Normal 5 2 3 2 2 2 2 6" xfId="9445" xr:uid="{3E977146-4718-4E20-AE3D-9363BA2CB306}"/>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25501" xr:uid="{A331113A-DC7B-40F2-AB7F-0FD4AB23974C}"/>
    <cellStyle name="Normal 5 2 3 2 2 2 3 2 2 3" xfId="16221" xr:uid="{A6F3E1B3-B307-4CCF-8E22-EBD47A10B197}"/>
    <cellStyle name="Normal 5 2 3 2 2 2 3 2 3" xfId="21284" xr:uid="{9A26862C-B8D1-48C5-B436-E6F83A0072E1}"/>
    <cellStyle name="Normal 5 2 3 2 2 2 3 2 4" xfId="12003" xr:uid="{2A408E10-2944-4A09-AB53-EF3D71FDE7CA}"/>
    <cellStyle name="Normal 5 2 3 2 2 2 3 3" xfId="5626" xr:uid="{00000000-0005-0000-0000-00003E180000}"/>
    <cellStyle name="Normal 5 2 3 2 2 2 3 3 2" xfId="23356" xr:uid="{3FF0CBEC-FF9D-4DED-ACD9-ECCC0E2C6B4A}"/>
    <cellStyle name="Normal 5 2 3 2 2 2 3 3 3" xfId="14076" xr:uid="{6E935B2A-BA15-46C8-BE7E-67EC84941508}"/>
    <cellStyle name="Normal 5 2 3 2 2 2 3 4" xfId="19139" xr:uid="{D82835C1-B221-4F55-8F40-FEF045288853}"/>
    <cellStyle name="Normal 5 2 3 2 2 2 3 5" xfId="9858" xr:uid="{00E33626-FB85-4B77-951E-7CD46C1ADCD6}"/>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25914" xr:uid="{29DF2944-E732-4552-B4D4-440B01C5C10B}"/>
    <cellStyle name="Normal 5 2 3 2 2 2 4 2 2 3" xfId="16634" xr:uid="{D59B3BA0-3A6C-4E1B-914C-E851CA685DBC}"/>
    <cellStyle name="Normal 5 2 3 2 2 2 4 2 3" xfId="21697" xr:uid="{80306755-06C1-4AD6-9C26-9AE906D9182A}"/>
    <cellStyle name="Normal 5 2 3 2 2 2 4 2 4" xfId="12416" xr:uid="{205D99B0-6DF6-434D-ACC4-A73E4B021784}"/>
    <cellStyle name="Normal 5 2 3 2 2 2 4 3" xfId="6039" xr:uid="{00000000-0005-0000-0000-000042180000}"/>
    <cellStyle name="Normal 5 2 3 2 2 2 4 3 2" xfId="23769" xr:uid="{2F587199-4F3A-4701-8B05-97B3ED042732}"/>
    <cellStyle name="Normal 5 2 3 2 2 2 4 3 3" xfId="14489" xr:uid="{05F756F6-AD47-45ED-9665-4F71794A8D68}"/>
    <cellStyle name="Normal 5 2 3 2 2 2 4 4" xfId="19552" xr:uid="{292B47C5-1CF8-43D1-9785-7DB2888E367A}"/>
    <cellStyle name="Normal 5 2 3 2 2 2 4 5" xfId="10271" xr:uid="{3FCB1613-5173-4AAE-85E6-18C3438F6C64}"/>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26327" xr:uid="{186E1918-1619-4B0F-B2F0-BE5F2CAC22C1}"/>
    <cellStyle name="Normal 5 2 3 2 2 2 5 2 2 3" xfId="17047" xr:uid="{4006258A-BA2B-44FD-9876-87E500ED1CB2}"/>
    <cellStyle name="Normal 5 2 3 2 2 2 5 2 3" xfId="22110" xr:uid="{929A9CFB-82FF-48C4-BD3C-47518ECF9FE0}"/>
    <cellStyle name="Normal 5 2 3 2 2 2 5 2 4" xfId="12829" xr:uid="{67EB48BE-E633-4380-BA2B-9647ACB94026}"/>
    <cellStyle name="Normal 5 2 3 2 2 2 5 3" xfId="6452" xr:uid="{00000000-0005-0000-0000-000046180000}"/>
    <cellStyle name="Normal 5 2 3 2 2 2 5 3 2" xfId="24182" xr:uid="{3D82AAA3-511F-4183-89A4-34392343EA58}"/>
    <cellStyle name="Normal 5 2 3 2 2 2 5 3 3" xfId="14902" xr:uid="{CF371F5B-40B9-4ECC-9770-496CEA04503C}"/>
    <cellStyle name="Normal 5 2 3 2 2 2 5 4" xfId="19965" xr:uid="{4D1F7A18-EEF3-41F4-A2F6-CDA0E35C272A}"/>
    <cellStyle name="Normal 5 2 3 2 2 2 5 5" xfId="10684" xr:uid="{80B88D78-CD68-4E45-951A-7C337EB972F6}"/>
    <cellStyle name="Normal 5 2 3 2 2 2 6" xfId="2582" xr:uid="{00000000-0005-0000-0000-000047180000}"/>
    <cellStyle name="Normal 5 2 3 2 2 2 6 2" xfId="6865" xr:uid="{00000000-0005-0000-0000-000048180000}"/>
    <cellStyle name="Normal 5 2 3 2 2 2 6 2 2" xfId="24595" xr:uid="{CB3533BC-7CEE-4570-86E5-48CB01255FF9}"/>
    <cellStyle name="Normal 5 2 3 2 2 2 6 2 3" xfId="15315" xr:uid="{44AFFDF2-0519-42EB-8070-441BA3780FF0}"/>
    <cellStyle name="Normal 5 2 3 2 2 2 6 3" xfId="20378" xr:uid="{9E6C5BFB-3563-45A2-85D3-33263F8986A5}"/>
    <cellStyle name="Normal 5 2 3 2 2 2 6 4" xfId="11097" xr:uid="{E8B3E3B1-A2D2-42BB-B63A-22ABFB3DDA9F}"/>
    <cellStyle name="Normal 5 2 3 2 2 2 7" xfId="4800" xr:uid="{00000000-0005-0000-0000-000049180000}"/>
    <cellStyle name="Normal 5 2 3 2 2 2 7 2" xfId="22530" xr:uid="{ECF980E9-6AAE-4FE6-BAB4-ADC3754D9B94}"/>
    <cellStyle name="Normal 5 2 3 2 2 2 7 3" xfId="13250" xr:uid="{535FA7AB-49B4-4D21-9B5F-E0DBF83448F8}"/>
    <cellStyle name="Normal 5 2 3 2 2 2 8" xfId="18313" xr:uid="{1D2A8EEA-3C8F-432E-9AA3-4230C47DB693}"/>
    <cellStyle name="Normal 5 2 3 2 2 2 9" xfId="17479" xr:uid="{E3157B6F-0047-4019-AE5E-FD903596CCC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25087" xr:uid="{35369936-B74F-4DBB-B5E6-681201381861}"/>
    <cellStyle name="Normal 5 2 3 2 2 3 2 2 3" xfId="15807" xr:uid="{73D581AB-804D-4F92-9C47-81062291F364}"/>
    <cellStyle name="Normal 5 2 3 2 2 3 2 3" xfId="20870" xr:uid="{01444673-AEF0-4612-8A7D-D2C03523C6CD}"/>
    <cellStyle name="Normal 5 2 3 2 2 3 2 4" xfId="11589" xr:uid="{F0478CCA-3CF8-4110-8D2D-5C06EB84A768}"/>
    <cellStyle name="Normal 5 2 3 2 2 3 3" xfId="5212" xr:uid="{00000000-0005-0000-0000-00004D180000}"/>
    <cellStyle name="Normal 5 2 3 2 2 3 3 2" xfId="22942" xr:uid="{FB92226D-2DE6-4A6F-B24C-AE31669AD9B1}"/>
    <cellStyle name="Normal 5 2 3 2 2 3 3 3" xfId="13662" xr:uid="{A98741F2-8557-4027-A9AB-A8A957D7A7C8}"/>
    <cellStyle name="Normal 5 2 3 2 2 3 4" xfId="18725" xr:uid="{6C7F17EA-8393-42DE-B851-566825300DBC}"/>
    <cellStyle name="Normal 5 2 3 2 2 3 5" xfId="17897" xr:uid="{1CF90610-8A60-40B7-A9CA-6D1C54BD1C0B}"/>
    <cellStyle name="Normal 5 2 3 2 2 3 6" xfId="9444" xr:uid="{6357C9A9-AB71-4DBE-9D77-0DAA688CCB84}"/>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25500" xr:uid="{7DFCE2E3-EEBA-43C5-B87B-C664D1B628AF}"/>
    <cellStyle name="Normal 5 2 3 2 2 4 2 2 3" xfId="16220" xr:uid="{E46CFA60-98D2-439D-804D-D3E1E29222D7}"/>
    <cellStyle name="Normal 5 2 3 2 2 4 2 3" xfId="21283" xr:uid="{866F320A-27A3-4243-A021-FA12D1C80408}"/>
    <cellStyle name="Normal 5 2 3 2 2 4 2 4" xfId="12002" xr:uid="{DA7BE99F-6BCA-4337-AA7C-A8B46E962D36}"/>
    <cellStyle name="Normal 5 2 3 2 2 4 3" xfId="5625" xr:uid="{00000000-0005-0000-0000-000051180000}"/>
    <cellStyle name="Normal 5 2 3 2 2 4 3 2" xfId="23355" xr:uid="{A3E6ABF9-4740-4A6E-9D11-23CD08882BEF}"/>
    <cellStyle name="Normal 5 2 3 2 2 4 3 3" xfId="14075" xr:uid="{9E4BD149-7118-4B92-89B5-2CF982BCC1C6}"/>
    <cellStyle name="Normal 5 2 3 2 2 4 4" xfId="19138" xr:uid="{29B260EC-03C2-4697-8D79-26C835CFF4A6}"/>
    <cellStyle name="Normal 5 2 3 2 2 4 5" xfId="9857" xr:uid="{FF021349-01A0-43C9-A201-46CD2B20DDD8}"/>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25913" xr:uid="{23498020-9CBC-4848-A894-7B4284E1A741}"/>
    <cellStyle name="Normal 5 2 3 2 2 5 2 2 3" xfId="16633" xr:uid="{3066A2D9-097A-4AEF-B76E-88442E62261A}"/>
    <cellStyle name="Normal 5 2 3 2 2 5 2 3" xfId="21696" xr:uid="{DA4CE0DA-2723-452D-9BDF-3425051DC523}"/>
    <cellStyle name="Normal 5 2 3 2 2 5 2 4" xfId="12415" xr:uid="{80DDBF72-B7C8-4015-8837-7DB3750D592C}"/>
    <cellStyle name="Normal 5 2 3 2 2 5 3" xfId="6038" xr:uid="{00000000-0005-0000-0000-000055180000}"/>
    <cellStyle name="Normal 5 2 3 2 2 5 3 2" xfId="23768" xr:uid="{A0024BC0-39A7-4FB0-8865-0F95B5BC6CBF}"/>
    <cellStyle name="Normal 5 2 3 2 2 5 3 3" xfId="14488" xr:uid="{A5B29686-E080-4BD1-97C2-8B6530A2B1F3}"/>
    <cellStyle name="Normal 5 2 3 2 2 5 4" xfId="19551" xr:uid="{F2128CA1-2796-4A4F-9F52-5AE287F5AD4B}"/>
    <cellStyle name="Normal 5 2 3 2 2 5 5" xfId="10270" xr:uid="{F641475D-15DD-496A-86A3-5B60792AA6EF}"/>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26326" xr:uid="{0BAFF624-D626-4E84-A4B0-23E44B81E7DE}"/>
    <cellStyle name="Normal 5 2 3 2 2 6 2 2 3" xfId="17046" xr:uid="{9F6BA167-D661-4F91-A02A-5944D78ED71C}"/>
    <cellStyle name="Normal 5 2 3 2 2 6 2 3" xfId="22109" xr:uid="{A03E2EF5-8BC5-4BF1-8DCD-E1B6DB1AB3FC}"/>
    <cellStyle name="Normal 5 2 3 2 2 6 2 4" xfId="12828" xr:uid="{98C9395B-69CA-48E3-9AB5-33A8ED8242E6}"/>
    <cellStyle name="Normal 5 2 3 2 2 6 3" xfId="6451" xr:uid="{00000000-0005-0000-0000-000059180000}"/>
    <cellStyle name="Normal 5 2 3 2 2 6 3 2" xfId="24181" xr:uid="{88A92CA6-A32B-4C55-9A17-C19C6301F69A}"/>
    <cellStyle name="Normal 5 2 3 2 2 6 3 3" xfId="14901" xr:uid="{F195BE34-86E6-41B9-ACA5-5781E2451334}"/>
    <cellStyle name="Normal 5 2 3 2 2 6 4" xfId="19964" xr:uid="{8E58248A-E2B2-4A5E-A152-47074CAEF7E9}"/>
    <cellStyle name="Normal 5 2 3 2 2 6 5" xfId="10683" xr:uid="{1CA8F280-23B0-4A6A-8F6A-15DD5C1F8B9A}"/>
    <cellStyle name="Normal 5 2 3 2 2 7" xfId="2581" xr:uid="{00000000-0005-0000-0000-00005A180000}"/>
    <cellStyle name="Normal 5 2 3 2 2 7 2" xfId="6864" xr:uid="{00000000-0005-0000-0000-00005B180000}"/>
    <cellStyle name="Normal 5 2 3 2 2 7 2 2" xfId="24594" xr:uid="{6EEBF87A-B6A0-4A04-99D8-D7C4DACFC935}"/>
    <cellStyle name="Normal 5 2 3 2 2 7 2 3" xfId="15314" xr:uid="{AE21BBF0-556C-4F0F-93A1-DC0114DFE28E}"/>
    <cellStyle name="Normal 5 2 3 2 2 7 3" xfId="20377" xr:uid="{0BED92BD-A0E1-4F85-81C2-578B6084CD07}"/>
    <cellStyle name="Normal 5 2 3 2 2 7 4" xfId="11096" xr:uid="{21A3C6E6-8209-4818-96F9-AB253D2C789B}"/>
    <cellStyle name="Normal 5 2 3 2 2 8" xfId="4799" xr:uid="{00000000-0005-0000-0000-00005C180000}"/>
    <cellStyle name="Normal 5 2 3 2 2 8 2" xfId="22529" xr:uid="{8C9F3590-0C5C-48BA-AB4A-1621013C8B4B}"/>
    <cellStyle name="Normal 5 2 3 2 2 8 3" xfId="13249" xr:uid="{F17551EB-8653-4835-9BAB-4051C02E1E33}"/>
    <cellStyle name="Normal 5 2 3 2 2 9" xfId="18312" xr:uid="{E3833543-CE7E-4E5D-88A3-37158C8C05F0}"/>
    <cellStyle name="Normal 5 2 3 2 3" xfId="428" xr:uid="{00000000-0005-0000-0000-00005D180000}"/>
    <cellStyle name="Normal 5 2 3 2 3 10" xfId="9033" xr:uid="{68CB6B3A-6336-4307-A8FF-0583C1E5C81D}"/>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25089" xr:uid="{88B64C7F-FDD0-4313-8AF8-A5D21A229EA7}"/>
    <cellStyle name="Normal 5 2 3 2 3 2 2 2 3" xfId="15809" xr:uid="{645187EB-E09B-4185-BC57-2E2BD8882BA0}"/>
    <cellStyle name="Normal 5 2 3 2 3 2 2 3" xfId="20872" xr:uid="{1AF99634-DFBE-4F90-B295-1CCD36B1F37E}"/>
    <cellStyle name="Normal 5 2 3 2 3 2 2 4" xfId="11591" xr:uid="{BF136651-A46D-452B-9B49-1B3775A36080}"/>
    <cellStyle name="Normal 5 2 3 2 3 2 3" xfId="5214" xr:uid="{00000000-0005-0000-0000-000061180000}"/>
    <cellStyle name="Normal 5 2 3 2 3 2 3 2" xfId="22944" xr:uid="{4559B609-424E-49C6-B717-CEA8629C1208}"/>
    <cellStyle name="Normal 5 2 3 2 3 2 3 3" xfId="13664" xr:uid="{EEF7F395-67E2-49D1-A79F-AB6F5899E6EB}"/>
    <cellStyle name="Normal 5 2 3 2 3 2 4" xfId="18727" xr:uid="{D7381899-87ED-49C3-83F7-879DBFAE95B0}"/>
    <cellStyle name="Normal 5 2 3 2 3 2 5" xfId="17899" xr:uid="{CD23BD99-2901-4EB0-AEE2-CCCEE6D2B0D9}"/>
    <cellStyle name="Normal 5 2 3 2 3 2 6" xfId="9446" xr:uid="{8688BF64-08D0-452B-A953-E7A32209CFBD}"/>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25502" xr:uid="{F8947408-39B1-470D-9183-6465C584674D}"/>
    <cellStyle name="Normal 5 2 3 2 3 3 2 2 3" xfId="16222" xr:uid="{D9BBC701-11EF-4CD5-B42E-3A3E221A1F67}"/>
    <cellStyle name="Normal 5 2 3 2 3 3 2 3" xfId="21285" xr:uid="{D1EBE95E-002A-4411-A5B9-C4266FDA80C8}"/>
    <cellStyle name="Normal 5 2 3 2 3 3 2 4" xfId="12004" xr:uid="{3E1B5897-1B92-4CF6-AAB1-90921173A65B}"/>
    <cellStyle name="Normal 5 2 3 2 3 3 3" xfId="5627" xr:uid="{00000000-0005-0000-0000-000065180000}"/>
    <cellStyle name="Normal 5 2 3 2 3 3 3 2" xfId="23357" xr:uid="{A235C631-FB88-4548-86F3-D2CD48EB2065}"/>
    <cellStyle name="Normal 5 2 3 2 3 3 3 3" xfId="14077" xr:uid="{C1D0D514-9FA8-48C8-9F9D-6CDCB9F09435}"/>
    <cellStyle name="Normal 5 2 3 2 3 3 4" xfId="19140" xr:uid="{2C8DB175-DA40-4ED7-A0BE-EC585B0CC21E}"/>
    <cellStyle name="Normal 5 2 3 2 3 3 5" xfId="9859" xr:uid="{05A3EF2E-6B7F-421F-8A68-83D8077D98DA}"/>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25915" xr:uid="{B7EB7C19-B30C-43A8-8006-C04FE36DB1D2}"/>
    <cellStyle name="Normal 5 2 3 2 3 4 2 2 3" xfId="16635" xr:uid="{3871A214-D74C-4F61-8F54-3A2E49D24508}"/>
    <cellStyle name="Normal 5 2 3 2 3 4 2 3" xfId="21698" xr:uid="{1AB0C0F0-BEA3-4193-A81C-76BC228A756F}"/>
    <cellStyle name="Normal 5 2 3 2 3 4 2 4" xfId="12417" xr:uid="{D5EED660-753C-4026-8FEF-8F9D0CC9B7A2}"/>
    <cellStyle name="Normal 5 2 3 2 3 4 3" xfId="6040" xr:uid="{00000000-0005-0000-0000-000069180000}"/>
    <cellStyle name="Normal 5 2 3 2 3 4 3 2" xfId="23770" xr:uid="{BA0CE6A4-E6E3-4C59-8D07-0A3BEC3D7629}"/>
    <cellStyle name="Normal 5 2 3 2 3 4 3 3" xfId="14490" xr:uid="{58AE7B49-FFED-4749-A9A5-81EFF61D14FE}"/>
    <cellStyle name="Normal 5 2 3 2 3 4 4" xfId="19553" xr:uid="{C9697082-2BC7-469D-90FB-DD7F3435F17A}"/>
    <cellStyle name="Normal 5 2 3 2 3 4 5" xfId="10272" xr:uid="{1A60AA20-2606-4C8E-AB93-C3442AD4AEDC}"/>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26328" xr:uid="{37D47016-1CE0-4DC1-A3B3-95161DBEB5B6}"/>
    <cellStyle name="Normal 5 2 3 2 3 5 2 2 3" xfId="17048" xr:uid="{6CD42DE0-C7D1-4CF9-ABBF-E0D8729F63F9}"/>
    <cellStyle name="Normal 5 2 3 2 3 5 2 3" xfId="22111" xr:uid="{B6AEADDE-EDF3-4586-8FA4-FF414FCA4782}"/>
    <cellStyle name="Normal 5 2 3 2 3 5 2 4" xfId="12830" xr:uid="{2C774850-0A1B-4415-982B-F1C9C322FE88}"/>
    <cellStyle name="Normal 5 2 3 2 3 5 3" xfId="6453" xr:uid="{00000000-0005-0000-0000-00006D180000}"/>
    <cellStyle name="Normal 5 2 3 2 3 5 3 2" xfId="24183" xr:uid="{892C88ED-F642-414E-8AD3-26B5C51CA9A3}"/>
    <cellStyle name="Normal 5 2 3 2 3 5 3 3" xfId="14903" xr:uid="{1A762B72-E237-4798-B532-C6A32AF4B41A}"/>
    <cellStyle name="Normal 5 2 3 2 3 5 4" xfId="19966" xr:uid="{6B8EC1FD-4F34-4A18-9FC0-B3928438E009}"/>
    <cellStyle name="Normal 5 2 3 2 3 5 5" xfId="10685" xr:uid="{4C1FF4D6-ED5B-489E-84B7-D1414B7665F2}"/>
    <cellStyle name="Normal 5 2 3 2 3 6" xfId="2583" xr:uid="{00000000-0005-0000-0000-00006E180000}"/>
    <cellStyle name="Normal 5 2 3 2 3 6 2" xfId="6866" xr:uid="{00000000-0005-0000-0000-00006F180000}"/>
    <cellStyle name="Normal 5 2 3 2 3 6 2 2" xfId="24596" xr:uid="{7213845E-08AA-4402-8268-DF4415FF8463}"/>
    <cellStyle name="Normal 5 2 3 2 3 6 2 3" xfId="15316" xr:uid="{A1A4B1A2-688A-400B-870B-74351153A95B}"/>
    <cellStyle name="Normal 5 2 3 2 3 6 3" xfId="20379" xr:uid="{0CBC0F74-8683-4E8D-A77F-AAAA010D6AC6}"/>
    <cellStyle name="Normal 5 2 3 2 3 6 4" xfId="11098" xr:uid="{D4439CD7-ED70-479C-82C3-1F441AF64558}"/>
    <cellStyle name="Normal 5 2 3 2 3 7" xfId="4801" xr:uid="{00000000-0005-0000-0000-000070180000}"/>
    <cellStyle name="Normal 5 2 3 2 3 7 2" xfId="22531" xr:uid="{F1F06D17-77DD-451E-9AD5-DE3B0CB4A813}"/>
    <cellStyle name="Normal 5 2 3 2 3 7 3" xfId="13251" xr:uid="{75BED727-C15A-4B6E-87A1-F16EC7C1EADE}"/>
    <cellStyle name="Normal 5 2 3 2 3 8" xfId="18314" xr:uid="{46B8EE38-F239-41DA-9E33-99A88E0DA9CA}"/>
    <cellStyle name="Normal 5 2 3 2 3 9" xfId="17480" xr:uid="{F09A0DA2-1E19-466B-B3D6-21ABFE0F5935}"/>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25086" xr:uid="{3815CB4B-22DF-44A1-8B28-CD677247A7ED}"/>
    <cellStyle name="Normal 5 2 3 2 4 2 2 3" xfId="15806" xr:uid="{5C308837-B7F7-4FDA-B91F-2FCE0FEC64C0}"/>
    <cellStyle name="Normal 5 2 3 2 4 2 3" xfId="20869" xr:uid="{D8AD586C-3B09-438A-A9AD-009B1F132D08}"/>
    <cellStyle name="Normal 5 2 3 2 4 2 4" xfId="11588" xr:uid="{DF273A79-0638-48EA-9D33-684C376B3FCC}"/>
    <cellStyle name="Normal 5 2 3 2 4 3" xfId="5211" xr:uid="{00000000-0005-0000-0000-000074180000}"/>
    <cellStyle name="Normal 5 2 3 2 4 3 2" xfId="22941" xr:uid="{8245C45F-24A6-41D5-84F7-863A0677CF16}"/>
    <cellStyle name="Normal 5 2 3 2 4 3 3" xfId="13661" xr:uid="{651AFDA7-E1BE-4832-868E-8B3EACE616BB}"/>
    <cellStyle name="Normal 5 2 3 2 4 4" xfId="18724" xr:uid="{930FB807-314F-4AAD-9750-C8071A3142B2}"/>
    <cellStyle name="Normal 5 2 3 2 4 5" xfId="17896" xr:uid="{24F25854-DC8C-48A2-8A0C-0C77BFF1BF77}"/>
    <cellStyle name="Normal 5 2 3 2 4 6" xfId="9443" xr:uid="{94B0015C-5171-4E30-81D6-484036807B26}"/>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25499" xr:uid="{62A55487-57AE-4C43-AFC9-F71281782CE4}"/>
    <cellStyle name="Normal 5 2 3 2 5 2 2 3" xfId="16219" xr:uid="{9BC0E1E3-B62D-4833-B16F-706765ADD0C6}"/>
    <cellStyle name="Normal 5 2 3 2 5 2 3" xfId="21282" xr:uid="{59A6718F-094E-4807-AF13-6407C86769E1}"/>
    <cellStyle name="Normal 5 2 3 2 5 2 4" xfId="12001" xr:uid="{F426E22A-4668-4930-BC67-AFAA60161780}"/>
    <cellStyle name="Normal 5 2 3 2 5 3" xfId="5624" xr:uid="{00000000-0005-0000-0000-000078180000}"/>
    <cellStyle name="Normal 5 2 3 2 5 3 2" xfId="23354" xr:uid="{F3A1DA53-FFA8-464D-8DB7-F6A0D88D7951}"/>
    <cellStyle name="Normal 5 2 3 2 5 3 3" xfId="14074" xr:uid="{2564EFAF-235D-4011-8CFB-D123E63B084B}"/>
    <cellStyle name="Normal 5 2 3 2 5 4" xfId="19137" xr:uid="{35906746-258F-4C2D-A2B3-22BFA4146B5E}"/>
    <cellStyle name="Normal 5 2 3 2 5 5" xfId="9856" xr:uid="{9FF61D3B-4D5C-4491-96C6-E2459BAF738C}"/>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25912" xr:uid="{55DCAA55-ECCC-438A-B525-0E7CA46C479D}"/>
    <cellStyle name="Normal 5 2 3 2 6 2 2 3" xfId="16632" xr:uid="{C2BAB60D-ACE4-445F-B990-0B26D699B3F9}"/>
    <cellStyle name="Normal 5 2 3 2 6 2 3" xfId="21695" xr:uid="{6F3BB43D-1C84-4E3D-8B3D-52D6EE4CFD29}"/>
    <cellStyle name="Normal 5 2 3 2 6 2 4" xfId="12414" xr:uid="{59BDCB5E-9193-4CCB-86C1-48B625E0DE71}"/>
    <cellStyle name="Normal 5 2 3 2 6 3" xfId="6037" xr:uid="{00000000-0005-0000-0000-00007C180000}"/>
    <cellStyle name="Normal 5 2 3 2 6 3 2" xfId="23767" xr:uid="{5E2EBA2B-3F2D-40D6-8984-CB22317865FE}"/>
    <cellStyle name="Normal 5 2 3 2 6 3 3" xfId="14487" xr:uid="{716869DE-E9F9-43B0-88AD-BE8DF331864C}"/>
    <cellStyle name="Normal 5 2 3 2 6 4" xfId="19550" xr:uid="{4502D20B-65E9-4428-B811-E4B10A81CCB6}"/>
    <cellStyle name="Normal 5 2 3 2 6 5" xfId="10269" xr:uid="{93AC65A9-B468-41E0-A536-130C9A40E4F9}"/>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26325" xr:uid="{86492BE9-C4D3-48F9-B8A5-FFBFF3FD9DCD}"/>
    <cellStyle name="Normal 5 2 3 2 7 2 2 3" xfId="17045" xr:uid="{CD05B143-7DAA-434F-924C-734D75384CE2}"/>
    <cellStyle name="Normal 5 2 3 2 7 2 3" xfId="22108" xr:uid="{7FC0294B-860B-43A4-8B73-12369EB4FB10}"/>
    <cellStyle name="Normal 5 2 3 2 7 2 4" xfId="12827" xr:uid="{98F850D0-77DC-40A2-A112-1F5383555B5F}"/>
    <cellStyle name="Normal 5 2 3 2 7 3" xfId="6450" xr:uid="{00000000-0005-0000-0000-000080180000}"/>
    <cellStyle name="Normal 5 2 3 2 7 3 2" xfId="24180" xr:uid="{650A062A-7B57-471E-A308-71944A81B05A}"/>
    <cellStyle name="Normal 5 2 3 2 7 3 3" xfId="14900" xr:uid="{62D3C644-8043-402E-8D0F-736A84ABEDC1}"/>
    <cellStyle name="Normal 5 2 3 2 7 4" xfId="19963" xr:uid="{B4C2272D-4320-4294-8B22-B655818326E7}"/>
    <cellStyle name="Normal 5 2 3 2 7 5" xfId="10682" xr:uid="{599D7C9F-5C66-411F-ABDE-7C4541000384}"/>
    <cellStyle name="Normal 5 2 3 2 8" xfId="2580" xr:uid="{00000000-0005-0000-0000-000081180000}"/>
    <cellStyle name="Normal 5 2 3 2 8 2" xfId="6863" xr:uid="{00000000-0005-0000-0000-000082180000}"/>
    <cellStyle name="Normal 5 2 3 2 8 2 2" xfId="24593" xr:uid="{3B52BA06-5FC6-42E4-B7FD-5869E474E175}"/>
    <cellStyle name="Normal 5 2 3 2 8 2 3" xfId="15313" xr:uid="{F25804E3-575C-4DF2-A407-DDD6B8ABCAE0}"/>
    <cellStyle name="Normal 5 2 3 2 8 3" xfId="20376" xr:uid="{D3FBB26F-15FA-4E1F-BB76-D457D7934AD3}"/>
    <cellStyle name="Normal 5 2 3 2 8 4" xfId="11095" xr:uid="{9B1A454F-B8E8-4A2B-BC00-8418798BC07F}"/>
    <cellStyle name="Normal 5 2 3 2 9" xfId="4798" xr:uid="{00000000-0005-0000-0000-000083180000}"/>
    <cellStyle name="Normal 5 2 3 2 9 2" xfId="22528" xr:uid="{383EDB4F-3AC2-4802-A42D-ED7D3D61D7EF}"/>
    <cellStyle name="Normal 5 2 3 2 9 3" xfId="13248" xr:uid="{2D5F9926-4C0D-4D89-B389-31ED54D9798F}"/>
    <cellStyle name="Normal 5 2 3 3" xfId="429" xr:uid="{00000000-0005-0000-0000-000084180000}"/>
    <cellStyle name="Normal 5 2 3 3 10" xfId="17481" xr:uid="{568DFB93-99C5-47A5-A6CF-8CE05F28997F}"/>
    <cellStyle name="Normal 5 2 3 3 11" xfId="9034" xr:uid="{837996D8-419D-4F7C-BABA-837DEC367FF5}"/>
    <cellStyle name="Normal 5 2 3 3 2" xfId="430" xr:uid="{00000000-0005-0000-0000-000085180000}"/>
    <cellStyle name="Normal 5 2 3 3 2 10" xfId="9035" xr:uid="{FC9F0FD3-D429-45DD-9A62-63AF76C401AA}"/>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25091" xr:uid="{290DB6B5-3A18-4676-8D30-ED267EDC52EB}"/>
    <cellStyle name="Normal 5 2 3 3 2 2 2 2 3" xfId="15811" xr:uid="{57575477-A9F9-47E7-90DB-1AF6D6D5151B}"/>
    <cellStyle name="Normal 5 2 3 3 2 2 2 3" xfId="20874" xr:uid="{52273A21-85FB-44F6-9A7A-2A52A97F3994}"/>
    <cellStyle name="Normal 5 2 3 3 2 2 2 4" xfId="11593" xr:uid="{EA7E55F3-855C-4AA4-8DC3-2F2FDFEED177}"/>
    <cellStyle name="Normal 5 2 3 3 2 2 3" xfId="5216" xr:uid="{00000000-0005-0000-0000-000089180000}"/>
    <cellStyle name="Normal 5 2 3 3 2 2 3 2" xfId="22946" xr:uid="{A9D1FBFE-6D08-404B-B2BA-4070CAD4B243}"/>
    <cellStyle name="Normal 5 2 3 3 2 2 3 3" xfId="13666" xr:uid="{FE05FD23-54F8-49C9-87AB-C610800BABD4}"/>
    <cellStyle name="Normal 5 2 3 3 2 2 4" xfId="18729" xr:uid="{0376DD48-06BB-4797-B9F2-2B274A19929D}"/>
    <cellStyle name="Normal 5 2 3 3 2 2 5" xfId="17901" xr:uid="{A06E2DE3-762D-45FF-A4A0-0B7209136849}"/>
    <cellStyle name="Normal 5 2 3 3 2 2 6" xfId="9448" xr:uid="{F0D6499B-3EC9-481F-9DAD-0DEEE311F86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25504" xr:uid="{9E8D8EAD-241D-447B-B287-69B25B009E83}"/>
    <cellStyle name="Normal 5 2 3 3 2 3 2 2 3" xfId="16224" xr:uid="{2D46716D-CF20-438F-83C2-DE183B589C10}"/>
    <cellStyle name="Normal 5 2 3 3 2 3 2 3" xfId="21287" xr:uid="{64609945-75A6-4D41-9ACD-CCA9EE3079D2}"/>
    <cellStyle name="Normal 5 2 3 3 2 3 2 4" xfId="12006" xr:uid="{7DFBBCE3-52BB-4D2C-A591-FB4CE50C7AA7}"/>
    <cellStyle name="Normal 5 2 3 3 2 3 3" xfId="5629" xr:uid="{00000000-0005-0000-0000-00008D180000}"/>
    <cellStyle name="Normal 5 2 3 3 2 3 3 2" xfId="23359" xr:uid="{1F1FB9BB-6737-45B2-B257-71B8C47E4D84}"/>
    <cellStyle name="Normal 5 2 3 3 2 3 3 3" xfId="14079" xr:uid="{0379F051-5C15-464C-BD75-D869E7D77D73}"/>
    <cellStyle name="Normal 5 2 3 3 2 3 4" xfId="19142" xr:uid="{0B401F96-6C62-4781-B2DE-1B481EF61505}"/>
    <cellStyle name="Normal 5 2 3 3 2 3 5" xfId="9861" xr:uid="{13936571-B9B7-4A59-A466-FCA99D12FF62}"/>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25917" xr:uid="{009F8A17-EBB2-4464-B8F7-E813B5056669}"/>
    <cellStyle name="Normal 5 2 3 3 2 4 2 2 3" xfId="16637" xr:uid="{E4E77E31-4732-4209-BEBC-EB6F511EF3A5}"/>
    <cellStyle name="Normal 5 2 3 3 2 4 2 3" xfId="21700" xr:uid="{A46BBF45-15A1-44ED-9973-949F3DB63469}"/>
    <cellStyle name="Normal 5 2 3 3 2 4 2 4" xfId="12419" xr:uid="{D446A0D3-DB3C-4F65-959E-3C4F8C07419E}"/>
    <cellStyle name="Normal 5 2 3 3 2 4 3" xfId="6042" xr:uid="{00000000-0005-0000-0000-000091180000}"/>
    <cellStyle name="Normal 5 2 3 3 2 4 3 2" xfId="23772" xr:uid="{9944E2F0-B188-4076-A2E5-81003677EA05}"/>
    <cellStyle name="Normal 5 2 3 3 2 4 3 3" xfId="14492" xr:uid="{5A6C4CB7-B43A-43D6-B4AB-6E2A64D1098B}"/>
    <cellStyle name="Normal 5 2 3 3 2 4 4" xfId="19555" xr:uid="{0C7133AF-B147-426E-84A9-E22979273B1B}"/>
    <cellStyle name="Normal 5 2 3 3 2 4 5" xfId="10274" xr:uid="{B1C511E5-494A-4995-BB52-8CEACD96E83F}"/>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26330" xr:uid="{734B24AA-3D6F-485D-B580-82D284CAD6B7}"/>
    <cellStyle name="Normal 5 2 3 3 2 5 2 2 3" xfId="17050" xr:uid="{1815F1F6-32AD-4DE5-8FFA-FE72E7B79DC3}"/>
    <cellStyle name="Normal 5 2 3 3 2 5 2 3" xfId="22113" xr:uid="{CECA8179-CA0F-4FF3-993E-C2F0F5CA1C92}"/>
    <cellStyle name="Normal 5 2 3 3 2 5 2 4" xfId="12832" xr:uid="{F0A5F8A7-BCEE-41CA-8E7A-EDB049D6E390}"/>
    <cellStyle name="Normal 5 2 3 3 2 5 3" xfId="6455" xr:uid="{00000000-0005-0000-0000-000095180000}"/>
    <cellStyle name="Normal 5 2 3 3 2 5 3 2" xfId="24185" xr:uid="{495F7F9A-7486-439D-A1F0-F141506A0880}"/>
    <cellStyle name="Normal 5 2 3 3 2 5 3 3" xfId="14905" xr:uid="{0621DCEE-F835-4932-826E-38803B39742F}"/>
    <cellStyle name="Normal 5 2 3 3 2 5 4" xfId="19968" xr:uid="{28B68F10-A3E8-4731-80C2-F56016D922D5}"/>
    <cellStyle name="Normal 5 2 3 3 2 5 5" xfId="10687" xr:uid="{2867A3C2-4BAE-46B4-9E8E-37C8B5945E06}"/>
    <cellStyle name="Normal 5 2 3 3 2 6" xfId="2585" xr:uid="{00000000-0005-0000-0000-000096180000}"/>
    <cellStyle name="Normal 5 2 3 3 2 6 2" xfId="6868" xr:uid="{00000000-0005-0000-0000-000097180000}"/>
    <cellStyle name="Normal 5 2 3 3 2 6 2 2" xfId="24598" xr:uid="{7024F723-6F2E-4200-811B-27E8D06222DA}"/>
    <cellStyle name="Normal 5 2 3 3 2 6 2 3" xfId="15318" xr:uid="{87E0215A-3D98-41A0-97E9-6AC6A5DE5F2F}"/>
    <cellStyle name="Normal 5 2 3 3 2 6 3" xfId="20381" xr:uid="{0587FCD8-53FA-46C9-A9DE-C033963B750D}"/>
    <cellStyle name="Normal 5 2 3 3 2 6 4" xfId="11100" xr:uid="{AFF490D1-BF93-46D4-B19E-E6ACA36485C2}"/>
    <cellStyle name="Normal 5 2 3 3 2 7" xfId="4803" xr:uid="{00000000-0005-0000-0000-000098180000}"/>
    <cellStyle name="Normal 5 2 3 3 2 7 2" xfId="22533" xr:uid="{F41C7787-A96E-44AD-97FC-46E28D19876E}"/>
    <cellStyle name="Normal 5 2 3 3 2 7 3" xfId="13253" xr:uid="{A7735C73-DA74-4F98-B2AC-3380E0B8B4A2}"/>
    <cellStyle name="Normal 5 2 3 3 2 8" xfId="18316" xr:uid="{44F17DD7-1A12-499F-BFA9-3391F0550F48}"/>
    <cellStyle name="Normal 5 2 3 3 2 9" xfId="17482" xr:uid="{630F770B-8C09-4463-9EFF-6A39C66D8712}"/>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25090" xr:uid="{75143401-C682-4732-B780-A7967AA69D07}"/>
    <cellStyle name="Normal 5 2 3 3 3 2 2 3" xfId="15810" xr:uid="{3CB19137-1A5B-43D5-9EBD-734629F8A0E1}"/>
    <cellStyle name="Normal 5 2 3 3 3 2 3" xfId="20873" xr:uid="{5EA88BE1-B0CA-48D9-BAE0-1B549F1FC52B}"/>
    <cellStyle name="Normal 5 2 3 3 3 2 4" xfId="11592" xr:uid="{ECE391BC-085C-499C-9BA1-78224A97CA41}"/>
    <cellStyle name="Normal 5 2 3 3 3 3" xfId="5215" xr:uid="{00000000-0005-0000-0000-00009C180000}"/>
    <cellStyle name="Normal 5 2 3 3 3 3 2" xfId="22945" xr:uid="{BB8675E3-A47F-4D1B-B7ED-BC11D4EDB6C4}"/>
    <cellStyle name="Normal 5 2 3 3 3 3 3" xfId="13665" xr:uid="{7B411FD9-360F-4728-9CEA-A568E915EA97}"/>
    <cellStyle name="Normal 5 2 3 3 3 4" xfId="18728" xr:uid="{0CAE7302-A695-4359-9E58-B8A2439271EE}"/>
    <cellStyle name="Normal 5 2 3 3 3 5" xfId="17900" xr:uid="{753F7F9E-CDF9-4D45-A40C-683799016D71}"/>
    <cellStyle name="Normal 5 2 3 3 3 6" xfId="9447" xr:uid="{46007CBC-D857-4BFD-8034-56EA83A3FA4B}"/>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25503" xr:uid="{CC541B64-C00E-4486-99EE-353F42AE1990}"/>
    <cellStyle name="Normal 5 2 3 3 4 2 2 3" xfId="16223" xr:uid="{42E4DA4A-04EB-4BC7-952A-5295A7B8B260}"/>
    <cellStyle name="Normal 5 2 3 3 4 2 3" xfId="21286" xr:uid="{237A1667-514B-4655-A414-69F65C57F05C}"/>
    <cellStyle name="Normal 5 2 3 3 4 2 4" xfId="12005" xr:uid="{60E9339C-B9C5-4E56-82FE-ED4F9B9F317F}"/>
    <cellStyle name="Normal 5 2 3 3 4 3" xfId="5628" xr:uid="{00000000-0005-0000-0000-0000A0180000}"/>
    <cellStyle name="Normal 5 2 3 3 4 3 2" xfId="23358" xr:uid="{5C9D90AA-F8B9-4957-9249-934E373A089D}"/>
    <cellStyle name="Normal 5 2 3 3 4 3 3" xfId="14078" xr:uid="{BC913820-6F91-4EB8-9DA2-054854F81E5B}"/>
    <cellStyle name="Normal 5 2 3 3 4 4" xfId="19141" xr:uid="{34D63C12-2339-427B-89FC-FBF4D28F8700}"/>
    <cellStyle name="Normal 5 2 3 3 4 5" xfId="9860" xr:uid="{E19B1DA4-EC8C-4E94-8AD9-E7E67A64E692}"/>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25916" xr:uid="{A2389B8B-2187-4E6D-A286-3412F8F5E677}"/>
    <cellStyle name="Normal 5 2 3 3 5 2 2 3" xfId="16636" xr:uid="{18B72BF9-34E5-49EE-9990-DD8F48481989}"/>
    <cellStyle name="Normal 5 2 3 3 5 2 3" xfId="21699" xr:uid="{E6AEFEA3-4337-4C23-98B0-2BB7EEF0A3E0}"/>
    <cellStyle name="Normal 5 2 3 3 5 2 4" xfId="12418" xr:uid="{05999E98-32CA-4706-B32C-0D7865939F37}"/>
    <cellStyle name="Normal 5 2 3 3 5 3" xfId="6041" xr:uid="{00000000-0005-0000-0000-0000A4180000}"/>
    <cellStyle name="Normal 5 2 3 3 5 3 2" xfId="23771" xr:uid="{15727CB5-61F7-416F-965A-1192CD5FB556}"/>
    <cellStyle name="Normal 5 2 3 3 5 3 3" xfId="14491" xr:uid="{78B9D911-13B6-4CE8-8475-0D619C5EF8AC}"/>
    <cellStyle name="Normal 5 2 3 3 5 4" xfId="19554" xr:uid="{99A1F858-4C10-480D-803F-0D3591B69391}"/>
    <cellStyle name="Normal 5 2 3 3 5 5" xfId="10273" xr:uid="{BE225726-E92E-49C1-AF4A-908DE66718F6}"/>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26329" xr:uid="{DB13E1B2-791E-45B5-9537-2F2F69F87C30}"/>
    <cellStyle name="Normal 5 2 3 3 6 2 2 3" xfId="17049" xr:uid="{B42CA3FE-EC37-4281-B1AE-5D0D40BA56A6}"/>
    <cellStyle name="Normal 5 2 3 3 6 2 3" xfId="22112" xr:uid="{DBB84E3D-BC59-45CE-AA2F-E693ED3443C1}"/>
    <cellStyle name="Normal 5 2 3 3 6 2 4" xfId="12831" xr:uid="{6BA80472-64C0-4A1E-AA33-8A2209361410}"/>
    <cellStyle name="Normal 5 2 3 3 6 3" xfId="6454" xr:uid="{00000000-0005-0000-0000-0000A8180000}"/>
    <cellStyle name="Normal 5 2 3 3 6 3 2" xfId="24184" xr:uid="{3CE2A826-792A-4298-8D80-FA5C8D120A34}"/>
    <cellStyle name="Normal 5 2 3 3 6 3 3" xfId="14904" xr:uid="{6230665B-998C-4DCD-A9CF-4A363771A155}"/>
    <cellStyle name="Normal 5 2 3 3 6 4" xfId="19967" xr:uid="{9776AB6A-0DA5-4AEF-9D5D-65B85BCB3806}"/>
    <cellStyle name="Normal 5 2 3 3 6 5" xfId="10686" xr:uid="{1F77F2D0-463B-496D-A27E-3EB9302D5082}"/>
    <cellStyle name="Normal 5 2 3 3 7" xfId="2584" xr:uid="{00000000-0005-0000-0000-0000A9180000}"/>
    <cellStyle name="Normal 5 2 3 3 7 2" xfId="6867" xr:uid="{00000000-0005-0000-0000-0000AA180000}"/>
    <cellStyle name="Normal 5 2 3 3 7 2 2" xfId="24597" xr:uid="{8106613F-6EC4-4614-94D9-75EB9E0C83CA}"/>
    <cellStyle name="Normal 5 2 3 3 7 2 3" xfId="15317" xr:uid="{2AD71E5F-B079-4BB8-B16E-20D9AA78C31C}"/>
    <cellStyle name="Normal 5 2 3 3 7 3" xfId="20380" xr:uid="{7F7719CF-5D57-482F-8C7F-79F41C88AB03}"/>
    <cellStyle name="Normal 5 2 3 3 7 4" xfId="11099" xr:uid="{EADAEA5A-5ACA-400D-A448-6C50D56856A3}"/>
    <cellStyle name="Normal 5 2 3 3 8" xfId="4802" xr:uid="{00000000-0005-0000-0000-0000AB180000}"/>
    <cellStyle name="Normal 5 2 3 3 8 2" xfId="22532" xr:uid="{551E3135-50CD-4202-9A8C-087AD7CEB305}"/>
    <cellStyle name="Normal 5 2 3 3 8 3" xfId="13252" xr:uid="{3FADF909-2CCF-4A86-A91F-4846B9474304}"/>
    <cellStyle name="Normal 5 2 3 3 9" xfId="18315" xr:uid="{CBF221B3-5759-47C9-B0A5-FA6732827AE1}"/>
    <cellStyle name="Normal 5 2 3 4" xfId="431" xr:uid="{00000000-0005-0000-0000-0000AC180000}"/>
    <cellStyle name="Normal 5 2 3 4 10" xfId="9036" xr:uid="{A6F95EC2-2DD7-4C66-A305-9EFEEFA73DD4}"/>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25092" xr:uid="{F58A89C6-1E16-4A7F-B8B2-DE2A0731BA9E}"/>
    <cellStyle name="Normal 5 2 3 4 2 2 2 3" xfId="15812" xr:uid="{A2F614A1-0393-4002-ADF2-22F0F142D980}"/>
    <cellStyle name="Normal 5 2 3 4 2 2 3" xfId="20875" xr:uid="{D371D22C-2256-46D2-9776-0A54B93E9C39}"/>
    <cellStyle name="Normal 5 2 3 4 2 2 4" xfId="11594" xr:uid="{C19BA869-88AB-41A0-9046-25C55E037501}"/>
    <cellStyle name="Normal 5 2 3 4 2 3" xfId="5217" xr:uid="{00000000-0005-0000-0000-0000B0180000}"/>
    <cellStyle name="Normal 5 2 3 4 2 3 2" xfId="22947" xr:uid="{6B3DF115-D299-424B-B5F8-F64CF56B2470}"/>
    <cellStyle name="Normal 5 2 3 4 2 3 3" xfId="13667" xr:uid="{9C683917-16B3-43E3-B903-C4F948BA74D5}"/>
    <cellStyle name="Normal 5 2 3 4 2 4" xfId="18730" xr:uid="{D37D24B9-2272-4325-B20E-DAF49E11F678}"/>
    <cellStyle name="Normal 5 2 3 4 2 5" xfId="17902" xr:uid="{4782EF9E-CD69-46D1-8506-214236CD886D}"/>
    <cellStyle name="Normal 5 2 3 4 2 6" xfId="9449" xr:uid="{22CCC8F2-F24A-4E43-BB37-7E9A462DCA91}"/>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25505" xr:uid="{55736546-9626-4C8A-9FCE-F9955D1D0A88}"/>
    <cellStyle name="Normal 5 2 3 4 3 2 2 3" xfId="16225" xr:uid="{4D6FAD3A-CA00-487E-A1BE-7BE989E290E2}"/>
    <cellStyle name="Normal 5 2 3 4 3 2 3" xfId="21288" xr:uid="{C2A066EB-8B8C-41A7-AFDF-FC9E653E2D31}"/>
    <cellStyle name="Normal 5 2 3 4 3 2 4" xfId="12007" xr:uid="{1348332B-BB30-48D5-8DB3-3288BBD726AE}"/>
    <cellStyle name="Normal 5 2 3 4 3 3" xfId="5630" xr:uid="{00000000-0005-0000-0000-0000B4180000}"/>
    <cellStyle name="Normal 5 2 3 4 3 3 2" xfId="23360" xr:uid="{6475F8E1-AA94-43DE-9E16-D8D8AACE2C16}"/>
    <cellStyle name="Normal 5 2 3 4 3 3 3" xfId="14080" xr:uid="{3B70D8A8-D6E9-44DC-AB0A-7B93D5BF0D7A}"/>
    <cellStyle name="Normal 5 2 3 4 3 4" xfId="19143" xr:uid="{01CBF2BA-B410-4ADC-8132-249FCF2BF50D}"/>
    <cellStyle name="Normal 5 2 3 4 3 5" xfId="9862" xr:uid="{9739D1B5-04C1-44E4-8A9B-AAC49F1D51C4}"/>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25918" xr:uid="{7D1CC7F5-AFBA-4261-B867-4B6F9FB2D49A}"/>
    <cellStyle name="Normal 5 2 3 4 4 2 2 3" xfId="16638" xr:uid="{C5C1234D-16BF-43D6-9E82-2541DC998586}"/>
    <cellStyle name="Normal 5 2 3 4 4 2 3" xfId="21701" xr:uid="{969554E8-652C-487C-9920-0BA6D026A205}"/>
    <cellStyle name="Normal 5 2 3 4 4 2 4" xfId="12420" xr:uid="{4301BF7E-6245-46D5-8BD7-9DEEE763281B}"/>
    <cellStyle name="Normal 5 2 3 4 4 3" xfId="6043" xr:uid="{00000000-0005-0000-0000-0000B8180000}"/>
    <cellStyle name="Normal 5 2 3 4 4 3 2" xfId="23773" xr:uid="{35005393-3591-44DE-B76D-C8EBA8BD1ADF}"/>
    <cellStyle name="Normal 5 2 3 4 4 3 3" xfId="14493" xr:uid="{B02F4CDD-FD27-4E85-BBD7-87BF4481EF1A}"/>
    <cellStyle name="Normal 5 2 3 4 4 4" xfId="19556" xr:uid="{FE346A25-9185-4D23-AA8B-399F088854FC}"/>
    <cellStyle name="Normal 5 2 3 4 4 5" xfId="10275" xr:uid="{34F1AE93-3469-46A8-BB77-4D71B9BE7E0A}"/>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26331" xr:uid="{17B6F8DC-CB7B-4D6A-9A4A-7F70BCE57048}"/>
    <cellStyle name="Normal 5 2 3 4 5 2 2 3" xfId="17051" xr:uid="{18EB3024-F9E4-484B-8EC4-73567A8E8EEE}"/>
    <cellStyle name="Normal 5 2 3 4 5 2 3" xfId="22114" xr:uid="{9B7ACDBC-A387-4ED8-A6DF-4FCB4BFF774E}"/>
    <cellStyle name="Normal 5 2 3 4 5 2 4" xfId="12833" xr:uid="{0C4B6DBB-39D8-42DB-9763-B4AA9AF0AFE7}"/>
    <cellStyle name="Normal 5 2 3 4 5 3" xfId="6456" xr:uid="{00000000-0005-0000-0000-0000BC180000}"/>
    <cellStyle name="Normal 5 2 3 4 5 3 2" xfId="24186" xr:uid="{A74F5AB5-5D1E-4D5E-888C-50494443A729}"/>
    <cellStyle name="Normal 5 2 3 4 5 3 3" xfId="14906" xr:uid="{4A0D9256-625E-4D02-B4D3-E401CE672A16}"/>
    <cellStyle name="Normal 5 2 3 4 5 4" xfId="19969" xr:uid="{1FAFDC23-8756-4E24-9858-B8CC29BC479D}"/>
    <cellStyle name="Normal 5 2 3 4 5 5" xfId="10688" xr:uid="{99DBA936-1FE0-4ED6-A964-73260C22260A}"/>
    <cellStyle name="Normal 5 2 3 4 6" xfId="2586" xr:uid="{00000000-0005-0000-0000-0000BD180000}"/>
    <cellStyle name="Normal 5 2 3 4 6 2" xfId="6869" xr:uid="{00000000-0005-0000-0000-0000BE180000}"/>
    <cellStyle name="Normal 5 2 3 4 6 2 2" xfId="24599" xr:uid="{12E95E1B-7C4F-4674-AB7F-8FFCC1014BB9}"/>
    <cellStyle name="Normal 5 2 3 4 6 2 3" xfId="15319" xr:uid="{486377A1-3B2D-49E6-9DD4-0F100121E8BE}"/>
    <cellStyle name="Normal 5 2 3 4 6 3" xfId="20382" xr:uid="{CB7DBFE8-0A5B-43C4-ACB2-FD23A64BF58D}"/>
    <cellStyle name="Normal 5 2 3 4 6 4" xfId="11101" xr:uid="{5D4C1BCF-5B16-4C29-AA46-C184628A1D6E}"/>
    <cellStyle name="Normal 5 2 3 4 7" xfId="4804" xr:uid="{00000000-0005-0000-0000-0000BF180000}"/>
    <cellStyle name="Normal 5 2 3 4 7 2" xfId="22534" xr:uid="{27EFF80D-72D3-4EAD-8A50-92B35FEED2C3}"/>
    <cellStyle name="Normal 5 2 3 4 7 3" xfId="13254" xr:uid="{2C52A6B7-310F-443E-8B07-A78B4DC3BEA2}"/>
    <cellStyle name="Normal 5 2 3 4 8" xfId="18317" xr:uid="{B5B16CBA-1501-4946-8C19-5CE13B9BC20B}"/>
    <cellStyle name="Normal 5 2 3 4 9" xfId="17483" xr:uid="{E79F6CEC-E66F-4F1C-A27B-380C3A540AD8}"/>
    <cellStyle name="Normal 5 2 3 5" xfId="898" xr:uid="{00000000-0005-0000-0000-0000C0180000}"/>
    <cellStyle name="Normal 5 2 3 5 2" xfId="3133" xr:uid="{00000000-0005-0000-0000-0000C1180000}"/>
    <cellStyle name="Normal 5 2 3 5 2 2" xfId="7355" xr:uid="{00000000-0005-0000-0000-0000C2180000}"/>
    <cellStyle name="Normal 5 2 3 5 2 2 2" xfId="25085" xr:uid="{6C19DEC0-3F80-4FC5-BF3D-14EEA3D19FAB}"/>
    <cellStyle name="Normal 5 2 3 5 2 2 3" xfId="15805" xr:uid="{62469183-C1C7-4104-922C-8FD4566606F3}"/>
    <cellStyle name="Normal 5 2 3 5 2 3" xfId="20868" xr:uid="{8825823F-06B1-4A95-92EA-D246FF60B6A9}"/>
    <cellStyle name="Normal 5 2 3 5 2 4" xfId="11587" xr:uid="{E731D691-7611-427D-906C-62CDB1795877}"/>
    <cellStyle name="Normal 5 2 3 5 3" xfId="5210" xr:uid="{00000000-0005-0000-0000-0000C3180000}"/>
    <cellStyle name="Normal 5 2 3 5 3 2" xfId="22940" xr:uid="{5D5D90C7-5282-4295-A1CC-36C5AEB7A807}"/>
    <cellStyle name="Normal 5 2 3 5 3 3" xfId="13660" xr:uid="{0A72F17F-60C1-47E7-975B-B486AC93E9CF}"/>
    <cellStyle name="Normal 5 2 3 5 4" xfId="18723" xr:uid="{2E056FD5-FAA4-42CD-A6E6-05C83B5F8E4A}"/>
    <cellStyle name="Normal 5 2 3 5 5" xfId="17895" xr:uid="{2298F0AE-6FD0-48D3-8652-554208D3BC96}"/>
    <cellStyle name="Normal 5 2 3 5 6" xfId="9442" xr:uid="{1C258377-91B0-4EB8-988F-19A6E77A9526}"/>
    <cellStyle name="Normal 5 2 3 6" xfId="1316" xr:uid="{00000000-0005-0000-0000-0000C4180000}"/>
    <cellStyle name="Normal 5 2 3 6 2" xfId="3546" xr:uid="{00000000-0005-0000-0000-0000C5180000}"/>
    <cellStyle name="Normal 5 2 3 6 2 2" xfId="7768" xr:uid="{00000000-0005-0000-0000-0000C6180000}"/>
    <cellStyle name="Normal 5 2 3 6 2 2 2" xfId="25498" xr:uid="{9071BBC6-629C-4A19-99E4-ED2471E8BA50}"/>
    <cellStyle name="Normal 5 2 3 6 2 2 3" xfId="16218" xr:uid="{DAB14FC4-6053-41F6-A3D8-5CCCD72BAB7E}"/>
    <cellStyle name="Normal 5 2 3 6 2 3" xfId="21281" xr:uid="{3622F518-7E99-4D47-BB81-0846F52A103E}"/>
    <cellStyle name="Normal 5 2 3 6 2 4" xfId="12000" xr:uid="{07D90323-F61F-4428-8601-AAAC282587E3}"/>
    <cellStyle name="Normal 5 2 3 6 3" xfId="5623" xr:uid="{00000000-0005-0000-0000-0000C7180000}"/>
    <cellStyle name="Normal 5 2 3 6 3 2" xfId="23353" xr:uid="{A6D34C08-A46E-43BF-AA75-E66012640867}"/>
    <cellStyle name="Normal 5 2 3 6 3 3" xfId="14073" xr:uid="{C36F7173-25CE-48CF-84AC-6817E88F25D6}"/>
    <cellStyle name="Normal 5 2 3 6 4" xfId="19136" xr:uid="{6EED000B-535B-43A3-8E51-949B0039E7EE}"/>
    <cellStyle name="Normal 5 2 3 6 5" xfId="9855" xr:uid="{7EB3E877-B1BE-4022-A286-86CBBF7B5CBE}"/>
    <cellStyle name="Normal 5 2 3 7" xfId="1729" xr:uid="{00000000-0005-0000-0000-0000C8180000}"/>
    <cellStyle name="Normal 5 2 3 7 2" xfId="3959" xr:uid="{00000000-0005-0000-0000-0000C9180000}"/>
    <cellStyle name="Normal 5 2 3 7 2 2" xfId="8181" xr:uid="{00000000-0005-0000-0000-0000CA180000}"/>
    <cellStyle name="Normal 5 2 3 7 2 2 2" xfId="25911" xr:uid="{685FDE74-8158-4B8C-9E55-2CFE62FEEC42}"/>
    <cellStyle name="Normal 5 2 3 7 2 2 3" xfId="16631" xr:uid="{06C5E684-475B-4522-8E36-C46032B0DD68}"/>
    <cellStyle name="Normal 5 2 3 7 2 3" xfId="21694" xr:uid="{1EFDC7A9-99E5-4BE8-9B03-9A9C652A5AB7}"/>
    <cellStyle name="Normal 5 2 3 7 2 4" xfId="12413" xr:uid="{D0352F28-EA25-4659-A464-805FEA1A7395}"/>
    <cellStyle name="Normal 5 2 3 7 3" xfId="6036" xr:uid="{00000000-0005-0000-0000-0000CB180000}"/>
    <cellStyle name="Normal 5 2 3 7 3 2" xfId="23766" xr:uid="{D1224A49-B5BC-4440-B2B0-8EA669EAD051}"/>
    <cellStyle name="Normal 5 2 3 7 3 3" xfId="14486" xr:uid="{27D99B2C-8298-4630-B934-55394CE90AF9}"/>
    <cellStyle name="Normal 5 2 3 7 4" xfId="19549" xr:uid="{4673983C-7618-4623-BFF2-1D13E63BB20C}"/>
    <cellStyle name="Normal 5 2 3 7 5" xfId="10268" xr:uid="{5A932725-C01E-444D-8884-EF5C2D623D81}"/>
    <cellStyle name="Normal 5 2 3 8" xfId="2143" xr:uid="{00000000-0005-0000-0000-0000CC180000}"/>
    <cellStyle name="Normal 5 2 3 8 2" xfId="4372" xr:uid="{00000000-0005-0000-0000-0000CD180000}"/>
    <cellStyle name="Normal 5 2 3 8 2 2" xfId="8594" xr:uid="{00000000-0005-0000-0000-0000CE180000}"/>
    <cellStyle name="Normal 5 2 3 8 2 2 2" xfId="26324" xr:uid="{2768D2CF-E033-41EF-8916-BE5CBE0CA604}"/>
    <cellStyle name="Normal 5 2 3 8 2 2 3" xfId="17044" xr:uid="{5E5701B8-8857-43D2-8E17-9E39DD77276B}"/>
    <cellStyle name="Normal 5 2 3 8 2 3" xfId="22107" xr:uid="{BC0C1412-337C-4290-A785-D382A9A10D77}"/>
    <cellStyle name="Normal 5 2 3 8 2 4" xfId="12826" xr:uid="{2AD30ED1-CB9C-448D-837E-559F5F52F0BC}"/>
    <cellStyle name="Normal 5 2 3 8 3" xfId="6449" xr:uid="{00000000-0005-0000-0000-0000CF180000}"/>
    <cellStyle name="Normal 5 2 3 8 3 2" xfId="24179" xr:uid="{78D892E2-B237-437F-9CAD-9BBA20364D36}"/>
    <cellStyle name="Normal 5 2 3 8 3 3" xfId="14899" xr:uid="{FC138E8A-6C99-4DD9-BCD9-F03B450E6629}"/>
    <cellStyle name="Normal 5 2 3 8 4" xfId="19962" xr:uid="{9781F42A-72DF-49C0-9E09-C8457DD68415}"/>
    <cellStyle name="Normal 5 2 3 8 5" xfId="10681" xr:uid="{02058A4D-CE77-4352-80A3-5042CE6F73E8}"/>
    <cellStyle name="Normal 5 2 3 9" xfId="2579" xr:uid="{00000000-0005-0000-0000-0000D0180000}"/>
    <cellStyle name="Normal 5 2 3 9 2" xfId="6862" xr:uid="{00000000-0005-0000-0000-0000D1180000}"/>
    <cellStyle name="Normal 5 2 3 9 2 2" xfId="24592" xr:uid="{E4C5297D-0F82-407F-949C-4EA2705442BD}"/>
    <cellStyle name="Normal 5 2 3 9 2 3" xfId="15312" xr:uid="{7FB2EE38-B2EC-4946-9E26-1ADA8E94F3F9}"/>
    <cellStyle name="Normal 5 2 3 9 3" xfId="20375" xr:uid="{9ED2FCAE-0C41-4CB1-806C-EC829BF9800D}"/>
    <cellStyle name="Normal 5 2 3 9 4" xfId="11094" xr:uid="{9D1C60A2-63D0-41C4-B353-F0D8A3BEB494}"/>
    <cellStyle name="Normal 5 2 4" xfId="432" xr:uid="{00000000-0005-0000-0000-0000D2180000}"/>
    <cellStyle name="Normal 5 2 4 10" xfId="18318" xr:uid="{92CC3A14-762B-4BED-9BA1-AAC6926FE5B3}"/>
    <cellStyle name="Normal 5 2 4 11" xfId="17484" xr:uid="{19542F1C-1846-49FF-BC9C-329B1C6F10C9}"/>
    <cellStyle name="Normal 5 2 4 12" xfId="9037" xr:uid="{C8AA62C7-3365-4E21-85D7-5E808D3D1FB0}"/>
    <cellStyle name="Normal 5 2 4 2" xfId="433" xr:uid="{00000000-0005-0000-0000-0000D3180000}"/>
    <cellStyle name="Normal 5 2 4 2 10" xfId="17485" xr:uid="{4AB7CE51-EFAD-458F-AB3C-2A9E038C2B0F}"/>
    <cellStyle name="Normal 5 2 4 2 11" xfId="9038" xr:uid="{9DCA5A42-3774-4A87-96C4-A4FD11C23C3D}"/>
    <cellStyle name="Normal 5 2 4 2 2" xfId="434" xr:uid="{00000000-0005-0000-0000-0000D4180000}"/>
    <cellStyle name="Normal 5 2 4 2 2 10" xfId="9039" xr:uid="{9390964C-93CF-4574-81F4-22109A32158D}"/>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25095" xr:uid="{B31410C0-CC03-4C27-8617-46E332903F2D}"/>
    <cellStyle name="Normal 5 2 4 2 2 2 2 2 3" xfId="15815" xr:uid="{EE174827-C0B4-4FF1-8522-4B16FA9A20A5}"/>
    <cellStyle name="Normal 5 2 4 2 2 2 2 3" xfId="20878" xr:uid="{7E781D42-26EF-4941-ACEE-FD69C8EE59DF}"/>
    <cellStyle name="Normal 5 2 4 2 2 2 2 4" xfId="11597" xr:uid="{1D41AB4C-D2C2-40BC-BF0E-AAAEB47AA867}"/>
    <cellStyle name="Normal 5 2 4 2 2 2 3" xfId="5220" xr:uid="{00000000-0005-0000-0000-0000D8180000}"/>
    <cellStyle name="Normal 5 2 4 2 2 2 3 2" xfId="22950" xr:uid="{BB3C5154-8C37-46E0-B7A9-B068D8F11011}"/>
    <cellStyle name="Normal 5 2 4 2 2 2 3 3" xfId="13670" xr:uid="{1F222AA4-95F1-44DA-B452-38E8199E46BE}"/>
    <cellStyle name="Normal 5 2 4 2 2 2 4" xfId="18733" xr:uid="{D593E82D-E205-47D9-A3A4-770DA9BAE1ED}"/>
    <cellStyle name="Normal 5 2 4 2 2 2 5" xfId="17905" xr:uid="{4B8C6F63-1B1A-4DE4-8D11-F9C014C07425}"/>
    <cellStyle name="Normal 5 2 4 2 2 2 6" xfId="9452" xr:uid="{F38137D9-EF58-423B-B703-A5EFF08E2C02}"/>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25508" xr:uid="{18D97302-D094-4347-8EF8-63F82FA98687}"/>
    <cellStyle name="Normal 5 2 4 2 2 3 2 2 3" xfId="16228" xr:uid="{C601C782-84AF-4C32-A01E-56FD7EB94D5A}"/>
    <cellStyle name="Normal 5 2 4 2 2 3 2 3" xfId="21291" xr:uid="{0967056F-339C-4DB7-B4A2-C77E1C7F7AA9}"/>
    <cellStyle name="Normal 5 2 4 2 2 3 2 4" xfId="12010" xr:uid="{B10624FD-41C4-4EA9-BA34-322F09A5CAF7}"/>
    <cellStyle name="Normal 5 2 4 2 2 3 3" xfId="5633" xr:uid="{00000000-0005-0000-0000-0000DC180000}"/>
    <cellStyle name="Normal 5 2 4 2 2 3 3 2" xfId="23363" xr:uid="{BC8825F7-B190-4D0C-8275-DEEFBC53E1D0}"/>
    <cellStyle name="Normal 5 2 4 2 2 3 3 3" xfId="14083" xr:uid="{4DA267F1-AC9E-411E-8734-3CAE5A8F48CF}"/>
    <cellStyle name="Normal 5 2 4 2 2 3 4" xfId="19146" xr:uid="{44EE4F93-A5AB-433E-A1DE-8F63340A8998}"/>
    <cellStyle name="Normal 5 2 4 2 2 3 5" xfId="9865" xr:uid="{FCC6F374-AF0C-4714-A056-58AAC66683F7}"/>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25921" xr:uid="{2F811D3E-1B3C-4C89-90AB-CEEE477A9C2F}"/>
    <cellStyle name="Normal 5 2 4 2 2 4 2 2 3" xfId="16641" xr:uid="{F3B5162D-ACC7-459E-A919-FC92E98E4D0D}"/>
    <cellStyle name="Normal 5 2 4 2 2 4 2 3" xfId="21704" xr:uid="{8845C919-DAE6-4569-B113-E6E7B715610B}"/>
    <cellStyle name="Normal 5 2 4 2 2 4 2 4" xfId="12423" xr:uid="{349AFE3D-C147-4412-B871-0DE2FC06216F}"/>
    <cellStyle name="Normal 5 2 4 2 2 4 3" xfId="6046" xr:uid="{00000000-0005-0000-0000-0000E0180000}"/>
    <cellStyle name="Normal 5 2 4 2 2 4 3 2" xfId="23776" xr:uid="{1148B2B3-BB58-4F73-8B35-D848EDFE1198}"/>
    <cellStyle name="Normal 5 2 4 2 2 4 3 3" xfId="14496" xr:uid="{6E4FB779-0A97-4D42-B37C-591B8EA64E60}"/>
    <cellStyle name="Normal 5 2 4 2 2 4 4" xfId="19559" xr:uid="{0E791087-1A9D-426C-B752-C9D3613B7156}"/>
    <cellStyle name="Normal 5 2 4 2 2 4 5" xfId="10278" xr:uid="{F5A26B48-1E51-4413-8275-47F11956F48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26334" xr:uid="{DEE68F92-06BD-4061-8FEE-D08B75CFACEA}"/>
    <cellStyle name="Normal 5 2 4 2 2 5 2 2 3" xfId="17054" xr:uid="{13F3F4B4-7C94-4D96-AE2A-8396537FA515}"/>
    <cellStyle name="Normal 5 2 4 2 2 5 2 3" xfId="22117" xr:uid="{87DC022C-AD6E-4EB9-95EC-772C87DB607B}"/>
    <cellStyle name="Normal 5 2 4 2 2 5 2 4" xfId="12836" xr:uid="{00F700DE-93AE-4BAB-8415-708B58E60173}"/>
    <cellStyle name="Normal 5 2 4 2 2 5 3" xfId="6459" xr:uid="{00000000-0005-0000-0000-0000E4180000}"/>
    <cellStyle name="Normal 5 2 4 2 2 5 3 2" xfId="24189" xr:uid="{D010D5F4-B20F-4099-8E81-09DA7BE55C39}"/>
    <cellStyle name="Normal 5 2 4 2 2 5 3 3" xfId="14909" xr:uid="{B76680C2-05E0-45FE-BA37-CD730671D39D}"/>
    <cellStyle name="Normal 5 2 4 2 2 5 4" xfId="19972" xr:uid="{DBF265F5-6607-46BD-BBFF-4453E21B3CAB}"/>
    <cellStyle name="Normal 5 2 4 2 2 5 5" xfId="10691" xr:uid="{A4A34B4D-B185-419C-B972-AE5867225A2F}"/>
    <cellStyle name="Normal 5 2 4 2 2 6" xfId="2589" xr:uid="{00000000-0005-0000-0000-0000E5180000}"/>
    <cellStyle name="Normal 5 2 4 2 2 6 2" xfId="6872" xr:uid="{00000000-0005-0000-0000-0000E6180000}"/>
    <cellStyle name="Normal 5 2 4 2 2 6 2 2" xfId="24602" xr:uid="{B1B9DD2F-A508-43F0-86B1-C7B315CFC6B6}"/>
    <cellStyle name="Normal 5 2 4 2 2 6 2 3" xfId="15322" xr:uid="{8EE0748D-2D44-4F8C-B728-965217335BDF}"/>
    <cellStyle name="Normal 5 2 4 2 2 6 3" xfId="20385" xr:uid="{A736788E-FCF5-48F7-A84A-04CFCF1BD57B}"/>
    <cellStyle name="Normal 5 2 4 2 2 6 4" xfId="11104" xr:uid="{9C7EBAB2-1081-43B6-954A-5034B28F46AA}"/>
    <cellStyle name="Normal 5 2 4 2 2 7" xfId="4807" xr:uid="{00000000-0005-0000-0000-0000E7180000}"/>
    <cellStyle name="Normal 5 2 4 2 2 7 2" xfId="22537" xr:uid="{5E96BEBD-3027-4727-9E59-10064CBF0B4C}"/>
    <cellStyle name="Normal 5 2 4 2 2 7 3" xfId="13257" xr:uid="{C449F9A8-CEDD-433E-A63D-EE376EB857BC}"/>
    <cellStyle name="Normal 5 2 4 2 2 8" xfId="18320" xr:uid="{8BD2419C-3146-416D-BFAE-EE634695F374}"/>
    <cellStyle name="Normal 5 2 4 2 2 9" xfId="17486" xr:uid="{DBF02F82-4595-495C-8910-F02B3DB71348}"/>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25094" xr:uid="{1F8A9D6D-EFB2-4DCE-947D-3C5ED5A10322}"/>
    <cellStyle name="Normal 5 2 4 2 3 2 2 3" xfId="15814" xr:uid="{739793D2-D21E-4B68-8F13-70FA81A892E9}"/>
    <cellStyle name="Normal 5 2 4 2 3 2 3" xfId="20877" xr:uid="{E94DC329-7705-4D10-B0DA-D22E1281E7A3}"/>
    <cellStyle name="Normal 5 2 4 2 3 2 4" xfId="11596" xr:uid="{934C9175-38C8-4967-8254-DD412AF9994D}"/>
    <cellStyle name="Normal 5 2 4 2 3 3" xfId="5219" xr:uid="{00000000-0005-0000-0000-0000EB180000}"/>
    <cellStyle name="Normal 5 2 4 2 3 3 2" xfId="22949" xr:uid="{1CCE71F6-5744-4AC5-9D1C-C1EBDE2D21FE}"/>
    <cellStyle name="Normal 5 2 4 2 3 3 3" xfId="13669" xr:uid="{C49341F3-1283-46E9-BF29-12C1DF6D0A05}"/>
    <cellStyle name="Normal 5 2 4 2 3 4" xfId="18732" xr:uid="{F9F4949B-307D-4576-85E5-F640729DEDDC}"/>
    <cellStyle name="Normal 5 2 4 2 3 5" xfId="17904" xr:uid="{30FACCD4-12C4-4841-AE3A-7B65F6EC90E7}"/>
    <cellStyle name="Normal 5 2 4 2 3 6" xfId="9451" xr:uid="{8E029083-03F4-4E55-B57A-5A1F032DBAC1}"/>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25507" xr:uid="{867CDA11-AAFC-43C7-9A78-26FD8BFB3432}"/>
    <cellStyle name="Normal 5 2 4 2 4 2 2 3" xfId="16227" xr:uid="{EBED5898-D598-49B5-A811-47493BD3049C}"/>
    <cellStyle name="Normal 5 2 4 2 4 2 3" xfId="21290" xr:uid="{4845DBE3-4C8A-4514-8229-283B27CB2725}"/>
    <cellStyle name="Normal 5 2 4 2 4 2 4" xfId="12009" xr:uid="{413D1351-5DE9-4163-8D23-C3EF3B427A99}"/>
    <cellStyle name="Normal 5 2 4 2 4 3" xfId="5632" xr:uid="{00000000-0005-0000-0000-0000EF180000}"/>
    <cellStyle name="Normal 5 2 4 2 4 3 2" xfId="23362" xr:uid="{74D64953-54C7-4343-8431-346A1E76FBE0}"/>
    <cellStyle name="Normal 5 2 4 2 4 3 3" xfId="14082" xr:uid="{73FB8454-6041-4D8D-AC23-6B014E1B3A97}"/>
    <cellStyle name="Normal 5 2 4 2 4 4" xfId="19145" xr:uid="{C2A1DCC4-3835-478A-AA19-425F44476592}"/>
    <cellStyle name="Normal 5 2 4 2 4 5" xfId="9864" xr:uid="{B1EF96A6-2999-4577-8BE7-EA9BA5DD18F0}"/>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25920" xr:uid="{A95EF089-B2A0-42E2-ABEF-5AD42FC53D0A}"/>
    <cellStyle name="Normal 5 2 4 2 5 2 2 3" xfId="16640" xr:uid="{FF6446BA-FA60-4E12-9B51-8412895D383C}"/>
    <cellStyle name="Normal 5 2 4 2 5 2 3" xfId="21703" xr:uid="{4FC0629A-51E3-49F4-B464-D92BDDE99B58}"/>
    <cellStyle name="Normal 5 2 4 2 5 2 4" xfId="12422" xr:uid="{E5AEEF10-E0EC-4AFF-B32D-91072FF5967A}"/>
    <cellStyle name="Normal 5 2 4 2 5 3" xfId="6045" xr:uid="{00000000-0005-0000-0000-0000F3180000}"/>
    <cellStyle name="Normal 5 2 4 2 5 3 2" xfId="23775" xr:uid="{3FD4743D-0756-446A-95B4-D35AB055AE9B}"/>
    <cellStyle name="Normal 5 2 4 2 5 3 3" xfId="14495" xr:uid="{812D50FC-A7D4-4FE0-95C1-2F403280010A}"/>
    <cellStyle name="Normal 5 2 4 2 5 4" xfId="19558" xr:uid="{C9EB34EF-189D-4C26-B151-6D823457E883}"/>
    <cellStyle name="Normal 5 2 4 2 5 5" xfId="10277" xr:uid="{7292CF6B-5FF3-4CE9-AA6C-73856BE0A844}"/>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26333" xr:uid="{5874C716-3F8A-43A9-A6CE-BB25B85700C9}"/>
    <cellStyle name="Normal 5 2 4 2 6 2 2 3" xfId="17053" xr:uid="{ABCE63F2-1C7D-4B5B-A473-3AC4E0137A22}"/>
    <cellStyle name="Normal 5 2 4 2 6 2 3" xfId="22116" xr:uid="{BE85DD26-00F6-45C6-85CD-10BEB70E39D3}"/>
    <cellStyle name="Normal 5 2 4 2 6 2 4" xfId="12835" xr:uid="{84DCD25B-B17E-4805-BF8A-FE35E7E2542A}"/>
    <cellStyle name="Normal 5 2 4 2 6 3" xfId="6458" xr:uid="{00000000-0005-0000-0000-0000F7180000}"/>
    <cellStyle name="Normal 5 2 4 2 6 3 2" xfId="24188" xr:uid="{C34CF7A7-4BC2-492D-B527-92A7E344EC75}"/>
    <cellStyle name="Normal 5 2 4 2 6 3 3" xfId="14908" xr:uid="{4927C593-8ADF-4F03-8293-52777A850505}"/>
    <cellStyle name="Normal 5 2 4 2 6 4" xfId="19971" xr:uid="{F275F5B5-2338-47BE-B2F0-936181ED1559}"/>
    <cellStyle name="Normal 5 2 4 2 6 5" xfId="10690" xr:uid="{23198920-C4BF-452A-A541-5BDFA2ABA42D}"/>
    <cellStyle name="Normal 5 2 4 2 7" xfId="2588" xr:uid="{00000000-0005-0000-0000-0000F8180000}"/>
    <cellStyle name="Normal 5 2 4 2 7 2" xfId="6871" xr:uid="{00000000-0005-0000-0000-0000F9180000}"/>
    <cellStyle name="Normal 5 2 4 2 7 2 2" xfId="24601" xr:uid="{CF7C11F9-58C7-476A-8D99-10B150186422}"/>
    <cellStyle name="Normal 5 2 4 2 7 2 3" xfId="15321" xr:uid="{A70B2928-233D-406C-A5F1-FC334C40C129}"/>
    <cellStyle name="Normal 5 2 4 2 7 3" xfId="20384" xr:uid="{7296763F-6428-4122-B5D5-09BFB4692A02}"/>
    <cellStyle name="Normal 5 2 4 2 7 4" xfId="11103" xr:uid="{D8CC31E3-6399-4275-9B12-CEA903791319}"/>
    <cellStyle name="Normal 5 2 4 2 8" xfId="4806" xr:uid="{00000000-0005-0000-0000-0000FA180000}"/>
    <cellStyle name="Normal 5 2 4 2 8 2" xfId="22536" xr:uid="{593DDD3C-A4D9-4D0C-9C73-8F71675643D6}"/>
    <cellStyle name="Normal 5 2 4 2 8 3" xfId="13256" xr:uid="{DCD5C472-18C6-451A-861E-C2A58881633C}"/>
    <cellStyle name="Normal 5 2 4 2 9" xfId="18319" xr:uid="{CB2A1862-8DA5-4690-AAA3-EFFDE2738D46}"/>
    <cellStyle name="Normal 5 2 4 3" xfId="435" xr:uid="{00000000-0005-0000-0000-0000FB180000}"/>
    <cellStyle name="Normal 5 2 4 3 10" xfId="9040" xr:uid="{5028D92A-E5B9-4126-9C1C-A4B990A8FB19}"/>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25096" xr:uid="{08EC1323-A675-448D-9CE5-04F9C42496ED}"/>
    <cellStyle name="Normal 5 2 4 3 2 2 2 3" xfId="15816" xr:uid="{BB6B3426-EBC5-431D-81E5-466280211877}"/>
    <cellStyle name="Normal 5 2 4 3 2 2 3" xfId="20879" xr:uid="{3EB2C297-68F3-4FB5-845E-6BB1AB21FE48}"/>
    <cellStyle name="Normal 5 2 4 3 2 2 4" xfId="11598" xr:uid="{D6D8C624-2FB0-4D08-93DE-19294CE9D213}"/>
    <cellStyle name="Normal 5 2 4 3 2 3" xfId="5221" xr:uid="{00000000-0005-0000-0000-0000FF180000}"/>
    <cellStyle name="Normal 5 2 4 3 2 3 2" xfId="22951" xr:uid="{A955FFF9-1AC6-476D-BD49-70D933D962A3}"/>
    <cellStyle name="Normal 5 2 4 3 2 3 3" xfId="13671" xr:uid="{22505A7E-3DAD-40FA-8A51-5C9407037401}"/>
    <cellStyle name="Normal 5 2 4 3 2 4" xfId="18734" xr:uid="{2B7C7477-9683-4B44-B45A-AA069F3D80D4}"/>
    <cellStyle name="Normal 5 2 4 3 2 5" xfId="17906" xr:uid="{E25934AC-5EAD-4059-B90F-699C7AE62031}"/>
    <cellStyle name="Normal 5 2 4 3 2 6" xfId="9453" xr:uid="{FBEC08C6-5976-4584-94F0-B28BBCF8AA64}"/>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25509" xr:uid="{1D646535-3CC0-4703-8764-496908767330}"/>
    <cellStyle name="Normal 5 2 4 3 3 2 2 3" xfId="16229" xr:uid="{5E93DE29-2B06-416D-8AD5-28FE3F5F7EDC}"/>
    <cellStyle name="Normal 5 2 4 3 3 2 3" xfId="21292" xr:uid="{A7EDE8EA-2328-4134-AC6C-C79AB6362D1D}"/>
    <cellStyle name="Normal 5 2 4 3 3 2 4" xfId="12011" xr:uid="{BDC7D589-F6CF-4163-8D0C-63B7FDD606A2}"/>
    <cellStyle name="Normal 5 2 4 3 3 3" xfId="5634" xr:uid="{00000000-0005-0000-0000-000003190000}"/>
    <cellStyle name="Normal 5 2 4 3 3 3 2" xfId="23364" xr:uid="{3AD3AB99-68D5-48FB-9FB3-0A44BDE62401}"/>
    <cellStyle name="Normal 5 2 4 3 3 3 3" xfId="14084" xr:uid="{B4E78B34-A11C-4C93-8B6B-334242B775E1}"/>
    <cellStyle name="Normal 5 2 4 3 3 4" xfId="19147" xr:uid="{388A0B1F-119B-4B7A-B3A2-8A361B725268}"/>
    <cellStyle name="Normal 5 2 4 3 3 5" xfId="9866" xr:uid="{E8D9AFD9-9DCC-4834-9E16-E55DD0B8E795}"/>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25922" xr:uid="{768C7D57-369F-47A2-9423-9EC07B82B882}"/>
    <cellStyle name="Normal 5 2 4 3 4 2 2 3" xfId="16642" xr:uid="{9287859C-6EC0-47AB-B8F4-9B853EE179E7}"/>
    <cellStyle name="Normal 5 2 4 3 4 2 3" xfId="21705" xr:uid="{FEA5C501-334B-481B-BF25-2C8DE29BB671}"/>
    <cellStyle name="Normal 5 2 4 3 4 2 4" xfId="12424" xr:uid="{92266970-4276-4956-BF65-DAC739116F0B}"/>
    <cellStyle name="Normal 5 2 4 3 4 3" xfId="6047" xr:uid="{00000000-0005-0000-0000-000007190000}"/>
    <cellStyle name="Normal 5 2 4 3 4 3 2" xfId="23777" xr:uid="{5F877B71-A166-4CA8-A0C8-663ACFF44897}"/>
    <cellStyle name="Normal 5 2 4 3 4 3 3" xfId="14497" xr:uid="{0F545FAE-5583-46F5-891D-F0667F3229CB}"/>
    <cellStyle name="Normal 5 2 4 3 4 4" xfId="19560" xr:uid="{8CD7360D-23F3-4252-AD89-E38B8A3AB728}"/>
    <cellStyle name="Normal 5 2 4 3 4 5" xfId="10279" xr:uid="{CA9C0A9E-F07D-40D2-B747-55D25B3D3759}"/>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26335" xr:uid="{AD16EE21-FCD3-45CD-98EA-7FC0FA4B788A}"/>
    <cellStyle name="Normal 5 2 4 3 5 2 2 3" xfId="17055" xr:uid="{E0699A04-A933-490A-9A35-61716C123042}"/>
    <cellStyle name="Normal 5 2 4 3 5 2 3" xfId="22118" xr:uid="{89E577AA-8870-4630-8529-804C45D51F2D}"/>
    <cellStyle name="Normal 5 2 4 3 5 2 4" xfId="12837" xr:uid="{D8BDBDC5-790A-4DB9-98B0-90F490CAC46D}"/>
    <cellStyle name="Normal 5 2 4 3 5 3" xfId="6460" xr:uid="{00000000-0005-0000-0000-00000B190000}"/>
    <cellStyle name="Normal 5 2 4 3 5 3 2" xfId="24190" xr:uid="{563CCBBD-AEE9-40D4-87ED-911F9D33F46D}"/>
    <cellStyle name="Normal 5 2 4 3 5 3 3" xfId="14910" xr:uid="{B89CC402-C6C8-4E2F-9F7A-761A34434077}"/>
    <cellStyle name="Normal 5 2 4 3 5 4" xfId="19973" xr:uid="{7B24023E-1823-4986-A469-7A0E51D9E309}"/>
    <cellStyle name="Normal 5 2 4 3 5 5" xfId="10692" xr:uid="{9C5E9769-6BAD-44F7-87B8-FF0BF2B0FAB7}"/>
    <cellStyle name="Normal 5 2 4 3 6" xfId="2590" xr:uid="{00000000-0005-0000-0000-00000C190000}"/>
    <cellStyle name="Normal 5 2 4 3 6 2" xfId="6873" xr:uid="{00000000-0005-0000-0000-00000D190000}"/>
    <cellStyle name="Normal 5 2 4 3 6 2 2" xfId="24603" xr:uid="{DAC42449-11BD-49AB-8516-AD95D479265E}"/>
    <cellStyle name="Normal 5 2 4 3 6 2 3" xfId="15323" xr:uid="{08257070-8F3D-4C25-B639-C6E918728FFF}"/>
    <cellStyle name="Normal 5 2 4 3 6 3" xfId="20386" xr:uid="{1E65D710-F3B5-4C5C-BE9F-13244077862B}"/>
    <cellStyle name="Normal 5 2 4 3 6 4" xfId="11105" xr:uid="{8BF0E042-C833-47A3-A993-74B4FAB696BB}"/>
    <cellStyle name="Normal 5 2 4 3 7" xfId="4808" xr:uid="{00000000-0005-0000-0000-00000E190000}"/>
    <cellStyle name="Normal 5 2 4 3 7 2" xfId="22538" xr:uid="{2191985A-7086-42D9-8CDF-16CA854FD6B9}"/>
    <cellStyle name="Normal 5 2 4 3 7 3" xfId="13258" xr:uid="{77E3015A-F8DF-44C9-B488-878662BB2C69}"/>
    <cellStyle name="Normal 5 2 4 3 8" xfId="18321" xr:uid="{EEFA6ED6-CD74-4803-8218-E391C4CCBDE5}"/>
    <cellStyle name="Normal 5 2 4 3 9" xfId="17487" xr:uid="{462A0F63-85E6-4680-90C1-490CB7E0AA1B}"/>
    <cellStyle name="Normal 5 2 4 4" xfId="906" xr:uid="{00000000-0005-0000-0000-00000F190000}"/>
    <cellStyle name="Normal 5 2 4 4 2" xfId="3141" xr:uid="{00000000-0005-0000-0000-000010190000}"/>
    <cellStyle name="Normal 5 2 4 4 2 2" xfId="7363" xr:uid="{00000000-0005-0000-0000-000011190000}"/>
    <cellStyle name="Normal 5 2 4 4 2 2 2" xfId="25093" xr:uid="{16DAB352-1B80-4FB1-8949-34102321785C}"/>
    <cellStyle name="Normal 5 2 4 4 2 2 3" xfId="15813" xr:uid="{7B6ABD72-F506-4B48-945A-12EC94C6C65B}"/>
    <cellStyle name="Normal 5 2 4 4 2 3" xfId="20876" xr:uid="{5755EAFE-01DB-4C35-8D2A-192F4F3C7B26}"/>
    <cellStyle name="Normal 5 2 4 4 2 4" xfId="11595" xr:uid="{EEC0042E-5ADF-46B3-93B2-85E5336DA748}"/>
    <cellStyle name="Normal 5 2 4 4 3" xfId="5218" xr:uid="{00000000-0005-0000-0000-000012190000}"/>
    <cellStyle name="Normal 5 2 4 4 3 2" xfId="22948" xr:uid="{E91F7553-789A-4DF9-A6C9-DBD7AED62174}"/>
    <cellStyle name="Normal 5 2 4 4 3 3" xfId="13668" xr:uid="{9D0AF6C8-F1AE-40B7-9760-6B5DD53F8A69}"/>
    <cellStyle name="Normal 5 2 4 4 4" xfId="18731" xr:uid="{C8DC5A48-5573-455C-88FA-A9BEE556190E}"/>
    <cellStyle name="Normal 5 2 4 4 5" xfId="17903" xr:uid="{4DA27CBE-000A-4370-BEEE-A6425B16F86E}"/>
    <cellStyle name="Normal 5 2 4 4 6" xfId="9450" xr:uid="{0586C6CD-60DC-48CC-86BC-552742418A4C}"/>
    <cellStyle name="Normal 5 2 4 5" xfId="1324" xr:uid="{00000000-0005-0000-0000-000013190000}"/>
    <cellStyle name="Normal 5 2 4 5 2" xfId="3554" xr:uid="{00000000-0005-0000-0000-000014190000}"/>
    <cellStyle name="Normal 5 2 4 5 2 2" xfId="7776" xr:uid="{00000000-0005-0000-0000-000015190000}"/>
    <cellStyle name="Normal 5 2 4 5 2 2 2" xfId="25506" xr:uid="{6A024D04-851C-46A9-99EB-706E9DA22E24}"/>
    <cellStyle name="Normal 5 2 4 5 2 2 3" xfId="16226" xr:uid="{EF0B581D-37E8-43CD-A858-656DA924EBC3}"/>
    <cellStyle name="Normal 5 2 4 5 2 3" xfId="21289" xr:uid="{6655FA6A-68D6-48E0-9A3B-B92F34775CFD}"/>
    <cellStyle name="Normal 5 2 4 5 2 4" xfId="12008" xr:uid="{3062C207-DB6B-49C7-8951-296DA56D503F}"/>
    <cellStyle name="Normal 5 2 4 5 3" xfId="5631" xr:uid="{00000000-0005-0000-0000-000016190000}"/>
    <cellStyle name="Normal 5 2 4 5 3 2" xfId="23361" xr:uid="{854E7868-092A-4845-8BCC-DE6B16759FC3}"/>
    <cellStyle name="Normal 5 2 4 5 3 3" xfId="14081" xr:uid="{76EC54A2-AFC4-4AE1-930D-29085D1E9ABA}"/>
    <cellStyle name="Normal 5 2 4 5 4" xfId="19144" xr:uid="{F6564FA1-CFAE-4A4F-87F7-032B95D1CA7B}"/>
    <cellStyle name="Normal 5 2 4 5 5" xfId="9863" xr:uid="{DB55F745-C7EA-4313-AD15-97C2E401E753}"/>
    <cellStyle name="Normal 5 2 4 6" xfId="1737" xr:uid="{00000000-0005-0000-0000-000017190000}"/>
    <cellStyle name="Normal 5 2 4 6 2" xfId="3967" xr:uid="{00000000-0005-0000-0000-000018190000}"/>
    <cellStyle name="Normal 5 2 4 6 2 2" xfId="8189" xr:uid="{00000000-0005-0000-0000-000019190000}"/>
    <cellStyle name="Normal 5 2 4 6 2 2 2" xfId="25919" xr:uid="{1CD75700-BFAC-4273-A8BD-B3737D3BDCDB}"/>
    <cellStyle name="Normal 5 2 4 6 2 2 3" xfId="16639" xr:uid="{B5FBFF71-B4B9-46E2-B82E-837DFFA34487}"/>
    <cellStyle name="Normal 5 2 4 6 2 3" xfId="21702" xr:uid="{096B7A5E-38AB-41E6-8449-DC8E3B5A4F81}"/>
    <cellStyle name="Normal 5 2 4 6 2 4" xfId="12421" xr:uid="{00323AD0-0D1A-4156-B064-D40CAF35F117}"/>
    <cellStyle name="Normal 5 2 4 6 3" xfId="6044" xr:uid="{00000000-0005-0000-0000-00001A190000}"/>
    <cellStyle name="Normal 5 2 4 6 3 2" xfId="23774" xr:uid="{1A547415-006F-4D07-99CD-9BC63679CB19}"/>
    <cellStyle name="Normal 5 2 4 6 3 3" xfId="14494" xr:uid="{32862C13-914B-4531-89F6-4D78702BF2F3}"/>
    <cellStyle name="Normal 5 2 4 6 4" xfId="19557" xr:uid="{6DDE7940-D064-441B-8154-BEDFE7A4D94E}"/>
    <cellStyle name="Normal 5 2 4 6 5" xfId="10276" xr:uid="{788CD1ED-FB51-4A4A-AB26-2F90448F0CCD}"/>
    <cellStyle name="Normal 5 2 4 7" xfId="2151" xr:uid="{00000000-0005-0000-0000-00001B190000}"/>
    <cellStyle name="Normal 5 2 4 7 2" xfId="4380" xr:uid="{00000000-0005-0000-0000-00001C190000}"/>
    <cellStyle name="Normal 5 2 4 7 2 2" xfId="8602" xr:uid="{00000000-0005-0000-0000-00001D190000}"/>
    <cellStyle name="Normal 5 2 4 7 2 2 2" xfId="26332" xr:uid="{E2A8B37A-084F-4918-BA65-AE8FDDE45634}"/>
    <cellStyle name="Normal 5 2 4 7 2 2 3" xfId="17052" xr:uid="{97A2A193-DAC6-4FD0-BB1A-B265B8FFDCC8}"/>
    <cellStyle name="Normal 5 2 4 7 2 3" xfId="22115" xr:uid="{E613BF6A-92F4-4B6D-8748-C2165D88A842}"/>
    <cellStyle name="Normal 5 2 4 7 2 4" xfId="12834" xr:uid="{BE7846BE-7A58-41F6-BCEE-EE87BEB03A98}"/>
    <cellStyle name="Normal 5 2 4 7 3" xfId="6457" xr:uid="{00000000-0005-0000-0000-00001E190000}"/>
    <cellStyle name="Normal 5 2 4 7 3 2" xfId="24187" xr:uid="{307A0290-B67C-440B-B0F1-7C79B180B581}"/>
    <cellStyle name="Normal 5 2 4 7 3 3" xfId="14907" xr:uid="{C7B75039-15EC-476C-9076-47EA69E95D35}"/>
    <cellStyle name="Normal 5 2 4 7 4" xfId="19970" xr:uid="{B5522E00-E8BF-44B1-8EA5-75519B58597E}"/>
    <cellStyle name="Normal 5 2 4 7 5" xfId="10689" xr:uid="{8B6BCB12-A17D-42BC-9346-966E1D54A7D9}"/>
    <cellStyle name="Normal 5 2 4 8" xfId="2587" xr:uid="{00000000-0005-0000-0000-00001F190000}"/>
    <cellStyle name="Normal 5 2 4 8 2" xfId="6870" xr:uid="{00000000-0005-0000-0000-000020190000}"/>
    <cellStyle name="Normal 5 2 4 8 2 2" xfId="24600" xr:uid="{4798A181-0A0B-4BCF-958D-47A3BE999BB4}"/>
    <cellStyle name="Normal 5 2 4 8 2 3" xfId="15320" xr:uid="{53435702-FB05-40FB-8F65-E686B59F2B07}"/>
    <cellStyle name="Normal 5 2 4 8 3" xfId="20383" xr:uid="{6EEDE7A0-02AD-431A-97E0-D580221D3880}"/>
    <cellStyle name="Normal 5 2 4 8 4" xfId="11102" xr:uid="{DCE65A8D-0559-4796-9D1D-0248D6787172}"/>
    <cellStyle name="Normal 5 2 4 9" xfId="4805" xr:uid="{00000000-0005-0000-0000-000021190000}"/>
    <cellStyle name="Normal 5 2 4 9 2" xfId="22535" xr:uid="{BA23D090-C317-44D1-BE65-B4C9CAB7DB4C}"/>
    <cellStyle name="Normal 5 2 4 9 3" xfId="13255" xr:uid="{37DD1352-1B53-4B35-B05B-5A40660F53FE}"/>
    <cellStyle name="Normal 5 2 5" xfId="436" xr:uid="{00000000-0005-0000-0000-000022190000}"/>
    <cellStyle name="Normal 5 2 5 10" xfId="17488" xr:uid="{3192ADF5-3EBB-49F6-8B60-02E50C0D7397}"/>
    <cellStyle name="Normal 5 2 5 11" xfId="9041" xr:uid="{B2088505-A354-4801-ADD6-2067BD8F00AF}"/>
    <cellStyle name="Normal 5 2 5 2" xfId="437" xr:uid="{00000000-0005-0000-0000-000023190000}"/>
    <cellStyle name="Normal 5 2 5 2 10" xfId="9042" xr:uid="{4AEEBA1B-2BA6-400C-B88A-5688C0B43C9D}"/>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25098" xr:uid="{5DB22D8B-5987-44A3-82DA-57ADE6FBD9D2}"/>
    <cellStyle name="Normal 5 2 5 2 2 2 2 3" xfId="15818" xr:uid="{CD227A2A-A238-48F1-AB7F-CD03EB924265}"/>
    <cellStyle name="Normal 5 2 5 2 2 2 3" xfId="20881" xr:uid="{4A85B1E9-235C-41F7-9A7B-CBC50387A5CC}"/>
    <cellStyle name="Normal 5 2 5 2 2 2 4" xfId="11600" xr:uid="{F48B5AA9-9D40-4AAC-BC32-8409A99C5F9D}"/>
    <cellStyle name="Normal 5 2 5 2 2 3" xfId="5223" xr:uid="{00000000-0005-0000-0000-000027190000}"/>
    <cellStyle name="Normal 5 2 5 2 2 3 2" xfId="22953" xr:uid="{06BDC8C4-6CD0-4842-955E-0F4E44FF371F}"/>
    <cellStyle name="Normal 5 2 5 2 2 3 3" xfId="13673" xr:uid="{D2DE8741-8C76-4694-AB62-08AE67F6CDC6}"/>
    <cellStyle name="Normal 5 2 5 2 2 4" xfId="18736" xr:uid="{D1890CD1-ACB8-48DF-83B4-E1CD7B58B2F7}"/>
    <cellStyle name="Normal 5 2 5 2 2 5" xfId="17908" xr:uid="{D300C5DD-CFBA-4AD0-8541-708BA595EFEC}"/>
    <cellStyle name="Normal 5 2 5 2 2 6" xfId="9455" xr:uid="{F511FB56-7EBA-4ECE-AE0A-80F75279726B}"/>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25511" xr:uid="{C71F644A-7B9C-47CF-9E8B-4B047E2D8AD8}"/>
    <cellStyle name="Normal 5 2 5 2 3 2 2 3" xfId="16231" xr:uid="{FC65D4D5-5565-4E0B-B91F-3EFB15066BFC}"/>
    <cellStyle name="Normal 5 2 5 2 3 2 3" xfId="21294" xr:uid="{A8410A92-CB3B-4DCD-81C9-A2C5F9BDF986}"/>
    <cellStyle name="Normal 5 2 5 2 3 2 4" xfId="12013" xr:uid="{21111505-CDA9-4430-9FEF-E75278F78B31}"/>
    <cellStyle name="Normal 5 2 5 2 3 3" xfId="5636" xr:uid="{00000000-0005-0000-0000-00002B190000}"/>
    <cellStyle name="Normal 5 2 5 2 3 3 2" xfId="23366" xr:uid="{A19B786F-AC68-4041-A602-3CD4DAFF01B8}"/>
    <cellStyle name="Normal 5 2 5 2 3 3 3" xfId="14086" xr:uid="{FA5BFFEA-87F1-4754-936B-1C78BABE66B6}"/>
    <cellStyle name="Normal 5 2 5 2 3 4" xfId="19149" xr:uid="{D73BD5DB-8B71-4B82-933E-BEDD08EC442A}"/>
    <cellStyle name="Normal 5 2 5 2 3 5" xfId="9868" xr:uid="{E9CBCF66-350D-4B4B-BC66-A852DDC6480B}"/>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25924" xr:uid="{BDA5B179-000D-47DA-9EE3-8ADD29B778FA}"/>
    <cellStyle name="Normal 5 2 5 2 4 2 2 3" xfId="16644" xr:uid="{27106F65-1BFF-4926-8B8C-781EFF9903B7}"/>
    <cellStyle name="Normal 5 2 5 2 4 2 3" xfId="21707" xr:uid="{2381CC30-5806-4AD5-886E-5715B850F259}"/>
    <cellStyle name="Normal 5 2 5 2 4 2 4" xfId="12426" xr:uid="{6A3ED804-1335-4637-AAA7-B1058ACB32E7}"/>
    <cellStyle name="Normal 5 2 5 2 4 3" xfId="6049" xr:uid="{00000000-0005-0000-0000-00002F190000}"/>
    <cellStyle name="Normal 5 2 5 2 4 3 2" xfId="23779" xr:uid="{3F3AE13C-92A2-44E1-833C-2FA8EB638B60}"/>
    <cellStyle name="Normal 5 2 5 2 4 3 3" xfId="14499" xr:uid="{BA7A98DB-CBBE-4A6D-83AC-59666CD8F487}"/>
    <cellStyle name="Normal 5 2 5 2 4 4" xfId="19562" xr:uid="{5F193A3C-66E3-4D5D-9F19-EB5BDF98ACE8}"/>
    <cellStyle name="Normal 5 2 5 2 4 5" xfId="10281" xr:uid="{95F23F5E-CA9D-4B2D-A2F8-AB08D6E0487B}"/>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26337" xr:uid="{6AD2B08D-3182-4A62-8AAB-2C793297427E}"/>
    <cellStyle name="Normal 5 2 5 2 5 2 2 3" xfId="17057" xr:uid="{5294BE4E-6E9E-46B8-8DF5-E729254EA0B3}"/>
    <cellStyle name="Normal 5 2 5 2 5 2 3" xfId="22120" xr:uid="{D1DBDF04-8239-4172-B9E5-7881AD5912C9}"/>
    <cellStyle name="Normal 5 2 5 2 5 2 4" xfId="12839" xr:uid="{C579018D-7A16-444B-B0CB-2BDD6C1A1A83}"/>
    <cellStyle name="Normal 5 2 5 2 5 3" xfId="6462" xr:uid="{00000000-0005-0000-0000-000033190000}"/>
    <cellStyle name="Normal 5 2 5 2 5 3 2" xfId="24192" xr:uid="{986EF6FD-7600-46B0-A181-BEED5E7C3439}"/>
    <cellStyle name="Normal 5 2 5 2 5 3 3" xfId="14912" xr:uid="{2EBCD982-68E8-4A45-8C2C-1D76237ED523}"/>
    <cellStyle name="Normal 5 2 5 2 5 4" xfId="19975" xr:uid="{5B2FC366-B129-4D40-B3A6-A096538A7C07}"/>
    <cellStyle name="Normal 5 2 5 2 5 5" xfId="10694" xr:uid="{BEE462C2-3E1B-414D-BCDB-7D6B99E60272}"/>
    <cellStyle name="Normal 5 2 5 2 6" xfId="2592" xr:uid="{00000000-0005-0000-0000-000034190000}"/>
    <cellStyle name="Normal 5 2 5 2 6 2" xfId="6875" xr:uid="{00000000-0005-0000-0000-000035190000}"/>
    <cellStyle name="Normal 5 2 5 2 6 2 2" xfId="24605" xr:uid="{0F2F99BD-488D-44BE-A5F6-1008E2B1345C}"/>
    <cellStyle name="Normal 5 2 5 2 6 2 3" xfId="15325" xr:uid="{FD042307-A90D-48A7-AA13-2838E8DFBC0A}"/>
    <cellStyle name="Normal 5 2 5 2 6 3" xfId="20388" xr:uid="{ECBF5E75-3897-4B0E-83F9-C78DCDE89ACE}"/>
    <cellStyle name="Normal 5 2 5 2 6 4" xfId="11107" xr:uid="{58C305F8-572B-4CF4-9FEA-1FB84ADB45E4}"/>
    <cellStyle name="Normal 5 2 5 2 7" xfId="4810" xr:uid="{00000000-0005-0000-0000-000036190000}"/>
    <cellStyle name="Normal 5 2 5 2 7 2" xfId="22540" xr:uid="{E778B524-389B-4E2F-A3A9-413DA72E8D53}"/>
    <cellStyle name="Normal 5 2 5 2 7 3" xfId="13260" xr:uid="{BFFDF8D1-CD0D-4666-8DC3-EDC9B9D20330}"/>
    <cellStyle name="Normal 5 2 5 2 8" xfId="18323" xr:uid="{D200CD6E-1A0F-4C05-86AE-B523AB5910C4}"/>
    <cellStyle name="Normal 5 2 5 2 9" xfId="17489" xr:uid="{500016A1-183D-41DF-A4B4-1D616415A73D}"/>
    <cellStyle name="Normal 5 2 5 3" xfId="910" xr:uid="{00000000-0005-0000-0000-000037190000}"/>
    <cellStyle name="Normal 5 2 5 3 2" xfId="3145" xr:uid="{00000000-0005-0000-0000-000038190000}"/>
    <cellStyle name="Normal 5 2 5 3 2 2" xfId="7367" xr:uid="{00000000-0005-0000-0000-000039190000}"/>
    <cellStyle name="Normal 5 2 5 3 2 2 2" xfId="25097" xr:uid="{D977851B-37B8-47F7-AA29-E54E1270CB31}"/>
    <cellStyle name="Normal 5 2 5 3 2 2 3" xfId="15817" xr:uid="{CEDFD7CC-8528-42D0-A9BD-9CB87F8906FF}"/>
    <cellStyle name="Normal 5 2 5 3 2 3" xfId="20880" xr:uid="{F97F0922-6D04-4AB9-B218-42D9A7832845}"/>
    <cellStyle name="Normal 5 2 5 3 2 4" xfId="11599" xr:uid="{97BFBE80-F179-4A97-B217-4B5D4CF4DDDF}"/>
    <cellStyle name="Normal 5 2 5 3 3" xfId="5222" xr:uid="{00000000-0005-0000-0000-00003A190000}"/>
    <cellStyle name="Normal 5 2 5 3 3 2" xfId="22952" xr:uid="{2AD575C8-08BB-4157-BF34-99CD2F117938}"/>
    <cellStyle name="Normal 5 2 5 3 3 3" xfId="13672" xr:uid="{26DD6C66-E912-4389-B01F-2EF2BFD73650}"/>
    <cellStyle name="Normal 5 2 5 3 4" xfId="18735" xr:uid="{952DC4B4-A604-4AA8-AB57-C5BBC60AE9BF}"/>
    <cellStyle name="Normal 5 2 5 3 5" xfId="17907" xr:uid="{B84AC059-9609-4386-9C3D-43DF3D81C8EB}"/>
    <cellStyle name="Normal 5 2 5 3 6" xfId="9454" xr:uid="{C59BBCF4-125F-4A46-B622-6A955435C3AD}"/>
    <cellStyle name="Normal 5 2 5 4" xfId="1328" xr:uid="{00000000-0005-0000-0000-00003B190000}"/>
    <cellStyle name="Normal 5 2 5 4 2" xfId="3558" xr:uid="{00000000-0005-0000-0000-00003C190000}"/>
    <cellStyle name="Normal 5 2 5 4 2 2" xfId="7780" xr:uid="{00000000-0005-0000-0000-00003D190000}"/>
    <cellStyle name="Normal 5 2 5 4 2 2 2" xfId="25510" xr:uid="{7B4D4DAB-39BB-4604-A071-20B2063ECE3A}"/>
    <cellStyle name="Normal 5 2 5 4 2 2 3" xfId="16230" xr:uid="{5922CC45-758C-4178-9B44-630CD94A6F14}"/>
    <cellStyle name="Normal 5 2 5 4 2 3" xfId="21293" xr:uid="{885D4AA2-EBB7-483D-9116-E18EAC05034F}"/>
    <cellStyle name="Normal 5 2 5 4 2 4" xfId="12012" xr:uid="{13C8E54C-3265-4006-B775-FDEC6BD19822}"/>
    <cellStyle name="Normal 5 2 5 4 3" xfId="5635" xr:uid="{00000000-0005-0000-0000-00003E190000}"/>
    <cellStyle name="Normal 5 2 5 4 3 2" xfId="23365" xr:uid="{AEDFA043-39A9-4F08-9947-9328A134850E}"/>
    <cellStyle name="Normal 5 2 5 4 3 3" xfId="14085" xr:uid="{B60A1563-63E4-4A69-8A39-2E584708D99E}"/>
    <cellStyle name="Normal 5 2 5 4 4" xfId="19148" xr:uid="{7F141C7C-1686-40F5-830E-54A52C186EC0}"/>
    <cellStyle name="Normal 5 2 5 4 5" xfId="9867" xr:uid="{14BD8A5F-3AB8-409A-A135-FBB31F62AC4C}"/>
    <cellStyle name="Normal 5 2 5 5" xfId="1741" xr:uid="{00000000-0005-0000-0000-00003F190000}"/>
    <cellStyle name="Normal 5 2 5 5 2" xfId="3971" xr:uid="{00000000-0005-0000-0000-000040190000}"/>
    <cellStyle name="Normal 5 2 5 5 2 2" xfId="8193" xr:uid="{00000000-0005-0000-0000-000041190000}"/>
    <cellStyle name="Normal 5 2 5 5 2 2 2" xfId="25923" xr:uid="{F9D2BE44-CE65-4442-A2B9-CE51F6CE60EB}"/>
    <cellStyle name="Normal 5 2 5 5 2 2 3" xfId="16643" xr:uid="{7EEFCC29-FA3D-4095-A8CF-795C375DE5A1}"/>
    <cellStyle name="Normal 5 2 5 5 2 3" xfId="21706" xr:uid="{73A6F836-5D7E-4CFB-ADE0-81174FCB4F8F}"/>
    <cellStyle name="Normal 5 2 5 5 2 4" xfId="12425" xr:uid="{09E95C28-7F62-4946-8075-50BEA90ABC3F}"/>
    <cellStyle name="Normal 5 2 5 5 3" xfId="6048" xr:uid="{00000000-0005-0000-0000-000042190000}"/>
    <cellStyle name="Normal 5 2 5 5 3 2" xfId="23778" xr:uid="{DDC09527-E3E9-4A5E-8CAB-EA741193E237}"/>
    <cellStyle name="Normal 5 2 5 5 3 3" xfId="14498" xr:uid="{DAA783C7-0229-47E8-ABD6-3EF8C1A521D1}"/>
    <cellStyle name="Normal 5 2 5 5 4" xfId="19561" xr:uid="{6E80F2E5-DD56-4B9A-970D-19944B967533}"/>
    <cellStyle name="Normal 5 2 5 5 5" xfId="10280" xr:uid="{60F1D11C-BA36-4EF2-8332-0E8304412AF8}"/>
    <cellStyle name="Normal 5 2 5 6" xfId="2155" xr:uid="{00000000-0005-0000-0000-000043190000}"/>
    <cellStyle name="Normal 5 2 5 6 2" xfId="4384" xr:uid="{00000000-0005-0000-0000-000044190000}"/>
    <cellStyle name="Normal 5 2 5 6 2 2" xfId="8606" xr:uid="{00000000-0005-0000-0000-000045190000}"/>
    <cellStyle name="Normal 5 2 5 6 2 2 2" xfId="26336" xr:uid="{72C62F0B-18E0-4AFF-85F5-1190E9097BA2}"/>
    <cellStyle name="Normal 5 2 5 6 2 2 3" xfId="17056" xr:uid="{0E4A14BC-DA62-4237-A720-0A13D4682CA4}"/>
    <cellStyle name="Normal 5 2 5 6 2 3" xfId="22119" xr:uid="{9F767A76-430C-49A7-BCE7-C61FE579B663}"/>
    <cellStyle name="Normal 5 2 5 6 2 4" xfId="12838" xr:uid="{84B7A434-558E-48FA-A2AB-D45F8705D33B}"/>
    <cellStyle name="Normal 5 2 5 6 3" xfId="6461" xr:uid="{00000000-0005-0000-0000-000046190000}"/>
    <cellStyle name="Normal 5 2 5 6 3 2" xfId="24191" xr:uid="{C8C32872-CF08-4E50-9ED4-97E4CF010112}"/>
    <cellStyle name="Normal 5 2 5 6 3 3" xfId="14911" xr:uid="{951EE9CE-D176-4110-BD0D-BEA6BB4D2113}"/>
    <cellStyle name="Normal 5 2 5 6 4" xfId="19974" xr:uid="{FD84E24F-3488-42EB-A3B2-1CC3CA79BC38}"/>
    <cellStyle name="Normal 5 2 5 6 5" xfId="10693" xr:uid="{EF8E185B-3E46-4CF5-BF11-EEFD6AA96367}"/>
    <cellStyle name="Normal 5 2 5 7" xfId="2591" xr:uid="{00000000-0005-0000-0000-000047190000}"/>
    <cellStyle name="Normal 5 2 5 7 2" xfId="6874" xr:uid="{00000000-0005-0000-0000-000048190000}"/>
    <cellStyle name="Normal 5 2 5 7 2 2" xfId="24604" xr:uid="{7C509EB7-1B29-425A-9180-96824074544E}"/>
    <cellStyle name="Normal 5 2 5 7 2 3" xfId="15324" xr:uid="{8F5DB82C-8B15-4F54-A467-5E96BC0B6A73}"/>
    <cellStyle name="Normal 5 2 5 7 3" xfId="20387" xr:uid="{423A0443-EC0F-4E32-8E6B-321E2D1383E1}"/>
    <cellStyle name="Normal 5 2 5 7 4" xfId="11106" xr:uid="{75D3235F-E9AD-4463-925C-B30C4D00ABED}"/>
    <cellStyle name="Normal 5 2 5 8" xfId="4809" xr:uid="{00000000-0005-0000-0000-000049190000}"/>
    <cellStyle name="Normal 5 2 5 8 2" xfId="22539" xr:uid="{B13A0123-6435-47D3-8720-8526BBC4C417}"/>
    <cellStyle name="Normal 5 2 5 8 3" xfId="13259" xr:uid="{3943C860-45EE-4424-B7C6-8C1F57C6DF01}"/>
    <cellStyle name="Normal 5 2 5 9" xfId="18322" xr:uid="{9F293FC4-E8CC-43D4-BA79-7786645F63CB}"/>
    <cellStyle name="Normal 5 2 6" xfId="438" xr:uid="{00000000-0005-0000-0000-00004A190000}"/>
    <cellStyle name="Normal 5 2 6 10" xfId="9043" xr:uid="{CA0DFFE8-CDB1-4592-B493-A7804748998D}"/>
    <cellStyle name="Normal 5 2 6 2" xfId="912" xr:uid="{00000000-0005-0000-0000-00004B190000}"/>
    <cellStyle name="Normal 5 2 6 2 2" xfId="3147" xr:uid="{00000000-0005-0000-0000-00004C190000}"/>
    <cellStyle name="Normal 5 2 6 2 2 2" xfId="7369" xr:uid="{00000000-0005-0000-0000-00004D190000}"/>
    <cellStyle name="Normal 5 2 6 2 2 2 2" xfId="25099" xr:uid="{FD2BFDA7-CF91-41BF-BC38-EDDC5E91C47B}"/>
    <cellStyle name="Normal 5 2 6 2 2 2 3" xfId="15819" xr:uid="{9F2CF44B-D938-48EA-8E43-E6A75D14240A}"/>
    <cellStyle name="Normal 5 2 6 2 2 3" xfId="20882" xr:uid="{CC8A0207-1C97-4E39-A1C3-50A6169AE370}"/>
    <cellStyle name="Normal 5 2 6 2 2 4" xfId="11601" xr:uid="{8D0C3BBD-8262-4766-8588-7BA7D0224261}"/>
    <cellStyle name="Normal 5 2 6 2 3" xfId="5224" xr:uid="{00000000-0005-0000-0000-00004E190000}"/>
    <cellStyle name="Normal 5 2 6 2 3 2" xfId="22954" xr:uid="{6A8C53B3-600D-4089-A9E4-41B93208919A}"/>
    <cellStyle name="Normal 5 2 6 2 3 3" xfId="13674" xr:uid="{9A323BB1-2947-4342-833D-A5E86D98FEB5}"/>
    <cellStyle name="Normal 5 2 6 2 4" xfId="18737" xr:uid="{5EDF75C6-4612-461E-BBEF-975D7A3D1EBD}"/>
    <cellStyle name="Normal 5 2 6 2 5" xfId="17909" xr:uid="{AB869389-90B0-4A7B-AFA9-F1806A7DE253}"/>
    <cellStyle name="Normal 5 2 6 2 6" xfId="9456" xr:uid="{501538EE-820E-4240-9BCF-9AC108E38020}"/>
    <cellStyle name="Normal 5 2 6 3" xfId="1330" xr:uid="{00000000-0005-0000-0000-00004F190000}"/>
    <cellStyle name="Normal 5 2 6 3 2" xfId="3560" xr:uid="{00000000-0005-0000-0000-000050190000}"/>
    <cellStyle name="Normal 5 2 6 3 2 2" xfId="7782" xr:uid="{00000000-0005-0000-0000-000051190000}"/>
    <cellStyle name="Normal 5 2 6 3 2 2 2" xfId="25512" xr:uid="{66FAC6B2-908C-4FDB-A516-875D2E0861E6}"/>
    <cellStyle name="Normal 5 2 6 3 2 2 3" xfId="16232" xr:uid="{898C48CD-9CBA-445B-AB51-AD8417A4A7CE}"/>
    <cellStyle name="Normal 5 2 6 3 2 3" xfId="21295" xr:uid="{59E57F3B-3E23-4B24-9FE4-6559C45C0D93}"/>
    <cellStyle name="Normal 5 2 6 3 2 4" xfId="12014" xr:uid="{8FE6E13D-B88F-45DA-86E1-D7017C52CF0F}"/>
    <cellStyle name="Normal 5 2 6 3 3" xfId="5637" xr:uid="{00000000-0005-0000-0000-000052190000}"/>
    <cellStyle name="Normal 5 2 6 3 3 2" xfId="23367" xr:uid="{D5768678-550E-403C-B4B9-3CCB0550B5AF}"/>
    <cellStyle name="Normal 5 2 6 3 3 3" xfId="14087" xr:uid="{655D77A6-78C3-4AC3-B9A6-67BCCF560C6F}"/>
    <cellStyle name="Normal 5 2 6 3 4" xfId="19150" xr:uid="{B0251CDC-D549-4E96-AE72-CC8A6637993D}"/>
    <cellStyle name="Normal 5 2 6 3 5" xfId="9869" xr:uid="{CC180E79-CF42-4C2F-8FC8-A277BCECFBA4}"/>
    <cellStyle name="Normal 5 2 6 4" xfId="1743" xr:uid="{00000000-0005-0000-0000-000053190000}"/>
    <cellStyle name="Normal 5 2 6 4 2" xfId="3973" xr:uid="{00000000-0005-0000-0000-000054190000}"/>
    <cellStyle name="Normal 5 2 6 4 2 2" xfId="8195" xr:uid="{00000000-0005-0000-0000-000055190000}"/>
    <cellStyle name="Normal 5 2 6 4 2 2 2" xfId="25925" xr:uid="{39322F67-6E6B-4897-BFA1-5DBE9FD54104}"/>
    <cellStyle name="Normal 5 2 6 4 2 2 3" xfId="16645" xr:uid="{E5468D7D-97D0-4A05-83A8-474CB570C611}"/>
    <cellStyle name="Normal 5 2 6 4 2 3" xfId="21708" xr:uid="{064E2970-5F48-4B46-8361-B6B4F8444828}"/>
    <cellStyle name="Normal 5 2 6 4 2 4" xfId="12427" xr:uid="{E3E24C97-24AC-4C8A-9B34-3E6A33E106DE}"/>
    <cellStyle name="Normal 5 2 6 4 3" xfId="6050" xr:uid="{00000000-0005-0000-0000-000056190000}"/>
    <cellStyle name="Normal 5 2 6 4 3 2" xfId="23780" xr:uid="{F3F9E07D-C88A-48FF-A1A5-76AB30157F7D}"/>
    <cellStyle name="Normal 5 2 6 4 3 3" xfId="14500" xr:uid="{4D4F8614-D2EA-4904-8373-503E06714F03}"/>
    <cellStyle name="Normal 5 2 6 4 4" xfId="19563" xr:uid="{A66889EA-F829-4B9F-B626-5BF874A03C7A}"/>
    <cellStyle name="Normal 5 2 6 4 5" xfId="10282" xr:uid="{0D7DF5BE-D623-4C94-A288-C5247437E2C8}"/>
    <cellStyle name="Normal 5 2 6 5" xfId="2157" xr:uid="{00000000-0005-0000-0000-000057190000}"/>
    <cellStyle name="Normal 5 2 6 5 2" xfId="4386" xr:uid="{00000000-0005-0000-0000-000058190000}"/>
    <cellStyle name="Normal 5 2 6 5 2 2" xfId="8608" xr:uid="{00000000-0005-0000-0000-000059190000}"/>
    <cellStyle name="Normal 5 2 6 5 2 2 2" xfId="26338" xr:uid="{ACAE32C6-B928-4AE5-9B63-0448D6597977}"/>
    <cellStyle name="Normal 5 2 6 5 2 2 3" xfId="17058" xr:uid="{E024464C-CCDB-478A-9C5D-E6F915D5C2A9}"/>
    <cellStyle name="Normal 5 2 6 5 2 3" xfId="22121" xr:uid="{2151054D-25F0-4027-8BC0-31E52C01C9DF}"/>
    <cellStyle name="Normal 5 2 6 5 2 4" xfId="12840" xr:uid="{A386CED3-A0B1-40B6-921B-8B38B535D62A}"/>
    <cellStyle name="Normal 5 2 6 5 3" xfId="6463" xr:uid="{00000000-0005-0000-0000-00005A190000}"/>
    <cellStyle name="Normal 5 2 6 5 3 2" xfId="24193" xr:uid="{03FC379A-F339-4C9A-BCEB-1A7A8C877025}"/>
    <cellStyle name="Normal 5 2 6 5 3 3" xfId="14913" xr:uid="{F0CD7393-84EE-4FFF-BC8A-BD5853B764D4}"/>
    <cellStyle name="Normal 5 2 6 5 4" xfId="19976" xr:uid="{883D3BE1-3D1E-44AA-9342-2CC57873328B}"/>
    <cellStyle name="Normal 5 2 6 5 5" xfId="10695" xr:uid="{E0811ACB-8C44-4876-9215-FA86169031A6}"/>
    <cellStyle name="Normal 5 2 6 6" xfId="2593" xr:uid="{00000000-0005-0000-0000-00005B190000}"/>
    <cellStyle name="Normal 5 2 6 6 2" xfId="6876" xr:uid="{00000000-0005-0000-0000-00005C190000}"/>
    <cellStyle name="Normal 5 2 6 6 2 2" xfId="24606" xr:uid="{DAD55ACA-9FDD-450D-AEA4-492409442B46}"/>
    <cellStyle name="Normal 5 2 6 6 2 3" xfId="15326" xr:uid="{953DC6F6-B293-4345-AD89-568DD24110A6}"/>
    <cellStyle name="Normal 5 2 6 6 3" xfId="20389" xr:uid="{8AE4D9C6-77ED-42FA-8E4E-BABE3B72BAFB}"/>
    <cellStyle name="Normal 5 2 6 6 4" xfId="11108" xr:uid="{41383FC3-A2FE-46F9-BB35-ABC8046E3540}"/>
    <cellStyle name="Normal 5 2 6 7" xfId="4811" xr:uid="{00000000-0005-0000-0000-00005D190000}"/>
    <cellStyle name="Normal 5 2 6 7 2" xfId="22541" xr:uid="{A2E085F2-8772-4D9E-886D-778C663B7EEF}"/>
    <cellStyle name="Normal 5 2 6 7 3" xfId="13261" xr:uid="{40967414-AD10-4DA4-89E1-2EE1B54698F7}"/>
    <cellStyle name="Normal 5 2 6 8" xfId="18324" xr:uid="{025C8418-6F29-4346-8A9F-58737696BDD2}"/>
    <cellStyle name="Normal 5 2 6 9" xfId="17490" xr:uid="{324B2DBE-E974-46CA-96B8-DEC0F024053A}"/>
    <cellStyle name="Normal 5 2 7" xfId="881" xr:uid="{00000000-0005-0000-0000-00005E190000}"/>
    <cellStyle name="Normal 5 2 7 2" xfId="3116" xr:uid="{00000000-0005-0000-0000-00005F190000}"/>
    <cellStyle name="Normal 5 2 7 2 2" xfId="7338" xr:uid="{00000000-0005-0000-0000-000060190000}"/>
    <cellStyle name="Normal 5 2 7 2 2 2" xfId="25068" xr:uid="{DE04E5AB-1163-4D5A-B5A5-5BE295082124}"/>
    <cellStyle name="Normal 5 2 7 2 2 3" xfId="15788" xr:uid="{545C794E-5D63-4FCF-8A90-C0923B3316AE}"/>
    <cellStyle name="Normal 5 2 7 2 3" xfId="20851" xr:uid="{36F7FE21-D83A-4F7D-8C39-4E1F1F2F8592}"/>
    <cellStyle name="Normal 5 2 7 2 4" xfId="11570" xr:uid="{6DCB482F-1827-4107-B1C5-2F62D8D3D51A}"/>
    <cellStyle name="Normal 5 2 7 3" xfId="5193" xr:uid="{00000000-0005-0000-0000-000061190000}"/>
    <cellStyle name="Normal 5 2 7 3 2" xfId="22923" xr:uid="{64B858B8-7DD4-47AC-8CE8-7F32AAD19214}"/>
    <cellStyle name="Normal 5 2 7 3 3" xfId="13643" xr:uid="{95EEAF79-CD2F-451F-B1E3-6F9330A6AACC}"/>
    <cellStyle name="Normal 5 2 7 4" xfId="18706" xr:uid="{A4563E07-5F27-429D-B0C9-0CA7C6B3E6F5}"/>
    <cellStyle name="Normal 5 2 7 5" xfId="17878" xr:uid="{5D16609E-1C79-4601-964E-4DD544B0DB1B}"/>
    <cellStyle name="Normal 5 2 7 6" xfId="9425" xr:uid="{3B634D1B-469B-4003-9316-85634FBC5A7E}"/>
    <cellStyle name="Normal 5 2 8" xfId="1299" xr:uid="{00000000-0005-0000-0000-000062190000}"/>
    <cellStyle name="Normal 5 2 8 2" xfId="3529" xr:uid="{00000000-0005-0000-0000-000063190000}"/>
    <cellStyle name="Normal 5 2 8 2 2" xfId="7751" xr:uid="{00000000-0005-0000-0000-000064190000}"/>
    <cellStyle name="Normal 5 2 8 2 2 2" xfId="25481" xr:uid="{95BEB22A-9F9E-45F9-8C78-A1CB12850994}"/>
    <cellStyle name="Normal 5 2 8 2 2 3" xfId="16201" xr:uid="{2F490DE7-FCE3-46D6-93BB-1859654CA9AE}"/>
    <cellStyle name="Normal 5 2 8 2 3" xfId="21264" xr:uid="{E11BBFA1-AAEE-4C68-A4EF-11455C33B44C}"/>
    <cellStyle name="Normal 5 2 8 2 4" xfId="11983" xr:uid="{3F6A985B-988F-47E2-A0DA-9B91906DF70A}"/>
    <cellStyle name="Normal 5 2 8 3" xfId="5606" xr:uid="{00000000-0005-0000-0000-000065190000}"/>
    <cellStyle name="Normal 5 2 8 3 2" xfId="23336" xr:uid="{90DD8A3B-571A-4C0C-B23D-830226B40EC7}"/>
    <cellStyle name="Normal 5 2 8 3 3" xfId="14056" xr:uid="{729BBA83-3D15-44CE-9E32-2960D2A3CB33}"/>
    <cellStyle name="Normal 5 2 8 4" xfId="19119" xr:uid="{D927FEDA-431F-433A-9701-123EB035657F}"/>
    <cellStyle name="Normal 5 2 8 5" xfId="9838" xr:uid="{4FFD8A00-7C22-49FD-8B06-75FEE36C1375}"/>
    <cellStyle name="Normal 5 2 9" xfId="1712" xr:uid="{00000000-0005-0000-0000-000066190000}"/>
    <cellStyle name="Normal 5 2 9 2" xfId="3942" xr:uid="{00000000-0005-0000-0000-000067190000}"/>
    <cellStyle name="Normal 5 2 9 2 2" xfId="8164" xr:uid="{00000000-0005-0000-0000-000068190000}"/>
    <cellStyle name="Normal 5 2 9 2 2 2" xfId="25894" xr:uid="{65A8FB42-F01D-4B39-A34A-81B15DFEB4F7}"/>
    <cellStyle name="Normal 5 2 9 2 2 3" xfId="16614" xr:uid="{E02ECB1A-876B-42DF-8B0E-586CB2ECD995}"/>
    <cellStyle name="Normal 5 2 9 2 3" xfId="21677" xr:uid="{2B5E0EB0-E48E-482B-956A-3ADCF6355672}"/>
    <cellStyle name="Normal 5 2 9 2 4" xfId="12396" xr:uid="{C916DF72-3354-471C-BF5C-AB422E05EEF2}"/>
    <cellStyle name="Normal 5 2 9 3" xfId="6019" xr:uid="{00000000-0005-0000-0000-000069190000}"/>
    <cellStyle name="Normal 5 2 9 3 2" xfId="23749" xr:uid="{A05250C2-A621-4253-AD22-3261D8D22371}"/>
    <cellStyle name="Normal 5 2 9 3 3" xfId="14469" xr:uid="{D93A8047-471D-44FB-806C-2F95C0AA1E4A}"/>
    <cellStyle name="Normal 5 2 9 4" xfId="19532" xr:uid="{4D3DB565-55B9-4CC2-A04C-A8C4CD33596A}"/>
    <cellStyle name="Normal 5 2 9 5" xfId="10251" xr:uid="{328AB47B-6FDE-4973-9052-80C6E05284AF}"/>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26339" xr:uid="{26FF1E5D-15D6-44B5-ADBD-29F0B0FC40D3}"/>
    <cellStyle name="Normal 5 3 10 2 2 3" xfId="17059" xr:uid="{48A34316-7646-493D-B7D4-4E6CE74123EE}"/>
    <cellStyle name="Normal 5 3 10 2 3" xfId="22122" xr:uid="{3639CD65-2EDD-4E2F-BA73-AFF25072E72F}"/>
    <cellStyle name="Normal 5 3 10 2 4" xfId="12841" xr:uid="{56F71F7A-31F6-40CA-8B93-BFF2A131BC49}"/>
    <cellStyle name="Normal 5 3 10 3" xfId="6464" xr:uid="{00000000-0005-0000-0000-00006E190000}"/>
    <cellStyle name="Normal 5 3 10 3 2" xfId="24194" xr:uid="{FC4908A4-FC7A-4E10-A3E1-F289287C11A1}"/>
    <cellStyle name="Normal 5 3 10 3 3" xfId="14914" xr:uid="{F83F4FD3-3F72-4309-9ECE-72886D862CA2}"/>
    <cellStyle name="Normal 5 3 10 4" xfId="19977" xr:uid="{8F9C582B-2C65-4ABC-AEA0-14081ED15D72}"/>
    <cellStyle name="Normal 5 3 10 5" xfId="10696" xr:uid="{FDC5EDA4-429F-46D3-85DC-112F32FFE5D9}"/>
    <cellStyle name="Normal 5 3 11" xfId="2594" xr:uid="{00000000-0005-0000-0000-00006F190000}"/>
    <cellStyle name="Normal 5 3 11 2" xfId="6877" xr:uid="{00000000-0005-0000-0000-000070190000}"/>
    <cellStyle name="Normal 5 3 11 2 2" xfId="24607" xr:uid="{CB358BBB-CA63-4911-936F-9FEDA66CE542}"/>
    <cellStyle name="Normal 5 3 11 2 3" xfId="15327" xr:uid="{70FA620B-F26B-4EA0-875D-67B3CB85FF9D}"/>
    <cellStyle name="Normal 5 3 11 3" xfId="20390" xr:uid="{909C78BF-E5BB-4C8D-9691-6A4EE81C85D0}"/>
    <cellStyle name="Normal 5 3 11 4" xfId="11109" xr:uid="{4F8E53BC-EBE9-4C42-B675-467795C1D372}"/>
    <cellStyle name="Normal 5 3 12" xfId="4812" xr:uid="{00000000-0005-0000-0000-000071190000}"/>
    <cellStyle name="Normal 5 3 12 2" xfId="22542" xr:uid="{C199CC89-4656-4838-9946-3979DDA4B6FF}"/>
    <cellStyle name="Normal 5 3 12 3" xfId="13262" xr:uid="{6B84228E-522F-422E-A820-24980F909C99}"/>
    <cellStyle name="Normal 5 3 13" xfId="18325" xr:uid="{40D80928-BCBA-44EB-96BC-E5DEBD99981E}"/>
    <cellStyle name="Normal 5 3 14" xfId="17491" xr:uid="{9506C624-F90F-41F9-8CD6-A93DC12684EF}"/>
    <cellStyle name="Normal 5 3 15" xfId="9044" xr:uid="{F5AB955E-E23F-4033-84C4-7691069EF536}"/>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22543" xr:uid="{5DC16B56-E185-49BD-92E3-41AB6AD72FA7}"/>
    <cellStyle name="Normal 5 3 3 10 3" xfId="13263" xr:uid="{AEDF9987-25DB-420E-B926-C505155CF227}"/>
    <cellStyle name="Normal 5 3 3 11" xfId="18326" xr:uid="{CDE7EE05-16C2-46E4-A195-0305AEA9A4DD}"/>
    <cellStyle name="Normal 5 3 3 12" xfId="17492" xr:uid="{E6DA7221-488A-4BAB-9257-8B0C8E1967DD}"/>
    <cellStyle name="Normal 5 3 3 13" xfId="9045" xr:uid="{590A7DC7-6015-4B79-A2B9-786239925E02}"/>
    <cellStyle name="Normal 5 3 3 2" xfId="442" xr:uid="{00000000-0005-0000-0000-000076190000}"/>
    <cellStyle name="Normal 5 3 3 2 10" xfId="18327" xr:uid="{0484458E-4F14-4A60-AEEA-790C3F9A5541}"/>
    <cellStyle name="Normal 5 3 3 2 11" xfId="17493" xr:uid="{77E105DC-660F-4F21-96AC-3DAC4AACD86B}"/>
    <cellStyle name="Normal 5 3 3 2 12" xfId="9046" xr:uid="{B43BE0ED-C61D-4A4B-A28E-60F34BE69605}"/>
    <cellStyle name="Normal 5 3 3 2 2" xfId="443" xr:uid="{00000000-0005-0000-0000-000077190000}"/>
    <cellStyle name="Normal 5 3 3 2 2 10" xfId="17494" xr:uid="{F3CA1558-33AB-42C8-97C9-647F4225FD31}"/>
    <cellStyle name="Normal 5 3 3 2 2 11" xfId="9047" xr:uid="{69A7A895-C492-4C17-90A1-C5DD46983B44}"/>
    <cellStyle name="Normal 5 3 3 2 2 2" xfId="444" xr:uid="{00000000-0005-0000-0000-000078190000}"/>
    <cellStyle name="Normal 5 3 3 2 2 2 10" xfId="9048" xr:uid="{335B4E66-531A-4F43-A922-741F108B1072}"/>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25104" xr:uid="{2BC6D0F3-A26E-4D19-B6A0-0F8FD1129B8C}"/>
    <cellStyle name="Normal 5 3 3 2 2 2 2 2 2 3" xfId="15824" xr:uid="{673BAC50-1FAA-458B-8008-C91A28C9E3B6}"/>
    <cellStyle name="Normal 5 3 3 2 2 2 2 2 3" xfId="20887" xr:uid="{8088C7C4-E46B-4245-AEA2-6154160BA569}"/>
    <cellStyle name="Normal 5 3 3 2 2 2 2 2 4" xfId="11606" xr:uid="{FFA95A32-12E2-4962-B72D-8CE3697D1D5B}"/>
    <cellStyle name="Normal 5 3 3 2 2 2 2 3" xfId="5229" xr:uid="{00000000-0005-0000-0000-00007C190000}"/>
    <cellStyle name="Normal 5 3 3 2 2 2 2 3 2" xfId="22959" xr:uid="{F0C9D2B5-E5C4-42C0-B201-62165781F43B}"/>
    <cellStyle name="Normal 5 3 3 2 2 2 2 3 3" xfId="13679" xr:uid="{8282118F-EF46-4B9A-BB72-FD7F263515B5}"/>
    <cellStyle name="Normal 5 3 3 2 2 2 2 4" xfId="18742" xr:uid="{471D775C-5A8E-4CBD-8614-599FAB41CA1F}"/>
    <cellStyle name="Normal 5 3 3 2 2 2 2 5" xfId="17914" xr:uid="{95043377-26F8-4EB7-89D4-8D7FC5ECD324}"/>
    <cellStyle name="Normal 5 3 3 2 2 2 2 6" xfId="9461" xr:uid="{C3F9F99D-E1F2-40B1-A242-C31D234F90FC}"/>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25517" xr:uid="{B3AAEE8F-D48E-47B5-BBA2-6BE509384063}"/>
    <cellStyle name="Normal 5 3 3 2 2 2 3 2 2 3" xfId="16237" xr:uid="{473D0C48-501C-489E-853B-D26823377365}"/>
    <cellStyle name="Normal 5 3 3 2 2 2 3 2 3" xfId="21300" xr:uid="{50B2721E-89EE-4F72-BD3A-D6FEE7AA32C5}"/>
    <cellStyle name="Normal 5 3 3 2 2 2 3 2 4" xfId="12019" xr:uid="{C9BF18AD-D9CF-4C3C-95E4-4E371FE34817}"/>
    <cellStyle name="Normal 5 3 3 2 2 2 3 3" xfId="5642" xr:uid="{00000000-0005-0000-0000-000080190000}"/>
    <cellStyle name="Normal 5 3 3 2 2 2 3 3 2" xfId="23372" xr:uid="{C07CF16A-E16C-4DB1-BA11-8097DF005972}"/>
    <cellStyle name="Normal 5 3 3 2 2 2 3 3 3" xfId="14092" xr:uid="{0EDE92C6-4C4F-475C-978A-EF9A0BB6D7DA}"/>
    <cellStyle name="Normal 5 3 3 2 2 2 3 4" xfId="19155" xr:uid="{1B26872F-55B7-4433-939E-60A700833705}"/>
    <cellStyle name="Normal 5 3 3 2 2 2 3 5" xfId="9874" xr:uid="{098A8277-41FB-4146-9AE1-FF516F66CC6B}"/>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25930" xr:uid="{62BD59E4-DE9E-4E84-82CF-E97CD1304D51}"/>
    <cellStyle name="Normal 5 3 3 2 2 2 4 2 2 3" xfId="16650" xr:uid="{2174444D-64B8-4A03-8848-471FA9997A2D}"/>
    <cellStyle name="Normal 5 3 3 2 2 2 4 2 3" xfId="21713" xr:uid="{B68B9418-FE2D-496D-AD6C-97F432B2717E}"/>
    <cellStyle name="Normal 5 3 3 2 2 2 4 2 4" xfId="12432" xr:uid="{286DF0DD-A2E2-4299-BB29-96B31C9BD9DB}"/>
    <cellStyle name="Normal 5 3 3 2 2 2 4 3" xfId="6055" xr:uid="{00000000-0005-0000-0000-000084190000}"/>
    <cellStyle name="Normal 5 3 3 2 2 2 4 3 2" xfId="23785" xr:uid="{AA72214E-399E-406A-AD78-8D4C7B52BF2C}"/>
    <cellStyle name="Normal 5 3 3 2 2 2 4 3 3" xfId="14505" xr:uid="{5D9E353E-8994-4606-A564-AF771A1A742B}"/>
    <cellStyle name="Normal 5 3 3 2 2 2 4 4" xfId="19568" xr:uid="{E54DD749-B521-43D5-9F30-7B54B9FAF41F}"/>
    <cellStyle name="Normal 5 3 3 2 2 2 4 5" xfId="10287" xr:uid="{44D10CFC-337C-4191-A64A-7422216EA87A}"/>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26343" xr:uid="{8DF94050-DC44-4DA6-9F61-4CA8DB66CA6F}"/>
    <cellStyle name="Normal 5 3 3 2 2 2 5 2 2 3" xfId="17063" xr:uid="{F3F0EEDD-CEA5-477D-9638-114B0270B910}"/>
    <cellStyle name="Normal 5 3 3 2 2 2 5 2 3" xfId="22126" xr:uid="{D39C6244-541B-446A-AA24-6664681BB730}"/>
    <cellStyle name="Normal 5 3 3 2 2 2 5 2 4" xfId="12845" xr:uid="{05ECAD40-23B2-4B7F-920F-1ECD0D87F2F2}"/>
    <cellStyle name="Normal 5 3 3 2 2 2 5 3" xfId="6468" xr:uid="{00000000-0005-0000-0000-000088190000}"/>
    <cellStyle name="Normal 5 3 3 2 2 2 5 3 2" xfId="24198" xr:uid="{66AD1019-1264-4330-943B-69E6038CA037}"/>
    <cellStyle name="Normal 5 3 3 2 2 2 5 3 3" xfId="14918" xr:uid="{E2331385-78BA-4022-878E-5135D2DD4419}"/>
    <cellStyle name="Normal 5 3 3 2 2 2 5 4" xfId="19981" xr:uid="{6C84EA36-A9FE-406B-AB85-229638BDC4AD}"/>
    <cellStyle name="Normal 5 3 3 2 2 2 5 5" xfId="10700" xr:uid="{9978B7FB-93D3-485F-9F6B-9586569D2A9E}"/>
    <cellStyle name="Normal 5 3 3 2 2 2 6" xfId="2598" xr:uid="{00000000-0005-0000-0000-000089190000}"/>
    <cellStyle name="Normal 5 3 3 2 2 2 6 2" xfId="6881" xr:uid="{00000000-0005-0000-0000-00008A190000}"/>
    <cellStyle name="Normal 5 3 3 2 2 2 6 2 2" xfId="24611" xr:uid="{620E7283-813B-48A3-AEA6-AEF0C682EFB3}"/>
    <cellStyle name="Normal 5 3 3 2 2 2 6 2 3" xfId="15331" xr:uid="{FEDCF8C9-812B-4A08-A62E-45F8C6352C9C}"/>
    <cellStyle name="Normal 5 3 3 2 2 2 6 3" xfId="20394" xr:uid="{B388B235-0217-4248-92FA-A6F49B41B97D}"/>
    <cellStyle name="Normal 5 3 3 2 2 2 6 4" xfId="11113" xr:uid="{3FE7B07E-AD6B-4F69-96AE-A3ED78CAA231}"/>
    <cellStyle name="Normal 5 3 3 2 2 2 7" xfId="4816" xr:uid="{00000000-0005-0000-0000-00008B190000}"/>
    <cellStyle name="Normal 5 3 3 2 2 2 7 2" xfId="22546" xr:uid="{65530513-2424-457F-B3FB-0D84000AF65A}"/>
    <cellStyle name="Normal 5 3 3 2 2 2 7 3" xfId="13266" xr:uid="{8459A9D8-F38A-498D-BC27-6EDBBCF27CD4}"/>
    <cellStyle name="Normal 5 3 3 2 2 2 8" xfId="18329" xr:uid="{8BE1C1B2-F87B-4BD6-A257-DB66743108EA}"/>
    <cellStyle name="Normal 5 3 3 2 2 2 9" xfId="17495" xr:uid="{3AAC1121-83DC-4283-AB52-CDF138EBB3DF}"/>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25103" xr:uid="{0B470212-2587-4BAE-B5D0-3E9CC9C4DB32}"/>
    <cellStyle name="Normal 5 3 3 2 2 3 2 2 3" xfId="15823" xr:uid="{E473DEE9-B0B9-4490-8515-F5AC355355B3}"/>
    <cellStyle name="Normal 5 3 3 2 2 3 2 3" xfId="20886" xr:uid="{B2A72D7E-5CD0-4829-881D-B9FD76E1059D}"/>
    <cellStyle name="Normal 5 3 3 2 2 3 2 4" xfId="11605" xr:uid="{1023A235-3C0C-4F0B-8E30-6E6447257354}"/>
    <cellStyle name="Normal 5 3 3 2 2 3 3" xfId="5228" xr:uid="{00000000-0005-0000-0000-00008F190000}"/>
    <cellStyle name="Normal 5 3 3 2 2 3 3 2" xfId="22958" xr:uid="{12B6ECB6-8D09-4C5F-A8DD-F3F57FB5C1B0}"/>
    <cellStyle name="Normal 5 3 3 2 2 3 3 3" xfId="13678" xr:uid="{883351C2-735D-424F-996C-E46D8ABA63DE}"/>
    <cellStyle name="Normal 5 3 3 2 2 3 4" xfId="18741" xr:uid="{ABF4DD51-6657-40E5-9B6E-2E4853FA5E56}"/>
    <cellStyle name="Normal 5 3 3 2 2 3 5" xfId="17913" xr:uid="{16176228-6B0D-4C03-AFEE-11C89A53FC07}"/>
    <cellStyle name="Normal 5 3 3 2 2 3 6" xfId="9460" xr:uid="{5ED68947-3111-4610-B73B-AAB0E5A6FFC9}"/>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25516" xr:uid="{19D76E38-AA41-4D56-8CA8-5780AF504BAE}"/>
    <cellStyle name="Normal 5 3 3 2 2 4 2 2 3" xfId="16236" xr:uid="{5311FACB-C818-4775-A2EA-1E5C80D2D819}"/>
    <cellStyle name="Normal 5 3 3 2 2 4 2 3" xfId="21299" xr:uid="{48E010AF-2042-45CD-8C35-0C14F279ACCA}"/>
    <cellStyle name="Normal 5 3 3 2 2 4 2 4" xfId="12018" xr:uid="{08107D61-1593-46DD-B553-C2E55FC3EB8E}"/>
    <cellStyle name="Normal 5 3 3 2 2 4 3" xfId="5641" xr:uid="{00000000-0005-0000-0000-000093190000}"/>
    <cellStyle name="Normal 5 3 3 2 2 4 3 2" xfId="23371" xr:uid="{A779127C-D0D8-4670-AFC4-7EDAC9F978AF}"/>
    <cellStyle name="Normal 5 3 3 2 2 4 3 3" xfId="14091" xr:uid="{7B999D3B-96E9-45FE-8F8A-9F779FBA4D97}"/>
    <cellStyle name="Normal 5 3 3 2 2 4 4" xfId="19154" xr:uid="{540A37E0-C73A-4EF1-A330-6F33AE926A90}"/>
    <cellStyle name="Normal 5 3 3 2 2 4 5" xfId="9873" xr:uid="{EA9A8D64-3CBA-44F2-BDF8-7C4253CB64E8}"/>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25929" xr:uid="{B964611E-AD0F-417F-86F6-B7250050CAF5}"/>
    <cellStyle name="Normal 5 3 3 2 2 5 2 2 3" xfId="16649" xr:uid="{4CF08E68-DBB6-4280-B459-DA6CCB193D05}"/>
    <cellStyle name="Normal 5 3 3 2 2 5 2 3" xfId="21712" xr:uid="{B376E0B8-8405-4A5B-A798-E04377C62257}"/>
    <cellStyle name="Normal 5 3 3 2 2 5 2 4" xfId="12431" xr:uid="{77D4ECF4-FB6C-4C6D-8D0B-53A3FEF5B507}"/>
    <cellStyle name="Normal 5 3 3 2 2 5 3" xfId="6054" xr:uid="{00000000-0005-0000-0000-000097190000}"/>
    <cellStyle name="Normal 5 3 3 2 2 5 3 2" xfId="23784" xr:uid="{D6BDE047-06AB-4E5C-A29B-F47D63B11C4C}"/>
    <cellStyle name="Normal 5 3 3 2 2 5 3 3" xfId="14504" xr:uid="{744A4CEE-DBE4-45EF-9207-4644F9EDD0D7}"/>
    <cellStyle name="Normal 5 3 3 2 2 5 4" xfId="19567" xr:uid="{61BAA05D-2A9C-49FF-B33B-D778CF21B3FE}"/>
    <cellStyle name="Normal 5 3 3 2 2 5 5" xfId="10286" xr:uid="{53878779-6EA6-470A-AA8D-50EDC6CC68C2}"/>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26342" xr:uid="{46D30E4E-C09D-4981-AA07-C26F872CB3BC}"/>
    <cellStyle name="Normal 5 3 3 2 2 6 2 2 3" xfId="17062" xr:uid="{56DBCC09-3C73-455E-8C18-266C4E76C700}"/>
    <cellStyle name="Normal 5 3 3 2 2 6 2 3" xfId="22125" xr:uid="{A0502781-86CD-4A5B-BEFC-E78515BF36DF}"/>
    <cellStyle name="Normal 5 3 3 2 2 6 2 4" xfId="12844" xr:uid="{264F1334-14A6-4DC5-915C-04B12E2D512C}"/>
    <cellStyle name="Normal 5 3 3 2 2 6 3" xfId="6467" xr:uid="{00000000-0005-0000-0000-00009B190000}"/>
    <cellStyle name="Normal 5 3 3 2 2 6 3 2" xfId="24197" xr:uid="{7875EE19-E484-4C06-866E-07655EB8EAC4}"/>
    <cellStyle name="Normal 5 3 3 2 2 6 3 3" xfId="14917" xr:uid="{FB22CE08-5C3C-47C6-8730-A3D9175E8366}"/>
    <cellStyle name="Normal 5 3 3 2 2 6 4" xfId="19980" xr:uid="{F8976BBB-A8E1-4A6E-A020-E8454C0AACA7}"/>
    <cellStyle name="Normal 5 3 3 2 2 6 5" xfId="10699" xr:uid="{49684783-E818-49DC-ADD6-B578792FADB3}"/>
    <cellStyle name="Normal 5 3 3 2 2 7" xfId="2597" xr:uid="{00000000-0005-0000-0000-00009C190000}"/>
    <cellStyle name="Normal 5 3 3 2 2 7 2" xfId="6880" xr:uid="{00000000-0005-0000-0000-00009D190000}"/>
    <cellStyle name="Normal 5 3 3 2 2 7 2 2" xfId="24610" xr:uid="{8BBFEFFB-8B5B-4B2B-949A-59C2B0BF2934}"/>
    <cellStyle name="Normal 5 3 3 2 2 7 2 3" xfId="15330" xr:uid="{85675751-7973-4C18-9D88-F26FF11F3FD7}"/>
    <cellStyle name="Normal 5 3 3 2 2 7 3" xfId="20393" xr:uid="{69B38FF8-9745-44C5-8D98-E93DE4002180}"/>
    <cellStyle name="Normal 5 3 3 2 2 7 4" xfId="11112" xr:uid="{5DBC1C56-FAF9-4A32-8108-115CDF878AE4}"/>
    <cellStyle name="Normal 5 3 3 2 2 8" xfId="4815" xr:uid="{00000000-0005-0000-0000-00009E190000}"/>
    <cellStyle name="Normal 5 3 3 2 2 8 2" xfId="22545" xr:uid="{C572291D-BC03-46A9-8B2C-D4F85C9D4565}"/>
    <cellStyle name="Normal 5 3 3 2 2 8 3" xfId="13265" xr:uid="{9A3B0D74-4F94-45A3-8B24-9DCC46990986}"/>
    <cellStyle name="Normal 5 3 3 2 2 9" xfId="18328" xr:uid="{3FC22691-F5D3-45AC-8D1A-88265A91A1CD}"/>
    <cellStyle name="Normal 5 3 3 2 3" xfId="445" xr:uid="{00000000-0005-0000-0000-00009F190000}"/>
    <cellStyle name="Normal 5 3 3 2 3 10" xfId="9049" xr:uid="{2DBB3D42-357C-4636-92F5-F7F977AA851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25105" xr:uid="{512AB47A-346E-4511-995D-A16AAE5F7C23}"/>
    <cellStyle name="Normal 5 3 3 2 3 2 2 2 3" xfId="15825" xr:uid="{1477FF3E-C649-4FBE-8C71-6193C14A06EE}"/>
    <cellStyle name="Normal 5 3 3 2 3 2 2 3" xfId="20888" xr:uid="{F4F68799-FF63-4E87-9A35-7FD4C7A8F9A0}"/>
    <cellStyle name="Normal 5 3 3 2 3 2 2 4" xfId="11607" xr:uid="{D292CB25-095E-4470-A55B-7632EB95018C}"/>
    <cellStyle name="Normal 5 3 3 2 3 2 3" xfId="5230" xr:uid="{00000000-0005-0000-0000-0000A3190000}"/>
    <cellStyle name="Normal 5 3 3 2 3 2 3 2" xfId="22960" xr:uid="{5998EA1B-20AE-4948-9FE0-75D7BBE50708}"/>
    <cellStyle name="Normal 5 3 3 2 3 2 3 3" xfId="13680" xr:uid="{11052536-3006-4A78-9341-8CA5B5E60C04}"/>
    <cellStyle name="Normal 5 3 3 2 3 2 4" xfId="18743" xr:uid="{233DABC6-D2FE-4CE8-B799-72AA5BDB3FB6}"/>
    <cellStyle name="Normal 5 3 3 2 3 2 5" xfId="17915" xr:uid="{88595ECC-60ED-4541-BD28-ED49DD04AC9E}"/>
    <cellStyle name="Normal 5 3 3 2 3 2 6" xfId="9462" xr:uid="{93662AC7-CE8A-4245-8459-5B67970FD955}"/>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25518" xr:uid="{2C0AB4F3-BFAB-4128-8955-B4FFE02DCA10}"/>
    <cellStyle name="Normal 5 3 3 2 3 3 2 2 3" xfId="16238" xr:uid="{8D894165-1411-4918-AA59-AEF34917CDFB}"/>
    <cellStyle name="Normal 5 3 3 2 3 3 2 3" xfId="21301" xr:uid="{C753D052-130C-410D-BD1C-2508954919D7}"/>
    <cellStyle name="Normal 5 3 3 2 3 3 2 4" xfId="12020" xr:uid="{F39D4402-DBED-4B3C-9E94-CAF85C5D994D}"/>
    <cellStyle name="Normal 5 3 3 2 3 3 3" xfId="5643" xr:uid="{00000000-0005-0000-0000-0000A7190000}"/>
    <cellStyle name="Normal 5 3 3 2 3 3 3 2" xfId="23373" xr:uid="{12F14B06-A5F9-40D1-89B1-4205BBFC85AD}"/>
    <cellStyle name="Normal 5 3 3 2 3 3 3 3" xfId="14093" xr:uid="{AC05521D-1E19-41EC-ADD9-3ADACAAC4D4E}"/>
    <cellStyle name="Normal 5 3 3 2 3 3 4" xfId="19156" xr:uid="{8B1A1042-408B-45A5-8CEA-185731479CF8}"/>
    <cellStyle name="Normal 5 3 3 2 3 3 5" xfId="9875" xr:uid="{EA48ECCE-27B1-4494-B274-4BA7DD168D27}"/>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25931" xr:uid="{15D30E32-4B55-4CD4-831C-3270DEB35759}"/>
    <cellStyle name="Normal 5 3 3 2 3 4 2 2 3" xfId="16651" xr:uid="{14EB18F5-5E54-4AA6-BEA3-601187108822}"/>
    <cellStyle name="Normal 5 3 3 2 3 4 2 3" xfId="21714" xr:uid="{509D8655-C59C-41FD-B967-8C6324501397}"/>
    <cellStyle name="Normal 5 3 3 2 3 4 2 4" xfId="12433" xr:uid="{83A39F9B-63FF-4E27-81C8-B7C9BAE60290}"/>
    <cellStyle name="Normal 5 3 3 2 3 4 3" xfId="6056" xr:uid="{00000000-0005-0000-0000-0000AB190000}"/>
    <cellStyle name="Normal 5 3 3 2 3 4 3 2" xfId="23786" xr:uid="{20D5C214-6549-411C-A95B-AF09C02BBC51}"/>
    <cellStyle name="Normal 5 3 3 2 3 4 3 3" xfId="14506" xr:uid="{FC65F319-92EC-465E-AFEC-E8E17825A63C}"/>
    <cellStyle name="Normal 5 3 3 2 3 4 4" xfId="19569" xr:uid="{D40A3665-DC11-4125-A5BB-DE9354CB6DC9}"/>
    <cellStyle name="Normal 5 3 3 2 3 4 5" xfId="10288" xr:uid="{33E41FC5-DC62-47CA-8151-DEEEBA7B26A7}"/>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26344" xr:uid="{88B325C7-69B0-40F0-89D8-EB0BC81C7038}"/>
    <cellStyle name="Normal 5 3 3 2 3 5 2 2 3" xfId="17064" xr:uid="{5EB7B214-46CA-4D42-979A-FF1D76FC00C0}"/>
    <cellStyle name="Normal 5 3 3 2 3 5 2 3" xfId="22127" xr:uid="{FFF7BBCB-C766-4F2E-84D0-204FEC1BDA4D}"/>
    <cellStyle name="Normal 5 3 3 2 3 5 2 4" xfId="12846" xr:uid="{901E83AE-0F54-4AF5-BBFD-54E31CCF2859}"/>
    <cellStyle name="Normal 5 3 3 2 3 5 3" xfId="6469" xr:uid="{00000000-0005-0000-0000-0000AF190000}"/>
    <cellStyle name="Normal 5 3 3 2 3 5 3 2" xfId="24199" xr:uid="{C10553F0-ACFD-4112-85AD-F54CD657FDF0}"/>
    <cellStyle name="Normal 5 3 3 2 3 5 3 3" xfId="14919" xr:uid="{492BCB10-BD1F-4F2B-913B-967503CA4A05}"/>
    <cellStyle name="Normal 5 3 3 2 3 5 4" xfId="19982" xr:uid="{694E5C99-AA1A-4BC3-A542-5A9821C85C43}"/>
    <cellStyle name="Normal 5 3 3 2 3 5 5" xfId="10701" xr:uid="{6280DC02-F216-4790-A8D6-4062B6C46090}"/>
    <cellStyle name="Normal 5 3 3 2 3 6" xfId="2599" xr:uid="{00000000-0005-0000-0000-0000B0190000}"/>
    <cellStyle name="Normal 5 3 3 2 3 6 2" xfId="6882" xr:uid="{00000000-0005-0000-0000-0000B1190000}"/>
    <cellStyle name="Normal 5 3 3 2 3 6 2 2" xfId="24612" xr:uid="{BF82268C-A123-4127-A49F-BB896F88DB43}"/>
    <cellStyle name="Normal 5 3 3 2 3 6 2 3" xfId="15332" xr:uid="{ACB8D9CC-6123-4743-9B33-DDE1D6C0A1CB}"/>
    <cellStyle name="Normal 5 3 3 2 3 6 3" xfId="20395" xr:uid="{1E22E3FE-83B0-4453-B4BF-C7C68F7C4623}"/>
    <cellStyle name="Normal 5 3 3 2 3 6 4" xfId="11114" xr:uid="{9EDFEDA0-241B-431C-8CFF-1FBBD904A654}"/>
    <cellStyle name="Normal 5 3 3 2 3 7" xfId="4817" xr:uid="{00000000-0005-0000-0000-0000B2190000}"/>
    <cellStyle name="Normal 5 3 3 2 3 7 2" xfId="22547" xr:uid="{45908E91-B9F0-4371-9442-D50B5485B5E6}"/>
    <cellStyle name="Normal 5 3 3 2 3 7 3" xfId="13267" xr:uid="{887B4528-1BA3-4E6F-8AB3-A1082C0124D7}"/>
    <cellStyle name="Normal 5 3 3 2 3 8" xfId="18330" xr:uid="{65CEC694-1534-4FFE-969E-168176F49BED}"/>
    <cellStyle name="Normal 5 3 3 2 3 9" xfId="17496" xr:uid="{58877445-375B-45BB-8970-92414A8416CA}"/>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25102" xr:uid="{93BACB83-9132-4605-9B4F-984C5C1D0B2D}"/>
    <cellStyle name="Normal 5 3 3 2 4 2 2 3" xfId="15822" xr:uid="{AD03F9F6-55E4-439A-80ED-2CB169904B2A}"/>
    <cellStyle name="Normal 5 3 3 2 4 2 3" xfId="20885" xr:uid="{169734CA-4757-498D-8C17-481862EE0BBA}"/>
    <cellStyle name="Normal 5 3 3 2 4 2 4" xfId="11604" xr:uid="{6A93D33E-356D-43E5-832D-2F1DB7AE76F2}"/>
    <cellStyle name="Normal 5 3 3 2 4 3" xfId="5227" xr:uid="{00000000-0005-0000-0000-0000B6190000}"/>
    <cellStyle name="Normal 5 3 3 2 4 3 2" xfId="22957" xr:uid="{44A45783-0355-4AA2-8CAB-7A5DF26E35C9}"/>
    <cellStyle name="Normal 5 3 3 2 4 3 3" xfId="13677" xr:uid="{F3789FD8-C5E3-4EDC-9181-6A14E55E606E}"/>
    <cellStyle name="Normal 5 3 3 2 4 4" xfId="18740" xr:uid="{42748AE8-485E-4ABE-9ACB-7EEB3EE049DE}"/>
    <cellStyle name="Normal 5 3 3 2 4 5" xfId="17912" xr:uid="{E5B73F7F-FE0F-43F7-A191-D0442C8B7EEB}"/>
    <cellStyle name="Normal 5 3 3 2 4 6" xfId="9459" xr:uid="{73AD19CB-1FB9-45C0-94CC-E565FECB9459}"/>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25515" xr:uid="{68705E27-45D7-4722-A8AE-682B4AAB1235}"/>
    <cellStyle name="Normal 5 3 3 2 5 2 2 3" xfId="16235" xr:uid="{C07AAB5B-F3FE-47D6-B1F7-D91E2A2EC2BE}"/>
    <cellStyle name="Normal 5 3 3 2 5 2 3" xfId="21298" xr:uid="{8A2A18DE-F6E3-48A6-8229-ED474B920DA6}"/>
    <cellStyle name="Normal 5 3 3 2 5 2 4" xfId="12017" xr:uid="{52C9A10F-9D0E-46A8-AF18-6B566B32201E}"/>
    <cellStyle name="Normal 5 3 3 2 5 3" xfId="5640" xr:uid="{00000000-0005-0000-0000-0000BA190000}"/>
    <cellStyle name="Normal 5 3 3 2 5 3 2" xfId="23370" xr:uid="{901A29E5-606C-4470-B587-B2713F285D1C}"/>
    <cellStyle name="Normal 5 3 3 2 5 3 3" xfId="14090" xr:uid="{0A71E990-878F-418B-BE9B-842E2B006026}"/>
    <cellStyle name="Normal 5 3 3 2 5 4" xfId="19153" xr:uid="{B0BFEE0B-9791-4036-974F-1C7CEF89C442}"/>
    <cellStyle name="Normal 5 3 3 2 5 5" xfId="9872" xr:uid="{3306F339-4899-414D-B831-85E192F709A2}"/>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25928" xr:uid="{8FFA82FA-6F5F-409E-8878-2AF5ABC42AAA}"/>
    <cellStyle name="Normal 5 3 3 2 6 2 2 3" xfId="16648" xr:uid="{CF9C111D-8BB4-4928-8AFE-B5CC36784E3F}"/>
    <cellStyle name="Normal 5 3 3 2 6 2 3" xfId="21711" xr:uid="{7E135328-097B-46F1-B827-010AE19FA805}"/>
    <cellStyle name="Normal 5 3 3 2 6 2 4" xfId="12430" xr:uid="{633046FF-A93B-497E-A8F2-E59C8ADA95C7}"/>
    <cellStyle name="Normal 5 3 3 2 6 3" xfId="6053" xr:uid="{00000000-0005-0000-0000-0000BE190000}"/>
    <cellStyle name="Normal 5 3 3 2 6 3 2" xfId="23783" xr:uid="{92F824C2-B55C-4135-8360-24DCBCB814EA}"/>
    <cellStyle name="Normal 5 3 3 2 6 3 3" xfId="14503" xr:uid="{462250C4-6D9A-4CAE-8239-7EF5BB50F873}"/>
    <cellStyle name="Normal 5 3 3 2 6 4" xfId="19566" xr:uid="{9E74BC61-CB0B-41C5-BF37-D44E28BB7FCD}"/>
    <cellStyle name="Normal 5 3 3 2 6 5" xfId="10285" xr:uid="{A29BF5E5-00D7-4A2D-80C6-1F2B49FB9C5E}"/>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26341" xr:uid="{06A352EE-A868-4780-ABD3-5B50BD32F768}"/>
    <cellStyle name="Normal 5 3 3 2 7 2 2 3" xfId="17061" xr:uid="{34CE4FEE-CC38-48E5-B478-57295A200645}"/>
    <cellStyle name="Normal 5 3 3 2 7 2 3" xfId="22124" xr:uid="{1C639705-62B3-43C4-859F-186436CEE960}"/>
    <cellStyle name="Normal 5 3 3 2 7 2 4" xfId="12843" xr:uid="{2167BD08-0C48-4E49-97C1-EE1E3AEFB277}"/>
    <cellStyle name="Normal 5 3 3 2 7 3" xfId="6466" xr:uid="{00000000-0005-0000-0000-0000C2190000}"/>
    <cellStyle name="Normal 5 3 3 2 7 3 2" xfId="24196" xr:uid="{4993525E-5266-4B0E-A6CF-C98D99B1D552}"/>
    <cellStyle name="Normal 5 3 3 2 7 3 3" xfId="14916" xr:uid="{8FC4ED91-3920-49C7-A036-011739BEA869}"/>
    <cellStyle name="Normal 5 3 3 2 7 4" xfId="19979" xr:uid="{3DE78E1B-FCE2-43A1-8E7B-09DEB4FB0E8F}"/>
    <cellStyle name="Normal 5 3 3 2 7 5" xfId="10698" xr:uid="{7E046FCA-805B-4C05-AAE3-3F7A5BC7C1C6}"/>
    <cellStyle name="Normal 5 3 3 2 8" xfId="2596" xr:uid="{00000000-0005-0000-0000-0000C3190000}"/>
    <cellStyle name="Normal 5 3 3 2 8 2" xfId="6879" xr:uid="{00000000-0005-0000-0000-0000C4190000}"/>
    <cellStyle name="Normal 5 3 3 2 8 2 2" xfId="24609" xr:uid="{7E9B3A8B-ABBE-4792-B6B6-AE05E1136273}"/>
    <cellStyle name="Normal 5 3 3 2 8 2 3" xfId="15329" xr:uid="{8ECF72C7-B81C-46E8-A81A-661EE097BC7C}"/>
    <cellStyle name="Normal 5 3 3 2 8 3" xfId="20392" xr:uid="{531D79CB-FBA5-44B7-AF71-6181EF2B33C8}"/>
    <cellStyle name="Normal 5 3 3 2 8 4" xfId="11111" xr:uid="{50DB4246-11CF-4CBD-B92E-25A410FCE066}"/>
    <cellStyle name="Normal 5 3 3 2 9" xfId="4814" xr:uid="{00000000-0005-0000-0000-0000C5190000}"/>
    <cellStyle name="Normal 5 3 3 2 9 2" xfId="22544" xr:uid="{42BB4D95-531B-476B-920D-55B8A2A827BF}"/>
    <cellStyle name="Normal 5 3 3 2 9 3" xfId="13264" xr:uid="{C3D0A690-A31D-4056-AB85-A35B6563FE3A}"/>
    <cellStyle name="Normal 5 3 3 3" xfId="446" xr:uid="{00000000-0005-0000-0000-0000C6190000}"/>
    <cellStyle name="Normal 5 3 3 3 10" xfId="17497" xr:uid="{64C00DDD-7058-4987-8896-7D4304A1CEE2}"/>
    <cellStyle name="Normal 5 3 3 3 11" xfId="9050" xr:uid="{B55366B2-709C-4541-B891-9B05ECD5ABB4}"/>
    <cellStyle name="Normal 5 3 3 3 2" xfId="447" xr:uid="{00000000-0005-0000-0000-0000C7190000}"/>
    <cellStyle name="Normal 5 3 3 3 2 10" xfId="9051" xr:uid="{FBC291CC-F71D-4FCC-95B9-2CF9DB14134E}"/>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25107" xr:uid="{A2F55BD3-1ED2-4E2C-B23A-7C8067A8913C}"/>
    <cellStyle name="Normal 5 3 3 3 2 2 2 2 3" xfId="15827" xr:uid="{3F715C9D-AEB0-481C-A683-680DF457B339}"/>
    <cellStyle name="Normal 5 3 3 3 2 2 2 3" xfId="20890" xr:uid="{815820C1-F21B-44F5-BB63-FB81B0BC420D}"/>
    <cellStyle name="Normal 5 3 3 3 2 2 2 4" xfId="11609" xr:uid="{E54400B4-CB8E-4789-B71B-5D8FEC915E23}"/>
    <cellStyle name="Normal 5 3 3 3 2 2 3" xfId="5232" xr:uid="{00000000-0005-0000-0000-0000CB190000}"/>
    <cellStyle name="Normal 5 3 3 3 2 2 3 2" xfId="22962" xr:uid="{C12ADAE9-97FF-4D1A-BDF5-00E8EA144333}"/>
    <cellStyle name="Normal 5 3 3 3 2 2 3 3" xfId="13682" xr:uid="{48237DE3-2CD1-456C-9F59-1DDF8875095F}"/>
    <cellStyle name="Normal 5 3 3 3 2 2 4" xfId="18745" xr:uid="{CD353FFB-E0A5-4083-80DC-B42301DE1913}"/>
    <cellStyle name="Normal 5 3 3 3 2 2 5" xfId="17917" xr:uid="{1FE48B72-6483-4239-A3B2-B37D329E3546}"/>
    <cellStyle name="Normal 5 3 3 3 2 2 6" xfId="9464" xr:uid="{A1D2B5A2-1D82-4A4D-9938-97634BBD0778}"/>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25520" xr:uid="{9246154F-F7DE-409B-A72A-6443F70DD039}"/>
    <cellStyle name="Normal 5 3 3 3 2 3 2 2 3" xfId="16240" xr:uid="{5A74BAE2-64C7-444E-AD16-F84F74097D80}"/>
    <cellStyle name="Normal 5 3 3 3 2 3 2 3" xfId="21303" xr:uid="{8591088F-9D6C-4982-9D8B-16A291AC4F4C}"/>
    <cellStyle name="Normal 5 3 3 3 2 3 2 4" xfId="12022" xr:uid="{A20CDBCA-0EFC-4E96-BC3F-8BCA29905E37}"/>
    <cellStyle name="Normal 5 3 3 3 2 3 3" xfId="5645" xr:uid="{00000000-0005-0000-0000-0000CF190000}"/>
    <cellStyle name="Normal 5 3 3 3 2 3 3 2" xfId="23375" xr:uid="{F92920C0-92F4-4BCB-9CD9-8946E745A894}"/>
    <cellStyle name="Normal 5 3 3 3 2 3 3 3" xfId="14095" xr:uid="{8E52F1D3-4AED-4034-9D90-79EE94DAFA4E}"/>
    <cellStyle name="Normal 5 3 3 3 2 3 4" xfId="19158" xr:uid="{B9DD7750-EFE1-414B-84DE-11463173F60C}"/>
    <cellStyle name="Normal 5 3 3 3 2 3 5" xfId="9877" xr:uid="{7C5C11E7-57AA-4F87-98CF-BB71B56AFC23}"/>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25933" xr:uid="{479A02BD-B25C-4F69-99A4-AB293CB13FF7}"/>
    <cellStyle name="Normal 5 3 3 3 2 4 2 2 3" xfId="16653" xr:uid="{2D30D022-7376-4363-A0D3-4CFEB3C637AB}"/>
    <cellStyle name="Normal 5 3 3 3 2 4 2 3" xfId="21716" xr:uid="{C3873773-909A-4BC2-9F37-E036F83378E5}"/>
    <cellStyle name="Normal 5 3 3 3 2 4 2 4" xfId="12435" xr:uid="{E1AABD6F-FC0F-4EA7-AE45-5B17381BB899}"/>
    <cellStyle name="Normal 5 3 3 3 2 4 3" xfId="6058" xr:uid="{00000000-0005-0000-0000-0000D3190000}"/>
    <cellStyle name="Normal 5 3 3 3 2 4 3 2" xfId="23788" xr:uid="{BF153946-6F6F-4302-8D46-58577366C961}"/>
    <cellStyle name="Normal 5 3 3 3 2 4 3 3" xfId="14508" xr:uid="{BF2BE336-60F8-4578-9C78-96E80D057621}"/>
    <cellStyle name="Normal 5 3 3 3 2 4 4" xfId="19571" xr:uid="{CEF484AC-F323-4280-9A29-A5CCAFB87137}"/>
    <cellStyle name="Normal 5 3 3 3 2 4 5" xfId="10290" xr:uid="{1E5C4462-6AA2-44C8-B3CF-DDD0C83BC04B}"/>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26346" xr:uid="{DB9BFAB1-274F-40CA-BD9B-B861F70FF9CC}"/>
    <cellStyle name="Normal 5 3 3 3 2 5 2 2 3" xfId="17066" xr:uid="{80F856D8-2591-4B4D-AE49-63FDAF533E6B}"/>
    <cellStyle name="Normal 5 3 3 3 2 5 2 3" xfId="22129" xr:uid="{964434DA-3FDA-468D-B22B-1903D311ADA1}"/>
    <cellStyle name="Normal 5 3 3 3 2 5 2 4" xfId="12848" xr:uid="{CEB330D9-6772-4B78-A177-E9F60D9842F2}"/>
    <cellStyle name="Normal 5 3 3 3 2 5 3" xfId="6471" xr:uid="{00000000-0005-0000-0000-0000D7190000}"/>
    <cellStyle name="Normal 5 3 3 3 2 5 3 2" xfId="24201" xr:uid="{914EE2B7-8120-4E94-BBF6-4E8272E9A29A}"/>
    <cellStyle name="Normal 5 3 3 3 2 5 3 3" xfId="14921" xr:uid="{985E0977-1258-40FA-A60C-28F75131179E}"/>
    <cellStyle name="Normal 5 3 3 3 2 5 4" xfId="19984" xr:uid="{EFEAB374-2F9F-4B0B-AB25-AF0F16B30EE5}"/>
    <cellStyle name="Normal 5 3 3 3 2 5 5" xfId="10703" xr:uid="{5B08B5F9-2FB4-4124-9B23-156ED3E5F0F3}"/>
    <cellStyle name="Normal 5 3 3 3 2 6" xfId="2601" xr:uid="{00000000-0005-0000-0000-0000D8190000}"/>
    <cellStyle name="Normal 5 3 3 3 2 6 2" xfId="6884" xr:uid="{00000000-0005-0000-0000-0000D9190000}"/>
    <cellStyle name="Normal 5 3 3 3 2 6 2 2" xfId="24614" xr:uid="{59EACFA4-DA14-4CE7-BBDB-9AA1739383D6}"/>
    <cellStyle name="Normal 5 3 3 3 2 6 2 3" xfId="15334" xr:uid="{9D79F91B-0BE6-4241-9D83-417923AC9EE4}"/>
    <cellStyle name="Normal 5 3 3 3 2 6 3" xfId="20397" xr:uid="{052501DE-09A8-4715-9EDA-96CE9511A2FE}"/>
    <cellStyle name="Normal 5 3 3 3 2 6 4" xfId="11116" xr:uid="{DC50D1C3-A246-45D4-805D-40F2A8FE8EE1}"/>
    <cellStyle name="Normal 5 3 3 3 2 7" xfId="4819" xr:uid="{00000000-0005-0000-0000-0000DA190000}"/>
    <cellStyle name="Normal 5 3 3 3 2 7 2" xfId="22549" xr:uid="{DF14DB18-352D-4A37-86A6-FEBB1F883A63}"/>
    <cellStyle name="Normal 5 3 3 3 2 7 3" xfId="13269" xr:uid="{1C7819D9-42E3-4DFE-B8C2-3A158D13C8F9}"/>
    <cellStyle name="Normal 5 3 3 3 2 8" xfId="18332" xr:uid="{3635B7D8-27A2-4475-BB00-508D2CDF30B4}"/>
    <cellStyle name="Normal 5 3 3 3 2 9" xfId="17498" xr:uid="{5AC53708-4962-4F9F-851F-81F382B2554C}"/>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25106" xr:uid="{CE32C902-F07D-4548-8B01-F7FCFF171FD2}"/>
    <cellStyle name="Normal 5 3 3 3 3 2 2 3" xfId="15826" xr:uid="{20EDD79E-2B8D-47F5-AE9A-B5D9D87BEA40}"/>
    <cellStyle name="Normal 5 3 3 3 3 2 3" xfId="20889" xr:uid="{66FFDCE4-7F26-4BE5-BAB4-19746590A0E8}"/>
    <cellStyle name="Normal 5 3 3 3 3 2 4" xfId="11608" xr:uid="{0515D40D-C921-4E17-943C-8C81BC1BFFF5}"/>
    <cellStyle name="Normal 5 3 3 3 3 3" xfId="5231" xr:uid="{00000000-0005-0000-0000-0000DE190000}"/>
    <cellStyle name="Normal 5 3 3 3 3 3 2" xfId="22961" xr:uid="{FF4D5532-82D5-462A-B21B-ABB094A248AF}"/>
    <cellStyle name="Normal 5 3 3 3 3 3 3" xfId="13681" xr:uid="{865687AA-1CC3-455E-B2F3-04478A4D5D9D}"/>
    <cellStyle name="Normal 5 3 3 3 3 4" xfId="18744" xr:uid="{F7BF5A7F-CAC5-47B7-BA03-844E7C1C8C2C}"/>
    <cellStyle name="Normal 5 3 3 3 3 5" xfId="17916" xr:uid="{BCEDFAAD-E4B1-45F1-AA63-4E502D73060A}"/>
    <cellStyle name="Normal 5 3 3 3 3 6" xfId="9463" xr:uid="{B1D4C008-6613-4F96-ABED-E3EAE9DCFE23}"/>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25519" xr:uid="{54AD74BA-3D09-4870-8A2A-41CBCEB4B165}"/>
    <cellStyle name="Normal 5 3 3 3 4 2 2 3" xfId="16239" xr:uid="{44DE97B3-0B96-4B14-995C-7A35100CB311}"/>
    <cellStyle name="Normal 5 3 3 3 4 2 3" xfId="21302" xr:uid="{14A71892-BDC9-426E-BC4C-3D7D96008596}"/>
    <cellStyle name="Normal 5 3 3 3 4 2 4" xfId="12021" xr:uid="{1CFDFCCB-855F-4659-95D2-C56C3FDC5DB5}"/>
    <cellStyle name="Normal 5 3 3 3 4 3" xfId="5644" xr:uid="{00000000-0005-0000-0000-0000E2190000}"/>
    <cellStyle name="Normal 5 3 3 3 4 3 2" xfId="23374" xr:uid="{94F85DAE-ACC3-4F24-AEA1-FA736C5E152A}"/>
    <cellStyle name="Normal 5 3 3 3 4 3 3" xfId="14094" xr:uid="{2D440F97-5EAD-48F5-BB0D-B84AC921021B}"/>
    <cellStyle name="Normal 5 3 3 3 4 4" xfId="19157" xr:uid="{B6FC334C-9A67-42F3-AAE3-B63F0A835EF7}"/>
    <cellStyle name="Normal 5 3 3 3 4 5" xfId="9876" xr:uid="{23470F47-218E-4455-8692-DBD70EABAF3F}"/>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25932" xr:uid="{29FD425F-BD0D-436C-A852-60F994ECA4A8}"/>
    <cellStyle name="Normal 5 3 3 3 5 2 2 3" xfId="16652" xr:uid="{D4A81479-8A59-4AC5-B98B-C5603B1A4791}"/>
    <cellStyle name="Normal 5 3 3 3 5 2 3" xfId="21715" xr:uid="{2ADDD784-45B7-41F5-AFCE-5CB3BE13140F}"/>
    <cellStyle name="Normal 5 3 3 3 5 2 4" xfId="12434" xr:uid="{8E9D0E91-F5E7-48D7-89FF-24AD9E18BD54}"/>
    <cellStyle name="Normal 5 3 3 3 5 3" xfId="6057" xr:uid="{00000000-0005-0000-0000-0000E6190000}"/>
    <cellStyle name="Normal 5 3 3 3 5 3 2" xfId="23787" xr:uid="{27C4BEB9-EFC8-4EAE-B617-3C9C904DF41A}"/>
    <cellStyle name="Normal 5 3 3 3 5 3 3" xfId="14507" xr:uid="{F7E82BF8-4F37-479C-B971-0742D0DC1542}"/>
    <cellStyle name="Normal 5 3 3 3 5 4" xfId="19570" xr:uid="{EE533ED5-532B-4FDC-A78A-54EBFC4B7F78}"/>
    <cellStyle name="Normal 5 3 3 3 5 5" xfId="10289" xr:uid="{1FF3E109-AF3B-425D-989D-BC912FFC53C6}"/>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26345" xr:uid="{7DC6167D-EDE2-402B-A7E3-C21C278F3F5C}"/>
    <cellStyle name="Normal 5 3 3 3 6 2 2 3" xfId="17065" xr:uid="{29788F95-3757-4A45-8DC8-ACE289E9B3C3}"/>
    <cellStyle name="Normal 5 3 3 3 6 2 3" xfId="22128" xr:uid="{06392894-6E92-4F87-B4F2-31FFB1ACAA44}"/>
    <cellStyle name="Normal 5 3 3 3 6 2 4" xfId="12847" xr:uid="{ACD802DE-2A5E-4C67-BCF2-3C2CE3243872}"/>
    <cellStyle name="Normal 5 3 3 3 6 3" xfId="6470" xr:uid="{00000000-0005-0000-0000-0000EA190000}"/>
    <cellStyle name="Normal 5 3 3 3 6 3 2" xfId="24200" xr:uid="{BA2C511C-8342-44EF-A95F-16AEB73543F0}"/>
    <cellStyle name="Normal 5 3 3 3 6 3 3" xfId="14920" xr:uid="{99B81DD1-3831-49E9-A4C7-058F51FCE88B}"/>
    <cellStyle name="Normal 5 3 3 3 6 4" xfId="19983" xr:uid="{D95BDE85-66E3-43D0-90B5-16FA66165632}"/>
    <cellStyle name="Normal 5 3 3 3 6 5" xfId="10702" xr:uid="{3A933481-22E4-49B2-BE8B-38A0D9CBC138}"/>
    <cellStyle name="Normal 5 3 3 3 7" xfId="2600" xr:uid="{00000000-0005-0000-0000-0000EB190000}"/>
    <cellStyle name="Normal 5 3 3 3 7 2" xfId="6883" xr:uid="{00000000-0005-0000-0000-0000EC190000}"/>
    <cellStyle name="Normal 5 3 3 3 7 2 2" xfId="24613" xr:uid="{4A8EA417-BBD9-4C34-AC9D-FA7FB14CCA96}"/>
    <cellStyle name="Normal 5 3 3 3 7 2 3" xfId="15333" xr:uid="{A7794568-A669-4459-83A8-9241001112AF}"/>
    <cellStyle name="Normal 5 3 3 3 7 3" xfId="20396" xr:uid="{D9EF3583-7C26-4231-8DF9-7B054D877867}"/>
    <cellStyle name="Normal 5 3 3 3 7 4" xfId="11115" xr:uid="{B05DD762-B594-43E4-8ACA-FF6C90A5080D}"/>
    <cellStyle name="Normal 5 3 3 3 8" xfId="4818" xr:uid="{00000000-0005-0000-0000-0000ED190000}"/>
    <cellStyle name="Normal 5 3 3 3 8 2" xfId="22548" xr:uid="{667E4479-0DCC-4AD7-854E-76A6B0AD0305}"/>
    <cellStyle name="Normal 5 3 3 3 8 3" xfId="13268" xr:uid="{92AB6EF7-9FF7-4D84-B276-90E26DC0EEC4}"/>
    <cellStyle name="Normal 5 3 3 3 9" xfId="18331" xr:uid="{BE0AD2EE-2485-46E2-9F77-85C8DA97592F}"/>
    <cellStyle name="Normal 5 3 3 4" xfId="448" xr:uid="{00000000-0005-0000-0000-0000EE190000}"/>
    <cellStyle name="Normal 5 3 3 4 10" xfId="9052" xr:uid="{27451ED5-20ED-4544-932D-59FE31BEA0C6}"/>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25108" xr:uid="{153774EB-569F-4649-911C-3A6321CB1BFD}"/>
    <cellStyle name="Normal 5 3 3 4 2 2 2 3" xfId="15828" xr:uid="{63644967-2F6C-42D7-916E-02FE51FB6712}"/>
    <cellStyle name="Normal 5 3 3 4 2 2 3" xfId="20891" xr:uid="{5B290A38-25D5-4312-B730-286C6E271426}"/>
    <cellStyle name="Normal 5 3 3 4 2 2 4" xfId="11610" xr:uid="{B5C063E5-EEE7-47A4-B5FC-B916A171766F}"/>
    <cellStyle name="Normal 5 3 3 4 2 3" xfId="5233" xr:uid="{00000000-0005-0000-0000-0000F2190000}"/>
    <cellStyle name="Normal 5 3 3 4 2 3 2" xfId="22963" xr:uid="{F6DE89EE-DD8F-4182-A780-80B389A38F6E}"/>
    <cellStyle name="Normal 5 3 3 4 2 3 3" xfId="13683" xr:uid="{ECBB1565-8827-43D0-A37E-54C514F8F38B}"/>
    <cellStyle name="Normal 5 3 3 4 2 4" xfId="18746" xr:uid="{113C2DCC-477B-4B8A-AC41-C5F65301CE72}"/>
    <cellStyle name="Normal 5 3 3 4 2 5" xfId="17918" xr:uid="{34DD545C-4608-4084-A831-B4971F8E5AEB}"/>
    <cellStyle name="Normal 5 3 3 4 2 6" xfId="9465" xr:uid="{1669A711-C371-419C-B89D-8CDBDF4D97DC}"/>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25521" xr:uid="{32A012D2-A883-452D-B471-B11120EB5D74}"/>
    <cellStyle name="Normal 5 3 3 4 3 2 2 3" xfId="16241" xr:uid="{95862EE7-E074-4E3D-B800-DF4458D140E1}"/>
    <cellStyle name="Normal 5 3 3 4 3 2 3" xfId="21304" xr:uid="{2C098694-2DBD-4AF8-9CE3-B293A401D0C6}"/>
    <cellStyle name="Normal 5 3 3 4 3 2 4" xfId="12023" xr:uid="{2D80F95F-36C6-4938-BACF-8628B73D4D3B}"/>
    <cellStyle name="Normal 5 3 3 4 3 3" xfId="5646" xr:uid="{00000000-0005-0000-0000-0000F6190000}"/>
    <cellStyle name="Normal 5 3 3 4 3 3 2" xfId="23376" xr:uid="{6FD87529-9F32-403D-A758-A6F5EF747148}"/>
    <cellStyle name="Normal 5 3 3 4 3 3 3" xfId="14096" xr:uid="{D91C369A-E256-4193-A9F2-BD477DCC0210}"/>
    <cellStyle name="Normal 5 3 3 4 3 4" xfId="19159" xr:uid="{ED947B79-28A9-4B7F-84FA-B330BEF749D3}"/>
    <cellStyle name="Normal 5 3 3 4 3 5" xfId="9878" xr:uid="{F6A3A790-58BB-4B63-B2D2-9BB1A671885A}"/>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25934" xr:uid="{38C1330B-BE02-4F14-8075-A6ED5B0EF215}"/>
    <cellStyle name="Normal 5 3 3 4 4 2 2 3" xfId="16654" xr:uid="{D23DC59B-5A16-45F7-B5B8-08B0D688EDFE}"/>
    <cellStyle name="Normal 5 3 3 4 4 2 3" xfId="21717" xr:uid="{0470F576-C537-489E-AAF9-8652E93BC2B7}"/>
    <cellStyle name="Normal 5 3 3 4 4 2 4" xfId="12436" xr:uid="{C4336426-EE22-46F4-A851-B3155A57B589}"/>
    <cellStyle name="Normal 5 3 3 4 4 3" xfId="6059" xr:uid="{00000000-0005-0000-0000-0000FA190000}"/>
    <cellStyle name="Normal 5 3 3 4 4 3 2" xfId="23789" xr:uid="{57DAACB9-7CB2-46D4-8936-63F6FF791320}"/>
    <cellStyle name="Normal 5 3 3 4 4 3 3" xfId="14509" xr:uid="{E8C258BC-99FE-4131-B5FA-FE32805755BF}"/>
    <cellStyle name="Normal 5 3 3 4 4 4" xfId="19572" xr:uid="{F68DB927-DD45-46F1-A514-6F7B28F79155}"/>
    <cellStyle name="Normal 5 3 3 4 4 5" xfId="10291" xr:uid="{D7900FE2-F117-4346-BAA1-510D3C837A1E}"/>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26347" xr:uid="{26CD948E-94D0-4AEF-A10F-6847F44B03E2}"/>
    <cellStyle name="Normal 5 3 3 4 5 2 2 3" xfId="17067" xr:uid="{C9AF8CC1-9F85-402D-B1C6-AFE99EA7CDA2}"/>
    <cellStyle name="Normal 5 3 3 4 5 2 3" xfId="22130" xr:uid="{219A93C1-DDDA-493F-B646-240A41756A29}"/>
    <cellStyle name="Normal 5 3 3 4 5 2 4" xfId="12849" xr:uid="{18AEE059-2A4B-4CFC-9318-4FFC5A3792A2}"/>
    <cellStyle name="Normal 5 3 3 4 5 3" xfId="6472" xr:uid="{00000000-0005-0000-0000-0000FE190000}"/>
    <cellStyle name="Normal 5 3 3 4 5 3 2" xfId="24202" xr:uid="{B4CBF23C-1B65-48B8-8CCF-01E0586E992A}"/>
    <cellStyle name="Normal 5 3 3 4 5 3 3" xfId="14922" xr:uid="{08D28E6C-AE30-4FB2-9457-0D9F51E8F93F}"/>
    <cellStyle name="Normal 5 3 3 4 5 4" xfId="19985" xr:uid="{424A4973-B281-4647-A4D0-D66A396DCD4A}"/>
    <cellStyle name="Normal 5 3 3 4 5 5" xfId="10704" xr:uid="{28A6281C-2F20-4EC4-A580-767CF4CB4F8F}"/>
    <cellStyle name="Normal 5 3 3 4 6" xfId="2602" xr:uid="{00000000-0005-0000-0000-0000FF190000}"/>
    <cellStyle name="Normal 5 3 3 4 6 2" xfId="6885" xr:uid="{00000000-0005-0000-0000-0000001A0000}"/>
    <cellStyle name="Normal 5 3 3 4 6 2 2" xfId="24615" xr:uid="{9FF3355E-C126-41A3-9B05-10BB5A538776}"/>
    <cellStyle name="Normal 5 3 3 4 6 2 3" xfId="15335" xr:uid="{23172313-CF56-4DE0-B1C8-3AA25250A8B1}"/>
    <cellStyle name="Normal 5 3 3 4 6 3" xfId="20398" xr:uid="{B3D0BB54-36B6-4DD6-B1BA-5FD271F56857}"/>
    <cellStyle name="Normal 5 3 3 4 6 4" xfId="11117" xr:uid="{A5C33B81-177A-4EBA-B0A3-60E7F59715CE}"/>
    <cellStyle name="Normal 5 3 3 4 7" xfId="4820" xr:uid="{00000000-0005-0000-0000-0000011A0000}"/>
    <cellStyle name="Normal 5 3 3 4 7 2" xfId="22550" xr:uid="{E57BF2EB-8F7C-4F30-B80E-CB88815DB610}"/>
    <cellStyle name="Normal 5 3 3 4 7 3" xfId="13270" xr:uid="{96BB2C2A-5BFF-4980-AD4D-5F13C00AD8CC}"/>
    <cellStyle name="Normal 5 3 3 4 8" xfId="18333" xr:uid="{02E8EE9D-BEC9-4225-90FC-069F5154E6BD}"/>
    <cellStyle name="Normal 5 3 3 4 9" xfId="17499" xr:uid="{01664DC7-501E-42A4-9BDE-0711B5297891}"/>
    <cellStyle name="Normal 5 3 3 5" xfId="915" xr:uid="{00000000-0005-0000-0000-0000021A0000}"/>
    <cellStyle name="Normal 5 3 3 5 2" xfId="3149" xr:uid="{00000000-0005-0000-0000-0000031A0000}"/>
    <cellStyle name="Normal 5 3 3 5 2 2" xfId="7371" xr:uid="{00000000-0005-0000-0000-0000041A0000}"/>
    <cellStyle name="Normal 5 3 3 5 2 2 2" xfId="25101" xr:uid="{C8481256-1ADC-4C9C-8486-AFAAD64FC208}"/>
    <cellStyle name="Normal 5 3 3 5 2 2 3" xfId="15821" xr:uid="{B76EC5F7-B847-4830-AB4D-D7BFEA1657FD}"/>
    <cellStyle name="Normal 5 3 3 5 2 3" xfId="20884" xr:uid="{A32901C2-1A15-4C74-AADA-D9EA98D488ED}"/>
    <cellStyle name="Normal 5 3 3 5 2 4" xfId="11603" xr:uid="{CC89C0C7-ABA6-4EAD-8660-EA197B6591C9}"/>
    <cellStyle name="Normal 5 3 3 5 3" xfId="5226" xr:uid="{00000000-0005-0000-0000-0000051A0000}"/>
    <cellStyle name="Normal 5 3 3 5 3 2" xfId="22956" xr:uid="{AF66EB82-DB1D-4761-A7AE-F3C39710B114}"/>
    <cellStyle name="Normal 5 3 3 5 3 3" xfId="13676" xr:uid="{10791DA9-16EA-467F-8D16-D5DE923B1F3A}"/>
    <cellStyle name="Normal 5 3 3 5 4" xfId="18739" xr:uid="{7D7AFA0A-9359-4735-B7D3-94733D28566C}"/>
    <cellStyle name="Normal 5 3 3 5 5" xfId="17911" xr:uid="{05529EA2-77FF-4C9C-9FAE-5CBAA71BAD32}"/>
    <cellStyle name="Normal 5 3 3 5 6" xfId="9458" xr:uid="{AC4DBCD2-E368-4A8E-BA91-FEDE50C6905E}"/>
    <cellStyle name="Normal 5 3 3 6" xfId="1332" xr:uid="{00000000-0005-0000-0000-0000061A0000}"/>
    <cellStyle name="Normal 5 3 3 6 2" xfId="3562" xr:uid="{00000000-0005-0000-0000-0000071A0000}"/>
    <cellStyle name="Normal 5 3 3 6 2 2" xfId="7784" xr:uid="{00000000-0005-0000-0000-0000081A0000}"/>
    <cellStyle name="Normal 5 3 3 6 2 2 2" xfId="25514" xr:uid="{B3B5418F-9AEE-4A42-A53B-255076DD475F}"/>
    <cellStyle name="Normal 5 3 3 6 2 2 3" xfId="16234" xr:uid="{4CF4382C-25F9-452A-B55B-F4A477EA4E7F}"/>
    <cellStyle name="Normal 5 3 3 6 2 3" xfId="21297" xr:uid="{30CFC976-F1C8-4981-9356-96230112BC33}"/>
    <cellStyle name="Normal 5 3 3 6 2 4" xfId="12016" xr:uid="{49DB390A-75BE-4A16-8697-6EBE9D727E49}"/>
    <cellStyle name="Normal 5 3 3 6 3" xfId="5639" xr:uid="{00000000-0005-0000-0000-0000091A0000}"/>
    <cellStyle name="Normal 5 3 3 6 3 2" xfId="23369" xr:uid="{73451BA8-EA38-49CF-8314-C220598CED10}"/>
    <cellStyle name="Normal 5 3 3 6 3 3" xfId="14089" xr:uid="{54DDF788-D5EE-4575-ADFC-1CEA55030AE9}"/>
    <cellStyle name="Normal 5 3 3 6 4" xfId="19152" xr:uid="{6E76703D-1614-439B-81E8-EC97A5C5C61C}"/>
    <cellStyle name="Normal 5 3 3 6 5" xfId="9871" xr:uid="{6A812DE8-ABB3-4E18-96AD-B3586D3103E5}"/>
    <cellStyle name="Normal 5 3 3 7" xfId="1745" xr:uid="{00000000-0005-0000-0000-00000A1A0000}"/>
    <cellStyle name="Normal 5 3 3 7 2" xfId="3975" xr:uid="{00000000-0005-0000-0000-00000B1A0000}"/>
    <cellStyle name="Normal 5 3 3 7 2 2" xfId="8197" xr:uid="{00000000-0005-0000-0000-00000C1A0000}"/>
    <cellStyle name="Normal 5 3 3 7 2 2 2" xfId="25927" xr:uid="{BC3F124B-5091-4C6F-BF65-2D2CE4CAF48C}"/>
    <cellStyle name="Normal 5 3 3 7 2 2 3" xfId="16647" xr:uid="{1BDD5C76-DD64-4927-939A-A3E574FAA25F}"/>
    <cellStyle name="Normal 5 3 3 7 2 3" xfId="21710" xr:uid="{B46E5477-42CB-4A1F-B8F4-05E9DA3472BF}"/>
    <cellStyle name="Normal 5 3 3 7 2 4" xfId="12429" xr:uid="{CE0A0F42-3A43-4121-B405-32B689E13539}"/>
    <cellStyle name="Normal 5 3 3 7 3" xfId="6052" xr:uid="{00000000-0005-0000-0000-00000D1A0000}"/>
    <cellStyle name="Normal 5 3 3 7 3 2" xfId="23782" xr:uid="{E8460B27-8B92-4C18-9B4E-14724C229640}"/>
    <cellStyle name="Normal 5 3 3 7 3 3" xfId="14502" xr:uid="{9BC4A8C5-0A43-4A87-BBC8-A3BB66876687}"/>
    <cellStyle name="Normal 5 3 3 7 4" xfId="19565" xr:uid="{F0E3B2FE-56DE-4AAB-B3AE-20AAE32A715F}"/>
    <cellStyle name="Normal 5 3 3 7 5" xfId="10284" xr:uid="{8932914D-0596-43FB-B801-768D3B6C23E6}"/>
    <cellStyle name="Normal 5 3 3 8" xfId="2159" xr:uid="{00000000-0005-0000-0000-00000E1A0000}"/>
    <cellStyle name="Normal 5 3 3 8 2" xfId="4388" xr:uid="{00000000-0005-0000-0000-00000F1A0000}"/>
    <cellStyle name="Normal 5 3 3 8 2 2" xfId="8610" xr:uid="{00000000-0005-0000-0000-0000101A0000}"/>
    <cellStyle name="Normal 5 3 3 8 2 2 2" xfId="26340" xr:uid="{419259C2-2457-4CB3-9E9B-F39CF6AE72E8}"/>
    <cellStyle name="Normal 5 3 3 8 2 2 3" xfId="17060" xr:uid="{73D0166B-4522-4AF8-A026-C24D4031D752}"/>
    <cellStyle name="Normal 5 3 3 8 2 3" xfId="22123" xr:uid="{71472A01-C0FF-413F-83F6-2F66015E405B}"/>
    <cellStyle name="Normal 5 3 3 8 2 4" xfId="12842" xr:uid="{0F0EAED9-ED65-4569-83F4-2452A906B04B}"/>
    <cellStyle name="Normal 5 3 3 8 3" xfId="6465" xr:uid="{00000000-0005-0000-0000-0000111A0000}"/>
    <cellStyle name="Normal 5 3 3 8 3 2" xfId="24195" xr:uid="{FBC710AE-7BFF-4A0C-A192-B22E8C5BB892}"/>
    <cellStyle name="Normal 5 3 3 8 3 3" xfId="14915" xr:uid="{E9AF25DF-37F4-47F2-A688-B83F57DE5ABE}"/>
    <cellStyle name="Normal 5 3 3 8 4" xfId="19978" xr:uid="{03717CCF-DD64-423C-82E4-D6866573CA15}"/>
    <cellStyle name="Normal 5 3 3 8 5" xfId="10697" xr:uid="{E408FF32-D358-4DED-836D-91E526A00CDA}"/>
    <cellStyle name="Normal 5 3 3 9" xfId="2595" xr:uid="{00000000-0005-0000-0000-0000121A0000}"/>
    <cellStyle name="Normal 5 3 3 9 2" xfId="6878" xr:uid="{00000000-0005-0000-0000-0000131A0000}"/>
    <cellStyle name="Normal 5 3 3 9 2 2" xfId="24608" xr:uid="{33D020E6-C099-40CC-9FBC-5DCC86653C2E}"/>
    <cellStyle name="Normal 5 3 3 9 2 3" xfId="15328" xr:uid="{165328EF-721E-49BD-B947-B2AA97455068}"/>
    <cellStyle name="Normal 5 3 3 9 3" xfId="20391" xr:uid="{E162AF0B-41EB-4249-8D64-060EEEE635C7}"/>
    <cellStyle name="Normal 5 3 3 9 4" xfId="11110" xr:uid="{098C2C0E-8242-48E3-ABF7-6725068A887A}"/>
    <cellStyle name="Normal 5 3 4" xfId="449" xr:uid="{00000000-0005-0000-0000-0000141A0000}"/>
    <cellStyle name="Normal 5 3 4 10" xfId="18334" xr:uid="{B9E0F818-0F1E-44CE-AAD4-F0CC4AFC3EF4}"/>
    <cellStyle name="Normal 5 3 4 11" xfId="17500" xr:uid="{6FD9C626-A6CF-49C1-AC81-9502AE389657}"/>
    <cellStyle name="Normal 5 3 4 12" xfId="9053" xr:uid="{629AE89C-1CEA-4DFA-974F-7E399599128E}"/>
    <cellStyle name="Normal 5 3 4 2" xfId="450" xr:uid="{00000000-0005-0000-0000-0000151A0000}"/>
    <cellStyle name="Normal 5 3 4 2 10" xfId="17501" xr:uid="{1288D6C7-8CE0-43AC-85F2-663D59DE2638}"/>
    <cellStyle name="Normal 5 3 4 2 11" xfId="9054" xr:uid="{2833018A-1221-42A7-AEF2-7E4D7BF73DEE}"/>
    <cellStyle name="Normal 5 3 4 2 2" xfId="451" xr:uid="{00000000-0005-0000-0000-0000161A0000}"/>
    <cellStyle name="Normal 5 3 4 2 2 10" xfId="9055" xr:uid="{E26F6F21-0355-4A10-BA46-57E2D7CE234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25111" xr:uid="{32B7E0F6-9F8E-4F13-883D-D74AA05C5F4A}"/>
    <cellStyle name="Normal 5 3 4 2 2 2 2 2 3" xfId="15831" xr:uid="{EBD1EC31-FF44-4132-8119-BAB74DB6BCE1}"/>
    <cellStyle name="Normal 5 3 4 2 2 2 2 3" xfId="20894" xr:uid="{3A962D31-E8C7-4660-A041-4F252A0153C2}"/>
    <cellStyle name="Normal 5 3 4 2 2 2 2 4" xfId="11613" xr:uid="{F8D31C7A-09EA-45B7-ADFF-B588207C6210}"/>
    <cellStyle name="Normal 5 3 4 2 2 2 3" xfId="5236" xr:uid="{00000000-0005-0000-0000-00001A1A0000}"/>
    <cellStyle name="Normal 5 3 4 2 2 2 3 2" xfId="22966" xr:uid="{2E49F5C4-0E8D-4F29-B411-53D302BECCB0}"/>
    <cellStyle name="Normal 5 3 4 2 2 2 3 3" xfId="13686" xr:uid="{E70A3B84-F9A0-462A-8A11-A8F312E76C5A}"/>
    <cellStyle name="Normal 5 3 4 2 2 2 4" xfId="18749" xr:uid="{07B4590C-E95D-473F-8F05-AEB0AAEB1E6B}"/>
    <cellStyle name="Normal 5 3 4 2 2 2 5" xfId="17921" xr:uid="{FE713650-E82F-4F09-A3F0-DDAD38D8F71D}"/>
    <cellStyle name="Normal 5 3 4 2 2 2 6" xfId="9468" xr:uid="{F71AB9C3-DEE7-45EA-8039-DD17A9E93E15}"/>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25524" xr:uid="{351337BC-CC17-4275-B735-6AAFD24AD630}"/>
    <cellStyle name="Normal 5 3 4 2 2 3 2 2 3" xfId="16244" xr:uid="{5EC15F46-425D-4EC0-8731-E7612CD9AB59}"/>
    <cellStyle name="Normal 5 3 4 2 2 3 2 3" xfId="21307" xr:uid="{CD55448D-D2A7-478C-A448-B11808344809}"/>
    <cellStyle name="Normal 5 3 4 2 2 3 2 4" xfId="12026" xr:uid="{945B92A3-4A82-4138-B97B-A10A4C00BA80}"/>
    <cellStyle name="Normal 5 3 4 2 2 3 3" xfId="5649" xr:uid="{00000000-0005-0000-0000-00001E1A0000}"/>
    <cellStyle name="Normal 5 3 4 2 2 3 3 2" xfId="23379" xr:uid="{534C3E23-65B8-496D-8A5C-E838C98D96CB}"/>
    <cellStyle name="Normal 5 3 4 2 2 3 3 3" xfId="14099" xr:uid="{18D84B14-499F-43E6-9672-38580FD27D80}"/>
    <cellStyle name="Normal 5 3 4 2 2 3 4" xfId="19162" xr:uid="{069F74CF-0768-485C-B4F0-4063EF2CA183}"/>
    <cellStyle name="Normal 5 3 4 2 2 3 5" xfId="9881" xr:uid="{029DD08C-1A97-46CD-A6C2-EBA6C4C9A2A2}"/>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25937" xr:uid="{FAE8D088-30F4-40D7-B0D4-7F64E9AA7DC6}"/>
    <cellStyle name="Normal 5 3 4 2 2 4 2 2 3" xfId="16657" xr:uid="{9768BF52-AB36-4482-9341-14FDAAF3E866}"/>
    <cellStyle name="Normal 5 3 4 2 2 4 2 3" xfId="21720" xr:uid="{DE1DE900-B202-4BA8-BCEA-B8D07191DFAA}"/>
    <cellStyle name="Normal 5 3 4 2 2 4 2 4" xfId="12439" xr:uid="{EF9FB01A-317A-4E27-A731-06CE443BFBDC}"/>
    <cellStyle name="Normal 5 3 4 2 2 4 3" xfId="6062" xr:uid="{00000000-0005-0000-0000-0000221A0000}"/>
    <cellStyle name="Normal 5 3 4 2 2 4 3 2" xfId="23792" xr:uid="{18D5B0F2-B802-46B2-88BD-F9434C17113D}"/>
    <cellStyle name="Normal 5 3 4 2 2 4 3 3" xfId="14512" xr:uid="{81B967A8-89FE-44A2-BEE9-1915714025BF}"/>
    <cellStyle name="Normal 5 3 4 2 2 4 4" xfId="19575" xr:uid="{695BFFA7-FAC7-4E34-BCCC-2A6549929ECE}"/>
    <cellStyle name="Normal 5 3 4 2 2 4 5" xfId="10294" xr:uid="{C6413442-7EF8-48AB-A5B0-0D230B9B471F}"/>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26350" xr:uid="{538536EF-E2A6-4C7D-BE63-78032BBEDD5A}"/>
    <cellStyle name="Normal 5 3 4 2 2 5 2 2 3" xfId="17070" xr:uid="{2D80F32B-AC4B-4F15-B72E-054DE118321F}"/>
    <cellStyle name="Normal 5 3 4 2 2 5 2 3" xfId="22133" xr:uid="{1860A7B6-004E-44CC-A3DE-7906A0464972}"/>
    <cellStyle name="Normal 5 3 4 2 2 5 2 4" xfId="12852" xr:uid="{9ED46434-0BF0-4C1D-BA05-88CA6C0871D5}"/>
    <cellStyle name="Normal 5 3 4 2 2 5 3" xfId="6475" xr:uid="{00000000-0005-0000-0000-0000261A0000}"/>
    <cellStyle name="Normal 5 3 4 2 2 5 3 2" xfId="24205" xr:uid="{84D9110D-23CB-41CF-A291-ACC19EDEE0F7}"/>
    <cellStyle name="Normal 5 3 4 2 2 5 3 3" xfId="14925" xr:uid="{D7C00CF8-9106-4FBC-9E2C-55854953660B}"/>
    <cellStyle name="Normal 5 3 4 2 2 5 4" xfId="19988" xr:uid="{06DD7FB6-E630-4A8A-9761-6410CFB6AD28}"/>
    <cellStyle name="Normal 5 3 4 2 2 5 5" xfId="10707" xr:uid="{957AAEF6-934C-4EE6-8545-C810CE3A1D9C}"/>
    <cellStyle name="Normal 5 3 4 2 2 6" xfId="2605" xr:uid="{00000000-0005-0000-0000-0000271A0000}"/>
    <cellStyle name="Normal 5 3 4 2 2 6 2" xfId="6888" xr:uid="{00000000-0005-0000-0000-0000281A0000}"/>
    <cellStyle name="Normal 5 3 4 2 2 6 2 2" xfId="24618" xr:uid="{B6C87569-7335-44C8-8D54-C2206FB2CE1E}"/>
    <cellStyle name="Normal 5 3 4 2 2 6 2 3" xfId="15338" xr:uid="{EC15A528-A5FB-4EC8-A104-DB62D17BCCCD}"/>
    <cellStyle name="Normal 5 3 4 2 2 6 3" xfId="20401" xr:uid="{1F4079A6-B847-4DCA-B38B-8FE86E00B2E5}"/>
    <cellStyle name="Normal 5 3 4 2 2 6 4" xfId="11120" xr:uid="{BD67C497-FF92-4429-995C-195B74CAA7B5}"/>
    <cellStyle name="Normal 5 3 4 2 2 7" xfId="4823" xr:uid="{00000000-0005-0000-0000-0000291A0000}"/>
    <cellStyle name="Normal 5 3 4 2 2 7 2" xfId="22553" xr:uid="{98E12D81-F12B-45C9-B8A2-8DCFB4DA184A}"/>
    <cellStyle name="Normal 5 3 4 2 2 7 3" xfId="13273" xr:uid="{7D49BBE5-B286-49EA-B04E-B54F09DD5912}"/>
    <cellStyle name="Normal 5 3 4 2 2 8" xfId="18336" xr:uid="{8E248C79-6C8C-48B0-B5C8-28CC90450D2D}"/>
    <cellStyle name="Normal 5 3 4 2 2 9" xfId="17502" xr:uid="{5DB55C17-BCEC-4F1D-94AA-37B8B81758BA}"/>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25110" xr:uid="{34CBBBDE-2F15-4FCB-B64F-7EDB4F9C3ACA}"/>
    <cellStyle name="Normal 5 3 4 2 3 2 2 3" xfId="15830" xr:uid="{19F28051-C0D8-4026-98EF-44EB96A875E8}"/>
    <cellStyle name="Normal 5 3 4 2 3 2 3" xfId="20893" xr:uid="{9CF16A0E-2A6E-4020-8D06-713097EDE4EB}"/>
    <cellStyle name="Normal 5 3 4 2 3 2 4" xfId="11612" xr:uid="{88739749-5E47-499F-AA3C-61DC47555EA7}"/>
    <cellStyle name="Normal 5 3 4 2 3 3" xfId="5235" xr:uid="{00000000-0005-0000-0000-00002D1A0000}"/>
    <cellStyle name="Normal 5 3 4 2 3 3 2" xfId="22965" xr:uid="{9ED5FEFF-14AD-401D-B9ED-254203868D71}"/>
    <cellStyle name="Normal 5 3 4 2 3 3 3" xfId="13685" xr:uid="{8F37F273-2236-4D4B-B16E-6D08EC5C9638}"/>
    <cellStyle name="Normal 5 3 4 2 3 4" xfId="18748" xr:uid="{0208A70D-1BDE-4519-8D15-647D164C5A35}"/>
    <cellStyle name="Normal 5 3 4 2 3 5" xfId="17920" xr:uid="{9DB12636-4DF4-4380-99AB-5BA65D342503}"/>
    <cellStyle name="Normal 5 3 4 2 3 6" xfId="9467" xr:uid="{31DA83B5-D528-46FE-A957-ADCFBD209EF7}"/>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25523" xr:uid="{E8D58BCB-8691-4D91-8640-587E89BD1E28}"/>
    <cellStyle name="Normal 5 3 4 2 4 2 2 3" xfId="16243" xr:uid="{2B1F3EFB-7E15-488F-AD5E-19EDD46129DC}"/>
    <cellStyle name="Normal 5 3 4 2 4 2 3" xfId="21306" xr:uid="{C728D3D1-EA85-4195-B53B-87878A01AE3A}"/>
    <cellStyle name="Normal 5 3 4 2 4 2 4" xfId="12025" xr:uid="{36FB1C67-DC7C-4A2F-8F38-909D2AAC763C}"/>
    <cellStyle name="Normal 5 3 4 2 4 3" xfId="5648" xr:uid="{00000000-0005-0000-0000-0000311A0000}"/>
    <cellStyle name="Normal 5 3 4 2 4 3 2" xfId="23378" xr:uid="{0161B14E-6AF3-4A61-8901-3302CFF47E25}"/>
    <cellStyle name="Normal 5 3 4 2 4 3 3" xfId="14098" xr:uid="{19F1BC61-023B-4FD7-BD41-D54E4CC04CA6}"/>
    <cellStyle name="Normal 5 3 4 2 4 4" xfId="19161" xr:uid="{9EA8FC78-1B2E-440C-A39E-E9B565E2D0FD}"/>
    <cellStyle name="Normal 5 3 4 2 4 5" xfId="9880" xr:uid="{BC070BDB-3E44-4A50-BA69-3624559229C4}"/>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25936" xr:uid="{FA13E25D-F729-4C98-8463-1BAFF386593A}"/>
    <cellStyle name="Normal 5 3 4 2 5 2 2 3" xfId="16656" xr:uid="{355DE6E9-B41F-47BD-8F41-49A452BC216F}"/>
    <cellStyle name="Normal 5 3 4 2 5 2 3" xfId="21719" xr:uid="{8186DB6E-7316-49BA-8287-AFD974315656}"/>
    <cellStyle name="Normal 5 3 4 2 5 2 4" xfId="12438" xr:uid="{1BC6F2BF-CE10-4D9D-B1DB-6DFBD25C88DD}"/>
    <cellStyle name="Normal 5 3 4 2 5 3" xfId="6061" xr:uid="{00000000-0005-0000-0000-0000351A0000}"/>
    <cellStyle name="Normal 5 3 4 2 5 3 2" xfId="23791" xr:uid="{5785810C-2B45-403A-B8E0-635839D8B9BD}"/>
    <cellStyle name="Normal 5 3 4 2 5 3 3" xfId="14511" xr:uid="{505F853F-4B8F-43FE-A9F7-FA668FECEE6E}"/>
    <cellStyle name="Normal 5 3 4 2 5 4" xfId="19574" xr:uid="{B62C9BE7-D909-403A-9A08-E46502713679}"/>
    <cellStyle name="Normal 5 3 4 2 5 5" xfId="10293" xr:uid="{7D83075D-BCCA-4094-96A6-7A2A9F431364}"/>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26349" xr:uid="{E9F4FB32-E630-404C-8FA8-97E8C8746C31}"/>
    <cellStyle name="Normal 5 3 4 2 6 2 2 3" xfId="17069" xr:uid="{7276EF68-6AE1-4E8B-8FFA-BFF5473116EE}"/>
    <cellStyle name="Normal 5 3 4 2 6 2 3" xfId="22132" xr:uid="{20837818-851B-4E17-9E84-C5C8E02AF462}"/>
    <cellStyle name="Normal 5 3 4 2 6 2 4" xfId="12851" xr:uid="{9900FCE5-C73E-4DAA-96AF-8386BA5E684E}"/>
    <cellStyle name="Normal 5 3 4 2 6 3" xfId="6474" xr:uid="{00000000-0005-0000-0000-0000391A0000}"/>
    <cellStyle name="Normal 5 3 4 2 6 3 2" xfId="24204" xr:uid="{213721BA-27B4-42E8-A3B1-C452C60EB2FB}"/>
    <cellStyle name="Normal 5 3 4 2 6 3 3" xfId="14924" xr:uid="{BC1C2884-B1D5-4802-84CA-E555975E3F89}"/>
    <cellStyle name="Normal 5 3 4 2 6 4" xfId="19987" xr:uid="{4AD3192A-1A56-446A-BBE1-C5F9BE9B0C26}"/>
    <cellStyle name="Normal 5 3 4 2 6 5" xfId="10706" xr:uid="{3B434282-CCE3-4436-89C3-2358BADE4D9D}"/>
    <cellStyle name="Normal 5 3 4 2 7" xfId="2604" xr:uid="{00000000-0005-0000-0000-00003A1A0000}"/>
    <cellStyle name="Normal 5 3 4 2 7 2" xfId="6887" xr:uid="{00000000-0005-0000-0000-00003B1A0000}"/>
    <cellStyle name="Normal 5 3 4 2 7 2 2" xfId="24617" xr:uid="{51E38721-866E-4D7A-96CF-E6FB7180E650}"/>
    <cellStyle name="Normal 5 3 4 2 7 2 3" xfId="15337" xr:uid="{3F2A301B-28B5-4B1F-B69A-4FE6C5AA9A37}"/>
    <cellStyle name="Normal 5 3 4 2 7 3" xfId="20400" xr:uid="{670DC80B-5F8D-435A-AB14-BCA320043461}"/>
    <cellStyle name="Normal 5 3 4 2 7 4" xfId="11119" xr:uid="{8A3588F3-8AA3-4661-B31D-4C70775CD0FE}"/>
    <cellStyle name="Normal 5 3 4 2 8" xfId="4822" xr:uid="{00000000-0005-0000-0000-00003C1A0000}"/>
    <cellStyle name="Normal 5 3 4 2 8 2" xfId="22552" xr:uid="{C5E9B246-C3D7-4388-9D0A-FBBD3AF14211}"/>
    <cellStyle name="Normal 5 3 4 2 8 3" xfId="13272" xr:uid="{8BABA6DF-1E7E-45CA-8637-B55DE1CA8104}"/>
    <cellStyle name="Normal 5 3 4 2 9" xfId="18335" xr:uid="{42392CAB-D8EA-4063-838A-247AF3D82095}"/>
    <cellStyle name="Normal 5 3 4 3" xfId="452" xr:uid="{00000000-0005-0000-0000-00003D1A0000}"/>
    <cellStyle name="Normal 5 3 4 3 10" xfId="9056" xr:uid="{BD866437-9FF6-4982-A9D7-CC0E56505CE3}"/>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25112" xr:uid="{5B6C5063-E2DD-4CFB-8FF7-EB5451FDD9C8}"/>
    <cellStyle name="Normal 5 3 4 3 2 2 2 3" xfId="15832" xr:uid="{DCEC8C4D-A344-4AA2-B966-5BD29DAF95CA}"/>
    <cellStyle name="Normal 5 3 4 3 2 2 3" xfId="20895" xr:uid="{CCCE5B60-C41F-46FD-A24B-8F5063615F98}"/>
    <cellStyle name="Normal 5 3 4 3 2 2 4" xfId="11614" xr:uid="{E9D59DC1-D42A-4F71-891A-B0DB4AE02CDF}"/>
    <cellStyle name="Normal 5 3 4 3 2 3" xfId="5237" xr:uid="{00000000-0005-0000-0000-0000411A0000}"/>
    <cellStyle name="Normal 5 3 4 3 2 3 2" xfId="22967" xr:uid="{9D738F2C-50EC-4DC0-90ED-3F8A909A4716}"/>
    <cellStyle name="Normal 5 3 4 3 2 3 3" xfId="13687" xr:uid="{9793309A-8B96-4CC3-ABC7-AF45E45AFA1F}"/>
    <cellStyle name="Normal 5 3 4 3 2 4" xfId="18750" xr:uid="{AE3E011B-D4A2-45E6-871C-21E36CC42B0D}"/>
    <cellStyle name="Normal 5 3 4 3 2 5" xfId="17922" xr:uid="{970E6FB7-75BA-4619-B3D3-66040C6C37F8}"/>
    <cellStyle name="Normal 5 3 4 3 2 6" xfId="9469" xr:uid="{DBA367BA-2E4D-4016-B892-449386CA603C}"/>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25525" xr:uid="{A02844F2-099C-447D-91CF-A185CD03961F}"/>
    <cellStyle name="Normal 5 3 4 3 3 2 2 3" xfId="16245" xr:uid="{A67CD74A-7BB3-4066-8F9B-317DE1B41A7A}"/>
    <cellStyle name="Normal 5 3 4 3 3 2 3" xfId="21308" xr:uid="{F9569437-4FC4-41ED-8C38-6D2A68FA041D}"/>
    <cellStyle name="Normal 5 3 4 3 3 2 4" xfId="12027" xr:uid="{91484E27-8EB5-402B-8109-D4CE3E71B368}"/>
    <cellStyle name="Normal 5 3 4 3 3 3" xfId="5650" xr:uid="{00000000-0005-0000-0000-0000451A0000}"/>
    <cellStyle name="Normal 5 3 4 3 3 3 2" xfId="23380" xr:uid="{2E40867B-BF6F-4663-B617-0A9E46A3F9D8}"/>
    <cellStyle name="Normal 5 3 4 3 3 3 3" xfId="14100" xr:uid="{A71DD048-F693-46F9-9FC5-066A3FE5FDB8}"/>
    <cellStyle name="Normal 5 3 4 3 3 4" xfId="19163" xr:uid="{A27CBEA3-454A-4E59-9189-FCB57E7D8F2A}"/>
    <cellStyle name="Normal 5 3 4 3 3 5" xfId="9882" xr:uid="{F3242196-1F4E-41E4-A550-7C3A50CF093C}"/>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25938" xr:uid="{BE673439-5E5E-4BC2-9853-C456364F09BA}"/>
    <cellStyle name="Normal 5 3 4 3 4 2 2 3" xfId="16658" xr:uid="{404576FA-51B3-4DC9-8734-1C832921B74E}"/>
    <cellStyle name="Normal 5 3 4 3 4 2 3" xfId="21721" xr:uid="{392E1C86-1282-4752-878C-4F1AC791CF0D}"/>
    <cellStyle name="Normal 5 3 4 3 4 2 4" xfId="12440" xr:uid="{1EA8EAD4-3B5E-45A5-8C51-2EBFAF3326C0}"/>
    <cellStyle name="Normal 5 3 4 3 4 3" xfId="6063" xr:uid="{00000000-0005-0000-0000-0000491A0000}"/>
    <cellStyle name="Normal 5 3 4 3 4 3 2" xfId="23793" xr:uid="{49C4DBF9-05B1-4DCF-991B-FBFFA56EC772}"/>
    <cellStyle name="Normal 5 3 4 3 4 3 3" xfId="14513" xr:uid="{2B258EBE-125F-425C-9DEA-6853F089A7E3}"/>
    <cellStyle name="Normal 5 3 4 3 4 4" xfId="19576" xr:uid="{A3824E41-5A31-40AF-BB7D-CC0CFDE10EA6}"/>
    <cellStyle name="Normal 5 3 4 3 4 5" xfId="10295" xr:uid="{5433167A-6F94-42C7-938B-BBBFBC8530C1}"/>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26351" xr:uid="{CA3A110F-174D-4333-8051-0D6379ED63F1}"/>
    <cellStyle name="Normal 5 3 4 3 5 2 2 3" xfId="17071" xr:uid="{57A2D46D-E13C-4550-93F1-150E48D32567}"/>
    <cellStyle name="Normal 5 3 4 3 5 2 3" xfId="22134" xr:uid="{7889CE41-4E16-498A-864F-575330058C2A}"/>
    <cellStyle name="Normal 5 3 4 3 5 2 4" xfId="12853" xr:uid="{00C3ABF4-2106-498E-ABFD-E949BEE99891}"/>
    <cellStyle name="Normal 5 3 4 3 5 3" xfId="6476" xr:uid="{00000000-0005-0000-0000-00004D1A0000}"/>
    <cellStyle name="Normal 5 3 4 3 5 3 2" xfId="24206" xr:uid="{804B69C7-1A8E-4D02-B274-9FFE53DB28FD}"/>
    <cellStyle name="Normal 5 3 4 3 5 3 3" xfId="14926" xr:uid="{5A60A959-550D-45FF-9F92-F240341DA7EC}"/>
    <cellStyle name="Normal 5 3 4 3 5 4" xfId="19989" xr:uid="{75432125-B90B-432B-BD25-6E8C6469FA83}"/>
    <cellStyle name="Normal 5 3 4 3 5 5" xfId="10708" xr:uid="{6C7D3A18-4892-4021-87C1-0B9F029D8EBE}"/>
    <cellStyle name="Normal 5 3 4 3 6" xfId="2606" xr:uid="{00000000-0005-0000-0000-00004E1A0000}"/>
    <cellStyle name="Normal 5 3 4 3 6 2" xfId="6889" xr:uid="{00000000-0005-0000-0000-00004F1A0000}"/>
    <cellStyle name="Normal 5 3 4 3 6 2 2" xfId="24619" xr:uid="{9891F406-C32E-4B8B-B13C-91636DE189AD}"/>
    <cellStyle name="Normal 5 3 4 3 6 2 3" xfId="15339" xr:uid="{70E3D63A-AB8D-4D51-B89F-207D4365D1AC}"/>
    <cellStyle name="Normal 5 3 4 3 6 3" xfId="20402" xr:uid="{D986C016-D78B-4AD3-9364-AED9A88FDAD5}"/>
    <cellStyle name="Normal 5 3 4 3 6 4" xfId="11121" xr:uid="{EFCCC1BA-4DB3-4D59-A62D-8FA69BF2D445}"/>
    <cellStyle name="Normal 5 3 4 3 7" xfId="4824" xr:uid="{00000000-0005-0000-0000-0000501A0000}"/>
    <cellStyle name="Normal 5 3 4 3 7 2" xfId="22554" xr:uid="{4E89B0E5-D92E-4C9E-A94D-982A02E7E4BA}"/>
    <cellStyle name="Normal 5 3 4 3 7 3" xfId="13274" xr:uid="{9DB62F68-405E-4EC5-BE49-F9B12D10E52F}"/>
    <cellStyle name="Normal 5 3 4 3 8" xfId="18337" xr:uid="{EB4D9603-F57E-4F1B-AF90-CF34DA3BE108}"/>
    <cellStyle name="Normal 5 3 4 3 9" xfId="17503" xr:uid="{2E9842B3-8E4B-4B0D-9781-477325DA3604}"/>
    <cellStyle name="Normal 5 3 4 4" xfId="923" xr:uid="{00000000-0005-0000-0000-0000511A0000}"/>
    <cellStyle name="Normal 5 3 4 4 2" xfId="3157" xr:uid="{00000000-0005-0000-0000-0000521A0000}"/>
    <cellStyle name="Normal 5 3 4 4 2 2" xfId="7379" xr:uid="{00000000-0005-0000-0000-0000531A0000}"/>
    <cellStyle name="Normal 5 3 4 4 2 2 2" xfId="25109" xr:uid="{B05C0A10-E56F-45EE-95B8-CAA93B536B2E}"/>
    <cellStyle name="Normal 5 3 4 4 2 2 3" xfId="15829" xr:uid="{03941CD8-77DB-444F-BF4D-D7A1093E6F52}"/>
    <cellStyle name="Normal 5 3 4 4 2 3" xfId="20892" xr:uid="{DFAB37B6-29DB-4449-B84A-B074D2B6D123}"/>
    <cellStyle name="Normal 5 3 4 4 2 4" xfId="11611" xr:uid="{F9DB0DC9-9335-4584-A863-2F34C424E33B}"/>
    <cellStyle name="Normal 5 3 4 4 3" xfId="5234" xr:uid="{00000000-0005-0000-0000-0000541A0000}"/>
    <cellStyle name="Normal 5 3 4 4 3 2" xfId="22964" xr:uid="{15DA84CF-ECBD-41FD-B3FC-B91B9F289E4C}"/>
    <cellStyle name="Normal 5 3 4 4 3 3" xfId="13684" xr:uid="{564F1863-45ED-4332-BCFB-EDAF714AD0CE}"/>
    <cellStyle name="Normal 5 3 4 4 4" xfId="18747" xr:uid="{B9842BDF-7F40-4583-BED0-FCE77DF7284B}"/>
    <cellStyle name="Normal 5 3 4 4 5" xfId="17919" xr:uid="{AB432CC4-5D1D-4AE5-8AAE-438D37FE7FE6}"/>
    <cellStyle name="Normal 5 3 4 4 6" xfId="9466" xr:uid="{210603EC-68B0-4580-A341-B4FB81631AF3}"/>
    <cellStyle name="Normal 5 3 4 5" xfId="1340" xr:uid="{00000000-0005-0000-0000-0000551A0000}"/>
    <cellStyle name="Normal 5 3 4 5 2" xfId="3570" xr:uid="{00000000-0005-0000-0000-0000561A0000}"/>
    <cellStyle name="Normal 5 3 4 5 2 2" xfId="7792" xr:uid="{00000000-0005-0000-0000-0000571A0000}"/>
    <cellStyle name="Normal 5 3 4 5 2 2 2" xfId="25522" xr:uid="{37BBA6FB-778C-468E-A4D4-E91D9DBF0A9A}"/>
    <cellStyle name="Normal 5 3 4 5 2 2 3" xfId="16242" xr:uid="{BA1E9015-BD7D-401B-8B46-1F8E0CB09570}"/>
    <cellStyle name="Normal 5 3 4 5 2 3" xfId="21305" xr:uid="{8762A231-963C-44F5-9C0D-BF29D57D6669}"/>
    <cellStyle name="Normal 5 3 4 5 2 4" xfId="12024" xr:uid="{E041580E-FACB-4D22-97E7-7C065339B38C}"/>
    <cellStyle name="Normal 5 3 4 5 3" xfId="5647" xr:uid="{00000000-0005-0000-0000-0000581A0000}"/>
    <cellStyle name="Normal 5 3 4 5 3 2" xfId="23377" xr:uid="{517E6AC7-C0E8-44AA-A0F9-523E9ABADCA8}"/>
    <cellStyle name="Normal 5 3 4 5 3 3" xfId="14097" xr:uid="{4416C5C1-4D5D-45DD-9CC8-A6C22D265E22}"/>
    <cellStyle name="Normal 5 3 4 5 4" xfId="19160" xr:uid="{293C502E-39EB-41FD-8D76-98C344F314E1}"/>
    <cellStyle name="Normal 5 3 4 5 5" xfId="9879" xr:uid="{03DB1F32-12F9-42F6-892B-DDBC076BBF07}"/>
    <cellStyle name="Normal 5 3 4 6" xfId="1753" xr:uid="{00000000-0005-0000-0000-0000591A0000}"/>
    <cellStyle name="Normal 5 3 4 6 2" xfId="3983" xr:uid="{00000000-0005-0000-0000-00005A1A0000}"/>
    <cellStyle name="Normal 5 3 4 6 2 2" xfId="8205" xr:uid="{00000000-0005-0000-0000-00005B1A0000}"/>
    <cellStyle name="Normal 5 3 4 6 2 2 2" xfId="25935" xr:uid="{9E5ACD98-6BA1-4867-8DE3-E9E4BE5730BA}"/>
    <cellStyle name="Normal 5 3 4 6 2 2 3" xfId="16655" xr:uid="{D79AA326-F5B7-4A98-B433-BF181D410A3A}"/>
    <cellStyle name="Normal 5 3 4 6 2 3" xfId="21718" xr:uid="{CBB8B5E9-CA12-40B0-8CC1-5C49BC2FCBEC}"/>
    <cellStyle name="Normal 5 3 4 6 2 4" xfId="12437" xr:uid="{4E89D0F2-788A-4193-B49F-E9209891DECB}"/>
    <cellStyle name="Normal 5 3 4 6 3" xfId="6060" xr:uid="{00000000-0005-0000-0000-00005C1A0000}"/>
    <cellStyle name="Normal 5 3 4 6 3 2" xfId="23790" xr:uid="{60770187-8A40-4082-B280-02E3C4FA7CA9}"/>
    <cellStyle name="Normal 5 3 4 6 3 3" xfId="14510" xr:uid="{188303DF-C66A-4792-B963-DDD33E793A1B}"/>
    <cellStyle name="Normal 5 3 4 6 4" xfId="19573" xr:uid="{0E593302-2613-40B9-BF0A-F63FB65FDCCC}"/>
    <cellStyle name="Normal 5 3 4 6 5" xfId="10292" xr:uid="{8BF809F3-80E9-4EDB-A2D2-6E3421252595}"/>
    <cellStyle name="Normal 5 3 4 7" xfId="2167" xr:uid="{00000000-0005-0000-0000-00005D1A0000}"/>
    <cellStyle name="Normal 5 3 4 7 2" xfId="4396" xr:uid="{00000000-0005-0000-0000-00005E1A0000}"/>
    <cellStyle name="Normal 5 3 4 7 2 2" xfId="8618" xr:uid="{00000000-0005-0000-0000-00005F1A0000}"/>
    <cellStyle name="Normal 5 3 4 7 2 2 2" xfId="26348" xr:uid="{782496CB-7F75-4E78-A0FD-50C1CFF7A68D}"/>
    <cellStyle name="Normal 5 3 4 7 2 2 3" xfId="17068" xr:uid="{13C5767A-6DDA-4FCE-9ED4-FC0DDECAF9DC}"/>
    <cellStyle name="Normal 5 3 4 7 2 3" xfId="22131" xr:uid="{6640AE97-60A0-486F-B154-AAC3B774B538}"/>
    <cellStyle name="Normal 5 3 4 7 2 4" xfId="12850" xr:uid="{27F770A1-EB14-4FCA-A83C-82EA2ACCF16A}"/>
    <cellStyle name="Normal 5 3 4 7 3" xfId="6473" xr:uid="{00000000-0005-0000-0000-0000601A0000}"/>
    <cellStyle name="Normal 5 3 4 7 3 2" xfId="24203" xr:uid="{1863E2A5-CB70-4E31-81E4-D81F9FBACF5C}"/>
    <cellStyle name="Normal 5 3 4 7 3 3" xfId="14923" xr:uid="{BF4DF7E5-0A4F-4B1A-924C-D1210DCF5A9F}"/>
    <cellStyle name="Normal 5 3 4 7 4" xfId="19986" xr:uid="{54D845E7-F22C-439E-937B-E58522436FF8}"/>
    <cellStyle name="Normal 5 3 4 7 5" xfId="10705" xr:uid="{F2E83982-B0F0-4FD0-B485-3814D4B66BD3}"/>
    <cellStyle name="Normal 5 3 4 8" xfId="2603" xr:uid="{00000000-0005-0000-0000-0000611A0000}"/>
    <cellStyle name="Normal 5 3 4 8 2" xfId="6886" xr:uid="{00000000-0005-0000-0000-0000621A0000}"/>
    <cellStyle name="Normal 5 3 4 8 2 2" xfId="24616" xr:uid="{EED9F805-FA24-498B-903B-4A65D3A60027}"/>
    <cellStyle name="Normal 5 3 4 8 2 3" xfId="15336" xr:uid="{2A36C4A7-5F83-41D2-A7D3-9930EC4767CF}"/>
    <cellStyle name="Normal 5 3 4 8 3" xfId="20399" xr:uid="{14254D0C-741F-4EC9-A4C1-B0DDF6532AFB}"/>
    <cellStyle name="Normal 5 3 4 8 4" xfId="11118" xr:uid="{DEC5B5F6-7A7F-497D-9F6A-CEC481F66313}"/>
    <cellStyle name="Normal 5 3 4 9" xfId="4821" xr:uid="{00000000-0005-0000-0000-0000631A0000}"/>
    <cellStyle name="Normal 5 3 4 9 2" xfId="22551" xr:uid="{6818795E-6F0F-4875-9FB0-E05813D66327}"/>
    <cellStyle name="Normal 5 3 4 9 3" xfId="13271" xr:uid="{E440BB20-8864-4826-91DF-2183923029DE}"/>
    <cellStyle name="Normal 5 3 5" xfId="453" xr:uid="{00000000-0005-0000-0000-0000641A0000}"/>
    <cellStyle name="Normal 5 3 5 10" xfId="17504" xr:uid="{076F01A5-8035-4635-AD6A-F5EAD74A264B}"/>
    <cellStyle name="Normal 5 3 5 11" xfId="9057" xr:uid="{26E8EDC6-D895-449D-A511-46E92D708BDD}"/>
    <cellStyle name="Normal 5 3 5 2" xfId="454" xr:uid="{00000000-0005-0000-0000-0000651A0000}"/>
    <cellStyle name="Normal 5 3 5 2 10" xfId="9058" xr:uid="{AFA44A78-EA81-4F30-B89A-66A89D998AC9}"/>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25114" xr:uid="{6B977C28-C1BE-4E09-B949-A84A014444D6}"/>
    <cellStyle name="Normal 5 3 5 2 2 2 2 3" xfId="15834" xr:uid="{48599253-C96D-4861-A4D0-8097473A16CD}"/>
    <cellStyle name="Normal 5 3 5 2 2 2 3" xfId="20897" xr:uid="{F5FDD2BA-4FB0-4A58-BC5F-2DA3A8EE1C25}"/>
    <cellStyle name="Normal 5 3 5 2 2 2 4" xfId="11616" xr:uid="{523EAA8C-BABA-47B8-AD98-697807328949}"/>
    <cellStyle name="Normal 5 3 5 2 2 3" xfId="5239" xr:uid="{00000000-0005-0000-0000-0000691A0000}"/>
    <cellStyle name="Normal 5 3 5 2 2 3 2" xfId="22969" xr:uid="{2B8682FA-3640-4BAB-BE27-DD3F56A21A8D}"/>
    <cellStyle name="Normal 5 3 5 2 2 3 3" xfId="13689" xr:uid="{16EB4AB1-6E83-465F-B40B-04772D0B8E74}"/>
    <cellStyle name="Normal 5 3 5 2 2 4" xfId="18752" xr:uid="{38B1989F-D9AC-4514-BF7A-24C3CA789379}"/>
    <cellStyle name="Normal 5 3 5 2 2 5" xfId="17924" xr:uid="{FC5653F4-205F-4772-BD70-0B8840B74FFE}"/>
    <cellStyle name="Normal 5 3 5 2 2 6" xfId="9471" xr:uid="{76323A41-E3E0-4A5C-866F-D0BF60D8C50D}"/>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25527" xr:uid="{2AE6E304-2800-41BD-80D5-8F047ABAA7B4}"/>
    <cellStyle name="Normal 5 3 5 2 3 2 2 3" xfId="16247" xr:uid="{35293DC4-FC82-48EE-9655-663D12E6F640}"/>
    <cellStyle name="Normal 5 3 5 2 3 2 3" xfId="21310" xr:uid="{57A31DAC-4EE6-476B-9934-A2B6A4AB859E}"/>
    <cellStyle name="Normal 5 3 5 2 3 2 4" xfId="12029" xr:uid="{BB8FAF44-26AC-4994-9DFA-78E7E6A1695B}"/>
    <cellStyle name="Normal 5 3 5 2 3 3" xfId="5652" xr:uid="{00000000-0005-0000-0000-00006D1A0000}"/>
    <cellStyle name="Normal 5 3 5 2 3 3 2" xfId="23382" xr:uid="{CF9D903A-4B82-475E-B052-E556A98BEDFD}"/>
    <cellStyle name="Normal 5 3 5 2 3 3 3" xfId="14102" xr:uid="{5605B8D2-BDA3-4EC0-BB18-3EE28A142ED4}"/>
    <cellStyle name="Normal 5 3 5 2 3 4" xfId="19165" xr:uid="{44193A96-760A-4CDD-9A1C-E6486300416E}"/>
    <cellStyle name="Normal 5 3 5 2 3 5" xfId="9884" xr:uid="{B927E7BF-AAD7-46B5-BD42-18CE456FDAD5}"/>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25940" xr:uid="{84665891-1138-4ABA-9D09-CB25CA4D6B07}"/>
    <cellStyle name="Normal 5 3 5 2 4 2 2 3" xfId="16660" xr:uid="{6F170FD4-2A8F-448F-8BE6-40C1DB238A8E}"/>
    <cellStyle name="Normal 5 3 5 2 4 2 3" xfId="21723" xr:uid="{40663502-E33A-492B-9E04-BFA9EFD7A54C}"/>
    <cellStyle name="Normal 5 3 5 2 4 2 4" xfId="12442" xr:uid="{AC5A8C1B-8354-4B41-9FDE-50822BF10C86}"/>
    <cellStyle name="Normal 5 3 5 2 4 3" xfId="6065" xr:uid="{00000000-0005-0000-0000-0000711A0000}"/>
    <cellStyle name="Normal 5 3 5 2 4 3 2" xfId="23795" xr:uid="{296DF79E-DE83-45A7-B0F0-542DFC5D481C}"/>
    <cellStyle name="Normal 5 3 5 2 4 3 3" xfId="14515" xr:uid="{6B999B44-0BF9-409A-8D14-183C5E8E9B3F}"/>
    <cellStyle name="Normal 5 3 5 2 4 4" xfId="19578" xr:uid="{0A618B4F-45FC-4CA7-B69D-0E6FFD261477}"/>
    <cellStyle name="Normal 5 3 5 2 4 5" xfId="10297" xr:uid="{0891EE56-ADE2-49D9-B4C0-E2E286A8712D}"/>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26353" xr:uid="{98081008-ECE6-4AE6-9180-F84A6C153037}"/>
    <cellStyle name="Normal 5 3 5 2 5 2 2 3" xfId="17073" xr:uid="{291522B2-27FA-4209-940A-3FFA721E5392}"/>
    <cellStyle name="Normal 5 3 5 2 5 2 3" xfId="22136" xr:uid="{260D8C55-F7CA-4DE1-AE89-ADC5157217F6}"/>
    <cellStyle name="Normal 5 3 5 2 5 2 4" xfId="12855" xr:uid="{3B0F434F-03B3-401E-8552-97729C1678B7}"/>
    <cellStyle name="Normal 5 3 5 2 5 3" xfId="6478" xr:uid="{00000000-0005-0000-0000-0000751A0000}"/>
    <cellStyle name="Normal 5 3 5 2 5 3 2" xfId="24208" xr:uid="{27D67D67-99C8-4E75-8F8A-3196DE6D16C5}"/>
    <cellStyle name="Normal 5 3 5 2 5 3 3" xfId="14928" xr:uid="{2698DD03-E3F3-43A8-A0CE-14F8A05FFEA2}"/>
    <cellStyle name="Normal 5 3 5 2 5 4" xfId="19991" xr:uid="{B1D254F8-1279-43BA-A806-D121A5360F3A}"/>
    <cellStyle name="Normal 5 3 5 2 5 5" xfId="10710" xr:uid="{D77EE1B0-D843-49E6-91D5-469D3C3088EE}"/>
    <cellStyle name="Normal 5 3 5 2 6" xfId="2608" xr:uid="{00000000-0005-0000-0000-0000761A0000}"/>
    <cellStyle name="Normal 5 3 5 2 6 2" xfId="6891" xr:uid="{00000000-0005-0000-0000-0000771A0000}"/>
    <cellStyle name="Normal 5 3 5 2 6 2 2" xfId="24621" xr:uid="{2F8338EF-A3FD-4842-A739-DECB37CDFF31}"/>
    <cellStyle name="Normal 5 3 5 2 6 2 3" xfId="15341" xr:uid="{37ECBFCA-ED6B-40B5-A523-7842085BDC38}"/>
    <cellStyle name="Normal 5 3 5 2 6 3" xfId="20404" xr:uid="{D4151E30-4305-4EE4-98DF-67AEC30B6C3C}"/>
    <cellStyle name="Normal 5 3 5 2 6 4" xfId="11123" xr:uid="{54EB7A39-9A72-4DC0-A321-0A6D1B9DF131}"/>
    <cellStyle name="Normal 5 3 5 2 7" xfId="4826" xr:uid="{00000000-0005-0000-0000-0000781A0000}"/>
    <cellStyle name="Normal 5 3 5 2 7 2" xfId="22556" xr:uid="{02C94938-F47A-45AD-A4F0-FC9060909662}"/>
    <cellStyle name="Normal 5 3 5 2 7 3" xfId="13276" xr:uid="{AD18D33F-AC2B-47CF-8049-430BED517880}"/>
    <cellStyle name="Normal 5 3 5 2 8" xfId="18339" xr:uid="{BACF40A0-FB91-4C27-9869-2EC54DEE5BB1}"/>
    <cellStyle name="Normal 5 3 5 2 9" xfId="17505" xr:uid="{732D807A-0629-4733-ACC2-4A4B9E423788}"/>
    <cellStyle name="Normal 5 3 5 3" xfId="927" xr:uid="{00000000-0005-0000-0000-0000791A0000}"/>
    <cellStyle name="Normal 5 3 5 3 2" xfId="3161" xr:uid="{00000000-0005-0000-0000-00007A1A0000}"/>
    <cellStyle name="Normal 5 3 5 3 2 2" xfId="7383" xr:uid="{00000000-0005-0000-0000-00007B1A0000}"/>
    <cellStyle name="Normal 5 3 5 3 2 2 2" xfId="25113" xr:uid="{12AE08D2-9409-4FCF-BFD0-06645AC74457}"/>
    <cellStyle name="Normal 5 3 5 3 2 2 3" xfId="15833" xr:uid="{5D17B8EE-189B-4D8E-8628-E155DB2D2D6F}"/>
    <cellStyle name="Normal 5 3 5 3 2 3" xfId="20896" xr:uid="{44D05190-FB7C-42B2-8700-B99F0C778DD0}"/>
    <cellStyle name="Normal 5 3 5 3 2 4" xfId="11615" xr:uid="{03223F79-515C-4D75-9BF9-AADAAACF7DAE}"/>
    <cellStyle name="Normal 5 3 5 3 3" xfId="5238" xr:uid="{00000000-0005-0000-0000-00007C1A0000}"/>
    <cellStyle name="Normal 5 3 5 3 3 2" xfId="22968" xr:uid="{88CE294A-8D99-43E9-8A5F-FE485C2F6613}"/>
    <cellStyle name="Normal 5 3 5 3 3 3" xfId="13688" xr:uid="{8568711A-606E-49C8-94B6-CC77F4A006E6}"/>
    <cellStyle name="Normal 5 3 5 3 4" xfId="18751" xr:uid="{B3398481-50E8-41A5-AE6F-A99EE709AEF7}"/>
    <cellStyle name="Normal 5 3 5 3 5" xfId="17923" xr:uid="{53D2D77D-EDDB-4882-988E-7AC597667B0D}"/>
    <cellStyle name="Normal 5 3 5 3 6" xfId="9470" xr:uid="{6AF41F44-8943-40A4-9AF7-CDE91AF237CF}"/>
    <cellStyle name="Normal 5 3 5 4" xfId="1344" xr:uid="{00000000-0005-0000-0000-00007D1A0000}"/>
    <cellStyle name="Normal 5 3 5 4 2" xfId="3574" xr:uid="{00000000-0005-0000-0000-00007E1A0000}"/>
    <cellStyle name="Normal 5 3 5 4 2 2" xfId="7796" xr:uid="{00000000-0005-0000-0000-00007F1A0000}"/>
    <cellStyle name="Normal 5 3 5 4 2 2 2" xfId="25526" xr:uid="{EC751DA8-F930-43B4-A009-1F7F3243235B}"/>
    <cellStyle name="Normal 5 3 5 4 2 2 3" xfId="16246" xr:uid="{07394C01-1847-435A-9725-31496FEA9092}"/>
    <cellStyle name="Normal 5 3 5 4 2 3" xfId="21309" xr:uid="{15C9CD7D-5AF5-453C-80BF-78DBC31A02FF}"/>
    <cellStyle name="Normal 5 3 5 4 2 4" xfId="12028" xr:uid="{38E7EEF6-FD75-4FC1-A157-F38F58391217}"/>
    <cellStyle name="Normal 5 3 5 4 3" xfId="5651" xr:uid="{00000000-0005-0000-0000-0000801A0000}"/>
    <cellStyle name="Normal 5 3 5 4 3 2" xfId="23381" xr:uid="{E04FD1DA-F4AB-4C50-A9B0-44E288F470E8}"/>
    <cellStyle name="Normal 5 3 5 4 3 3" xfId="14101" xr:uid="{5DF7A8A6-A7B5-4551-B3A5-7AC89D097CC1}"/>
    <cellStyle name="Normal 5 3 5 4 4" xfId="19164" xr:uid="{54A15C64-1C6E-400F-BA2C-830B5C27A7D3}"/>
    <cellStyle name="Normal 5 3 5 4 5" xfId="9883" xr:uid="{2D1340D2-5DAA-4C0C-9AFE-F980A318C9A8}"/>
    <cellStyle name="Normal 5 3 5 5" xfId="1757" xr:uid="{00000000-0005-0000-0000-0000811A0000}"/>
    <cellStyle name="Normal 5 3 5 5 2" xfId="3987" xr:uid="{00000000-0005-0000-0000-0000821A0000}"/>
    <cellStyle name="Normal 5 3 5 5 2 2" xfId="8209" xr:uid="{00000000-0005-0000-0000-0000831A0000}"/>
    <cellStyle name="Normal 5 3 5 5 2 2 2" xfId="25939" xr:uid="{682646EB-2A4B-45F1-A923-1F5B35471032}"/>
    <cellStyle name="Normal 5 3 5 5 2 2 3" xfId="16659" xr:uid="{25CB5A73-9D0A-4231-BC66-130B8D77A7A1}"/>
    <cellStyle name="Normal 5 3 5 5 2 3" xfId="21722" xr:uid="{65427536-8FFD-4057-B4C6-0D1742FB3578}"/>
    <cellStyle name="Normal 5 3 5 5 2 4" xfId="12441" xr:uid="{DECD64E8-399F-4A35-AEB6-703EA1A561FA}"/>
    <cellStyle name="Normal 5 3 5 5 3" xfId="6064" xr:uid="{00000000-0005-0000-0000-0000841A0000}"/>
    <cellStyle name="Normal 5 3 5 5 3 2" xfId="23794" xr:uid="{306C867D-1F40-4692-AC7C-1AE7FD5B6430}"/>
    <cellStyle name="Normal 5 3 5 5 3 3" xfId="14514" xr:uid="{319A2646-7F18-42D6-BEAD-DA3E69E05AAA}"/>
    <cellStyle name="Normal 5 3 5 5 4" xfId="19577" xr:uid="{BFEA7E31-7773-4DF8-B4F1-490126EEC171}"/>
    <cellStyle name="Normal 5 3 5 5 5" xfId="10296" xr:uid="{B542C1D7-2224-4457-BBBB-C9EA6D323CBA}"/>
    <cellStyle name="Normal 5 3 5 6" xfId="2171" xr:uid="{00000000-0005-0000-0000-0000851A0000}"/>
    <cellStyle name="Normal 5 3 5 6 2" xfId="4400" xr:uid="{00000000-0005-0000-0000-0000861A0000}"/>
    <cellStyle name="Normal 5 3 5 6 2 2" xfId="8622" xr:uid="{00000000-0005-0000-0000-0000871A0000}"/>
    <cellStyle name="Normal 5 3 5 6 2 2 2" xfId="26352" xr:uid="{6C3E6F24-3F59-4331-89F1-593CE74E4B31}"/>
    <cellStyle name="Normal 5 3 5 6 2 2 3" xfId="17072" xr:uid="{B70A5201-FC3A-4944-95DB-B13D1821E969}"/>
    <cellStyle name="Normal 5 3 5 6 2 3" xfId="22135" xr:uid="{88B137FD-4F52-4EC9-B4A6-730A4D10396C}"/>
    <cellStyle name="Normal 5 3 5 6 2 4" xfId="12854" xr:uid="{4EE60829-CEEA-493D-BE50-E07632936802}"/>
    <cellStyle name="Normal 5 3 5 6 3" xfId="6477" xr:uid="{00000000-0005-0000-0000-0000881A0000}"/>
    <cellStyle name="Normal 5 3 5 6 3 2" xfId="24207" xr:uid="{543EF702-9F62-4054-A468-495DDE3E87AD}"/>
    <cellStyle name="Normal 5 3 5 6 3 3" xfId="14927" xr:uid="{315924E5-4880-4A01-8DA4-550AB60E2350}"/>
    <cellStyle name="Normal 5 3 5 6 4" xfId="19990" xr:uid="{4FBCF413-4EA2-4C9D-82B8-5797DC6DFFCC}"/>
    <cellStyle name="Normal 5 3 5 6 5" xfId="10709" xr:uid="{7A6DFCC2-91EF-48D4-AF63-C8ECD3E0FBCF}"/>
    <cellStyle name="Normal 5 3 5 7" xfId="2607" xr:uid="{00000000-0005-0000-0000-0000891A0000}"/>
    <cellStyle name="Normal 5 3 5 7 2" xfId="6890" xr:uid="{00000000-0005-0000-0000-00008A1A0000}"/>
    <cellStyle name="Normal 5 3 5 7 2 2" xfId="24620" xr:uid="{0FDACB2D-8AB1-434E-A4C9-8286469C60A4}"/>
    <cellStyle name="Normal 5 3 5 7 2 3" xfId="15340" xr:uid="{69DE690E-0DEA-465A-9B1E-18F69814961F}"/>
    <cellStyle name="Normal 5 3 5 7 3" xfId="20403" xr:uid="{692B5CD3-0214-4311-A97F-B5615047C62C}"/>
    <cellStyle name="Normal 5 3 5 7 4" xfId="11122" xr:uid="{17A81B18-5E21-43FF-8526-1C179AB7B05B}"/>
    <cellStyle name="Normal 5 3 5 8" xfId="4825" xr:uid="{00000000-0005-0000-0000-00008B1A0000}"/>
    <cellStyle name="Normal 5 3 5 8 2" xfId="22555" xr:uid="{B01E7508-C45B-469C-B34C-DF41B0FDA5C8}"/>
    <cellStyle name="Normal 5 3 5 8 3" xfId="13275" xr:uid="{1911798D-BF83-48BB-8D08-117CE4C41897}"/>
    <cellStyle name="Normal 5 3 5 9" xfId="18338" xr:uid="{EC077AAC-4C8B-4116-8FF4-9650A12BBBC4}"/>
    <cellStyle name="Normal 5 3 6" xfId="455" xr:uid="{00000000-0005-0000-0000-00008C1A0000}"/>
    <cellStyle name="Normal 5 3 6 10" xfId="9059" xr:uid="{76C66CBE-F366-4E63-BC9E-455DB40CEE79}"/>
    <cellStyle name="Normal 5 3 6 2" xfId="929" xr:uid="{00000000-0005-0000-0000-00008D1A0000}"/>
    <cellStyle name="Normal 5 3 6 2 2" xfId="3163" xr:uid="{00000000-0005-0000-0000-00008E1A0000}"/>
    <cellStyle name="Normal 5 3 6 2 2 2" xfId="7385" xr:uid="{00000000-0005-0000-0000-00008F1A0000}"/>
    <cellStyle name="Normal 5 3 6 2 2 2 2" xfId="25115" xr:uid="{7B96610C-7B89-4703-B6DE-D2DC16A8419A}"/>
    <cellStyle name="Normal 5 3 6 2 2 2 3" xfId="15835" xr:uid="{417A391E-4984-4622-B36B-6FDB9B61C948}"/>
    <cellStyle name="Normal 5 3 6 2 2 3" xfId="20898" xr:uid="{B5AEC532-14EA-443C-A4FC-72F2FA68D22F}"/>
    <cellStyle name="Normal 5 3 6 2 2 4" xfId="11617" xr:uid="{2CC33BAC-D672-4702-B27A-AE989990CF17}"/>
    <cellStyle name="Normal 5 3 6 2 3" xfId="5240" xr:uid="{00000000-0005-0000-0000-0000901A0000}"/>
    <cellStyle name="Normal 5 3 6 2 3 2" xfId="22970" xr:uid="{E3EE35D7-3152-4C38-80E3-71C58A15A2E4}"/>
    <cellStyle name="Normal 5 3 6 2 3 3" xfId="13690" xr:uid="{4DCC27E6-F33A-442D-A6F4-AFE60F46CEBA}"/>
    <cellStyle name="Normal 5 3 6 2 4" xfId="18753" xr:uid="{381F4656-FE56-4FA1-B56E-7C49C6795658}"/>
    <cellStyle name="Normal 5 3 6 2 5" xfId="17925" xr:uid="{A8502293-8CF7-4EFC-9BA8-229EBCFC06B2}"/>
    <cellStyle name="Normal 5 3 6 2 6" xfId="9472" xr:uid="{BFB251DA-0AB4-437F-874E-217BFC10463C}"/>
    <cellStyle name="Normal 5 3 6 3" xfId="1346" xr:uid="{00000000-0005-0000-0000-0000911A0000}"/>
    <cellStyle name="Normal 5 3 6 3 2" xfId="3576" xr:uid="{00000000-0005-0000-0000-0000921A0000}"/>
    <cellStyle name="Normal 5 3 6 3 2 2" xfId="7798" xr:uid="{00000000-0005-0000-0000-0000931A0000}"/>
    <cellStyle name="Normal 5 3 6 3 2 2 2" xfId="25528" xr:uid="{D8F52429-481C-4B54-8396-82F4CCD3E47A}"/>
    <cellStyle name="Normal 5 3 6 3 2 2 3" xfId="16248" xr:uid="{ED21C7D4-170E-4AF7-8E08-491FADD99191}"/>
    <cellStyle name="Normal 5 3 6 3 2 3" xfId="21311" xr:uid="{F5D9308E-E379-4303-AC3F-768E0F8B2561}"/>
    <cellStyle name="Normal 5 3 6 3 2 4" xfId="12030" xr:uid="{E6FD51E3-4103-4AFB-9E28-5A7EAE50B60B}"/>
    <cellStyle name="Normal 5 3 6 3 3" xfId="5653" xr:uid="{00000000-0005-0000-0000-0000941A0000}"/>
    <cellStyle name="Normal 5 3 6 3 3 2" xfId="23383" xr:uid="{E514F785-1CA2-492B-A3EC-FF207E9FD5F0}"/>
    <cellStyle name="Normal 5 3 6 3 3 3" xfId="14103" xr:uid="{89C82AF0-0EB3-47CF-846B-E628C59072F1}"/>
    <cellStyle name="Normal 5 3 6 3 4" xfId="19166" xr:uid="{8166C6C9-CA63-453E-BC32-5EDA84A59A8A}"/>
    <cellStyle name="Normal 5 3 6 3 5" xfId="9885" xr:uid="{48A74033-2C66-4A69-9E14-B9AA80DF9258}"/>
    <cellStyle name="Normal 5 3 6 4" xfId="1759" xr:uid="{00000000-0005-0000-0000-0000951A0000}"/>
    <cellStyle name="Normal 5 3 6 4 2" xfId="3989" xr:uid="{00000000-0005-0000-0000-0000961A0000}"/>
    <cellStyle name="Normal 5 3 6 4 2 2" xfId="8211" xr:uid="{00000000-0005-0000-0000-0000971A0000}"/>
    <cellStyle name="Normal 5 3 6 4 2 2 2" xfId="25941" xr:uid="{46DA7DAB-B6CA-419A-AE91-269D484CD6E8}"/>
    <cellStyle name="Normal 5 3 6 4 2 2 3" xfId="16661" xr:uid="{D9D32769-8EFB-46A2-95A3-7913BE59CDBD}"/>
    <cellStyle name="Normal 5 3 6 4 2 3" xfId="21724" xr:uid="{24C5244D-6A31-449D-A6E5-0B2BE2F3A4A0}"/>
    <cellStyle name="Normal 5 3 6 4 2 4" xfId="12443" xr:uid="{A2377703-5C15-4431-85C3-B00EA58BEFA0}"/>
    <cellStyle name="Normal 5 3 6 4 3" xfId="6066" xr:uid="{00000000-0005-0000-0000-0000981A0000}"/>
    <cellStyle name="Normal 5 3 6 4 3 2" xfId="23796" xr:uid="{8ED2AE7F-B955-4CDA-8649-94893EFCE338}"/>
    <cellStyle name="Normal 5 3 6 4 3 3" xfId="14516" xr:uid="{EE910B95-E37F-4D73-819D-F851312C46E2}"/>
    <cellStyle name="Normal 5 3 6 4 4" xfId="19579" xr:uid="{C137DF24-5B8A-4CC2-B2C6-048EDD2E3AF0}"/>
    <cellStyle name="Normal 5 3 6 4 5" xfId="10298" xr:uid="{84CFE782-C400-4243-B35B-5E0E8EAED82B}"/>
    <cellStyle name="Normal 5 3 6 5" xfId="2173" xr:uid="{00000000-0005-0000-0000-0000991A0000}"/>
    <cellStyle name="Normal 5 3 6 5 2" xfId="4402" xr:uid="{00000000-0005-0000-0000-00009A1A0000}"/>
    <cellStyle name="Normal 5 3 6 5 2 2" xfId="8624" xr:uid="{00000000-0005-0000-0000-00009B1A0000}"/>
    <cellStyle name="Normal 5 3 6 5 2 2 2" xfId="26354" xr:uid="{46CC4FEE-84EE-4C05-8B57-947CCC2FD7B9}"/>
    <cellStyle name="Normal 5 3 6 5 2 2 3" xfId="17074" xr:uid="{294D96F2-914E-4F61-9D79-050725EE63D6}"/>
    <cellStyle name="Normal 5 3 6 5 2 3" xfId="22137" xr:uid="{0C96E438-4D89-44DC-A2F9-165A804A78E1}"/>
    <cellStyle name="Normal 5 3 6 5 2 4" xfId="12856" xr:uid="{7D726BCB-7BC2-4433-91C3-3D507A45BB77}"/>
    <cellStyle name="Normal 5 3 6 5 3" xfId="6479" xr:uid="{00000000-0005-0000-0000-00009C1A0000}"/>
    <cellStyle name="Normal 5 3 6 5 3 2" xfId="24209" xr:uid="{AD35214E-9B5A-4588-B5B5-E079FA8CD686}"/>
    <cellStyle name="Normal 5 3 6 5 3 3" xfId="14929" xr:uid="{B9548BE5-8F20-4FD0-BF53-51EA84C16282}"/>
    <cellStyle name="Normal 5 3 6 5 4" xfId="19992" xr:uid="{3F427D50-CFBD-48A2-B2B2-EC0A37776B76}"/>
    <cellStyle name="Normal 5 3 6 5 5" xfId="10711" xr:uid="{6AD164EF-1542-4B97-9375-F7E38AC81F4F}"/>
    <cellStyle name="Normal 5 3 6 6" xfId="2609" xr:uid="{00000000-0005-0000-0000-00009D1A0000}"/>
    <cellStyle name="Normal 5 3 6 6 2" xfId="6892" xr:uid="{00000000-0005-0000-0000-00009E1A0000}"/>
    <cellStyle name="Normal 5 3 6 6 2 2" xfId="24622" xr:uid="{D8BAE197-B322-4B47-8C26-B2D6CF128749}"/>
    <cellStyle name="Normal 5 3 6 6 2 3" xfId="15342" xr:uid="{EF5BC5A4-3406-465A-8515-533F65D6326A}"/>
    <cellStyle name="Normal 5 3 6 6 3" xfId="20405" xr:uid="{B1A27A33-17A8-4B01-A79E-316423AB7DFB}"/>
    <cellStyle name="Normal 5 3 6 6 4" xfId="11124" xr:uid="{D8CD7F8F-B446-43F2-922E-C049CD6EB7BE}"/>
    <cellStyle name="Normal 5 3 6 7" xfId="4827" xr:uid="{00000000-0005-0000-0000-00009F1A0000}"/>
    <cellStyle name="Normal 5 3 6 7 2" xfId="22557" xr:uid="{943F612E-73D3-4C33-A39A-DDCFB8C45BFC}"/>
    <cellStyle name="Normal 5 3 6 7 3" xfId="13277" xr:uid="{DF44B78A-60A7-4FFF-8DEE-F307076E75D4}"/>
    <cellStyle name="Normal 5 3 6 8" xfId="18340" xr:uid="{EE906F30-EB38-430B-832E-FB1F436AA951}"/>
    <cellStyle name="Normal 5 3 6 9" xfId="17506" xr:uid="{6FCB5F3B-863B-459A-8E38-C8F474A28F0E}"/>
    <cellStyle name="Normal 5 3 7" xfId="913" xr:uid="{00000000-0005-0000-0000-0000A01A0000}"/>
    <cellStyle name="Normal 5 3 7 2" xfId="3148" xr:uid="{00000000-0005-0000-0000-0000A11A0000}"/>
    <cellStyle name="Normal 5 3 7 2 2" xfId="7370" xr:uid="{00000000-0005-0000-0000-0000A21A0000}"/>
    <cellStyle name="Normal 5 3 7 2 2 2" xfId="25100" xr:uid="{AF472719-F5F5-4C90-AF3B-B2D90163D8DF}"/>
    <cellStyle name="Normal 5 3 7 2 2 3" xfId="15820" xr:uid="{E734E4A9-53C1-4A33-BCFD-BB0DB0E63008}"/>
    <cellStyle name="Normal 5 3 7 2 3" xfId="20883" xr:uid="{C9EA5ABD-E3E0-48C9-8CBA-ED5430DD3FDB}"/>
    <cellStyle name="Normal 5 3 7 2 4" xfId="11602" xr:uid="{C0412954-349C-40CB-975E-D267A8E06FD4}"/>
    <cellStyle name="Normal 5 3 7 3" xfId="5225" xr:uid="{00000000-0005-0000-0000-0000A31A0000}"/>
    <cellStyle name="Normal 5 3 7 3 2" xfId="22955" xr:uid="{472C3AE5-0648-49B2-9054-D19A7BD2DF3D}"/>
    <cellStyle name="Normal 5 3 7 3 3" xfId="13675" xr:uid="{9FBB3344-73FA-4205-8131-78F78D6BD32C}"/>
    <cellStyle name="Normal 5 3 7 4" xfId="18738" xr:uid="{7326D56C-2555-470C-87B8-B820ED8C0AA4}"/>
    <cellStyle name="Normal 5 3 7 5" xfId="17910" xr:uid="{366E7F33-8EAB-4A8E-92C0-BB1251890E9E}"/>
    <cellStyle name="Normal 5 3 7 6" xfId="9457" xr:uid="{EB9BBC21-1748-4916-8D06-84B64246B6A9}"/>
    <cellStyle name="Normal 5 3 8" xfId="1331" xr:uid="{00000000-0005-0000-0000-0000A41A0000}"/>
    <cellStyle name="Normal 5 3 8 2" xfId="3561" xr:uid="{00000000-0005-0000-0000-0000A51A0000}"/>
    <cellStyle name="Normal 5 3 8 2 2" xfId="7783" xr:uid="{00000000-0005-0000-0000-0000A61A0000}"/>
    <cellStyle name="Normal 5 3 8 2 2 2" xfId="25513" xr:uid="{CAF3F27E-57F6-4ECC-BEF3-8D5611BCABB4}"/>
    <cellStyle name="Normal 5 3 8 2 2 3" xfId="16233" xr:uid="{CCE680AF-A2A1-4603-91D9-B383D67F33A6}"/>
    <cellStyle name="Normal 5 3 8 2 3" xfId="21296" xr:uid="{FE130EED-481D-42B8-BAA9-D4C746071ED3}"/>
    <cellStyle name="Normal 5 3 8 2 4" xfId="12015" xr:uid="{09E6DF27-7887-4967-A814-B76E17D28E56}"/>
    <cellStyle name="Normal 5 3 8 3" xfId="5638" xr:uid="{00000000-0005-0000-0000-0000A71A0000}"/>
    <cellStyle name="Normal 5 3 8 3 2" xfId="23368" xr:uid="{907B7B19-7EFB-43A0-9316-621A6AB4054D}"/>
    <cellStyle name="Normal 5 3 8 3 3" xfId="14088" xr:uid="{74A8BE82-3069-4602-84DB-ABC6124B043E}"/>
    <cellStyle name="Normal 5 3 8 4" xfId="19151" xr:uid="{4FBCE011-0FA8-41AF-9C48-BD7038F76EED}"/>
    <cellStyle name="Normal 5 3 8 5" xfId="9870" xr:uid="{70443F6F-DDB6-411E-AEA2-F0FFD8F67CA1}"/>
    <cellStyle name="Normal 5 3 9" xfId="1744" xr:uid="{00000000-0005-0000-0000-0000A81A0000}"/>
    <cellStyle name="Normal 5 3 9 2" xfId="3974" xr:uid="{00000000-0005-0000-0000-0000A91A0000}"/>
    <cellStyle name="Normal 5 3 9 2 2" xfId="8196" xr:uid="{00000000-0005-0000-0000-0000AA1A0000}"/>
    <cellStyle name="Normal 5 3 9 2 2 2" xfId="25926" xr:uid="{2A15F1F6-8F38-49EF-8154-5C51F496E7D9}"/>
    <cellStyle name="Normal 5 3 9 2 2 3" xfId="16646" xr:uid="{2611015F-CC0E-4292-AB2D-DDE9C8E8F0CB}"/>
    <cellStyle name="Normal 5 3 9 2 3" xfId="21709" xr:uid="{9438D762-CC3B-46C5-A6DB-E68C8ED63B06}"/>
    <cellStyle name="Normal 5 3 9 2 4" xfId="12428" xr:uid="{B65D5FA4-D772-4BB1-B9AB-CD3DB81E6B45}"/>
    <cellStyle name="Normal 5 3 9 3" xfId="6051" xr:uid="{00000000-0005-0000-0000-0000AB1A0000}"/>
    <cellStyle name="Normal 5 3 9 3 2" xfId="23781" xr:uid="{5B127DC8-D23F-495A-8340-07ADACB8BC74}"/>
    <cellStyle name="Normal 5 3 9 3 3" xfId="14501" xr:uid="{01C57B7B-BF44-4E07-8E6F-29089376E083}"/>
    <cellStyle name="Normal 5 3 9 4" xfId="19564" xr:uid="{39C2A586-7955-4F22-AD4C-54B9A4507888}"/>
    <cellStyle name="Normal 5 3 9 5" xfId="10283" xr:uid="{1A4CD00C-A035-4E05-BBC3-C13124EB3FCE}"/>
    <cellStyle name="Normal 5 4" xfId="456" xr:uid="{00000000-0005-0000-0000-0000AC1A0000}"/>
    <cellStyle name="Normal 5 4 10" xfId="4828" xr:uid="{00000000-0005-0000-0000-0000AD1A0000}"/>
    <cellStyle name="Normal 5 4 10 2" xfId="22558" xr:uid="{4CDE64E4-2B3C-41BD-9898-0E9B644EAE4A}"/>
    <cellStyle name="Normal 5 4 10 3" xfId="13278" xr:uid="{B9D0B2E4-3A83-4A5E-8D7A-56897B1DCFF8}"/>
    <cellStyle name="Normal 5 4 11" xfId="18341" xr:uid="{14B415FD-3F69-4E82-87AF-8FD17D8CF180}"/>
    <cellStyle name="Normal 5 4 12" xfId="17507" xr:uid="{BDA20DDE-4831-4F43-90AC-34CF1FF04089}"/>
    <cellStyle name="Normal 5 4 13" xfId="9060" xr:uid="{4141811A-1DCC-40C7-BC6A-ABA882520C14}"/>
    <cellStyle name="Normal 5 4 2" xfId="457" xr:uid="{00000000-0005-0000-0000-0000AE1A0000}"/>
    <cellStyle name="Normal 5 4 2 10" xfId="18342" xr:uid="{A8DB8F97-1C35-4926-84C8-0E7C0A8EF5EB}"/>
    <cellStyle name="Normal 5 4 2 11" xfId="17508" xr:uid="{D05DD9B4-61CB-4D96-8C6B-92441C34D284}"/>
    <cellStyle name="Normal 5 4 2 12" xfId="9061" xr:uid="{C0DD554E-4B18-4987-BD90-0FAED9EE1355}"/>
    <cellStyle name="Normal 5 4 2 2" xfId="458" xr:uid="{00000000-0005-0000-0000-0000AF1A0000}"/>
    <cellStyle name="Normal 5 4 2 2 10" xfId="17509" xr:uid="{4755FFFA-0A7A-4BA2-B057-F77A78DDAD85}"/>
    <cellStyle name="Normal 5 4 2 2 11" xfId="9062" xr:uid="{201BF24B-AB1B-422C-963D-CCF08FED31BF}"/>
    <cellStyle name="Normal 5 4 2 2 2" xfId="459" xr:uid="{00000000-0005-0000-0000-0000B01A0000}"/>
    <cellStyle name="Normal 5 4 2 2 2 10" xfId="9063" xr:uid="{4552A095-B2CE-4F3A-AAE3-C74AEE95E6A9}"/>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25119" xr:uid="{3D4B2CAA-B5DD-46D2-971E-49F2DC663921}"/>
    <cellStyle name="Normal 5 4 2 2 2 2 2 2 3" xfId="15839" xr:uid="{5519F198-0FC6-4588-9000-B7325620F9BF}"/>
    <cellStyle name="Normal 5 4 2 2 2 2 2 3" xfId="20902" xr:uid="{3A14B360-44E3-4B2B-BEAB-B6C353AD026C}"/>
    <cellStyle name="Normal 5 4 2 2 2 2 2 4" xfId="11621" xr:uid="{44D9F008-68E4-454F-ACF8-70F82F0A7AE9}"/>
    <cellStyle name="Normal 5 4 2 2 2 2 3" xfId="5244" xr:uid="{00000000-0005-0000-0000-0000B41A0000}"/>
    <cellStyle name="Normal 5 4 2 2 2 2 3 2" xfId="22974" xr:uid="{0DAC2A5B-B6E2-4942-B038-CE3AF9858B23}"/>
    <cellStyle name="Normal 5 4 2 2 2 2 3 3" xfId="13694" xr:uid="{FD11C99F-13E5-4B9D-A52D-EAE0CFAB3016}"/>
    <cellStyle name="Normal 5 4 2 2 2 2 4" xfId="18757" xr:uid="{1B8047A1-49A6-49D7-837B-12E2E7C27ACB}"/>
    <cellStyle name="Normal 5 4 2 2 2 2 5" xfId="17929" xr:uid="{79182E37-1D5D-42B4-8D3A-E09C03D2895F}"/>
    <cellStyle name="Normal 5 4 2 2 2 2 6" xfId="9476" xr:uid="{E452AD89-B5A9-4415-84BC-95067201F7BC}"/>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25532" xr:uid="{C3F6EADA-172C-4E74-98EF-37C1D3A384FA}"/>
    <cellStyle name="Normal 5 4 2 2 2 3 2 2 3" xfId="16252" xr:uid="{E8F397F5-C6D7-4E27-A440-4C65836837F4}"/>
    <cellStyle name="Normal 5 4 2 2 2 3 2 3" xfId="21315" xr:uid="{B6DAA3A1-6BA4-45BD-804A-34877E5C71A8}"/>
    <cellStyle name="Normal 5 4 2 2 2 3 2 4" xfId="12034" xr:uid="{6E6E0155-D29A-4729-ABC3-26A6959F9E1B}"/>
    <cellStyle name="Normal 5 4 2 2 2 3 3" xfId="5657" xr:uid="{00000000-0005-0000-0000-0000B81A0000}"/>
    <cellStyle name="Normal 5 4 2 2 2 3 3 2" xfId="23387" xr:uid="{185191EC-0ED3-4FB8-8031-2DB9EB7D91BD}"/>
    <cellStyle name="Normal 5 4 2 2 2 3 3 3" xfId="14107" xr:uid="{49219772-83B2-4374-A033-CFCAE7F8CDB6}"/>
    <cellStyle name="Normal 5 4 2 2 2 3 4" xfId="19170" xr:uid="{A5B48F40-A123-4A3C-948A-CB3A3632689A}"/>
    <cellStyle name="Normal 5 4 2 2 2 3 5" xfId="9889" xr:uid="{7A56D349-7250-42BC-8F57-40476EF61647}"/>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25945" xr:uid="{C8D07CAC-ECAC-41C6-B1F0-F7B3B4FF6603}"/>
    <cellStyle name="Normal 5 4 2 2 2 4 2 2 3" xfId="16665" xr:uid="{1B5ACD25-37A6-4596-8216-245377A937B1}"/>
    <cellStyle name="Normal 5 4 2 2 2 4 2 3" xfId="21728" xr:uid="{AE8608E1-670A-4BEE-B8E0-DBD8A8848FE3}"/>
    <cellStyle name="Normal 5 4 2 2 2 4 2 4" xfId="12447" xr:uid="{6D5BC435-9D95-49C9-B497-DD7CD7AC1746}"/>
    <cellStyle name="Normal 5 4 2 2 2 4 3" xfId="6070" xr:uid="{00000000-0005-0000-0000-0000BC1A0000}"/>
    <cellStyle name="Normal 5 4 2 2 2 4 3 2" xfId="23800" xr:uid="{73F128E6-0E0A-4D6C-BD08-53E69C96EAE5}"/>
    <cellStyle name="Normal 5 4 2 2 2 4 3 3" xfId="14520" xr:uid="{FC6322B8-B9E9-46B5-AB1A-BAB53E4629B6}"/>
    <cellStyle name="Normal 5 4 2 2 2 4 4" xfId="19583" xr:uid="{FA15EF18-B853-46EA-986B-E29E991401DC}"/>
    <cellStyle name="Normal 5 4 2 2 2 4 5" xfId="10302" xr:uid="{84CFF9C9-E2DA-4E93-A553-98AD97E6C11C}"/>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26358" xr:uid="{E95178CC-57D8-4B30-BA17-004C48C3EB5A}"/>
    <cellStyle name="Normal 5 4 2 2 2 5 2 2 3" xfId="17078" xr:uid="{28C5602D-7783-4BE5-90D0-3C57388802A3}"/>
    <cellStyle name="Normal 5 4 2 2 2 5 2 3" xfId="22141" xr:uid="{6629849A-FB01-483A-914B-F4C75E449780}"/>
    <cellStyle name="Normal 5 4 2 2 2 5 2 4" xfId="12860" xr:uid="{C6215DD2-A6EF-4123-86C2-A0405157A0B1}"/>
    <cellStyle name="Normal 5 4 2 2 2 5 3" xfId="6483" xr:uid="{00000000-0005-0000-0000-0000C01A0000}"/>
    <cellStyle name="Normal 5 4 2 2 2 5 3 2" xfId="24213" xr:uid="{212CFFAD-A10D-4D71-93EA-AAC1818E735A}"/>
    <cellStyle name="Normal 5 4 2 2 2 5 3 3" xfId="14933" xr:uid="{A2794ADB-5A94-408F-83F0-512A36886110}"/>
    <cellStyle name="Normal 5 4 2 2 2 5 4" xfId="19996" xr:uid="{25045AA3-B71A-4FF1-B43C-31D599443D75}"/>
    <cellStyle name="Normal 5 4 2 2 2 5 5" xfId="10715" xr:uid="{8C918E05-BFB0-446B-8D87-9799C9101396}"/>
    <cellStyle name="Normal 5 4 2 2 2 6" xfId="2613" xr:uid="{00000000-0005-0000-0000-0000C11A0000}"/>
    <cellStyle name="Normal 5 4 2 2 2 6 2" xfId="6896" xr:uid="{00000000-0005-0000-0000-0000C21A0000}"/>
    <cellStyle name="Normal 5 4 2 2 2 6 2 2" xfId="24626" xr:uid="{9E94B835-1EB1-42E2-B8B8-4807F0E54032}"/>
    <cellStyle name="Normal 5 4 2 2 2 6 2 3" xfId="15346" xr:uid="{9961C71E-57A0-45D7-B9FB-006488471E2A}"/>
    <cellStyle name="Normal 5 4 2 2 2 6 3" xfId="20409" xr:uid="{33865AE8-4F76-45D1-A373-829088C13466}"/>
    <cellStyle name="Normal 5 4 2 2 2 6 4" xfId="11128" xr:uid="{D5A039A2-AA2C-40A2-B496-0CB3CD0C8DE6}"/>
    <cellStyle name="Normal 5 4 2 2 2 7" xfId="4831" xr:uid="{00000000-0005-0000-0000-0000C31A0000}"/>
    <cellStyle name="Normal 5 4 2 2 2 7 2" xfId="22561" xr:uid="{8E85C6F1-9922-4EF0-BAC6-6652700CC60D}"/>
    <cellStyle name="Normal 5 4 2 2 2 7 3" xfId="13281" xr:uid="{4A3B8433-AAC1-4145-B323-414310A25D9C}"/>
    <cellStyle name="Normal 5 4 2 2 2 8" xfId="18344" xr:uid="{CB8B893F-63CB-475D-AEE4-E301CEFB6842}"/>
    <cellStyle name="Normal 5 4 2 2 2 9" xfId="17510" xr:uid="{4E74E7F6-AEEE-4378-9154-00178A174D4B}"/>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25118" xr:uid="{09F356E2-2365-4125-9046-8789539E82F0}"/>
    <cellStyle name="Normal 5 4 2 2 3 2 2 3" xfId="15838" xr:uid="{178A5336-BB3A-41E4-B9C6-9704F07A8D9A}"/>
    <cellStyle name="Normal 5 4 2 2 3 2 3" xfId="20901" xr:uid="{30AB8B63-980F-49B0-B891-5F09FA632B1A}"/>
    <cellStyle name="Normal 5 4 2 2 3 2 4" xfId="11620" xr:uid="{37AF36FB-8D40-49EC-8574-FE077D18FAB9}"/>
    <cellStyle name="Normal 5 4 2 2 3 3" xfId="5243" xr:uid="{00000000-0005-0000-0000-0000C71A0000}"/>
    <cellStyle name="Normal 5 4 2 2 3 3 2" xfId="22973" xr:uid="{7353DC06-94D6-4875-8163-9F5B8C884527}"/>
    <cellStyle name="Normal 5 4 2 2 3 3 3" xfId="13693" xr:uid="{B75ABB2C-0993-464B-AC8A-3054D92DABC8}"/>
    <cellStyle name="Normal 5 4 2 2 3 4" xfId="18756" xr:uid="{7B3B6D0E-8D7A-4401-B8F9-961D5C49F8E7}"/>
    <cellStyle name="Normal 5 4 2 2 3 5" xfId="17928" xr:uid="{1479934E-11FE-4D6F-8188-7B1EE7C7FB45}"/>
    <cellStyle name="Normal 5 4 2 2 3 6" xfId="9475" xr:uid="{A7D735DA-6618-4FD7-90D4-AE4E20EA33C1}"/>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25531" xr:uid="{57AAC701-AA7E-4B33-82C6-261F33A12C38}"/>
    <cellStyle name="Normal 5 4 2 2 4 2 2 3" xfId="16251" xr:uid="{C7C9818A-F1E3-4B51-A1F0-4322B0BA89B9}"/>
    <cellStyle name="Normal 5 4 2 2 4 2 3" xfId="21314" xr:uid="{CDF8222A-2DF0-45CC-A53C-AAC813789761}"/>
    <cellStyle name="Normal 5 4 2 2 4 2 4" xfId="12033" xr:uid="{D21A22DF-EEB0-4325-BD2C-83E5DFA52323}"/>
    <cellStyle name="Normal 5 4 2 2 4 3" xfId="5656" xr:uid="{00000000-0005-0000-0000-0000CB1A0000}"/>
    <cellStyle name="Normal 5 4 2 2 4 3 2" xfId="23386" xr:uid="{5446BA02-5D72-44DC-A32B-AB4333EB6E6A}"/>
    <cellStyle name="Normal 5 4 2 2 4 3 3" xfId="14106" xr:uid="{F5BF974F-EBB7-4852-A188-9A4A2ADD7551}"/>
    <cellStyle name="Normal 5 4 2 2 4 4" xfId="19169" xr:uid="{2D8A8BBB-EEC7-4389-84CB-31DEB5096CE1}"/>
    <cellStyle name="Normal 5 4 2 2 4 5" xfId="9888" xr:uid="{BCEF92A3-AABD-457E-BA10-0B467930B84F}"/>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25944" xr:uid="{1DD0648F-8A21-4B75-82F5-4D6A45773E52}"/>
    <cellStyle name="Normal 5 4 2 2 5 2 2 3" xfId="16664" xr:uid="{1CA1C8F9-6580-41B9-AE74-A6DD3A634BCF}"/>
    <cellStyle name="Normal 5 4 2 2 5 2 3" xfId="21727" xr:uid="{502E892A-B2F5-4B19-8BFA-96AFB174E183}"/>
    <cellStyle name="Normal 5 4 2 2 5 2 4" xfId="12446" xr:uid="{9E866F9D-6005-4225-BECF-2FCEE4FACF89}"/>
    <cellStyle name="Normal 5 4 2 2 5 3" xfId="6069" xr:uid="{00000000-0005-0000-0000-0000CF1A0000}"/>
    <cellStyle name="Normal 5 4 2 2 5 3 2" xfId="23799" xr:uid="{1D45CBF8-571C-48BF-9E0C-64B7C0EBFA54}"/>
    <cellStyle name="Normal 5 4 2 2 5 3 3" xfId="14519" xr:uid="{8B51CECA-0DEE-48CB-AE28-26E8861C3D33}"/>
    <cellStyle name="Normal 5 4 2 2 5 4" xfId="19582" xr:uid="{E5B6E200-5311-437F-A74D-573E0DAC4F01}"/>
    <cellStyle name="Normal 5 4 2 2 5 5" xfId="10301" xr:uid="{61254D5E-25CC-40EA-B6FE-1DFB178843B4}"/>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26357" xr:uid="{CDEE0CEB-A171-427C-98DE-6AAAE17AFD82}"/>
    <cellStyle name="Normal 5 4 2 2 6 2 2 3" xfId="17077" xr:uid="{77FB4E85-78E5-43D1-81D4-6FF682A9FF2C}"/>
    <cellStyle name="Normal 5 4 2 2 6 2 3" xfId="22140" xr:uid="{C89CBAB5-3F63-4B4D-8733-0C3C94E96403}"/>
    <cellStyle name="Normal 5 4 2 2 6 2 4" xfId="12859" xr:uid="{DBA06EEB-96F1-4ED7-9E1F-61E962AB1873}"/>
    <cellStyle name="Normal 5 4 2 2 6 3" xfId="6482" xr:uid="{00000000-0005-0000-0000-0000D31A0000}"/>
    <cellStyle name="Normal 5 4 2 2 6 3 2" xfId="24212" xr:uid="{111633FE-1C92-4ABE-9D58-F3FC9DD10DC4}"/>
    <cellStyle name="Normal 5 4 2 2 6 3 3" xfId="14932" xr:uid="{3CBDBAF5-2148-46D8-B0F7-64E83AE11EF2}"/>
    <cellStyle name="Normal 5 4 2 2 6 4" xfId="19995" xr:uid="{9F22C177-3E70-4FCB-9344-2D93667F3496}"/>
    <cellStyle name="Normal 5 4 2 2 6 5" xfId="10714" xr:uid="{17B5DA3E-3AA9-42C0-A138-45308D680A32}"/>
    <cellStyle name="Normal 5 4 2 2 7" xfId="2612" xr:uid="{00000000-0005-0000-0000-0000D41A0000}"/>
    <cellStyle name="Normal 5 4 2 2 7 2" xfId="6895" xr:uid="{00000000-0005-0000-0000-0000D51A0000}"/>
    <cellStyle name="Normal 5 4 2 2 7 2 2" xfId="24625" xr:uid="{9A911D4E-3F20-40EF-BAA9-EB239970E247}"/>
    <cellStyle name="Normal 5 4 2 2 7 2 3" xfId="15345" xr:uid="{4CAAB8A6-23BB-4AD7-B04D-59111A35DFAB}"/>
    <cellStyle name="Normal 5 4 2 2 7 3" xfId="20408" xr:uid="{67215A5E-C786-48A5-9E88-72C950D9E851}"/>
    <cellStyle name="Normal 5 4 2 2 7 4" xfId="11127" xr:uid="{3CBD8014-BEA6-4CAD-80F6-91E126C39F7F}"/>
    <cellStyle name="Normal 5 4 2 2 8" xfId="4830" xr:uid="{00000000-0005-0000-0000-0000D61A0000}"/>
    <cellStyle name="Normal 5 4 2 2 8 2" xfId="22560" xr:uid="{60DAE941-D8D9-4C56-B2DF-D4BA34A052C3}"/>
    <cellStyle name="Normal 5 4 2 2 8 3" xfId="13280" xr:uid="{F35C3C91-5C7D-4844-BE1F-66080EDC33EB}"/>
    <cellStyle name="Normal 5 4 2 2 9" xfId="18343" xr:uid="{FB32CBD3-42AD-49AB-BA23-F8E02A44A89B}"/>
    <cellStyle name="Normal 5 4 2 3" xfId="460" xr:uid="{00000000-0005-0000-0000-0000D71A0000}"/>
    <cellStyle name="Normal 5 4 2 3 10" xfId="9064" xr:uid="{7F4206B1-9474-44EB-B3E8-0BB42357D191}"/>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25120" xr:uid="{F59D7A3A-C937-44E6-9D04-FCC5FB2C4F1B}"/>
    <cellStyle name="Normal 5 4 2 3 2 2 2 3" xfId="15840" xr:uid="{2505EBD7-59C4-46A6-8786-112FADB43E86}"/>
    <cellStyle name="Normal 5 4 2 3 2 2 3" xfId="20903" xr:uid="{BDE5AA39-4699-43B4-A863-F6A68526CF33}"/>
    <cellStyle name="Normal 5 4 2 3 2 2 4" xfId="11622" xr:uid="{E0AA3C33-CA47-4F3A-B497-03C88CE973FC}"/>
    <cellStyle name="Normal 5 4 2 3 2 3" xfId="5245" xr:uid="{00000000-0005-0000-0000-0000DB1A0000}"/>
    <cellStyle name="Normal 5 4 2 3 2 3 2" xfId="22975" xr:uid="{AD5E97D7-6D31-4124-AA62-D70D7DBDB3FD}"/>
    <cellStyle name="Normal 5 4 2 3 2 3 3" xfId="13695" xr:uid="{7DAE3D8B-469B-4362-95CB-88C9ECD9E30C}"/>
    <cellStyle name="Normal 5 4 2 3 2 4" xfId="18758" xr:uid="{FD6739E1-9F53-4D33-B18F-E2C21BD2DE72}"/>
    <cellStyle name="Normal 5 4 2 3 2 5" xfId="17930" xr:uid="{E90CA963-961C-4C39-9FBA-AAAE46B33AF2}"/>
    <cellStyle name="Normal 5 4 2 3 2 6" xfId="9477" xr:uid="{BB1A0141-3273-4D42-AA8D-096CDC182388}"/>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25533" xr:uid="{6B35FA6C-D35D-4502-B120-50FF5E00999C}"/>
    <cellStyle name="Normal 5 4 2 3 3 2 2 3" xfId="16253" xr:uid="{FEFB70B5-66E6-4833-A0EE-E4A639782D0B}"/>
    <cellStyle name="Normal 5 4 2 3 3 2 3" xfId="21316" xr:uid="{ABA0E3D1-C106-4996-A8EB-F6D73F75D219}"/>
    <cellStyle name="Normal 5 4 2 3 3 2 4" xfId="12035" xr:uid="{24A7ABAA-93E8-4608-8682-DCC1FBBCCAF0}"/>
    <cellStyle name="Normal 5 4 2 3 3 3" xfId="5658" xr:uid="{00000000-0005-0000-0000-0000DF1A0000}"/>
    <cellStyle name="Normal 5 4 2 3 3 3 2" xfId="23388" xr:uid="{76EC723D-1BF1-4046-93C7-95D23CB9380E}"/>
    <cellStyle name="Normal 5 4 2 3 3 3 3" xfId="14108" xr:uid="{267CF839-C5BE-4598-80F0-87B98814FB1C}"/>
    <cellStyle name="Normal 5 4 2 3 3 4" xfId="19171" xr:uid="{406215F4-54C8-4D63-BF8E-70FCF45FCAFE}"/>
    <cellStyle name="Normal 5 4 2 3 3 5" xfId="9890" xr:uid="{D1224E59-75BA-4776-890F-92236EC5CCAC}"/>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25946" xr:uid="{71E3FF9A-6672-4C22-AF79-19AF9644A613}"/>
    <cellStyle name="Normal 5 4 2 3 4 2 2 3" xfId="16666" xr:uid="{0188FC43-82EC-4722-8CB9-DB43F7D7F6B0}"/>
    <cellStyle name="Normal 5 4 2 3 4 2 3" xfId="21729" xr:uid="{4D60DD84-5079-41E0-A0F6-2D1C44324F1B}"/>
    <cellStyle name="Normal 5 4 2 3 4 2 4" xfId="12448" xr:uid="{406BD56C-B4AC-4322-AD7F-7E83FEED074C}"/>
    <cellStyle name="Normal 5 4 2 3 4 3" xfId="6071" xr:uid="{00000000-0005-0000-0000-0000E31A0000}"/>
    <cellStyle name="Normal 5 4 2 3 4 3 2" xfId="23801" xr:uid="{0597D092-EFF1-4E31-A183-37FB75133FF2}"/>
    <cellStyle name="Normal 5 4 2 3 4 3 3" xfId="14521" xr:uid="{6FAFD02A-CBB4-49C9-8279-440582DE6A11}"/>
    <cellStyle name="Normal 5 4 2 3 4 4" xfId="19584" xr:uid="{E11722F2-4A10-4176-B902-663844ED131B}"/>
    <cellStyle name="Normal 5 4 2 3 4 5" xfId="10303" xr:uid="{27119373-F7CB-4E0B-B782-FCED447A4A71}"/>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26359" xr:uid="{DAF35E7F-E409-4895-B73C-29362F686B00}"/>
    <cellStyle name="Normal 5 4 2 3 5 2 2 3" xfId="17079" xr:uid="{4327473D-6786-4274-8457-188C7D13EA5C}"/>
    <cellStyle name="Normal 5 4 2 3 5 2 3" xfId="22142" xr:uid="{7176C669-872A-4ABF-A54F-1FFD13631D10}"/>
    <cellStyle name="Normal 5 4 2 3 5 2 4" xfId="12861" xr:uid="{E12FA697-A20F-4AE0-9073-AB913206237D}"/>
    <cellStyle name="Normal 5 4 2 3 5 3" xfId="6484" xr:uid="{00000000-0005-0000-0000-0000E71A0000}"/>
    <cellStyle name="Normal 5 4 2 3 5 3 2" xfId="24214" xr:uid="{03446B0F-6249-4147-9590-13A6D51FB99D}"/>
    <cellStyle name="Normal 5 4 2 3 5 3 3" xfId="14934" xr:uid="{5C5B9D83-7398-4398-8042-F9A95EDF86E5}"/>
    <cellStyle name="Normal 5 4 2 3 5 4" xfId="19997" xr:uid="{D6218FF2-930E-40B9-ACA3-3B5F51DD33BE}"/>
    <cellStyle name="Normal 5 4 2 3 5 5" xfId="10716" xr:uid="{BD5A0ED9-AB38-4BE3-B034-938DD827F5E5}"/>
    <cellStyle name="Normal 5 4 2 3 6" xfId="2614" xr:uid="{00000000-0005-0000-0000-0000E81A0000}"/>
    <cellStyle name="Normal 5 4 2 3 6 2" xfId="6897" xr:uid="{00000000-0005-0000-0000-0000E91A0000}"/>
    <cellStyle name="Normal 5 4 2 3 6 2 2" xfId="24627" xr:uid="{0D8334AE-0106-478E-90AB-EE6D69486B3E}"/>
    <cellStyle name="Normal 5 4 2 3 6 2 3" xfId="15347" xr:uid="{0383C3C1-90A5-4194-BC23-3E69E965ED80}"/>
    <cellStyle name="Normal 5 4 2 3 6 3" xfId="20410" xr:uid="{FF4CCB13-006C-4E1A-8A47-B4326ADACAE5}"/>
    <cellStyle name="Normal 5 4 2 3 6 4" xfId="11129" xr:uid="{24BFF6BF-9CC8-47F1-B730-D318D46F7B1D}"/>
    <cellStyle name="Normal 5 4 2 3 7" xfId="4832" xr:uid="{00000000-0005-0000-0000-0000EA1A0000}"/>
    <cellStyle name="Normal 5 4 2 3 7 2" xfId="22562" xr:uid="{7D531C64-AC82-4F50-A79D-E374D3359FBD}"/>
    <cellStyle name="Normal 5 4 2 3 7 3" xfId="13282" xr:uid="{CBA9D1D9-3E6E-4D64-8BED-374BF3ACA88C}"/>
    <cellStyle name="Normal 5 4 2 3 8" xfId="18345" xr:uid="{EB405F80-D42A-4DB1-A42D-2407F8ED20DD}"/>
    <cellStyle name="Normal 5 4 2 3 9" xfId="17511" xr:uid="{BD4DC39A-B655-425D-B4A5-86AF9023BA5F}"/>
    <cellStyle name="Normal 5 4 2 4" xfId="931" xr:uid="{00000000-0005-0000-0000-0000EB1A0000}"/>
    <cellStyle name="Normal 5 4 2 4 2" xfId="3165" xr:uid="{00000000-0005-0000-0000-0000EC1A0000}"/>
    <cellStyle name="Normal 5 4 2 4 2 2" xfId="7387" xr:uid="{00000000-0005-0000-0000-0000ED1A0000}"/>
    <cellStyle name="Normal 5 4 2 4 2 2 2" xfId="25117" xr:uid="{3EDFBCA9-4536-4A18-8C0C-A0653D109E30}"/>
    <cellStyle name="Normal 5 4 2 4 2 2 3" xfId="15837" xr:uid="{1A42AE90-ADBA-4F93-BB51-E5C94DAEBBCC}"/>
    <cellStyle name="Normal 5 4 2 4 2 3" xfId="20900" xr:uid="{9259189B-2304-460B-8194-E7985872C5F2}"/>
    <cellStyle name="Normal 5 4 2 4 2 4" xfId="11619" xr:uid="{8B73A292-582A-4EEB-8F61-B59B776D683D}"/>
    <cellStyle name="Normal 5 4 2 4 3" xfId="5242" xr:uid="{00000000-0005-0000-0000-0000EE1A0000}"/>
    <cellStyle name="Normal 5 4 2 4 3 2" xfId="22972" xr:uid="{1D48984B-822B-4142-8061-7A56E2A1BA6D}"/>
    <cellStyle name="Normal 5 4 2 4 3 3" xfId="13692" xr:uid="{FD8FD59E-4F09-4315-9A3B-850888712453}"/>
    <cellStyle name="Normal 5 4 2 4 4" xfId="18755" xr:uid="{C2A019D5-38B6-4DA2-9097-A1F185D434B9}"/>
    <cellStyle name="Normal 5 4 2 4 5" xfId="17927" xr:uid="{80312CC6-A213-4232-9321-FA6A5BD1C88C}"/>
    <cellStyle name="Normal 5 4 2 4 6" xfId="9474" xr:uid="{A4867528-08B8-4EC8-89BF-9318059C45FF}"/>
    <cellStyle name="Normal 5 4 2 5" xfId="1348" xr:uid="{00000000-0005-0000-0000-0000EF1A0000}"/>
    <cellStyle name="Normal 5 4 2 5 2" xfId="3578" xr:uid="{00000000-0005-0000-0000-0000F01A0000}"/>
    <cellStyle name="Normal 5 4 2 5 2 2" xfId="7800" xr:uid="{00000000-0005-0000-0000-0000F11A0000}"/>
    <cellStyle name="Normal 5 4 2 5 2 2 2" xfId="25530" xr:uid="{E3D65AE8-ABA3-45BE-92AA-4A3275AA9F33}"/>
    <cellStyle name="Normal 5 4 2 5 2 2 3" xfId="16250" xr:uid="{EABBADF6-945D-4093-97CE-3A6FD6AADCF0}"/>
    <cellStyle name="Normal 5 4 2 5 2 3" xfId="21313" xr:uid="{3B89FAF5-3D73-49ED-B93F-BD801C11C3B9}"/>
    <cellStyle name="Normal 5 4 2 5 2 4" xfId="12032" xr:uid="{9139C41E-DA5E-489A-A4E8-75B157B61A4C}"/>
    <cellStyle name="Normal 5 4 2 5 3" xfId="5655" xr:uid="{00000000-0005-0000-0000-0000F21A0000}"/>
    <cellStyle name="Normal 5 4 2 5 3 2" xfId="23385" xr:uid="{9BD12478-B700-4B91-BEB7-B6BC319D433D}"/>
    <cellStyle name="Normal 5 4 2 5 3 3" xfId="14105" xr:uid="{F43B4CFC-8225-412C-A5BA-C4490B93E952}"/>
    <cellStyle name="Normal 5 4 2 5 4" xfId="19168" xr:uid="{366D8343-2F0D-4810-AF04-EA557B20EDB5}"/>
    <cellStyle name="Normal 5 4 2 5 5" xfId="9887" xr:uid="{9A4F6E9E-3080-48E6-9C54-A4B5B7C1DF48}"/>
    <cellStyle name="Normal 5 4 2 6" xfId="1761" xr:uid="{00000000-0005-0000-0000-0000F31A0000}"/>
    <cellStyle name="Normal 5 4 2 6 2" xfId="3991" xr:uid="{00000000-0005-0000-0000-0000F41A0000}"/>
    <cellStyle name="Normal 5 4 2 6 2 2" xfId="8213" xr:uid="{00000000-0005-0000-0000-0000F51A0000}"/>
    <cellStyle name="Normal 5 4 2 6 2 2 2" xfId="25943" xr:uid="{B21E234F-209C-498F-B978-2EC85466DBEE}"/>
    <cellStyle name="Normal 5 4 2 6 2 2 3" xfId="16663" xr:uid="{9C4A77C3-61E3-440F-A5CA-EFCF2E12C987}"/>
    <cellStyle name="Normal 5 4 2 6 2 3" xfId="21726" xr:uid="{43A9E0D8-6CFC-4CF8-BCC5-0F1A1BD3A1D2}"/>
    <cellStyle name="Normal 5 4 2 6 2 4" xfId="12445" xr:uid="{5B27454C-17BD-4539-AE9E-587410E46FCA}"/>
    <cellStyle name="Normal 5 4 2 6 3" xfId="6068" xr:uid="{00000000-0005-0000-0000-0000F61A0000}"/>
    <cellStyle name="Normal 5 4 2 6 3 2" xfId="23798" xr:uid="{7C1D7BCE-7BF7-46DD-93EA-9C4EC05C8D7A}"/>
    <cellStyle name="Normal 5 4 2 6 3 3" xfId="14518" xr:uid="{76201F14-95A0-4B46-A16F-A4AFD61E736C}"/>
    <cellStyle name="Normal 5 4 2 6 4" xfId="19581" xr:uid="{69FDC58B-17B7-41F4-BA60-18CCF85B5756}"/>
    <cellStyle name="Normal 5 4 2 6 5" xfId="10300" xr:uid="{DF5FEB41-BF1B-4E02-94A2-0827A01AFD43}"/>
    <cellStyle name="Normal 5 4 2 7" xfId="2175" xr:uid="{00000000-0005-0000-0000-0000F71A0000}"/>
    <cellStyle name="Normal 5 4 2 7 2" xfId="4404" xr:uid="{00000000-0005-0000-0000-0000F81A0000}"/>
    <cellStyle name="Normal 5 4 2 7 2 2" xfId="8626" xr:uid="{00000000-0005-0000-0000-0000F91A0000}"/>
    <cellStyle name="Normal 5 4 2 7 2 2 2" xfId="26356" xr:uid="{8EC72DFE-03AE-4F77-A57A-0DE93BB884FD}"/>
    <cellStyle name="Normal 5 4 2 7 2 2 3" xfId="17076" xr:uid="{805F0FEF-BDD5-49B4-B957-39B371EE8B1E}"/>
    <cellStyle name="Normal 5 4 2 7 2 3" xfId="22139" xr:uid="{3590D31C-53E8-47BB-A7FF-D4F4352B1A74}"/>
    <cellStyle name="Normal 5 4 2 7 2 4" xfId="12858" xr:uid="{FAD6FC94-7B30-47B1-93DF-07AA1F26B9EC}"/>
    <cellStyle name="Normal 5 4 2 7 3" xfId="6481" xr:uid="{00000000-0005-0000-0000-0000FA1A0000}"/>
    <cellStyle name="Normal 5 4 2 7 3 2" xfId="24211" xr:uid="{DFA84E30-F153-42C1-9C63-F57AC72EDE4A}"/>
    <cellStyle name="Normal 5 4 2 7 3 3" xfId="14931" xr:uid="{63D67888-9853-48F1-B0B8-2BF5368511A3}"/>
    <cellStyle name="Normal 5 4 2 7 4" xfId="19994" xr:uid="{86E2C0E0-F3EF-4010-8EDF-DBF18A772731}"/>
    <cellStyle name="Normal 5 4 2 7 5" xfId="10713" xr:uid="{D892F47D-FF4D-47CD-ADA7-1659FC6ADF03}"/>
    <cellStyle name="Normal 5 4 2 8" xfId="2611" xr:uid="{00000000-0005-0000-0000-0000FB1A0000}"/>
    <cellStyle name="Normal 5 4 2 8 2" xfId="6894" xr:uid="{00000000-0005-0000-0000-0000FC1A0000}"/>
    <cellStyle name="Normal 5 4 2 8 2 2" xfId="24624" xr:uid="{40BD0F20-F553-4954-91A5-7C9B14B5FB15}"/>
    <cellStyle name="Normal 5 4 2 8 2 3" xfId="15344" xr:uid="{492FCEBF-1EDB-4196-976E-7AD3652B245F}"/>
    <cellStyle name="Normal 5 4 2 8 3" xfId="20407" xr:uid="{5B2EF9E6-CBCA-456F-A332-D290A98CA05E}"/>
    <cellStyle name="Normal 5 4 2 8 4" xfId="11126" xr:uid="{09F999D4-F637-4D3F-A90C-3F4DE2561840}"/>
    <cellStyle name="Normal 5 4 2 9" xfId="4829" xr:uid="{00000000-0005-0000-0000-0000FD1A0000}"/>
    <cellStyle name="Normal 5 4 2 9 2" xfId="22559" xr:uid="{B6AF89C4-6AB1-4DBE-84EC-34A0DE701A68}"/>
    <cellStyle name="Normal 5 4 2 9 3" xfId="13279" xr:uid="{07FB0D56-371A-46BE-B64F-D9879A641B10}"/>
    <cellStyle name="Normal 5 4 3" xfId="461" xr:uid="{00000000-0005-0000-0000-0000FE1A0000}"/>
    <cellStyle name="Normal 5 4 3 10" xfId="17512" xr:uid="{9FC6F6E9-9234-4880-B23D-E67E9AD6CB72}"/>
    <cellStyle name="Normal 5 4 3 11" xfId="9065" xr:uid="{E01CDCFF-A6B6-4BEA-B754-9F95F85F5B12}"/>
    <cellStyle name="Normal 5 4 3 2" xfId="462" xr:uid="{00000000-0005-0000-0000-0000FF1A0000}"/>
    <cellStyle name="Normal 5 4 3 2 10" xfId="9066" xr:uid="{9E217816-CBE9-42FD-8995-A80D84615C82}"/>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25122" xr:uid="{BDFBBD0B-267B-4D86-AA09-59254C707A18}"/>
    <cellStyle name="Normal 5 4 3 2 2 2 2 3" xfId="15842" xr:uid="{F7A50FDC-3335-4318-AC77-0A834D921ED9}"/>
    <cellStyle name="Normal 5 4 3 2 2 2 3" xfId="20905" xr:uid="{3663AFD5-C249-4615-88C7-FA36603345CD}"/>
    <cellStyle name="Normal 5 4 3 2 2 2 4" xfId="11624" xr:uid="{CE02E277-BAED-4283-9934-9CD8B07E80CC}"/>
    <cellStyle name="Normal 5 4 3 2 2 3" xfId="5247" xr:uid="{00000000-0005-0000-0000-0000031B0000}"/>
    <cellStyle name="Normal 5 4 3 2 2 3 2" xfId="22977" xr:uid="{321136BF-47DE-4721-AB18-654153243546}"/>
    <cellStyle name="Normal 5 4 3 2 2 3 3" xfId="13697" xr:uid="{2939AA67-C48C-46D1-9433-2CD0278BE54D}"/>
    <cellStyle name="Normal 5 4 3 2 2 4" xfId="18760" xr:uid="{8485781A-737A-4F7E-96F0-4089CE25270A}"/>
    <cellStyle name="Normal 5 4 3 2 2 5" xfId="17932" xr:uid="{2E024746-A440-4D10-9797-4FB59002C9FB}"/>
    <cellStyle name="Normal 5 4 3 2 2 6" xfId="9479" xr:uid="{78582C7A-F72D-4DFE-8764-9810D67D71E2}"/>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25535" xr:uid="{45F9B17B-E71D-41C2-BB1C-E04D4B50B76A}"/>
    <cellStyle name="Normal 5 4 3 2 3 2 2 3" xfId="16255" xr:uid="{2D9C8AE1-15B9-4799-BF3B-BFD0BD443E8D}"/>
    <cellStyle name="Normal 5 4 3 2 3 2 3" xfId="21318" xr:uid="{0D9832F8-6FAC-410B-B50D-D46D45E4ED79}"/>
    <cellStyle name="Normal 5 4 3 2 3 2 4" xfId="12037" xr:uid="{54539B23-1BD5-45A6-B75E-FE983269BC08}"/>
    <cellStyle name="Normal 5 4 3 2 3 3" xfId="5660" xr:uid="{00000000-0005-0000-0000-0000071B0000}"/>
    <cellStyle name="Normal 5 4 3 2 3 3 2" xfId="23390" xr:uid="{033E1C69-FF43-4F29-8F33-26C507B68138}"/>
    <cellStyle name="Normal 5 4 3 2 3 3 3" xfId="14110" xr:uid="{F0C904DC-A70D-485F-B54E-444497692C94}"/>
    <cellStyle name="Normal 5 4 3 2 3 4" xfId="19173" xr:uid="{CF53281A-D935-474E-8753-41318E2B1096}"/>
    <cellStyle name="Normal 5 4 3 2 3 5" xfId="9892" xr:uid="{E0BB26D0-8FF7-4AEE-8A1D-258F9009D270}"/>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25948" xr:uid="{DCEEE0B7-F4FA-432B-81E6-815974DBAC92}"/>
    <cellStyle name="Normal 5 4 3 2 4 2 2 3" xfId="16668" xr:uid="{84DEA68A-E8A2-403B-914E-AC27888C22A9}"/>
    <cellStyle name="Normal 5 4 3 2 4 2 3" xfId="21731" xr:uid="{E9FC92A9-2E8C-4AFF-AFB1-AB7581C2F9A1}"/>
    <cellStyle name="Normal 5 4 3 2 4 2 4" xfId="12450" xr:uid="{C4225C42-5440-4EC7-BF16-C45D302E395F}"/>
    <cellStyle name="Normal 5 4 3 2 4 3" xfId="6073" xr:uid="{00000000-0005-0000-0000-00000B1B0000}"/>
    <cellStyle name="Normal 5 4 3 2 4 3 2" xfId="23803" xr:uid="{E2DFA686-3BEE-4F22-A755-DE1C3BF75A15}"/>
    <cellStyle name="Normal 5 4 3 2 4 3 3" xfId="14523" xr:uid="{8DDEFD57-734A-47FD-9D27-5D4EF5161E85}"/>
    <cellStyle name="Normal 5 4 3 2 4 4" xfId="19586" xr:uid="{112D1A59-57F8-4BB0-B687-9BFD03E625CA}"/>
    <cellStyle name="Normal 5 4 3 2 4 5" xfId="10305" xr:uid="{CBEA6DAE-0665-4F01-AB96-A1040B19B615}"/>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26361" xr:uid="{4773726B-3333-4438-8CD6-7641F4989F28}"/>
    <cellStyle name="Normal 5 4 3 2 5 2 2 3" xfId="17081" xr:uid="{60C3919B-567D-4D60-ACF5-BC82D7338130}"/>
    <cellStyle name="Normal 5 4 3 2 5 2 3" xfId="22144" xr:uid="{82F61D9C-4F2A-4523-B406-05EC2ADBCA05}"/>
    <cellStyle name="Normal 5 4 3 2 5 2 4" xfId="12863" xr:uid="{D51A38FA-47B6-4555-8121-75F0A2773854}"/>
    <cellStyle name="Normal 5 4 3 2 5 3" xfId="6486" xr:uid="{00000000-0005-0000-0000-00000F1B0000}"/>
    <cellStyle name="Normal 5 4 3 2 5 3 2" xfId="24216" xr:uid="{E391C6FF-A955-430B-9260-C9B9C6C43600}"/>
    <cellStyle name="Normal 5 4 3 2 5 3 3" xfId="14936" xr:uid="{306B159D-A052-4F64-AA04-5DD272572F38}"/>
    <cellStyle name="Normal 5 4 3 2 5 4" xfId="19999" xr:uid="{7444D572-13C2-476A-B527-1F1C17BEB5A6}"/>
    <cellStyle name="Normal 5 4 3 2 5 5" xfId="10718" xr:uid="{E58CB116-56ED-4C88-9808-6D3815D272C8}"/>
    <cellStyle name="Normal 5 4 3 2 6" xfId="2616" xr:uid="{00000000-0005-0000-0000-0000101B0000}"/>
    <cellStyle name="Normal 5 4 3 2 6 2" xfId="6899" xr:uid="{00000000-0005-0000-0000-0000111B0000}"/>
    <cellStyle name="Normal 5 4 3 2 6 2 2" xfId="24629" xr:uid="{B1256364-02A2-4FFD-B78D-C187B2F26690}"/>
    <cellStyle name="Normal 5 4 3 2 6 2 3" xfId="15349" xr:uid="{3EDE71B3-770C-4FBC-B193-3511D03B6769}"/>
    <cellStyle name="Normal 5 4 3 2 6 3" xfId="20412" xr:uid="{DA6A4AE6-85B2-4ABC-999B-D76C5BB69CE4}"/>
    <cellStyle name="Normal 5 4 3 2 6 4" xfId="11131" xr:uid="{2F93C030-F613-4DE5-84F3-21B949984569}"/>
    <cellStyle name="Normal 5 4 3 2 7" xfId="4834" xr:uid="{00000000-0005-0000-0000-0000121B0000}"/>
    <cellStyle name="Normal 5 4 3 2 7 2" xfId="22564" xr:uid="{88ED4AD5-11F3-49A5-95CA-BEE1B332DC7C}"/>
    <cellStyle name="Normal 5 4 3 2 7 3" xfId="13284" xr:uid="{01353D6D-7BE8-4A6F-8E23-FD93D3DA06DE}"/>
    <cellStyle name="Normal 5 4 3 2 8" xfId="18347" xr:uid="{A08E7063-0519-460A-AFE2-247A937CAAC8}"/>
    <cellStyle name="Normal 5 4 3 2 9" xfId="17513" xr:uid="{D676197E-2D52-4074-919C-5B69AE50FBF2}"/>
    <cellStyle name="Normal 5 4 3 3" xfId="935" xr:uid="{00000000-0005-0000-0000-0000131B0000}"/>
    <cellStyle name="Normal 5 4 3 3 2" xfId="3169" xr:uid="{00000000-0005-0000-0000-0000141B0000}"/>
    <cellStyle name="Normal 5 4 3 3 2 2" xfId="7391" xr:uid="{00000000-0005-0000-0000-0000151B0000}"/>
    <cellStyle name="Normal 5 4 3 3 2 2 2" xfId="25121" xr:uid="{C2453E09-D5C7-4A90-990A-150D1B326B57}"/>
    <cellStyle name="Normal 5 4 3 3 2 2 3" xfId="15841" xr:uid="{9569652C-D482-4025-8492-069A2145539A}"/>
    <cellStyle name="Normal 5 4 3 3 2 3" xfId="20904" xr:uid="{B4E77428-DABA-4117-A312-59069875412E}"/>
    <cellStyle name="Normal 5 4 3 3 2 4" xfId="11623" xr:uid="{85557A8C-B268-401D-B9B2-646790A37CFE}"/>
    <cellStyle name="Normal 5 4 3 3 3" xfId="5246" xr:uid="{00000000-0005-0000-0000-0000161B0000}"/>
    <cellStyle name="Normal 5 4 3 3 3 2" xfId="22976" xr:uid="{E992F809-8212-47BF-81D3-1DDE8AE1016C}"/>
    <cellStyle name="Normal 5 4 3 3 3 3" xfId="13696" xr:uid="{16523AD3-3DE9-491B-AED0-04DD696EADE5}"/>
    <cellStyle name="Normal 5 4 3 3 4" xfId="18759" xr:uid="{A558B2D0-EF39-4D8D-8644-96F4577287F6}"/>
    <cellStyle name="Normal 5 4 3 3 5" xfId="17931" xr:uid="{082AFBA8-5A80-424B-827E-1D36156B02EB}"/>
    <cellStyle name="Normal 5 4 3 3 6" xfId="9478" xr:uid="{8F2DF1A1-493C-480F-A06E-74A4F70B793E}"/>
    <cellStyle name="Normal 5 4 3 4" xfId="1352" xr:uid="{00000000-0005-0000-0000-0000171B0000}"/>
    <cellStyle name="Normal 5 4 3 4 2" xfId="3582" xr:uid="{00000000-0005-0000-0000-0000181B0000}"/>
    <cellStyle name="Normal 5 4 3 4 2 2" xfId="7804" xr:uid="{00000000-0005-0000-0000-0000191B0000}"/>
    <cellStyle name="Normal 5 4 3 4 2 2 2" xfId="25534" xr:uid="{CD26B9A9-9BEC-4615-ADD8-3861A05DE534}"/>
    <cellStyle name="Normal 5 4 3 4 2 2 3" xfId="16254" xr:uid="{59E57C98-1DFB-4518-9D7C-7EE637FEF5A6}"/>
    <cellStyle name="Normal 5 4 3 4 2 3" xfId="21317" xr:uid="{466DFB1E-5E21-4E86-9556-7622FE359A81}"/>
    <cellStyle name="Normal 5 4 3 4 2 4" xfId="12036" xr:uid="{01B29CA7-728D-4EFF-94D0-4F7E6B033300}"/>
    <cellStyle name="Normal 5 4 3 4 3" xfId="5659" xr:uid="{00000000-0005-0000-0000-00001A1B0000}"/>
    <cellStyle name="Normal 5 4 3 4 3 2" xfId="23389" xr:uid="{C2FA0EBD-2560-4683-8422-3B592D59FADB}"/>
    <cellStyle name="Normal 5 4 3 4 3 3" xfId="14109" xr:uid="{3F448798-B9F3-4726-B7E2-A55E96C2C838}"/>
    <cellStyle name="Normal 5 4 3 4 4" xfId="19172" xr:uid="{FD6C6E62-1572-4512-B385-838B04C003D3}"/>
    <cellStyle name="Normal 5 4 3 4 5" xfId="9891" xr:uid="{3B3D1EA3-A358-490C-A8A8-D29158337A5F}"/>
    <cellStyle name="Normal 5 4 3 5" xfId="1765" xr:uid="{00000000-0005-0000-0000-00001B1B0000}"/>
    <cellStyle name="Normal 5 4 3 5 2" xfId="3995" xr:uid="{00000000-0005-0000-0000-00001C1B0000}"/>
    <cellStyle name="Normal 5 4 3 5 2 2" xfId="8217" xr:uid="{00000000-0005-0000-0000-00001D1B0000}"/>
    <cellStyle name="Normal 5 4 3 5 2 2 2" xfId="25947" xr:uid="{3BB1F174-02AF-4020-9609-8FC0255D5745}"/>
    <cellStyle name="Normal 5 4 3 5 2 2 3" xfId="16667" xr:uid="{55FB8FAD-A7FD-4BF0-9FD3-396935B2A813}"/>
    <cellStyle name="Normal 5 4 3 5 2 3" xfId="21730" xr:uid="{B82B8E37-3E9A-4C3D-BBC7-6E1147FFE74A}"/>
    <cellStyle name="Normal 5 4 3 5 2 4" xfId="12449" xr:uid="{9914396E-035E-4F06-85ED-50FF2B34D53C}"/>
    <cellStyle name="Normal 5 4 3 5 3" xfId="6072" xr:uid="{00000000-0005-0000-0000-00001E1B0000}"/>
    <cellStyle name="Normal 5 4 3 5 3 2" xfId="23802" xr:uid="{97A42BDB-F20C-48AB-9649-69D8CDD72304}"/>
    <cellStyle name="Normal 5 4 3 5 3 3" xfId="14522" xr:uid="{D700BBCE-ECEF-4E4A-8824-FB7AE9AC6ACC}"/>
    <cellStyle name="Normal 5 4 3 5 4" xfId="19585" xr:uid="{874325AB-1147-4E4D-BEC0-A010DA750F18}"/>
    <cellStyle name="Normal 5 4 3 5 5" xfId="10304" xr:uid="{8D930191-6CDA-44A4-BEAE-749DFF7947DD}"/>
    <cellStyle name="Normal 5 4 3 6" xfId="2179" xr:uid="{00000000-0005-0000-0000-00001F1B0000}"/>
    <cellStyle name="Normal 5 4 3 6 2" xfId="4408" xr:uid="{00000000-0005-0000-0000-0000201B0000}"/>
    <cellStyle name="Normal 5 4 3 6 2 2" xfId="8630" xr:uid="{00000000-0005-0000-0000-0000211B0000}"/>
    <cellStyle name="Normal 5 4 3 6 2 2 2" xfId="26360" xr:uid="{C10B1293-90B0-45A7-9916-5891FDFEF663}"/>
    <cellStyle name="Normal 5 4 3 6 2 2 3" xfId="17080" xr:uid="{E51DA733-172E-4F99-8A45-1BEEE0780160}"/>
    <cellStyle name="Normal 5 4 3 6 2 3" xfId="22143" xr:uid="{F1CB0793-E694-4880-92B6-5BAF59970E4F}"/>
    <cellStyle name="Normal 5 4 3 6 2 4" xfId="12862" xr:uid="{3B5A45C5-F739-45B0-87B3-CAB7A9CA42A6}"/>
    <cellStyle name="Normal 5 4 3 6 3" xfId="6485" xr:uid="{00000000-0005-0000-0000-0000221B0000}"/>
    <cellStyle name="Normal 5 4 3 6 3 2" xfId="24215" xr:uid="{7383FC36-9089-41DC-AFEF-DAE82859619E}"/>
    <cellStyle name="Normal 5 4 3 6 3 3" xfId="14935" xr:uid="{BBBE8A55-729C-44EE-BC10-98E8096E6B4A}"/>
    <cellStyle name="Normal 5 4 3 6 4" xfId="19998" xr:uid="{8EE2786E-5CD4-48CA-9731-14DDD8C99EF1}"/>
    <cellStyle name="Normal 5 4 3 6 5" xfId="10717" xr:uid="{CE9DA5E7-EE65-435A-812D-3627B89DC95C}"/>
    <cellStyle name="Normal 5 4 3 7" xfId="2615" xr:uid="{00000000-0005-0000-0000-0000231B0000}"/>
    <cellStyle name="Normal 5 4 3 7 2" xfId="6898" xr:uid="{00000000-0005-0000-0000-0000241B0000}"/>
    <cellStyle name="Normal 5 4 3 7 2 2" xfId="24628" xr:uid="{CDF4DAB2-0B71-4B99-8E4C-BA4F7158D42F}"/>
    <cellStyle name="Normal 5 4 3 7 2 3" xfId="15348" xr:uid="{EF20981A-218B-47F0-AA1F-EA8334864647}"/>
    <cellStyle name="Normal 5 4 3 7 3" xfId="20411" xr:uid="{C7C8C0C2-787C-42B6-BB26-61C87FA4F8EF}"/>
    <cellStyle name="Normal 5 4 3 7 4" xfId="11130" xr:uid="{C0AFAD8C-B5CA-4DBA-A682-AABD8DBB8D70}"/>
    <cellStyle name="Normal 5 4 3 8" xfId="4833" xr:uid="{00000000-0005-0000-0000-0000251B0000}"/>
    <cellStyle name="Normal 5 4 3 8 2" xfId="22563" xr:uid="{435BC253-AAA0-4932-8221-939D795EA302}"/>
    <cellStyle name="Normal 5 4 3 8 3" xfId="13283" xr:uid="{F09B1451-735A-4174-A7CE-7293214BDA7D}"/>
    <cellStyle name="Normal 5 4 3 9" xfId="18346" xr:uid="{2DDA29E8-DBD3-4963-95AE-3FD272CB30A2}"/>
    <cellStyle name="Normal 5 4 4" xfId="463" xr:uid="{00000000-0005-0000-0000-0000261B0000}"/>
    <cellStyle name="Normal 5 4 4 10" xfId="9067" xr:uid="{2868760E-FD42-4CB6-8B92-BBC6424A6DC0}"/>
    <cellStyle name="Normal 5 4 4 2" xfId="937" xr:uid="{00000000-0005-0000-0000-0000271B0000}"/>
    <cellStyle name="Normal 5 4 4 2 2" xfId="3171" xr:uid="{00000000-0005-0000-0000-0000281B0000}"/>
    <cellStyle name="Normal 5 4 4 2 2 2" xfId="7393" xr:uid="{00000000-0005-0000-0000-0000291B0000}"/>
    <cellStyle name="Normal 5 4 4 2 2 2 2" xfId="25123" xr:uid="{EA534130-EBFF-44E2-825B-7A3DC18106A4}"/>
    <cellStyle name="Normal 5 4 4 2 2 2 3" xfId="15843" xr:uid="{45272418-A971-46EF-AB48-2F0ECAE67960}"/>
    <cellStyle name="Normal 5 4 4 2 2 3" xfId="20906" xr:uid="{284D223D-5CB4-43D8-8677-0A9CA227BA2B}"/>
    <cellStyle name="Normal 5 4 4 2 2 4" xfId="11625" xr:uid="{EFC93259-65C6-401A-BDE7-73AD30C0C3CF}"/>
    <cellStyle name="Normal 5 4 4 2 3" xfId="5248" xr:uid="{00000000-0005-0000-0000-00002A1B0000}"/>
    <cellStyle name="Normal 5 4 4 2 3 2" xfId="22978" xr:uid="{A2F0D6EC-414B-45CE-9DF5-BB123B7BCED5}"/>
    <cellStyle name="Normal 5 4 4 2 3 3" xfId="13698" xr:uid="{08E149C8-F813-40C6-B77C-0472815EE079}"/>
    <cellStyle name="Normal 5 4 4 2 4" xfId="18761" xr:uid="{916C37C3-108C-475B-A3F3-C51784251949}"/>
    <cellStyle name="Normal 5 4 4 2 5" xfId="17933" xr:uid="{6EDAEDED-AFA9-4C36-938F-1B32F9A2B36A}"/>
    <cellStyle name="Normal 5 4 4 2 6" xfId="9480" xr:uid="{7E180E1B-1ACF-4A1F-A503-8AA06BDA07BE}"/>
    <cellStyle name="Normal 5 4 4 3" xfId="1354" xr:uid="{00000000-0005-0000-0000-00002B1B0000}"/>
    <cellStyle name="Normal 5 4 4 3 2" xfId="3584" xr:uid="{00000000-0005-0000-0000-00002C1B0000}"/>
    <cellStyle name="Normal 5 4 4 3 2 2" xfId="7806" xr:uid="{00000000-0005-0000-0000-00002D1B0000}"/>
    <cellStyle name="Normal 5 4 4 3 2 2 2" xfId="25536" xr:uid="{280CF2D9-A75E-4A0F-9710-184D846D478F}"/>
    <cellStyle name="Normal 5 4 4 3 2 2 3" xfId="16256" xr:uid="{9AF02A3A-746F-4E0D-9BD4-A3D0C57653F9}"/>
    <cellStyle name="Normal 5 4 4 3 2 3" xfId="21319" xr:uid="{D79E2AFB-4533-4821-89A8-A49EC9D1BC47}"/>
    <cellStyle name="Normal 5 4 4 3 2 4" xfId="12038" xr:uid="{73F0E5D7-CDAC-474D-8254-88BB7A20AD4E}"/>
    <cellStyle name="Normal 5 4 4 3 3" xfId="5661" xr:uid="{00000000-0005-0000-0000-00002E1B0000}"/>
    <cellStyle name="Normal 5 4 4 3 3 2" xfId="23391" xr:uid="{7490CD77-3575-4208-8DDA-FDD4438937B4}"/>
    <cellStyle name="Normal 5 4 4 3 3 3" xfId="14111" xr:uid="{20211581-330F-4108-B100-96558FA72BE0}"/>
    <cellStyle name="Normal 5 4 4 3 4" xfId="19174" xr:uid="{E7CA51B3-1D2A-46A6-A9A8-9D577CE7E849}"/>
    <cellStyle name="Normal 5 4 4 3 5" xfId="9893" xr:uid="{231DDC6A-6562-401D-81F8-19AD271277A8}"/>
    <cellStyle name="Normal 5 4 4 4" xfId="1767" xr:uid="{00000000-0005-0000-0000-00002F1B0000}"/>
    <cellStyle name="Normal 5 4 4 4 2" xfId="3997" xr:uid="{00000000-0005-0000-0000-0000301B0000}"/>
    <cellStyle name="Normal 5 4 4 4 2 2" xfId="8219" xr:uid="{00000000-0005-0000-0000-0000311B0000}"/>
    <cellStyle name="Normal 5 4 4 4 2 2 2" xfId="25949" xr:uid="{F6BA339A-AB12-40D1-89C2-63578A737F15}"/>
    <cellStyle name="Normal 5 4 4 4 2 2 3" xfId="16669" xr:uid="{35A9C62B-D425-487A-8E13-C64D4F802DC2}"/>
    <cellStyle name="Normal 5 4 4 4 2 3" xfId="21732" xr:uid="{A17E7508-DD4F-4A76-82C7-F4A87D1BCCB8}"/>
    <cellStyle name="Normal 5 4 4 4 2 4" xfId="12451" xr:uid="{592BBAD0-868B-4509-B722-D2011B32E28C}"/>
    <cellStyle name="Normal 5 4 4 4 3" xfId="6074" xr:uid="{00000000-0005-0000-0000-0000321B0000}"/>
    <cellStyle name="Normal 5 4 4 4 3 2" xfId="23804" xr:uid="{268F306E-D6E0-44F9-824C-F121C5E332C0}"/>
    <cellStyle name="Normal 5 4 4 4 3 3" xfId="14524" xr:uid="{DCEF758B-AEB3-46ED-BE61-1108BB467D02}"/>
    <cellStyle name="Normal 5 4 4 4 4" xfId="19587" xr:uid="{0B106B12-4C29-4512-B7C8-C7D6D4C0A7D0}"/>
    <cellStyle name="Normal 5 4 4 4 5" xfId="10306" xr:uid="{09EFF300-7943-417F-BF4D-7FF50EFD6FDC}"/>
    <cellStyle name="Normal 5 4 4 5" xfId="2181" xr:uid="{00000000-0005-0000-0000-0000331B0000}"/>
    <cellStyle name="Normal 5 4 4 5 2" xfId="4410" xr:uid="{00000000-0005-0000-0000-0000341B0000}"/>
    <cellStyle name="Normal 5 4 4 5 2 2" xfId="8632" xr:uid="{00000000-0005-0000-0000-0000351B0000}"/>
    <cellStyle name="Normal 5 4 4 5 2 2 2" xfId="26362" xr:uid="{70222DC5-9847-4253-949A-A5C81C24329E}"/>
    <cellStyle name="Normal 5 4 4 5 2 2 3" xfId="17082" xr:uid="{4A45A0B3-2693-4B6C-A9C6-C6D0E97BD253}"/>
    <cellStyle name="Normal 5 4 4 5 2 3" xfId="22145" xr:uid="{E94A3FD1-67B7-41E6-B557-DC58287101E9}"/>
    <cellStyle name="Normal 5 4 4 5 2 4" xfId="12864" xr:uid="{3DB1FB9A-A327-4143-9FDC-15EEABDCED9B}"/>
    <cellStyle name="Normal 5 4 4 5 3" xfId="6487" xr:uid="{00000000-0005-0000-0000-0000361B0000}"/>
    <cellStyle name="Normal 5 4 4 5 3 2" xfId="24217" xr:uid="{2B8B7F19-0800-496D-B642-BCB745D52FBF}"/>
    <cellStyle name="Normal 5 4 4 5 3 3" xfId="14937" xr:uid="{275CFAF8-9144-4C55-841E-A5FD684D7792}"/>
    <cellStyle name="Normal 5 4 4 5 4" xfId="20000" xr:uid="{30453BF2-C105-42DC-BA71-AB655F5A516D}"/>
    <cellStyle name="Normal 5 4 4 5 5" xfId="10719" xr:uid="{0A0BE94A-F736-4542-B107-1583F667E208}"/>
    <cellStyle name="Normal 5 4 4 6" xfId="2617" xr:uid="{00000000-0005-0000-0000-0000371B0000}"/>
    <cellStyle name="Normal 5 4 4 6 2" xfId="6900" xr:uid="{00000000-0005-0000-0000-0000381B0000}"/>
    <cellStyle name="Normal 5 4 4 6 2 2" xfId="24630" xr:uid="{133F4C87-480D-42AC-A23B-361BB97A2C93}"/>
    <cellStyle name="Normal 5 4 4 6 2 3" xfId="15350" xr:uid="{93AD9B7B-20AB-4555-A0DE-3AA00402FBAD}"/>
    <cellStyle name="Normal 5 4 4 6 3" xfId="20413" xr:uid="{1BDDC3E6-5688-4ED3-9936-80C567B2AE1C}"/>
    <cellStyle name="Normal 5 4 4 6 4" xfId="11132" xr:uid="{EEC65FF0-206C-4E0E-9295-5CDC07410D3C}"/>
    <cellStyle name="Normal 5 4 4 7" xfId="4835" xr:uid="{00000000-0005-0000-0000-0000391B0000}"/>
    <cellStyle name="Normal 5 4 4 7 2" xfId="22565" xr:uid="{F9CDD92E-E03B-4A07-8580-B6B6B7C6DD44}"/>
    <cellStyle name="Normal 5 4 4 7 3" xfId="13285" xr:uid="{DDF42C5A-F4C8-4B92-B021-DDD9CA619DC1}"/>
    <cellStyle name="Normal 5 4 4 8" xfId="18348" xr:uid="{19D418A5-034A-4C0F-A2FC-7670179185E2}"/>
    <cellStyle name="Normal 5 4 4 9" xfId="17514" xr:uid="{F50F2524-A737-4189-95AF-5AAB76EF806B}"/>
    <cellStyle name="Normal 5 4 5" xfId="930" xr:uid="{00000000-0005-0000-0000-00003A1B0000}"/>
    <cellStyle name="Normal 5 4 5 2" xfId="3164" xr:uid="{00000000-0005-0000-0000-00003B1B0000}"/>
    <cellStyle name="Normal 5 4 5 2 2" xfId="7386" xr:uid="{00000000-0005-0000-0000-00003C1B0000}"/>
    <cellStyle name="Normal 5 4 5 2 2 2" xfId="25116" xr:uid="{9E5F67F3-8317-43F5-9793-D3AB7B06C257}"/>
    <cellStyle name="Normal 5 4 5 2 2 3" xfId="15836" xr:uid="{D3D6C99D-CE6C-4715-A461-5DD3BED18356}"/>
    <cellStyle name="Normal 5 4 5 2 3" xfId="20899" xr:uid="{226E3DB8-C316-4785-8BF8-901FA1E51093}"/>
    <cellStyle name="Normal 5 4 5 2 4" xfId="11618" xr:uid="{5ED23040-8B5F-4C3A-BEE9-C35BDB5F6A59}"/>
    <cellStyle name="Normal 5 4 5 3" xfId="5241" xr:uid="{00000000-0005-0000-0000-00003D1B0000}"/>
    <cellStyle name="Normal 5 4 5 3 2" xfId="22971" xr:uid="{D8E22FE9-6DB8-4154-87DA-F423A4F4091A}"/>
    <cellStyle name="Normal 5 4 5 3 3" xfId="13691" xr:uid="{8D7AD0A2-AF46-459A-A970-0134033016C9}"/>
    <cellStyle name="Normal 5 4 5 4" xfId="18754" xr:uid="{2D68F6AD-F997-4E6E-A3E2-E3A383F3EDFE}"/>
    <cellStyle name="Normal 5 4 5 5" xfId="17926" xr:uid="{1522642D-FEE2-4AB6-A534-2F3A2154F6A4}"/>
    <cellStyle name="Normal 5 4 5 6" xfId="9473" xr:uid="{D0082F41-B928-4292-B6BB-9C381C318AB3}"/>
    <cellStyle name="Normal 5 4 6" xfId="1347" xr:uid="{00000000-0005-0000-0000-00003E1B0000}"/>
    <cellStyle name="Normal 5 4 6 2" xfId="3577" xr:uid="{00000000-0005-0000-0000-00003F1B0000}"/>
    <cellStyle name="Normal 5 4 6 2 2" xfId="7799" xr:uid="{00000000-0005-0000-0000-0000401B0000}"/>
    <cellStyle name="Normal 5 4 6 2 2 2" xfId="25529" xr:uid="{8934530E-E07F-41D4-AF80-F7D44751DC15}"/>
    <cellStyle name="Normal 5 4 6 2 2 3" xfId="16249" xr:uid="{5A843224-E575-43E8-9DC5-A5573987F3E5}"/>
    <cellStyle name="Normal 5 4 6 2 3" xfId="21312" xr:uid="{81D89DC8-FFE9-442A-A5E7-18859FCBF41F}"/>
    <cellStyle name="Normal 5 4 6 2 4" xfId="12031" xr:uid="{75696EAC-536D-4E58-98BD-D6C47DA51833}"/>
    <cellStyle name="Normal 5 4 6 3" xfId="5654" xr:uid="{00000000-0005-0000-0000-0000411B0000}"/>
    <cellStyle name="Normal 5 4 6 3 2" xfId="23384" xr:uid="{C50BB52D-C61D-4A3F-980C-7BD14006F5A5}"/>
    <cellStyle name="Normal 5 4 6 3 3" xfId="14104" xr:uid="{2D4B99F9-A575-47AC-9E28-B42A85842160}"/>
    <cellStyle name="Normal 5 4 6 4" xfId="19167" xr:uid="{89977F23-FDC8-4109-BEFB-A86903EA657C}"/>
    <cellStyle name="Normal 5 4 6 5" xfId="9886" xr:uid="{8748DFF3-B497-4B80-9ADF-211E72AF9966}"/>
    <cellStyle name="Normal 5 4 7" xfId="1760" xr:uid="{00000000-0005-0000-0000-0000421B0000}"/>
    <cellStyle name="Normal 5 4 7 2" xfId="3990" xr:uid="{00000000-0005-0000-0000-0000431B0000}"/>
    <cellStyle name="Normal 5 4 7 2 2" xfId="8212" xr:uid="{00000000-0005-0000-0000-0000441B0000}"/>
    <cellStyle name="Normal 5 4 7 2 2 2" xfId="25942" xr:uid="{8DDAC004-903A-4405-BC98-764EDE1B37AC}"/>
    <cellStyle name="Normal 5 4 7 2 2 3" xfId="16662" xr:uid="{CB427140-7F48-4CB3-8626-2C988786EABC}"/>
    <cellStyle name="Normal 5 4 7 2 3" xfId="21725" xr:uid="{AB5CA204-53F7-4147-9F4A-DBA828E54FB0}"/>
    <cellStyle name="Normal 5 4 7 2 4" xfId="12444" xr:uid="{AD4E67F4-C040-4E30-9B6B-C486FCE7F830}"/>
    <cellStyle name="Normal 5 4 7 3" xfId="6067" xr:uid="{00000000-0005-0000-0000-0000451B0000}"/>
    <cellStyle name="Normal 5 4 7 3 2" xfId="23797" xr:uid="{3974D856-AE74-450F-9489-F4F5CE9A0AEA}"/>
    <cellStyle name="Normal 5 4 7 3 3" xfId="14517" xr:uid="{D2C6FB1D-A1F5-4E36-B6DA-8429A81D790D}"/>
    <cellStyle name="Normal 5 4 7 4" xfId="19580" xr:uid="{2868B3CA-C1E4-4A84-8A4B-14BD0CFB09AE}"/>
    <cellStyle name="Normal 5 4 7 5" xfId="10299" xr:uid="{D5280A4F-F327-4E31-9707-4623D982F68F}"/>
    <cellStyle name="Normal 5 4 8" xfId="2174" xr:uid="{00000000-0005-0000-0000-0000461B0000}"/>
    <cellStyle name="Normal 5 4 8 2" xfId="4403" xr:uid="{00000000-0005-0000-0000-0000471B0000}"/>
    <cellStyle name="Normal 5 4 8 2 2" xfId="8625" xr:uid="{00000000-0005-0000-0000-0000481B0000}"/>
    <cellStyle name="Normal 5 4 8 2 2 2" xfId="26355" xr:uid="{7E31E239-F15C-45AE-9CBF-A74A81B23D35}"/>
    <cellStyle name="Normal 5 4 8 2 2 3" xfId="17075" xr:uid="{111CE3E4-FB67-49E1-8128-9D0494D26624}"/>
    <cellStyle name="Normal 5 4 8 2 3" xfId="22138" xr:uid="{D0725077-B39E-48C9-A3A4-7C026AE7146E}"/>
    <cellStyle name="Normal 5 4 8 2 4" xfId="12857" xr:uid="{946A85BB-E79A-4285-9BAE-573DB82D79C6}"/>
    <cellStyle name="Normal 5 4 8 3" xfId="6480" xr:uid="{00000000-0005-0000-0000-0000491B0000}"/>
    <cellStyle name="Normal 5 4 8 3 2" xfId="24210" xr:uid="{E9B4AEA8-19EC-469B-9BFF-B0D2A7888EDE}"/>
    <cellStyle name="Normal 5 4 8 3 3" xfId="14930" xr:uid="{07429672-4A48-429C-AA23-44E5D0A14A15}"/>
    <cellStyle name="Normal 5 4 8 4" xfId="19993" xr:uid="{610DC35B-0B9F-476D-9A78-F252645C2D6B}"/>
    <cellStyle name="Normal 5 4 8 5" xfId="10712" xr:uid="{9BB8C3A4-C0BA-4753-8AB2-B0B3AA403BBE}"/>
    <cellStyle name="Normal 5 4 9" xfId="2610" xr:uid="{00000000-0005-0000-0000-00004A1B0000}"/>
    <cellStyle name="Normal 5 4 9 2" xfId="6893" xr:uid="{00000000-0005-0000-0000-00004B1B0000}"/>
    <cellStyle name="Normal 5 4 9 2 2" xfId="24623" xr:uid="{8501E5E3-D856-4F0F-B35D-463BF3D74E82}"/>
    <cellStyle name="Normal 5 4 9 2 3" xfId="15343" xr:uid="{8AAE7FF7-1F7A-46B1-AC07-D0890EA850D5}"/>
    <cellStyle name="Normal 5 4 9 3" xfId="20406" xr:uid="{45737052-55BC-4A66-A4BB-06058BACA7B3}"/>
    <cellStyle name="Normal 5 4 9 4" xfId="11125" xr:uid="{8BE84AF3-F7FC-44D5-9A51-7D2B2F0F693C}"/>
    <cellStyle name="Normal 5 5" xfId="464" xr:uid="{00000000-0005-0000-0000-00004C1B0000}"/>
    <cellStyle name="Normal 5 5 10" xfId="18349" xr:uid="{8A499FBF-B0DC-4DFD-9C77-C1CC7B026CA2}"/>
    <cellStyle name="Normal 5 5 11" xfId="17515" xr:uid="{5334BD90-19C9-4437-ADF6-59F1A2EF29DD}"/>
    <cellStyle name="Normal 5 5 12" xfId="9068" xr:uid="{00673E65-691D-470C-8FE7-A601BEF5F1EC}"/>
    <cellStyle name="Normal 5 5 2" xfId="465" xr:uid="{00000000-0005-0000-0000-00004D1B0000}"/>
    <cellStyle name="Normal 5 5 2 10" xfId="17516" xr:uid="{598BC5EE-9956-45BA-A834-830B550FD40B}"/>
    <cellStyle name="Normal 5 5 2 11" xfId="9069" xr:uid="{F2B323AB-2A42-4279-831B-593A78877B85}"/>
    <cellStyle name="Normal 5 5 2 2" xfId="466" xr:uid="{00000000-0005-0000-0000-00004E1B0000}"/>
    <cellStyle name="Normal 5 5 2 2 10" xfId="9070" xr:uid="{D6D918E8-278F-4B2B-B55C-5F60A474A7DC}"/>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25126" xr:uid="{5E585E42-9020-49B5-B0E3-E101E2CDCCC6}"/>
    <cellStyle name="Normal 5 5 2 2 2 2 2 3" xfId="15846" xr:uid="{99B15AA2-CDCA-435E-95B6-97235B707593}"/>
    <cellStyle name="Normal 5 5 2 2 2 2 3" xfId="20909" xr:uid="{C67483A5-1A26-40D6-A37B-AC2E951099CD}"/>
    <cellStyle name="Normal 5 5 2 2 2 2 4" xfId="11628" xr:uid="{430A9BC5-BB3C-4BC4-9BC8-0866AA4EBE9A}"/>
    <cellStyle name="Normal 5 5 2 2 2 3" xfId="5251" xr:uid="{00000000-0005-0000-0000-0000521B0000}"/>
    <cellStyle name="Normal 5 5 2 2 2 3 2" xfId="22981" xr:uid="{8F29C02D-4393-4667-B36D-55D7F1E3C6AA}"/>
    <cellStyle name="Normal 5 5 2 2 2 3 3" xfId="13701" xr:uid="{9431D929-84BF-46C4-B145-8FAE7F2E8C93}"/>
    <cellStyle name="Normal 5 5 2 2 2 4" xfId="18764" xr:uid="{5FD40D55-41DF-4959-8DF6-D3F52792A3DD}"/>
    <cellStyle name="Normal 5 5 2 2 2 5" xfId="17936" xr:uid="{6428DE44-776C-475C-A557-335D5824E343}"/>
    <cellStyle name="Normal 5 5 2 2 2 6" xfId="9483" xr:uid="{522E8235-5656-4E23-8CCF-FC627F1CE0DE}"/>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25539" xr:uid="{D408D50D-C55A-4849-B69A-B59B89E647E0}"/>
    <cellStyle name="Normal 5 5 2 2 3 2 2 3" xfId="16259" xr:uid="{CC8AE878-03FD-423A-847A-5309ADF6FC85}"/>
    <cellStyle name="Normal 5 5 2 2 3 2 3" xfId="21322" xr:uid="{A78F4CFF-F753-467F-95DB-F1854F4B6B77}"/>
    <cellStyle name="Normal 5 5 2 2 3 2 4" xfId="12041" xr:uid="{09F5926D-CC8C-4323-9999-1F4C84DF02B1}"/>
    <cellStyle name="Normal 5 5 2 2 3 3" xfId="5664" xr:uid="{00000000-0005-0000-0000-0000561B0000}"/>
    <cellStyle name="Normal 5 5 2 2 3 3 2" xfId="23394" xr:uid="{564C6E36-2B5D-4B70-B74B-5B01A85B9F9B}"/>
    <cellStyle name="Normal 5 5 2 2 3 3 3" xfId="14114" xr:uid="{B43AD2B8-D84B-4639-9C02-863E8B0EFE9C}"/>
    <cellStyle name="Normal 5 5 2 2 3 4" xfId="19177" xr:uid="{846DB356-BACC-4C52-A302-539962332DE2}"/>
    <cellStyle name="Normal 5 5 2 2 3 5" xfId="9896" xr:uid="{53CF6C9B-A96B-4769-B9D7-7ABB6D402A7A}"/>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25952" xr:uid="{3F3A6698-CBAB-437F-9837-1072A08B0EAD}"/>
    <cellStyle name="Normal 5 5 2 2 4 2 2 3" xfId="16672" xr:uid="{5B6CF98B-62B6-43FF-9531-B723FA0AC6C9}"/>
    <cellStyle name="Normal 5 5 2 2 4 2 3" xfId="21735" xr:uid="{A074BAC4-9615-49D4-A08F-FF54BB210CAB}"/>
    <cellStyle name="Normal 5 5 2 2 4 2 4" xfId="12454" xr:uid="{373728CD-C20D-4828-8172-F6DABEF99359}"/>
    <cellStyle name="Normal 5 5 2 2 4 3" xfId="6077" xr:uid="{00000000-0005-0000-0000-00005A1B0000}"/>
    <cellStyle name="Normal 5 5 2 2 4 3 2" xfId="23807" xr:uid="{3E2EC138-BF89-45DE-8BFA-44DDE3771920}"/>
    <cellStyle name="Normal 5 5 2 2 4 3 3" xfId="14527" xr:uid="{710FD8AC-B464-4844-A948-DD3DE19E5ABA}"/>
    <cellStyle name="Normal 5 5 2 2 4 4" xfId="19590" xr:uid="{8CA351FA-90E8-4DC1-B386-B2B7C847597C}"/>
    <cellStyle name="Normal 5 5 2 2 4 5" xfId="10309" xr:uid="{AD905923-A4AF-4785-9BDB-995DB76BEBF5}"/>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26365" xr:uid="{37C2694A-390B-4A9B-B2FF-5396DE133C06}"/>
    <cellStyle name="Normal 5 5 2 2 5 2 2 3" xfId="17085" xr:uid="{962DB20B-6339-4D5B-AEF0-B4EB6D3FBFA6}"/>
    <cellStyle name="Normal 5 5 2 2 5 2 3" xfId="22148" xr:uid="{21CE46A5-63CC-4879-AC93-96B244E236C8}"/>
    <cellStyle name="Normal 5 5 2 2 5 2 4" xfId="12867" xr:uid="{0FE87F4B-903C-4569-9EA2-661E7C63B329}"/>
    <cellStyle name="Normal 5 5 2 2 5 3" xfId="6490" xr:uid="{00000000-0005-0000-0000-00005E1B0000}"/>
    <cellStyle name="Normal 5 5 2 2 5 3 2" xfId="24220" xr:uid="{B2C29A34-C399-4DE9-8761-03175DA06C67}"/>
    <cellStyle name="Normal 5 5 2 2 5 3 3" xfId="14940" xr:uid="{84592BA5-46FA-488C-89D6-B5E58B569B88}"/>
    <cellStyle name="Normal 5 5 2 2 5 4" xfId="20003" xr:uid="{773ED00A-8395-4F89-8F59-F0C499962D52}"/>
    <cellStyle name="Normal 5 5 2 2 5 5" xfId="10722" xr:uid="{0F1A1ADE-F4E4-4528-B988-B905531980B0}"/>
    <cellStyle name="Normal 5 5 2 2 6" xfId="2620" xr:uid="{00000000-0005-0000-0000-00005F1B0000}"/>
    <cellStyle name="Normal 5 5 2 2 6 2" xfId="6903" xr:uid="{00000000-0005-0000-0000-0000601B0000}"/>
    <cellStyle name="Normal 5 5 2 2 6 2 2" xfId="24633" xr:uid="{D6CE1340-13CD-4F85-A86E-2E9FD94DA068}"/>
    <cellStyle name="Normal 5 5 2 2 6 2 3" xfId="15353" xr:uid="{AADE8981-C430-44A1-8437-7DF30FA0E0D9}"/>
    <cellStyle name="Normal 5 5 2 2 6 3" xfId="20416" xr:uid="{1B614E66-6271-4A61-91CB-18CF13BCACAB}"/>
    <cellStyle name="Normal 5 5 2 2 6 4" xfId="11135" xr:uid="{D2C51973-A451-4CD2-B8D9-7B576902FDEC}"/>
    <cellStyle name="Normal 5 5 2 2 7" xfId="4838" xr:uid="{00000000-0005-0000-0000-0000611B0000}"/>
    <cellStyle name="Normal 5 5 2 2 7 2" xfId="22568" xr:uid="{8D5D8692-10BA-4060-80A4-4827BFE83467}"/>
    <cellStyle name="Normal 5 5 2 2 7 3" xfId="13288" xr:uid="{2102F8EF-32E1-447E-AC9B-530EEBBB220D}"/>
    <cellStyle name="Normal 5 5 2 2 8" xfId="18351" xr:uid="{18BE2827-BB6F-4CAB-AE7F-14D5233C668F}"/>
    <cellStyle name="Normal 5 5 2 2 9" xfId="17517" xr:uid="{81DEFCE2-F559-460F-BCB2-CA7C81FDB9B5}"/>
    <cellStyle name="Normal 5 5 2 3" xfId="939" xr:uid="{00000000-0005-0000-0000-0000621B0000}"/>
    <cellStyle name="Normal 5 5 2 3 2" xfId="3173" xr:uid="{00000000-0005-0000-0000-0000631B0000}"/>
    <cellStyle name="Normal 5 5 2 3 2 2" xfId="7395" xr:uid="{00000000-0005-0000-0000-0000641B0000}"/>
    <cellStyle name="Normal 5 5 2 3 2 2 2" xfId="25125" xr:uid="{D1EFE5B1-0CF1-4B21-8FE2-9CFBE2D622AC}"/>
    <cellStyle name="Normal 5 5 2 3 2 2 3" xfId="15845" xr:uid="{7ACF55B7-9AD3-4E9A-B0A8-58A853CF1670}"/>
    <cellStyle name="Normal 5 5 2 3 2 3" xfId="20908" xr:uid="{701B4674-F4E5-4639-A189-2FA88CB69E08}"/>
    <cellStyle name="Normal 5 5 2 3 2 4" xfId="11627" xr:uid="{966394CA-C3EF-46F7-8298-651759E526D2}"/>
    <cellStyle name="Normal 5 5 2 3 3" xfId="5250" xr:uid="{00000000-0005-0000-0000-0000651B0000}"/>
    <cellStyle name="Normal 5 5 2 3 3 2" xfId="22980" xr:uid="{950E8AE2-3916-4CAA-86B3-60A6BF5D97AB}"/>
    <cellStyle name="Normal 5 5 2 3 3 3" xfId="13700" xr:uid="{916680DC-8BC5-45D5-BC0E-D33895B4B0EA}"/>
    <cellStyle name="Normal 5 5 2 3 4" xfId="18763" xr:uid="{A6D3ACEE-E818-433D-89DC-D514BB090479}"/>
    <cellStyle name="Normal 5 5 2 3 5" xfId="17935" xr:uid="{EAF747D6-CDB9-4D20-9D14-8929027B1231}"/>
    <cellStyle name="Normal 5 5 2 3 6" xfId="9482" xr:uid="{6FE55212-03E9-40F3-B12C-61530CD2359D}"/>
    <cellStyle name="Normal 5 5 2 4" xfId="1356" xr:uid="{00000000-0005-0000-0000-0000661B0000}"/>
    <cellStyle name="Normal 5 5 2 4 2" xfId="3586" xr:uid="{00000000-0005-0000-0000-0000671B0000}"/>
    <cellStyle name="Normal 5 5 2 4 2 2" xfId="7808" xr:uid="{00000000-0005-0000-0000-0000681B0000}"/>
    <cellStyle name="Normal 5 5 2 4 2 2 2" xfId="25538" xr:uid="{3400833E-F836-4BB7-98BC-AD304C34501D}"/>
    <cellStyle name="Normal 5 5 2 4 2 2 3" xfId="16258" xr:uid="{1D798A5A-F667-4F47-BFF6-26A3513C4CAD}"/>
    <cellStyle name="Normal 5 5 2 4 2 3" xfId="21321" xr:uid="{A5BDAEBA-5B22-49CF-970F-4DA3AB14EEA2}"/>
    <cellStyle name="Normal 5 5 2 4 2 4" xfId="12040" xr:uid="{5D94C19A-67C7-4AAB-AA5B-6EFCF9859A3F}"/>
    <cellStyle name="Normal 5 5 2 4 3" xfId="5663" xr:uid="{00000000-0005-0000-0000-0000691B0000}"/>
    <cellStyle name="Normal 5 5 2 4 3 2" xfId="23393" xr:uid="{B21C6271-3AD1-4DA9-A834-29B398E64C07}"/>
    <cellStyle name="Normal 5 5 2 4 3 3" xfId="14113" xr:uid="{32338FFD-9423-4833-ADC2-DEA66B7865C5}"/>
    <cellStyle name="Normal 5 5 2 4 4" xfId="19176" xr:uid="{4024DF67-835E-47AC-A01C-1C4A72E50EE7}"/>
    <cellStyle name="Normal 5 5 2 4 5" xfId="9895" xr:uid="{0EEE8BCA-E74D-44D9-95E0-F9068FDBDD17}"/>
    <cellStyle name="Normal 5 5 2 5" xfId="1769" xr:uid="{00000000-0005-0000-0000-00006A1B0000}"/>
    <cellStyle name="Normal 5 5 2 5 2" xfId="3999" xr:uid="{00000000-0005-0000-0000-00006B1B0000}"/>
    <cellStyle name="Normal 5 5 2 5 2 2" xfId="8221" xr:uid="{00000000-0005-0000-0000-00006C1B0000}"/>
    <cellStyle name="Normal 5 5 2 5 2 2 2" xfId="25951" xr:uid="{3A50C3CE-7F7D-4044-AAC5-E3D5A21140CF}"/>
    <cellStyle name="Normal 5 5 2 5 2 2 3" xfId="16671" xr:uid="{AC1CA7E1-4D4A-4C8B-999A-5B2640FA0A19}"/>
    <cellStyle name="Normal 5 5 2 5 2 3" xfId="21734" xr:uid="{28359719-FF86-49FC-BF7D-FACA24B08CA9}"/>
    <cellStyle name="Normal 5 5 2 5 2 4" xfId="12453" xr:uid="{A967DADA-DA38-4D8D-A873-179BCB1473CE}"/>
    <cellStyle name="Normal 5 5 2 5 3" xfId="6076" xr:uid="{00000000-0005-0000-0000-00006D1B0000}"/>
    <cellStyle name="Normal 5 5 2 5 3 2" xfId="23806" xr:uid="{B56761BA-3B08-46EE-82C7-9BBD42F508B0}"/>
    <cellStyle name="Normal 5 5 2 5 3 3" xfId="14526" xr:uid="{B4DFBC27-C07C-4962-820D-745679DC14F9}"/>
    <cellStyle name="Normal 5 5 2 5 4" xfId="19589" xr:uid="{9438DD67-AF4C-4527-B649-2B9838A458C3}"/>
    <cellStyle name="Normal 5 5 2 5 5" xfId="10308" xr:uid="{9540B9AB-2EEB-4CDC-9412-90804EBD6D93}"/>
    <cellStyle name="Normal 5 5 2 6" xfId="2183" xr:uid="{00000000-0005-0000-0000-00006E1B0000}"/>
    <cellStyle name="Normal 5 5 2 6 2" xfId="4412" xr:uid="{00000000-0005-0000-0000-00006F1B0000}"/>
    <cellStyle name="Normal 5 5 2 6 2 2" xfId="8634" xr:uid="{00000000-0005-0000-0000-0000701B0000}"/>
    <cellStyle name="Normal 5 5 2 6 2 2 2" xfId="26364" xr:uid="{0049348E-0603-4CD4-8EDA-804C311E9E41}"/>
    <cellStyle name="Normal 5 5 2 6 2 2 3" xfId="17084" xr:uid="{A006FDF1-75AB-4610-A426-151334B33037}"/>
    <cellStyle name="Normal 5 5 2 6 2 3" xfId="22147" xr:uid="{1E91B15E-BC85-4C92-A9E5-ADB76D8E37D0}"/>
    <cellStyle name="Normal 5 5 2 6 2 4" xfId="12866" xr:uid="{96ABDF66-59E8-4105-AB00-332DFB1E7E6B}"/>
    <cellStyle name="Normal 5 5 2 6 3" xfId="6489" xr:uid="{00000000-0005-0000-0000-0000711B0000}"/>
    <cellStyle name="Normal 5 5 2 6 3 2" xfId="24219" xr:uid="{BC104656-8943-4AA1-8292-4A371655322C}"/>
    <cellStyle name="Normal 5 5 2 6 3 3" xfId="14939" xr:uid="{AC6CC9BC-5DBB-4D1F-B225-1E3E5578E2F6}"/>
    <cellStyle name="Normal 5 5 2 6 4" xfId="20002" xr:uid="{B801A24B-6E09-4AA8-8444-D222A6D093E1}"/>
    <cellStyle name="Normal 5 5 2 6 5" xfId="10721" xr:uid="{52330C90-6DD3-4C69-B0F6-3B97D6932E99}"/>
    <cellStyle name="Normal 5 5 2 7" xfId="2619" xr:uid="{00000000-0005-0000-0000-0000721B0000}"/>
    <cellStyle name="Normal 5 5 2 7 2" xfId="6902" xr:uid="{00000000-0005-0000-0000-0000731B0000}"/>
    <cellStyle name="Normal 5 5 2 7 2 2" xfId="24632" xr:uid="{416B0920-E29B-420E-AD0D-07A9C16C63B8}"/>
    <cellStyle name="Normal 5 5 2 7 2 3" xfId="15352" xr:uid="{EB346BF7-41D0-416B-985E-55CD3F19DD06}"/>
    <cellStyle name="Normal 5 5 2 7 3" xfId="20415" xr:uid="{F76781FF-0FF9-4EC3-92BF-A84F5933EAF6}"/>
    <cellStyle name="Normal 5 5 2 7 4" xfId="11134" xr:uid="{DF93A651-76D3-4EAF-862C-7165DB532B34}"/>
    <cellStyle name="Normal 5 5 2 8" xfId="4837" xr:uid="{00000000-0005-0000-0000-0000741B0000}"/>
    <cellStyle name="Normal 5 5 2 8 2" xfId="22567" xr:uid="{CCC7D856-7FEE-41BC-B682-8FECCCFABE60}"/>
    <cellStyle name="Normal 5 5 2 8 3" xfId="13287" xr:uid="{E48A97F8-50D6-479B-93A6-3E63ADED749E}"/>
    <cellStyle name="Normal 5 5 2 9" xfId="18350" xr:uid="{74D15562-D0A3-48F9-BCEB-3C5697883D09}"/>
    <cellStyle name="Normal 5 5 3" xfId="467" xr:uid="{00000000-0005-0000-0000-0000751B0000}"/>
    <cellStyle name="Normal 5 5 3 10" xfId="9071" xr:uid="{973F28EE-1FFB-47B6-889E-697339EEAECE}"/>
    <cellStyle name="Normal 5 5 3 2" xfId="941" xr:uid="{00000000-0005-0000-0000-0000761B0000}"/>
    <cellStyle name="Normal 5 5 3 2 2" xfId="3175" xr:uid="{00000000-0005-0000-0000-0000771B0000}"/>
    <cellStyle name="Normal 5 5 3 2 2 2" xfId="7397" xr:uid="{00000000-0005-0000-0000-0000781B0000}"/>
    <cellStyle name="Normal 5 5 3 2 2 2 2" xfId="25127" xr:uid="{2F685502-95C8-4FDE-BDBA-835C2FBDE982}"/>
    <cellStyle name="Normal 5 5 3 2 2 2 3" xfId="15847" xr:uid="{8315275D-1301-40AC-B397-7898C9E75245}"/>
    <cellStyle name="Normal 5 5 3 2 2 3" xfId="20910" xr:uid="{9146EDAC-F37F-4F6C-90EC-B3080EFE3A24}"/>
    <cellStyle name="Normal 5 5 3 2 2 4" xfId="11629" xr:uid="{0138DF8A-2FD1-4AB6-9A9C-F294AC05344C}"/>
    <cellStyle name="Normal 5 5 3 2 3" xfId="5252" xr:uid="{00000000-0005-0000-0000-0000791B0000}"/>
    <cellStyle name="Normal 5 5 3 2 3 2" xfId="22982" xr:uid="{3F18712C-D531-4AD3-8EF7-8ECD44D8A59C}"/>
    <cellStyle name="Normal 5 5 3 2 3 3" xfId="13702" xr:uid="{3E9BC0D4-9F9D-47EE-84FD-D3392ACCD517}"/>
    <cellStyle name="Normal 5 5 3 2 4" xfId="18765" xr:uid="{A4DB69E5-76C3-4766-BB33-49B3ED302B19}"/>
    <cellStyle name="Normal 5 5 3 2 5" xfId="17937" xr:uid="{79D94369-7693-4ED3-96CA-A001E8A0BAD9}"/>
    <cellStyle name="Normal 5 5 3 2 6" xfId="9484" xr:uid="{9D5E0BEF-6BAF-4526-A280-2F90284C3D70}"/>
    <cellStyle name="Normal 5 5 3 3" xfId="1358" xr:uid="{00000000-0005-0000-0000-00007A1B0000}"/>
    <cellStyle name="Normal 5 5 3 3 2" xfId="3588" xr:uid="{00000000-0005-0000-0000-00007B1B0000}"/>
    <cellStyle name="Normal 5 5 3 3 2 2" xfId="7810" xr:uid="{00000000-0005-0000-0000-00007C1B0000}"/>
    <cellStyle name="Normal 5 5 3 3 2 2 2" xfId="25540" xr:uid="{222B4C40-3BA0-49A8-9990-CC6A5B49E152}"/>
    <cellStyle name="Normal 5 5 3 3 2 2 3" xfId="16260" xr:uid="{08B7756B-67A0-44C7-B939-DCDFBA7052FA}"/>
    <cellStyle name="Normal 5 5 3 3 2 3" xfId="21323" xr:uid="{34FA128B-6B33-4145-828B-E9189D10EF60}"/>
    <cellStyle name="Normal 5 5 3 3 2 4" xfId="12042" xr:uid="{F4C10D78-CC08-4015-B58A-256BA4B5F231}"/>
    <cellStyle name="Normal 5 5 3 3 3" xfId="5665" xr:uid="{00000000-0005-0000-0000-00007D1B0000}"/>
    <cellStyle name="Normal 5 5 3 3 3 2" xfId="23395" xr:uid="{230D88C9-E933-435E-939C-905B01F68D55}"/>
    <cellStyle name="Normal 5 5 3 3 3 3" xfId="14115" xr:uid="{62A3E8AA-0ACB-4127-80DD-FF50836CAA16}"/>
    <cellStyle name="Normal 5 5 3 3 4" xfId="19178" xr:uid="{E7BBF4D1-391C-4584-BE6A-E9710F297BB0}"/>
    <cellStyle name="Normal 5 5 3 3 5" xfId="9897" xr:uid="{5F504D1C-B35A-4138-BDE9-3BDAC575C04F}"/>
    <cellStyle name="Normal 5 5 3 4" xfId="1771" xr:uid="{00000000-0005-0000-0000-00007E1B0000}"/>
    <cellStyle name="Normal 5 5 3 4 2" xfId="4001" xr:uid="{00000000-0005-0000-0000-00007F1B0000}"/>
    <cellStyle name="Normal 5 5 3 4 2 2" xfId="8223" xr:uid="{00000000-0005-0000-0000-0000801B0000}"/>
    <cellStyle name="Normal 5 5 3 4 2 2 2" xfId="25953" xr:uid="{274002B2-746E-4306-A2C4-8A0248E15846}"/>
    <cellStyle name="Normal 5 5 3 4 2 2 3" xfId="16673" xr:uid="{0236E975-E0B6-4641-99CD-AC82BCC37ECC}"/>
    <cellStyle name="Normal 5 5 3 4 2 3" xfId="21736" xr:uid="{C78B855F-B3A1-40E5-8C82-92139871172F}"/>
    <cellStyle name="Normal 5 5 3 4 2 4" xfId="12455" xr:uid="{FFBB6DAE-8BDC-41E1-AE48-0F9AE8312A59}"/>
    <cellStyle name="Normal 5 5 3 4 3" xfId="6078" xr:uid="{00000000-0005-0000-0000-0000811B0000}"/>
    <cellStyle name="Normal 5 5 3 4 3 2" xfId="23808" xr:uid="{D8833B6D-FAD3-49A6-8D1C-3D4F09110478}"/>
    <cellStyle name="Normal 5 5 3 4 3 3" xfId="14528" xr:uid="{9E5EBE0A-10CD-4876-B466-31E97E1FDF4D}"/>
    <cellStyle name="Normal 5 5 3 4 4" xfId="19591" xr:uid="{185AC0B2-EFAD-4828-9CBD-00A5B1215BE4}"/>
    <cellStyle name="Normal 5 5 3 4 5" xfId="10310" xr:uid="{87A37D32-9D89-4C9F-A3CF-497BF71D4EB6}"/>
    <cellStyle name="Normal 5 5 3 5" xfId="2185" xr:uid="{00000000-0005-0000-0000-0000821B0000}"/>
    <cellStyle name="Normal 5 5 3 5 2" xfId="4414" xr:uid="{00000000-0005-0000-0000-0000831B0000}"/>
    <cellStyle name="Normal 5 5 3 5 2 2" xfId="8636" xr:uid="{00000000-0005-0000-0000-0000841B0000}"/>
    <cellStyle name="Normal 5 5 3 5 2 2 2" xfId="26366" xr:uid="{97CD8F4A-0142-4A73-B65D-D7C3B1D4F69A}"/>
    <cellStyle name="Normal 5 5 3 5 2 2 3" xfId="17086" xr:uid="{5CFB074E-99EB-4AD8-887A-1A4876A51A4C}"/>
    <cellStyle name="Normal 5 5 3 5 2 3" xfId="22149" xr:uid="{9A381E69-6656-4364-89D4-41A9E2E2609F}"/>
    <cellStyle name="Normal 5 5 3 5 2 4" xfId="12868" xr:uid="{C9F991FE-822D-4F1B-982B-52FE910192CD}"/>
    <cellStyle name="Normal 5 5 3 5 3" xfId="6491" xr:uid="{00000000-0005-0000-0000-0000851B0000}"/>
    <cellStyle name="Normal 5 5 3 5 3 2" xfId="24221" xr:uid="{63A163C6-3D22-452E-AD5B-BEF4BEC01351}"/>
    <cellStyle name="Normal 5 5 3 5 3 3" xfId="14941" xr:uid="{FF5C3F82-F02C-4068-936B-4BAE095D62C8}"/>
    <cellStyle name="Normal 5 5 3 5 4" xfId="20004" xr:uid="{66F52601-6866-47CE-8B6C-1BA0529F9C18}"/>
    <cellStyle name="Normal 5 5 3 5 5" xfId="10723" xr:uid="{C62BED4A-FCB5-4803-9C89-0FEEE90799D9}"/>
    <cellStyle name="Normal 5 5 3 6" xfId="2621" xr:uid="{00000000-0005-0000-0000-0000861B0000}"/>
    <cellStyle name="Normal 5 5 3 6 2" xfId="6904" xr:uid="{00000000-0005-0000-0000-0000871B0000}"/>
    <cellStyle name="Normal 5 5 3 6 2 2" xfId="24634" xr:uid="{41D92AA3-0396-4B37-9E07-1F610B06B877}"/>
    <cellStyle name="Normal 5 5 3 6 2 3" xfId="15354" xr:uid="{92C9D357-A973-485F-9C85-AAAACA0E0A63}"/>
    <cellStyle name="Normal 5 5 3 6 3" xfId="20417" xr:uid="{92FD45F2-824E-4523-A6CD-7B45EFF84554}"/>
    <cellStyle name="Normal 5 5 3 6 4" xfId="11136" xr:uid="{32C075F1-273F-4616-BA66-B0BBF4ED9728}"/>
    <cellStyle name="Normal 5 5 3 7" xfId="4839" xr:uid="{00000000-0005-0000-0000-0000881B0000}"/>
    <cellStyle name="Normal 5 5 3 7 2" xfId="22569" xr:uid="{27269F25-BEFF-4ADC-B334-05689A6706E4}"/>
    <cellStyle name="Normal 5 5 3 7 3" xfId="13289" xr:uid="{804AC8F7-DCC6-4D8F-BC1A-AF5E95AC7B27}"/>
    <cellStyle name="Normal 5 5 3 8" xfId="18352" xr:uid="{9B3348F9-B13D-4246-9EA8-F99DD65780EC}"/>
    <cellStyle name="Normal 5 5 3 9" xfId="17518" xr:uid="{D7F3CE5D-43DE-4B49-9725-2FBA41EB7F6B}"/>
    <cellStyle name="Normal 5 5 4" xfId="938" xr:uid="{00000000-0005-0000-0000-0000891B0000}"/>
    <cellStyle name="Normal 5 5 4 2" xfId="3172" xr:uid="{00000000-0005-0000-0000-00008A1B0000}"/>
    <cellStyle name="Normal 5 5 4 2 2" xfId="7394" xr:uid="{00000000-0005-0000-0000-00008B1B0000}"/>
    <cellStyle name="Normal 5 5 4 2 2 2" xfId="25124" xr:uid="{475C1E1E-D896-4BA2-899A-3E33520E4DAA}"/>
    <cellStyle name="Normal 5 5 4 2 2 3" xfId="15844" xr:uid="{A341C045-2F6B-4043-96A6-4814AC742399}"/>
    <cellStyle name="Normal 5 5 4 2 3" xfId="20907" xr:uid="{48230815-E95D-4019-901B-CB5EEDF792C6}"/>
    <cellStyle name="Normal 5 5 4 2 4" xfId="11626" xr:uid="{9B241650-E925-43AF-983F-8D1A49C44089}"/>
    <cellStyle name="Normal 5 5 4 3" xfId="5249" xr:uid="{00000000-0005-0000-0000-00008C1B0000}"/>
    <cellStyle name="Normal 5 5 4 3 2" xfId="22979" xr:uid="{761E0C65-9435-4478-8DD1-DEB05FB80DF0}"/>
    <cellStyle name="Normal 5 5 4 3 3" xfId="13699" xr:uid="{FB19404D-882A-4E02-8022-C286DB2BC2F3}"/>
    <cellStyle name="Normal 5 5 4 4" xfId="18762" xr:uid="{26502D67-050E-40E0-A5AE-18AD8673E971}"/>
    <cellStyle name="Normal 5 5 4 5" xfId="17934" xr:uid="{872891B6-1CD5-4F82-993E-853ACDEC3B1B}"/>
    <cellStyle name="Normal 5 5 4 6" xfId="9481" xr:uid="{671BC747-F9DF-4E5C-8109-CB3290BD2747}"/>
    <cellStyle name="Normal 5 5 5" xfId="1355" xr:uid="{00000000-0005-0000-0000-00008D1B0000}"/>
    <cellStyle name="Normal 5 5 5 2" xfId="3585" xr:uid="{00000000-0005-0000-0000-00008E1B0000}"/>
    <cellStyle name="Normal 5 5 5 2 2" xfId="7807" xr:uid="{00000000-0005-0000-0000-00008F1B0000}"/>
    <cellStyle name="Normal 5 5 5 2 2 2" xfId="25537" xr:uid="{468ADE13-F579-4BB5-9DE9-6742A14A3509}"/>
    <cellStyle name="Normal 5 5 5 2 2 3" xfId="16257" xr:uid="{636ED101-8D96-4CD7-9CA0-19A0F9792C2A}"/>
    <cellStyle name="Normal 5 5 5 2 3" xfId="21320" xr:uid="{67957D4A-640E-460A-AC29-5F4338208BA5}"/>
    <cellStyle name="Normal 5 5 5 2 4" xfId="12039" xr:uid="{D5C39E18-6E06-4058-B118-EC4AE676E600}"/>
    <cellStyle name="Normal 5 5 5 3" xfId="5662" xr:uid="{00000000-0005-0000-0000-0000901B0000}"/>
    <cellStyle name="Normal 5 5 5 3 2" xfId="23392" xr:uid="{759640DE-4F02-4744-953F-2F104A51DF7D}"/>
    <cellStyle name="Normal 5 5 5 3 3" xfId="14112" xr:uid="{D3255F23-52A7-437E-9501-B3DE9D1626AA}"/>
    <cellStyle name="Normal 5 5 5 4" xfId="19175" xr:uid="{2F725688-A42A-4F0A-B151-F44598FC9F58}"/>
    <cellStyle name="Normal 5 5 5 5" xfId="9894" xr:uid="{6A743D73-5E27-4911-907A-135A7C11283B}"/>
    <cellStyle name="Normal 5 5 6" xfId="1768" xr:uid="{00000000-0005-0000-0000-0000911B0000}"/>
    <cellStyle name="Normal 5 5 6 2" xfId="3998" xr:uid="{00000000-0005-0000-0000-0000921B0000}"/>
    <cellStyle name="Normal 5 5 6 2 2" xfId="8220" xr:uid="{00000000-0005-0000-0000-0000931B0000}"/>
    <cellStyle name="Normal 5 5 6 2 2 2" xfId="25950" xr:uid="{535E21AF-932B-4A0D-837A-1554C48DD87A}"/>
    <cellStyle name="Normal 5 5 6 2 2 3" xfId="16670" xr:uid="{5EE47CEF-1861-44D1-A80D-FB26E6345EF3}"/>
    <cellStyle name="Normal 5 5 6 2 3" xfId="21733" xr:uid="{44F281F0-EB47-4662-8215-7C1F5B924AB3}"/>
    <cellStyle name="Normal 5 5 6 2 4" xfId="12452" xr:uid="{C5A990D2-2E00-422B-AFA5-385D503064E9}"/>
    <cellStyle name="Normal 5 5 6 3" xfId="6075" xr:uid="{00000000-0005-0000-0000-0000941B0000}"/>
    <cellStyle name="Normal 5 5 6 3 2" xfId="23805" xr:uid="{6B11AE16-17CF-4F5B-87EC-4FCA3D63CCB2}"/>
    <cellStyle name="Normal 5 5 6 3 3" xfId="14525" xr:uid="{16834E48-637C-46E0-AFC3-862F8393D368}"/>
    <cellStyle name="Normal 5 5 6 4" xfId="19588" xr:uid="{7A47C0B8-90F9-4EDC-8C0E-BF854E4009B6}"/>
    <cellStyle name="Normal 5 5 6 5" xfId="10307" xr:uid="{F0D6D14B-EAE6-4687-80BC-FFB2435E1E1F}"/>
    <cellStyle name="Normal 5 5 7" xfId="2182" xr:uid="{00000000-0005-0000-0000-0000951B0000}"/>
    <cellStyle name="Normal 5 5 7 2" xfId="4411" xr:uid="{00000000-0005-0000-0000-0000961B0000}"/>
    <cellStyle name="Normal 5 5 7 2 2" xfId="8633" xr:uid="{00000000-0005-0000-0000-0000971B0000}"/>
    <cellStyle name="Normal 5 5 7 2 2 2" xfId="26363" xr:uid="{1146D0C8-EE28-4B5C-9324-8F3C5ED58AFB}"/>
    <cellStyle name="Normal 5 5 7 2 2 3" xfId="17083" xr:uid="{917AE26E-2286-4CB9-986D-07AB30FF1C68}"/>
    <cellStyle name="Normal 5 5 7 2 3" xfId="22146" xr:uid="{39BFD814-2AE5-4E1F-8775-9FC0DD1AC249}"/>
    <cellStyle name="Normal 5 5 7 2 4" xfId="12865" xr:uid="{2C6EDE42-15D9-4133-99CD-D3972D2659AA}"/>
    <cellStyle name="Normal 5 5 7 3" xfId="6488" xr:uid="{00000000-0005-0000-0000-0000981B0000}"/>
    <cellStyle name="Normal 5 5 7 3 2" xfId="24218" xr:uid="{9BA3CFFC-5DBB-48FD-839F-3A08C4A6D34A}"/>
    <cellStyle name="Normal 5 5 7 3 3" xfId="14938" xr:uid="{0F2CFA77-D1E6-40D3-82C6-1ED35B9CE444}"/>
    <cellStyle name="Normal 5 5 7 4" xfId="20001" xr:uid="{44857D63-17CC-479A-9C2B-EC19D287AFC8}"/>
    <cellStyle name="Normal 5 5 7 5" xfId="10720" xr:uid="{D25DAB3C-6278-40FC-9DFF-46624818FD78}"/>
    <cellStyle name="Normal 5 5 8" xfId="2618" xr:uid="{00000000-0005-0000-0000-0000991B0000}"/>
    <cellStyle name="Normal 5 5 8 2" xfId="6901" xr:uid="{00000000-0005-0000-0000-00009A1B0000}"/>
    <cellStyle name="Normal 5 5 8 2 2" xfId="24631" xr:uid="{B95ABB6E-F86F-4DA8-8EBA-8177EA04FD83}"/>
    <cellStyle name="Normal 5 5 8 2 3" xfId="15351" xr:uid="{819DB2C9-3287-4387-9091-AA2F7C734DF6}"/>
    <cellStyle name="Normal 5 5 8 3" xfId="20414" xr:uid="{6BACB110-E41A-448D-B347-423E39ABB763}"/>
    <cellStyle name="Normal 5 5 8 4" xfId="11133" xr:uid="{DBE53BA6-33C0-4726-B7E9-6166AB834A87}"/>
    <cellStyle name="Normal 5 5 9" xfId="4836" xr:uid="{00000000-0005-0000-0000-00009B1B0000}"/>
    <cellStyle name="Normal 5 5 9 2" xfId="22566" xr:uid="{5B5F6D2A-8FE3-418A-A043-C4988A9D09A4}"/>
    <cellStyle name="Normal 5 5 9 3" xfId="13286" xr:uid="{DB6CC9CE-2714-478B-8B06-4D64144D359A}"/>
    <cellStyle name="Normal 5 6" xfId="468" xr:uid="{00000000-0005-0000-0000-00009C1B0000}"/>
    <cellStyle name="Normal 5 6 10" xfId="17519" xr:uid="{A12746BD-0934-470C-A66B-F96A454CC264}"/>
    <cellStyle name="Normal 5 6 11" xfId="9072" xr:uid="{D62090D6-3407-453C-B24E-94BA85E29503}"/>
    <cellStyle name="Normal 5 6 2" xfId="469" xr:uid="{00000000-0005-0000-0000-00009D1B0000}"/>
    <cellStyle name="Normal 5 6 2 10" xfId="9073" xr:uid="{C20CDF2B-1B4A-4F8D-870D-6C9868DE8ACF}"/>
    <cellStyle name="Normal 5 6 2 2" xfId="943" xr:uid="{00000000-0005-0000-0000-00009E1B0000}"/>
    <cellStyle name="Normal 5 6 2 2 2" xfId="3177" xr:uid="{00000000-0005-0000-0000-00009F1B0000}"/>
    <cellStyle name="Normal 5 6 2 2 2 2" xfId="7399" xr:uid="{00000000-0005-0000-0000-0000A01B0000}"/>
    <cellStyle name="Normal 5 6 2 2 2 2 2" xfId="25129" xr:uid="{E8542429-29F3-4B87-A485-DB0B2053D1AC}"/>
    <cellStyle name="Normal 5 6 2 2 2 2 3" xfId="15849" xr:uid="{5F374444-B9F8-4308-87BB-A56899F37C4B}"/>
    <cellStyle name="Normal 5 6 2 2 2 3" xfId="20912" xr:uid="{07A239CB-494E-40B8-8DA5-780B79725B01}"/>
    <cellStyle name="Normal 5 6 2 2 2 4" xfId="11631" xr:uid="{9995B951-CABA-4CA4-B35C-0D4D9CE1F997}"/>
    <cellStyle name="Normal 5 6 2 2 3" xfId="5254" xr:uid="{00000000-0005-0000-0000-0000A11B0000}"/>
    <cellStyle name="Normal 5 6 2 2 3 2" xfId="22984" xr:uid="{65A13049-6792-4A2E-83CA-9C8B9AD03C1A}"/>
    <cellStyle name="Normal 5 6 2 2 3 3" xfId="13704" xr:uid="{41BDD6CF-39D8-4FA9-BFC9-1AA7118BD79E}"/>
    <cellStyle name="Normal 5 6 2 2 4" xfId="18767" xr:uid="{C1C061F1-53E8-481F-AA63-FEDD0817BFCB}"/>
    <cellStyle name="Normal 5 6 2 2 5" xfId="17939" xr:uid="{5E84A508-7FDD-40E1-9C3D-94E46152F7AA}"/>
    <cellStyle name="Normal 5 6 2 2 6" xfId="9486" xr:uid="{A30BDC5B-CC54-4F3B-98F1-2EB99DED99B3}"/>
    <cellStyle name="Normal 5 6 2 3" xfId="1360" xr:uid="{00000000-0005-0000-0000-0000A21B0000}"/>
    <cellStyle name="Normal 5 6 2 3 2" xfId="3590" xr:uid="{00000000-0005-0000-0000-0000A31B0000}"/>
    <cellStyle name="Normal 5 6 2 3 2 2" xfId="7812" xr:uid="{00000000-0005-0000-0000-0000A41B0000}"/>
    <cellStyle name="Normal 5 6 2 3 2 2 2" xfId="25542" xr:uid="{8449D487-85D5-4BE2-A21B-A32C0FF87B80}"/>
    <cellStyle name="Normal 5 6 2 3 2 2 3" xfId="16262" xr:uid="{25DA0AA7-EC58-43E6-A880-32D4D1DC3A7B}"/>
    <cellStyle name="Normal 5 6 2 3 2 3" xfId="21325" xr:uid="{6533A368-6050-453B-898B-D6DC07BD8821}"/>
    <cellStyle name="Normal 5 6 2 3 2 4" xfId="12044" xr:uid="{54267D56-80C3-4DE1-894D-9E645E5795F3}"/>
    <cellStyle name="Normal 5 6 2 3 3" xfId="5667" xr:uid="{00000000-0005-0000-0000-0000A51B0000}"/>
    <cellStyle name="Normal 5 6 2 3 3 2" xfId="23397" xr:uid="{96ED5080-B0AC-4767-B758-DD7F19C7F5E4}"/>
    <cellStyle name="Normal 5 6 2 3 3 3" xfId="14117" xr:uid="{A9FF0D9C-0B25-4A58-876B-7CC2892F1A5D}"/>
    <cellStyle name="Normal 5 6 2 3 4" xfId="19180" xr:uid="{880ECC2F-D21F-48AE-9887-C44173189034}"/>
    <cellStyle name="Normal 5 6 2 3 5" xfId="9899" xr:uid="{2123F47F-B80C-4E60-9369-873184BB811B}"/>
    <cellStyle name="Normal 5 6 2 4" xfId="1773" xr:uid="{00000000-0005-0000-0000-0000A61B0000}"/>
    <cellStyle name="Normal 5 6 2 4 2" xfId="4003" xr:uid="{00000000-0005-0000-0000-0000A71B0000}"/>
    <cellStyle name="Normal 5 6 2 4 2 2" xfId="8225" xr:uid="{00000000-0005-0000-0000-0000A81B0000}"/>
    <cellStyle name="Normal 5 6 2 4 2 2 2" xfId="25955" xr:uid="{8450915B-3A0E-45AE-B1EA-DD79E7E08628}"/>
    <cellStyle name="Normal 5 6 2 4 2 2 3" xfId="16675" xr:uid="{FD64F0F4-6529-47D5-B64E-81C8C9B56F3F}"/>
    <cellStyle name="Normal 5 6 2 4 2 3" xfId="21738" xr:uid="{9757B968-0A0E-425D-9340-92B0F37E4F70}"/>
    <cellStyle name="Normal 5 6 2 4 2 4" xfId="12457" xr:uid="{58CD49C4-9764-473F-9B99-1C5676454057}"/>
    <cellStyle name="Normal 5 6 2 4 3" xfId="6080" xr:uid="{00000000-0005-0000-0000-0000A91B0000}"/>
    <cellStyle name="Normal 5 6 2 4 3 2" xfId="23810" xr:uid="{8E2CC2C7-C338-4CE1-A831-5A6AE027F15A}"/>
    <cellStyle name="Normal 5 6 2 4 3 3" xfId="14530" xr:uid="{3CB8BF62-BB89-4AAB-A06E-C1E5530E173C}"/>
    <cellStyle name="Normal 5 6 2 4 4" xfId="19593" xr:uid="{2B0B8245-64A3-4A4B-806E-A882EBA1A38C}"/>
    <cellStyle name="Normal 5 6 2 4 5" xfId="10312" xr:uid="{39C08265-5042-4ABD-BFA6-3D946ECFF41F}"/>
    <cellStyle name="Normal 5 6 2 5" xfId="2187" xr:uid="{00000000-0005-0000-0000-0000AA1B0000}"/>
    <cellStyle name="Normal 5 6 2 5 2" xfId="4416" xr:uid="{00000000-0005-0000-0000-0000AB1B0000}"/>
    <cellStyle name="Normal 5 6 2 5 2 2" xfId="8638" xr:uid="{00000000-0005-0000-0000-0000AC1B0000}"/>
    <cellStyle name="Normal 5 6 2 5 2 2 2" xfId="26368" xr:uid="{FB9CF687-4B25-49BB-9DE5-86DE98EB28EC}"/>
    <cellStyle name="Normal 5 6 2 5 2 2 3" xfId="17088" xr:uid="{A2B26EB2-0070-4D21-9D81-2F02CF4A0389}"/>
    <cellStyle name="Normal 5 6 2 5 2 3" xfId="22151" xr:uid="{CE224D3F-FE21-40F5-ACF4-FA0603A76F16}"/>
    <cellStyle name="Normal 5 6 2 5 2 4" xfId="12870" xr:uid="{326958D8-03DD-4C78-93A9-7E3D885700FE}"/>
    <cellStyle name="Normal 5 6 2 5 3" xfId="6493" xr:uid="{00000000-0005-0000-0000-0000AD1B0000}"/>
    <cellStyle name="Normal 5 6 2 5 3 2" xfId="24223" xr:uid="{8C4557F4-E5BA-469C-8F19-A4452E1DA500}"/>
    <cellStyle name="Normal 5 6 2 5 3 3" xfId="14943" xr:uid="{4F421F2F-112C-4BFB-9A5F-3CB6F9E47100}"/>
    <cellStyle name="Normal 5 6 2 5 4" xfId="20006" xr:uid="{BC59515F-FF50-4015-8A1D-9803CCC78EDC}"/>
    <cellStyle name="Normal 5 6 2 5 5" xfId="10725" xr:uid="{99CE0B93-B13F-4086-8CA2-B6AE1866498F}"/>
    <cellStyle name="Normal 5 6 2 6" xfId="2623" xr:uid="{00000000-0005-0000-0000-0000AE1B0000}"/>
    <cellStyle name="Normal 5 6 2 6 2" xfId="6906" xr:uid="{00000000-0005-0000-0000-0000AF1B0000}"/>
    <cellStyle name="Normal 5 6 2 6 2 2" xfId="24636" xr:uid="{6CFF6B96-121B-49DA-A11F-77C3530C778C}"/>
    <cellStyle name="Normal 5 6 2 6 2 3" xfId="15356" xr:uid="{6CA220EC-9603-4FA9-AEEC-4DD4D58D535C}"/>
    <cellStyle name="Normal 5 6 2 6 3" xfId="20419" xr:uid="{448DB358-290C-4F22-8A7A-5178147E074D}"/>
    <cellStyle name="Normal 5 6 2 6 4" xfId="11138" xr:uid="{B1B922C9-6152-4A55-8A83-F89504FA2BE7}"/>
    <cellStyle name="Normal 5 6 2 7" xfId="4841" xr:uid="{00000000-0005-0000-0000-0000B01B0000}"/>
    <cellStyle name="Normal 5 6 2 7 2" xfId="22571" xr:uid="{069254A1-468C-4FDA-9913-6B3782C8CC3D}"/>
    <cellStyle name="Normal 5 6 2 7 3" xfId="13291" xr:uid="{54FB2334-EFDB-4427-A74F-F7A67BDA3D8F}"/>
    <cellStyle name="Normal 5 6 2 8" xfId="18354" xr:uid="{09A2030F-E9C7-4D0D-8681-DBF8C6B87656}"/>
    <cellStyle name="Normal 5 6 2 9" xfId="17520" xr:uid="{48478A90-BBA7-47CA-8B3D-D675A3F71E83}"/>
    <cellStyle name="Normal 5 6 3" xfId="942" xr:uid="{00000000-0005-0000-0000-0000B11B0000}"/>
    <cellStyle name="Normal 5 6 3 2" xfId="3176" xr:uid="{00000000-0005-0000-0000-0000B21B0000}"/>
    <cellStyle name="Normal 5 6 3 2 2" xfId="7398" xr:uid="{00000000-0005-0000-0000-0000B31B0000}"/>
    <cellStyle name="Normal 5 6 3 2 2 2" xfId="25128" xr:uid="{B497A604-8855-4FAD-A7A9-0B3053F11130}"/>
    <cellStyle name="Normal 5 6 3 2 2 3" xfId="15848" xr:uid="{68198694-B144-4C66-A108-D725AFE120A2}"/>
    <cellStyle name="Normal 5 6 3 2 3" xfId="20911" xr:uid="{81E06F9C-3329-4524-8184-05BE4B4A4A59}"/>
    <cellStyle name="Normal 5 6 3 2 4" xfId="11630" xr:uid="{BB529CEA-B24E-4E8F-ACE3-631654EF328F}"/>
    <cellStyle name="Normal 5 6 3 3" xfId="5253" xr:uid="{00000000-0005-0000-0000-0000B41B0000}"/>
    <cellStyle name="Normal 5 6 3 3 2" xfId="22983" xr:uid="{2DE8D523-7D80-4F27-B226-FE990E1F51B5}"/>
    <cellStyle name="Normal 5 6 3 3 3" xfId="13703" xr:uid="{D9189E8D-70F2-4F39-853A-F53F05326DCE}"/>
    <cellStyle name="Normal 5 6 3 4" xfId="18766" xr:uid="{A2C71BDA-99D6-45DC-86C0-A1989D6439FC}"/>
    <cellStyle name="Normal 5 6 3 5" xfId="17938" xr:uid="{802FFD84-4140-4020-AB3D-C6B167A3E46A}"/>
    <cellStyle name="Normal 5 6 3 6" xfId="9485" xr:uid="{EA150363-D101-4AC0-8B01-C05B5B41A352}"/>
    <cellStyle name="Normal 5 6 4" xfId="1359" xr:uid="{00000000-0005-0000-0000-0000B51B0000}"/>
    <cellStyle name="Normal 5 6 4 2" xfId="3589" xr:uid="{00000000-0005-0000-0000-0000B61B0000}"/>
    <cellStyle name="Normal 5 6 4 2 2" xfId="7811" xr:uid="{00000000-0005-0000-0000-0000B71B0000}"/>
    <cellStyle name="Normal 5 6 4 2 2 2" xfId="25541" xr:uid="{3644A6AD-1971-44CC-8CF3-0ED5B99DD848}"/>
    <cellStyle name="Normal 5 6 4 2 2 3" xfId="16261" xr:uid="{21CE76C5-D84E-4B05-9D71-7589AEDC1988}"/>
    <cellStyle name="Normal 5 6 4 2 3" xfId="21324" xr:uid="{4D2D7AD2-0278-424F-ABEC-639F7A5C9AAA}"/>
    <cellStyle name="Normal 5 6 4 2 4" xfId="12043" xr:uid="{28F17EBB-4A4C-49C0-BB3B-9B36852BB088}"/>
    <cellStyle name="Normal 5 6 4 3" xfId="5666" xr:uid="{00000000-0005-0000-0000-0000B81B0000}"/>
    <cellStyle name="Normal 5 6 4 3 2" xfId="23396" xr:uid="{5A2804BF-9005-48BB-8765-FFC76F0B1B5C}"/>
    <cellStyle name="Normal 5 6 4 3 3" xfId="14116" xr:uid="{E987A1D2-D97B-4027-A722-68F5C8D5F1ED}"/>
    <cellStyle name="Normal 5 6 4 4" xfId="19179" xr:uid="{E305E96B-8B4F-41D5-9D96-E7A933657C0F}"/>
    <cellStyle name="Normal 5 6 4 5" xfId="9898" xr:uid="{5FF74DE4-8717-4E4E-9F03-8952BBC21842}"/>
    <cellStyle name="Normal 5 6 5" xfId="1772" xr:uid="{00000000-0005-0000-0000-0000B91B0000}"/>
    <cellStyle name="Normal 5 6 5 2" xfId="4002" xr:uid="{00000000-0005-0000-0000-0000BA1B0000}"/>
    <cellStyle name="Normal 5 6 5 2 2" xfId="8224" xr:uid="{00000000-0005-0000-0000-0000BB1B0000}"/>
    <cellStyle name="Normal 5 6 5 2 2 2" xfId="25954" xr:uid="{F129E720-2D2B-4E3A-90A1-FD9D9C431E8E}"/>
    <cellStyle name="Normal 5 6 5 2 2 3" xfId="16674" xr:uid="{6E858C0C-6498-4A32-95F7-D9230273F807}"/>
    <cellStyle name="Normal 5 6 5 2 3" xfId="21737" xr:uid="{AB0FEDCF-56C3-48CF-93E5-B062438BC55D}"/>
    <cellStyle name="Normal 5 6 5 2 4" xfId="12456" xr:uid="{0B0A0F87-4922-431D-A3A5-4F811DFA9EAB}"/>
    <cellStyle name="Normal 5 6 5 3" xfId="6079" xr:uid="{00000000-0005-0000-0000-0000BC1B0000}"/>
    <cellStyle name="Normal 5 6 5 3 2" xfId="23809" xr:uid="{04D721AF-1202-4D3F-A2DD-2FDA41009556}"/>
    <cellStyle name="Normal 5 6 5 3 3" xfId="14529" xr:uid="{005CF798-9FEA-47EA-B5B9-93052D6A72B9}"/>
    <cellStyle name="Normal 5 6 5 4" xfId="19592" xr:uid="{B133EF41-149A-42F2-9876-CA77B8551365}"/>
    <cellStyle name="Normal 5 6 5 5" xfId="10311" xr:uid="{E90326D2-BEB2-4346-8978-A10B21983F26}"/>
    <cellStyle name="Normal 5 6 6" xfId="2186" xr:uid="{00000000-0005-0000-0000-0000BD1B0000}"/>
    <cellStyle name="Normal 5 6 6 2" xfId="4415" xr:uid="{00000000-0005-0000-0000-0000BE1B0000}"/>
    <cellStyle name="Normal 5 6 6 2 2" xfId="8637" xr:uid="{00000000-0005-0000-0000-0000BF1B0000}"/>
    <cellStyle name="Normal 5 6 6 2 2 2" xfId="26367" xr:uid="{EA5B0A2F-B92D-440E-A2CF-34FE47E0310D}"/>
    <cellStyle name="Normal 5 6 6 2 2 3" xfId="17087" xr:uid="{A2955391-DF36-45FB-B6F1-086FA3608BC0}"/>
    <cellStyle name="Normal 5 6 6 2 3" xfId="22150" xr:uid="{236DF2E9-F89E-4097-B03C-E6AEC3A2E9C6}"/>
    <cellStyle name="Normal 5 6 6 2 4" xfId="12869" xr:uid="{639A2B9E-725E-4ED2-B076-3434B39D4A1A}"/>
    <cellStyle name="Normal 5 6 6 3" xfId="6492" xr:uid="{00000000-0005-0000-0000-0000C01B0000}"/>
    <cellStyle name="Normal 5 6 6 3 2" xfId="24222" xr:uid="{02856278-D4FB-4ED0-9A72-ACFB8C5CE68A}"/>
    <cellStyle name="Normal 5 6 6 3 3" xfId="14942" xr:uid="{F04E2655-4631-464F-89F4-321F91830C56}"/>
    <cellStyle name="Normal 5 6 6 4" xfId="20005" xr:uid="{A17F47EA-43E9-41C5-B981-E992C3E8F11E}"/>
    <cellStyle name="Normal 5 6 6 5" xfId="10724" xr:uid="{8618DB73-6D6F-4157-A0D1-AC153A5AB23D}"/>
    <cellStyle name="Normal 5 6 7" xfId="2622" xr:uid="{00000000-0005-0000-0000-0000C11B0000}"/>
    <cellStyle name="Normal 5 6 7 2" xfId="6905" xr:uid="{00000000-0005-0000-0000-0000C21B0000}"/>
    <cellStyle name="Normal 5 6 7 2 2" xfId="24635" xr:uid="{9414146B-15BF-4E16-9C0D-655EE4124ABF}"/>
    <cellStyle name="Normal 5 6 7 2 3" xfId="15355" xr:uid="{CB5B8A7F-02FD-431F-807A-CEF47E380C6E}"/>
    <cellStyle name="Normal 5 6 7 3" xfId="20418" xr:uid="{0BE6517C-A824-427B-85C7-4A0F02A0F5B3}"/>
    <cellStyle name="Normal 5 6 7 4" xfId="11137" xr:uid="{6C628083-7138-497A-9B49-A53DFEB0B04F}"/>
    <cellStyle name="Normal 5 6 8" xfId="4840" xr:uid="{00000000-0005-0000-0000-0000C31B0000}"/>
    <cellStyle name="Normal 5 6 8 2" xfId="22570" xr:uid="{F21BC98D-A9F6-4DCD-AEFA-049C1595AB68}"/>
    <cellStyle name="Normal 5 6 8 3" xfId="13290" xr:uid="{9F06661A-066D-48FD-BB20-E045142639A9}"/>
    <cellStyle name="Normal 5 6 9" xfId="18353" xr:uid="{048544DC-9ABF-4A12-ABD9-44AB22A4F260}"/>
    <cellStyle name="Normal 5 7" xfId="470" xr:uid="{00000000-0005-0000-0000-0000C41B0000}"/>
    <cellStyle name="Normal 5 7 10" xfId="9074" xr:uid="{F85CD187-5A16-49F1-989D-CF2AD66AB1FF}"/>
    <cellStyle name="Normal 5 7 2" xfId="944" xr:uid="{00000000-0005-0000-0000-0000C51B0000}"/>
    <cellStyle name="Normal 5 7 2 2" xfId="3178" xr:uid="{00000000-0005-0000-0000-0000C61B0000}"/>
    <cellStyle name="Normal 5 7 2 2 2" xfId="7400" xr:uid="{00000000-0005-0000-0000-0000C71B0000}"/>
    <cellStyle name="Normal 5 7 2 2 2 2" xfId="25130" xr:uid="{DBBF14B9-E53E-4310-8956-145D2A0664BB}"/>
    <cellStyle name="Normal 5 7 2 2 2 3" xfId="15850" xr:uid="{6C2ACDCA-F37D-4781-A82B-4C6893BB91EE}"/>
    <cellStyle name="Normal 5 7 2 2 3" xfId="20913" xr:uid="{8929F59E-2CDE-44ED-A3E5-924EF59752B3}"/>
    <cellStyle name="Normal 5 7 2 2 4" xfId="11632" xr:uid="{0F45D002-D738-4409-A7A6-54F02C65471F}"/>
    <cellStyle name="Normal 5 7 2 3" xfId="5255" xr:uid="{00000000-0005-0000-0000-0000C81B0000}"/>
    <cellStyle name="Normal 5 7 2 3 2" xfId="22985" xr:uid="{FEC5A6D5-69A1-488B-847A-2BB51BCBA8C0}"/>
    <cellStyle name="Normal 5 7 2 3 3" xfId="13705" xr:uid="{CD29A184-3CF3-48E7-A964-99DF490277F8}"/>
    <cellStyle name="Normal 5 7 2 4" xfId="18768" xr:uid="{C8DBFD2F-6485-478A-91E2-05EA8842BD95}"/>
    <cellStyle name="Normal 5 7 2 5" xfId="17940" xr:uid="{6552D0F4-AF84-44BE-B4E3-55AEADEC1A4F}"/>
    <cellStyle name="Normal 5 7 2 6" xfId="9487" xr:uid="{7F2D16C3-4177-416B-A06B-ACE011F9378C}"/>
    <cellStyle name="Normal 5 7 3" xfId="1361" xr:uid="{00000000-0005-0000-0000-0000C91B0000}"/>
    <cellStyle name="Normal 5 7 3 2" xfId="3591" xr:uid="{00000000-0005-0000-0000-0000CA1B0000}"/>
    <cellStyle name="Normal 5 7 3 2 2" xfId="7813" xr:uid="{00000000-0005-0000-0000-0000CB1B0000}"/>
    <cellStyle name="Normal 5 7 3 2 2 2" xfId="25543" xr:uid="{F1E6A042-B362-40C3-AAA3-2CC94952B3ED}"/>
    <cellStyle name="Normal 5 7 3 2 2 3" xfId="16263" xr:uid="{67E96C3C-851A-4C0B-97F2-E0F5E044856B}"/>
    <cellStyle name="Normal 5 7 3 2 3" xfId="21326" xr:uid="{09A40573-2620-4427-AED5-549832E87D43}"/>
    <cellStyle name="Normal 5 7 3 2 4" xfId="12045" xr:uid="{7039AEF6-2F07-47E5-AD14-3DAB2CBFDB5D}"/>
    <cellStyle name="Normal 5 7 3 3" xfId="5668" xr:uid="{00000000-0005-0000-0000-0000CC1B0000}"/>
    <cellStyle name="Normal 5 7 3 3 2" xfId="23398" xr:uid="{F1824B8D-CD04-4560-9196-D4F85617DA39}"/>
    <cellStyle name="Normal 5 7 3 3 3" xfId="14118" xr:uid="{721687F6-2B53-4A68-99F8-1BDC4BE07A2F}"/>
    <cellStyle name="Normal 5 7 3 4" xfId="19181" xr:uid="{872F6702-E891-437F-89B6-BCC5630E7DEC}"/>
    <cellStyle name="Normal 5 7 3 5" xfId="9900" xr:uid="{F5B990E8-EF7E-4D89-A869-24FCEAE5AFF9}"/>
    <cellStyle name="Normal 5 7 4" xfId="1774" xr:uid="{00000000-0005-0000-0000-0000CD1B0000}"/>
    <cellStyle name="Normal 5 7 4 2" xfId="4004" xr:uid="{00000000-0005-0000-0000-0000CE1B0000}"/>
    <cellStyle name="Normal 5 7 4 2 2" xfId="8226" xr:uid="{00000000-0005-0000-0000-0000CF1B0000}"/>
    <cellStyle name="Normal 5 7 4 2 2 2" xfId="25956" xr:uid="{55FCDB13-5746-4D81-8DBE-1BF011965826}"/>
    <cellStyle name="Normal 5 7 4 2 2 3" xfId="16676" xr:uid="{EBB25E92-C665-4F37-A657-6D7E29446596}"/>
    <cellStyle name="Normal 5 7 4 2 3" xfId="21739" xr:uid="{5051550B-C89A-4A3A-8A1F-DB866EA42CAF}"/>
    <cellStyle name="Normal 5 7 4 2 4" xfId="12458" xr:uid="{6B273896-78D8-4F5F-B266-F3EFE8B53EF5}"/>
    <cellStyle name="Normal 5 7 4 3" xfId="6081" xr:uid="{00000000-0005-0000-0000-0000D01B0000}"/>
    <cellStyle name="Normal 5 7 4 3 2" xfId="23811" xr:uid="{914FA2C3-63B5-414F-9F5E-72C1CD028559}"/>
    <cellStyle name="Normal 5 7 4 3 3" xfId="14531" xr:uid="{AEC2F4A1-6C99-4295-AF19-64E67A7F46A0}"/>
    <cellStyle name="Normal 5 7 4 4" xfId="19594" xr:uid="{D789FB3F-CA73-4BD0-AD1C-0AE9120D5346}"/>
    <cellStyle name="Normal 5 7 4 5" xfId="10313" xr:uid="{84B2E08E-D232-4021-BB65-990DC009FA42}"/>
    <cellStyle name="Normal 5 7 5" xfId="2188" xr:uid="{00000000-0005-0000-0000-0000D11B0000}"/>
    <cellStyle name="Normal 5 7 5 2" xfId="4417" xr:uid="{00000000-0005-0000-0000-0000D21B0000}"/>
    <cellStyle name="Normal 5 7 5 2 2" xfId="8639" xr:uid="{00000000-0005-0000-0000-0000D31B0000}"/>
    <cellStyle name="Normal 5 7 5 2 2 2" xfId="26369" xr:uid="{F51F9C55-8AA1-4386-B657-8744ADAF0168}"/>
    <cellStyle name="Normal 5 7 5 2 2 3" xfId="17089" xr:uid="{42D779B8-9100-4992-A6D2-E92643C8301C}"/>
    <cellStyle name="Normal 5 7 5 2 3" xfId="22152" xr:uid="{787A2A67-1CB4-43A9-A34D-63075B3036FE}"/>
    <cellStyle name="Normal 5 7 5 2 4" xfId="12871" xr:uid="{9D429B1A-839B-461E-B192-0CD2F8146C07}"/>
    <cellStyle name="Normal 5 7 5 3" xfId="6494" xr:uid="{00000000-0005-0000-0000-0000D41B0000}"/>
    <cellStyle name="Normal 5 7 5 3 2" xfId="24224" xr:uid="{67228DB3-441A-4F62-A307-B762CDC6EE7A}"/>
    <cellStyle name="Normal 5 7 5 3 3" xfId="14944" xr:uid="{9F831AF0-5AD3-41B1-9B6E-1B58C8C9C66C}"/>
    <cellStyle name="Normal 5 7 5 4" xfId="20007" xr:uid="{F637FE61-62DA-4AE3-854F-24FD9ED48E36}"/>
    <cellStyle name="Normal 5 7 5 5" xfId="10726" xr:uid="{414F2594-F4CA-43D4-A30E-2DAA5A2DAEF8}"/>
    <cellStyle name="Normal 5 7 6" xfId="2624" xr:uid="{00000000-0005-0000-0000-0000D51B0000}"/>
    <cellStyle name="Normal 5 7 6 2" xfId="6907" xr:uid="{00000000-0005-0000-0000-0000D61B0000}"/>
    <cellStyle name="Normal 5 7 6 2 2" xfId="24637" xr:uid="{B4824B50-EE34-4286-9864-CD52608A76A4}"/>
    <cellStyle name="Normal 5 7 6 2 3" xfId="15357" xr:uid="{90FA675C-D6FE-4C06-A576-89BC5B016D5A}"/>
    <cellStyle name="Normal 5 7 6 3" xfId="20420" xr:uid="{301DFDF5-4A33-4B9E-B751-72F6AE605703}"/>
    <cellStyle name="Normal 5 7 6 4" xfId="11139" xr:uid="{A0529D67-C84B-4602-A67F-85A52595B9B2}"/>
    <cellStyle name="Normal 5 7 7" xfId="4842" xr:uid="{00000000-0005-0000-0000-0000D71B0000}"/>
    <cellStyle name="Normal 5 7 7 2" xfId="22572" xr:uid="{C91D8CAA-9EE4-4BDE-9C9F-AAC058492472}"/>
    <cellStyle name="Normal 5 7 7 3" xfId="13292" xr:uid="{2086D383-727A-4C31-8AA3-92E7678DFE1B}"/>
    <cellStyle name="Normal 5 7 8" xfId="18355" xr:uid="{EE9EC722-EBFA-4D68-9A5A-C09322B41B56}"/>
    <cellStyle name="Normal 5 7 9" xfId="17521" xr:uid="{447DE430-A306-4A9E-862B-712EF5CF13A7}"/>
    <cellStyle name="Normal 5 8" xfId="880" xr:uid="{00000000-0005-0000-0000-0000D81B0000}"/>
    <cellStyle name="Normal 5 8 2" xfId="3115" xr:uid="{00000000-0005-0000-0000-0000D91B0000}"/>
    <cellStyle name="Normal 5 8 2 2" xfId="7337" xr:uid="{00000000-0005-0000-0000-0000DA1B0000}"/>
    <cellStyle name="Normal 5 8 2 2 2" xfId="25067" xr:uid="{4E5B8994-A719-4549-A91F-BA5F2A4A951F}"/>
    <cellStyle name="Normal 5 8 2 2 3" xfId="15787" xr:uid="{7653C1F6-A183-4887-81F4-B683C4DEF6D8}"/>
    <cellStyle name="Normal 5 8 2 3" xfId="20850" xr:uid="{745CA3C9-2A35-421B-BD46-95D4AB82B6D5}"/>
    <cellStyle name="Normal 5 8 2 4" xfId="11569" xr:uid="{745AE287-0EDF-457A-8C47-AA5AC0AF3984}"/>
    <cellStyle name="Normal 5 8 3" xfId="5192" xr:uid="{00000000-0005-0000-0000-0000DB1B0000}"/>
    <cellStyle name="Normal 5 8 3 2" xfId="22922" xr:uid="{23F87FDA-D8C2-48D8-9876-6672CAA326CE}"/>
    <cellStyle name="Normal 5 8 3 3" xfId="13642" xr:uid="{46BD662C-9395-4471-A34F-D8B54603C09C}"/>
    <cellStyle name="Normal 5 8 4" xfId="18705" xr:uid="{40C76C8C-46CB-4976-B10E-6E7B0B195C8D}"/>
    <cellStyle name="Normal 5 8 5" xfId="17877" xr:uid="{308A9CC7-BE73-4AC1-8644-6355E42E5A3B}"/>
    <cellStyle name="Normal 5 8 6" xfId="9424" xr:uid="{BAB96BE8-FEA7-4AFA-B755-BA899550A0A0}"/>
    <cellStyle name="Normal 5 9" xfId="1298" xr:uid="{00000000-0005-0000-0000-0000DC1B0000}"/>
    <cellStyle name="Normal 5 9 2" xfId="3528" xr:uid="{00000000-0005-0000-0000-0000DD1B0000}"/>
    <cellStyle name="Normal 5 9 2 2" xfId="7750" xr:uid="{00000000-0005-0000-0000-0000DE1B0000}"/>
    <cellStyle name="Normal 5 9 2 2 2" xfId="25480" xr:uid="{15531442-9C71-4BB5-951F-F349286B0644}"/>
    <cellStyle name="Normal 5 9 2 2 3" xfId="16200" xr:uid="{A319395F-1524-47FC-A5D4-C8C45848F6AA}"/>
    <cellStyle name="Normal 5 9 2 3" xfId="21263" xr:uid="{AAD0D076-FFD1-4603-B3EB-F4A73545E0C3}"/>
    <cellStyle name="Normal 5 9 2 4" xfId="11982" xr:uid="{E09CC0B4-6145-4CE6-8A52-A28840373936}"/>
    <cellStyle name="Normal 5 9 3" xfId="5605" xr:uid="{00000000-0005-0000-0000-0000DF1B0000}"/>
    <cellStyle name="Normal 5 9 3 2" xfId="23335" xr:uid="{C8B25355-9269-48E9-8EBB-79B794814998}"/>
    <cellStyle name="Normal 5 9 3 3" xfId="14055" xr:uid="{59EDC703-EC0A-48A0-B43B-7D0BA9456D77}"/>
    <cellStyle name="Normal 5 9 4" xfId="19118" xr:uid="{6B8F9705-8736-4AA1-A414-3B87BC3987A7}"/>
    <cellStyle name="Normal 5 9 5" xfId="9837" xr:uid="{3295A356-704D-4850-A877-DB38700300BD}"/>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26370" xr:uid="{D53AC627-84DE-48D9-AB6C-8578699DD079}"/>
    <cellStyle name="Normal 8 10 2 2 3" xfId="17090" xr:uid="{05113898-CA98-4F99-832B-9E629ACB413C}"/>
    <cellStyle name="Normal 8 10 2 3" xfId="22153" xr:uid="{FFDBEFEB-E9F8-4CB7-90AE-0397EB043E16}"/>
    <cellStyle name="Normal 8 10 2 4" xfId="12872" xr:uid="{F471DFE4-AE6E-47FD-989F-2621A6020763}"/>
    <cellStyle name="Normal 8 10 3" xfId="6495" xr:uid="{00000000-0005-0000-0000-0000EB1B0000}"/>
    <cellStyle name="Normal 8 10 3 2" xfId="24225" xr:uid="{8B967839-8CCF-4FD8-A2BB-69C9206C7F4A}"/>
    <cellStyle name="Normal 8 10 3 3" xfId="14945" xr:uid="{8A2C71F1-791C-4380-A112-9FAD1D617F18}"/>
    <cellStyle name="Normal 8 10 4" xfId="20008" xr:uid="{7AA036C4-F59A-4B75-A3B2-B60EF0C0AF16}"/>
    <cellStyle name="Normal 8 10 5" xfId="10727" xr:uid="{F9094C04-DEA1-4648-9116-3B42C0B9E5B9}"/>
    <cellStyle name="Normal 8 11" xfId="2625" xr:uid="{00000000-0005-0000-0000-0000EC1B0000}"/>
    <cellStyle name="Normal 8 11 2" xfId="6908" xr:uid="{00000000-0005-0000-0000-0000ED1B0000}"/>
    <cellStyle name="Normal 8 11 2 2" xfId="24638" xr:uid="{37A92DA1-3FA2-4060-B224-D48B981A574F}"/>
    <cellStyle name="Normal 8 11 2 3" xfId="15358" xr:uid="{58E0EA44-FF36-472F-B81A-94D5C47A6387}"/>
    <cellStyle name="Normal 8 11 3" xfId="20421" xr:uid="{1996791D-CFC0-4A22-9CDB-EC1CCA61AD00}"/>
    <cellStyle name="Normal 8 11 4" xfId="11140" xr:uid="{295D4640-6262-47F8-B6FE-D3A11CCACA7E}"/>
    <cellStyle name="Normal 8 12" xfId="4843" xr:uid="{00000000-0005-0000-0000-0000EE1B0000}"/>
    <cellStyle name="Normal 8 12 2" xfId="22573" xr:uid="{6F082ED3-423F-4231-B460-9264A3982383}"/>
    <cellStyle name="Normal 8 12 3" xfId="13293" xr:uid="{186DAA8D-FF16-437D-AF93-D54F586923F0}"/>
    <cellStyle name="Normal 8 13" xfId="18356" xr:uid="{31891575-1E7D-4792-8812-CFE04F8C1B85}"/>
    <cellStyle name="Normal 8 14" xfId="17522" xr:uid="{6FD41137-A2C4-4F83-857C-ABB1CF473CBD}"/>
    <cellStyle name="Normal 8 15" xfId="9075" xr:uid="{162D29FF-16DA-4FF3-A917-2E2C9E8CB314}"/>
    <cellStyle name="Normal 8 2" xfId="479" xr:uid="{00000000-0005-0000-0000-0000EF1B0000}"/>
    <cellStyle name="Normal 8 2 10" xfId="2626" xr:uid="{00000000-0005-0000-0000-0000F01B0000}"/>
    <cellStyle name="Normal 8 2 10 2" xfId="6909" xr:uid="{00000000-0005-0000-0000-0000F11B0000}"/>
    <cellStyle name="Normal 8 2 10 2 2" xfId="24639" xr:uid="{0F641125-FB48-443B-A7FD-57BD4CDA9F5F}"/>
    <cellStyle name="Normal 8 2 10 2 3" xfId="15359" xr:uid="{1A15BEE1-B18E-4009-97D5-936264A10292}"/>
    <cellStyle name="Normal 8 2 10 3" xfId="20422" xr:uid="{FD9E2C37-FC43-4F55-82CE-3E0B2459EB64}"/>
    <cellStyle name="Normal 8 2 10 4" xfId="11141" xr:uid="{A9CDA715-CB63-4CA5-AD2A-AEF0417471B1}"/>
    <cellStyle name="Normal 8 2 11" xfId="4844" xr:uid="{00000000-0005-0000-0000-0000F21B0000}"/>
    <cellStyle name="Normal 8 2 11 2" xfId="22574" xr:uid="{D36C7133-ED8E-4B3F-BD6F-53463C38EE11}"/>
    <cellStyle name="Normal 8 2 11 3" xfId="13294" xr:uid="{8B76FC31-E2FC-48E1-84E9-6D642B9BC8FD}"/>
    <cellStyle name="Normal 8 2 12" xfId="18357" xr:uid="{BA2DC131-8179-4E13-BFCE-687296E29D4F}"/>
    <cellStyle name="Normal 8 2 13" xfId="17523" xr:uid="{84CDB6DA-10D4-483C-8F1C-14CAC5E4724C}"/>
    <cellStyle name="Normal 8 2 14" xfId="9076" xr:uid="{DDA70F91-EE04-44D9-99DB-DBD2BA44A8B6}"/>
    <cellStyle name="Normal 8 2 2" xfId="480" xr:uid="{00000000-0005-0000-0000-0000F31B0000}"/>
    <cellStyle name="Normal 8 2 2 10" xfId="4845" xr:uid="{00000000-0005-0000-0000-0000F41B0000}"/>
    <cellStyle name="Normal 8 2 2 10 2" xfId="22575" xr:uid="{7FA4E2A5-64C6-46B8-96B3-F1544996A702}"/>
    <cellStyle name="Normal 8 2 2 10 3" xfId="13295" xr:uid="{A8163694-28E4-4CBB-9D9E-0BBC9D975765}"/>
    <cellStyle name="Normal 8 2 2 11" xfId="18358" xr:uid="{27A11BE5-C86F-4CBF-ABC2-BC21F36998F3}"/>
    <cellStyle name="Normal 8 2 2 12" xfId="17524" xr:uid="{0F5567F5-AC42-4BA5-B51D-5F672822B5A5}"/>
    <cellStyle name="Normal 8 2 2 13" xfId="9077" xr:uid="{DCA43214-AD58-47AE-B33F-3465CA9F60E3}"/>
    <cellStyle name="Normal 8 2 2 2" xfId="481" xr:uid="{00000000-0005-0000-0000-0000F51B0000}"/>
    <cellStyle name="Normal 8 2 2 2 10" xfId="18359" xr:uid="{0C838844-2362-4CC9-9B12-D5B4A7D3AEB4}"/>
    <cellStyle name="Normal 8 2 2 2 11" xfId="17525" xr:uid="{03EA07E3-18D9-48C0-9F0E-82761E9E5E08}"/>
    <cellStyle name="Normal 8 2 2 2 12" xfId="9078" xr:uid="{D081E816-87B6-4CD7-87BF-5AF201297EF2}"/>
    <cellStyle name="Normal 8 2 2 2 2" xfId="482" xr:uid="{00000000-0005-0000-0000-0000F61B0000}"/>
    <cellStyle name="Normal 8 2 2 2 2 10" xfId="17526" xr:uid="{FB31F0BD-337B-4B50-8623-8041E043E96B}"/>
    <cellStyle name="Normal 8 2 2 2 2 11" xfId="9079" xr:uid="{ED157A9B-56D9-4B25-A84A-CE7A8CBE8BB7}"/>
    <cellStyle name="Normal 8 2 2 2 2 2" xfId="483" xr:uid="{00000000-0005-0000-0000-0000F71B0000}"/>
    <cellStyle name="Normal 8 2 2 2 2 2 10" xfId="9080" xr:uid="{F7864572-F764-4FED-A14B-E699F2D0A6D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25136" xr:uid="{F2251A76-5FDD-496C-BAAD-A7A894284831}"/>
    <cellStyle name="Normal 8 2 2 2 2 2 2 2 2 3" xfId="15856" xr:uid="{817DF5D2-1DBD-41B8-BC0E-AD069BE89819}"/>
    <cellStyle name="Normal 8 2 2 2 2 2 2 2 3" xfId="20919" xr:uid="{875D21AA-7241-482B-A8A6-35255ABFFB73}"/>
    <cellStyle name="Normal 8 2 2 2 2 2 2 2 4" xfId="11638" xr:uid="{9C6A9556-1010-4AA3-9EC5-EFE0E9DB71E9}"/>
    <cellStyle name="Normal 8 2 2 2 2 2 2 3" xfId="5261" xr:uid="{00000000-0005-0000-0000-0000FB1B0000}"/>
    <cellStyle name="Normal 8 2 2 2 2 2 2 3 2" xfId="22991" xr:uid="{C1890F00-8FD5-47BA-90DC-43DFE49606DC}"/>
    <cellStyle name="Normal 8 2 2 2 2 2 2 3 3" xfId="13711" xr:uid="{0739D958-0552-4349-858A-ADB300891785}"/>
    <cellStyle name="Normal 8 2 2 2 2 2 2 4" xfId="18774" xr:uid="{6159E2A7-53AB-42CE-818E-C789CADC71F9}"/>
    <cellStyle name="Normal 8 2 2 2 2 2 2 5" xfId="17946" xr:uid="{73A72211-BE56-45B7-9C50-5466AD075B7E}"/>
    <cellStyle name="Normal 8 2 2 2 2 2 2 6" xfId="9493" xr:uid="{AEEC5A89-FC39-4AA9-B958-ECB29DF93835}"/>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25549" xr:uid="{10E2E7A5-2ABE-4199-8058-CB0F6A9B0191}"/>
    <cellStyle name="Normal 8 2 2 2 2 2 3 2 2 3" xfId="16269" xr:uid="{326FE263-1023-46A9-9C9B-E27F9E36E33C}"/>
    <cellStyle name="Normal 8 2 2 2 2 2 3 2 3" xfId="21332" xr:uid="{181AEFBD-6351-45A9-8EDE-FE7BAAD35F41}"/>
    <cellStyle name="Normal 8 2 2 2 2 2 3 2 4" xfId="12051" xr:uid="{FF781B0E-AA0D-4F82-B8C7-DC159473958B}"/>
    <cellStyle name="Normal 8 2 2 2 2 2 3 3" xfId="5674" xr:uid="{00000000-0005-0000-0000-0000FF1B0000}"/>
    <cellStyle name="Normal 8 2 2 2 2 2 3 3 2" xfId="23404" xr:uid="{D0D7A1FA-70BD-4C98-81C5-2D14A47304CF}"/>
    <cellStyle name="Normal 8 2 2 2 2 2 3 3 3" xfId="14124" xr:uid="{9837C268-0FDB-4A54-8826-6C57FFEE65C9}"/>
    <cellStyle name="Normal 8 2 2 2 2 2 3 4" xfId="19187" xr:uid="{E66609ED-2B7E-47EB-836E-EF5935A7642D}"/>
    <cellStyle name="Normal 8 2 2 2 2 2 3 5" xfId="9906" xr:uid="{748FA330-EF21-4E95-828A-3BFD2772D4E3}"/>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25962" xr:uid="{E29EEA15-DF73-42E9-83A3-324E7CF1FF69}"/>
    <cellStyle name="Normal 8 2 2 2 2 2 4 2 2 3" xfId="16682" xr:uid="{0B005E61-EE54-4B29-9D7D-9821BDCBFB1E}"/>
    <cellStyle name="Normal 8 2 2 2 2 2 4 2 3" xfId="21745" xr:uid="{000879DE-F149-4B90-8394-481694079A07}"/>
    <cellStyle name="Normal 8 2 2 2 2 2 4 2 4" xfId="12464" xr:uid="{16BEC3EA-E623-403F-B4DB-AED1B0FF29A8}"/>
    <cellStyle name="Normal 8 2 2 2 2 2 4 3" xfId="6087" xr:uid="{00000000-0005-0000-0000-0000031C0000}"/>
    <cellStyle name="Normal 8 2 2 2 2 2 4 3 2" xfId="23817" xr:uid="{16807009-6278-4A92-A6C1-7DB259A418C3}"/>
    <cellStyle name="Normal 8 2 2 2 2 2 4 3 3" xfId="14537" xr:uid="{6C5D06D4-3622-45D0-9398-285532C882F5}"/>
    <cellStyle name="Normal 8 2 2 2 2 2 4 4" xfId="19600" xr:uid="{84BDDF45-1A6B-401E-87E4-222922A51FDF}"/>
    <cellStyle name="Normal 8 2 2 2 2 2 4 5" xfId="10319" xr:uid="{A11F4E3C-F78A-4918-A578-4464B1089416}"/>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26375" xr:uid="{B64E0C3F-AFFD-4C1B-A389-151B6B7F371A}"/>
    <cellStyle name="Normal 8 2 2 2 2 2 5 2 2 3" xfId="17095" xr:uid="{7E480A5F-397F-4541-BA44-B399E03373E9}"/>
    <cellStyle name="Normal 8 2 2 2 2 2 5 2 3" xfId="22158" xr:uid="{7F2A796E-F7DA-4AAE-8EB9-5C4F5801F179}"/>
    <cellStyle name="Normal 8 2 2 2 2 2 5 2 4" xfId="12877" xr:uid="{D5BDBDE9-FF1C-4A5F-B976-426DE7170FBC}"/>
    <cellStyle name="Normal 8 2 2 2 2 2 5 3" xfId="6500" xr:uid="{00000000-0005-0000-0000-0000071C0000}"/>
    <cellStyle name="Normal 8 2 2 2 2 2 5 3 2" xfId="24230" xr:uid="{9C074D9B-7D47-431F-8D65-C530D5F2C429}"/>
    <cellStyle name="Normal 8 2 2 2 2 2 5 3 3" xfId="14950" xr:uid="{7BDB8E4F-3009-46F7-98F0-2459DD4FC0ED}"/>
    <cellStyle name="Normal 8 2 2 2 2 2 5 4" xfId="20013" xr:uid="{1A8DAED8-7771-479D-BBD6-A94FEF618786}"/>
    <cellStyle name="Normal 8 2 2 2 2 2 5 5" xfId="10732" xr:uid="{9CCB24ED-74A4-4FF1-A01D-FACE91D01DD5}"/>
    <cellStyle name="Normal 8 2 2 2 2 2 6" xfId="2630" xr:uid="{00000000-0005-0000-0000-0000081C0000}"/>
    <cellStyle name="Normal 8 2 2 2 2 2 6 2" xfId="6913" xr:uid="{00000000-0005-0000-0000-0000091C0000}"/>
    <cellStyle name="Normal 8 2 2 2 2 2 6 2 2" xfId="24643" xr:uid="{54402D61-556D-40E1-B3CC-8BAB9DB9AF2E}"/>
    <cellStyle name="Normal 8 2 2 2 2 2 6 2 3" xfId="15363" xr:uid="{A9421766-319E-4D2D-9230-9B6393EB3C19}"/>
    <cellStyle name="Normal 8 2 2 2 2 2 6 3" xfId="20426" xr:uid="{72BB8155-D8B4-4408-A291-0C4E3C7D7053}"/>
    <cellStyle name="Normal 8 2 2 2 2 2 6 4" xfId="11145" xr:uid="{01C59F14-2305-493D-BF42-0A54EA3DFD5C}"/>
    <cellStyle name="Normal 8 2 2 2 2 2 7" xfId="4848" xr:uid="{00000000-0005-0000-0000-00000A1C0000}"/>
    <cellStyle name="Normal 8 2 2 2 2 2 7 2" xfId="22578" xr:uid="{A62D8742-F6CC-45A5-8140-67C5FF325D85}"/>
    <cellStyle name="Normal 8 2 2 2 2 2 7 3" xfId="13298" xr:uid="{177CADC6-1499-469C-A943-4377593264A0}"/>
    <cellStyle name="Normal 8 2 2 2 2 2 8" xfId="18361" xr:uid="{DD1F9D9A-3320-41FC-A27F-3B050E9BC709}"/>
    <cellStyle name="Normal 8 2 2 2 2 2 9" xfId="17527" xr:uid="{CCC1CD24-EAB1-4853-A1C3-6937B9CAEB78}"/>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25135" xr:uid="{15CDF1FC-AE57-4CD8-A058-BCE34B8CD4BE}"/>
    <cellStyle name="Normal 8 2 2 2 2 3 2 2 3" xfId="15855" xr:uid="{43B74F8B-BB05-4104-884A-552074666356}"/>
    <cellStyle name="Normal 8 2 2 2 2 3 2 3" xfId="20918" xr:uid="{12BA8EB0-9A71-43F6-8822-64F22F288BFD}"/>
    <cellStyle name="Normal 8 2 2 2 2 3 2 4" xfId="11637" xr:uid="{C2F7B011-0AB6-4819-9311-959448128A63}"/>
    <cellStyle name="Normal 8 2 2 2 2 3 3" xfId="5260" xr:uid="{00000000-0005-0000-0000-00000E1C0000}"/>
    <cellStyle name="Normal 8 2 2 2 2 3 3 2" xfId="22990" xr:uid="{B4F973B3-B76F-4787-AE89-F61D0F0F50D0}"/>
    <cellStyle name="Normal 8 2 2 2 2 3 3 3" xfId="13710" xr:uid="{9CEDDC87-96E2-4EAB-AC22-1270D0AA07FB}"/>
    <cellStyle name="Normal 8 2 2 2 2 3 4" xfId="18773" xr:uid="{ECE7CFBF-2208-4B36-B23F-2923D8436DA4}"/>
    <cellStyle name="Normal 8 2 2 2 2 3 5" xfId="17945" xr:uid="{566BD715-EBD6-4ABA-8930-7B1789C6E1C6}"/>
    <cellStyle name="Normal 8 2 2 2 2 3 6" xfId="9492" xr:uid="{8C768706-94F9-4E6C-9E06-743C761E227D}"/>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25548" xr:uid="{E7D331EB-FB08-4B1E-9320-375D64AEFC87}"/>
    <cellStyle name="Normal 8 2 2 2 2 4 2 2 3" xfId="16268" xr:uid="{A7090E45-4845-4E98-BBBC-2E325B03CB15}"/>
    <cellStyle name="Normal 8 2 2 2 2 4 2 3" xfId="21331" xr:uid="{3EF2B602-DC07-4C2B-BBC5-B8BC6A7894F9}"/>
    <cellStyle name="Normal 8 2 2 2 2 4 2 4" xfId="12050" xr:uid="{88BB129E-9271-4D45-A90E-743D7C22D717}"/>
    <cellStyle name="Normal 8 2 2 2 2 4 3" xfId="5673" xr:uid="{00000000-0005-0000-0000-0000121C0000}"/>
    <cellStyle name="Normal 8 2 2 2 2 4 3 2" xfId="23403" xr:uid="{F499E7D2-E096-48C2-9D57-444A7B35FA58}"/>
    <cellStyle name="Normal 8 2 2 2 2 4 3 3" xfId="14123" xr:uid="{07CBD688-5073-4557-BE42-11A1FCA6732E}"/>
    <cellStyle name="Normal 8 2 2 2 2 4 4" xfId="19186" xr:uid="{ED72C2CF-7541-402F-800E-579CC98690E5}"/>
    <cellStyle name="Normal 8 2 2 2 2 4 5" xfId="9905" xr:uid="{C90BBE28-82C9-431C-9523-034A208118E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25961" xr:uid="{D377E0BF-2D66-470C-AECA-986AFDF88BB1}"/>
    <cellStyle name="Normal 8 2 2 2 2 5 2 2 3" xfId="16681" xr:uid="{027E6661-A599-43E0-8E58-94CB50BA2A67}"/>
    <cellStyle name="Normal 8 2 2 2 2 5 2 3" xfId="21744" xr:uid="{225314BF-AFC9-4F83-BA61-1E7B89C54A3C}"/>
    <cellStyle name="Normal 8 2 2 2 2 5 2 4" xfId="12463" xr:uid="{29398B74-714E-4BAD-A47E-B200555994A2}"/>
    <cellStyle name="Normal 8 2 2 2 2 5 3" xfId="6086" xr:uid="{00000000-0005-0000-0000-0000161C0000}"/>
    <cellStyle name="Normal 8 2 2 2 2 5 3 2" xfId="23816" xr:uid="{31A2AC74-43F3-482C-8E3F-8875691B98F2}"/>
    <cellStyle name="Normal 8 2 2 2 2 5 3 3" xfId="14536" xr:uid="{94C187D4-A25F-4742-B8A2-765DC0C420C7}"/>
    <cellStyle name="Normal 8 2 2 2 2 5 4" xfId="19599" xr:uid="{E6DDA4A6-570D-4142-8223-24D2CBEAA15C}"/>
    <cellStyle name="Normal 8 2 2 2 2 5 5" xfId="10318" xr:uid="{5EED8007-2179-4C11-B7FE-D5A243C73C94}"/>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26374" xr:uid="{3BBD37EA-A29B-4346-A836-9C48D1A14CFE}"/>
    <cellStyle name="Normal 8 2 2 2 2 6 2 2 3" xfId="17094" xr:uid="{08B1790A-AA65-4EBB-A52C-6DC9E959E867}"/>
    <cellStyle name="Normal 8 2 2 2 2 6 2 3" xfId="22157" xr:uid="{2CFB601A-E383-4328-9173-A639D701F843}"/>
    <cellStyle name="Normal 8 2 2 2 2 6 2 4" xfId="12876" xr:uid="{0765509D-56A1-4DEA-92CC-1FE23AC1086A}"/>
    <cellStyle name="Normal 8 2 2 2 2 6 3" xfId="6499" xr:uid="{00000000-0005-0000-0000-00001A1C0000}"/>
    <cellStyle name="Normal 8 2 2 2 2 6 3 2" xfId="24229" xr:uid="{77CBD885-D86D-46CB-B16E-6AE68DAFF6FD}"/>
    <cellStyle name="Normal 8 2 2 2 2 6 3 3" xfId="14949" xr:uid="{49021C99-E93A-4D6F-B02B-58B6DE0807A2}"/>
    <cellStyle name="Normal 8 2 2 2 2 6 4" xfId="20012" xr:uid="{C50C71AC-D91E-4212-A2ED-DAE7E579F488}"/>
    <cellStyle name="Normal 8 2 2 2 2 6 5" xfId="10731" xr:uid="{585F674B-D519-48F2-A89D-5B525CBE65AD}"/>
    <cellStyle name="Normal 8 2 2 2 2 7" xfId="2629" xr:uid="{00000000-0005-0000-0000-00001B1C0000}"/>
    <cellStyle name="Normal 8 2 2 2 2 7 2" xfId="6912" xr:uid="{00000000-0005-0000-0000-00001C1C0000}"/>
    <cellStyle name="Normal 8 2 2 2 2 7 2 2" xfId="24642" xr:uid="{A1E7E178-3239-4226-AA3A-067D59928CCD}"/>
    <cellStyle name="Normal 8 2 2 2 2 7 2 3" xfId="15362" xr:uid="{FFF6BD11-DF0D-4623-8DB8-127E7F555138}"/>
    <cellStyle name="Normal 8 2 2 2 2 7 3" xfId="20425" xr:uid="{5F2606CD-98AA-46C8-BA4A-D4D6F2CD03DE}"/>
    <cellStyle name="Normal 8 2 2 2 2 7 4" xfId="11144" xr:uid="{ED09AEE2-2C4C-4599-815A-712379BBE23B}"/>
    <cellStyle name="Normal 8 2 2 2 2 8" xfId="4847" xr:uid="{00000000-0005-0000-0000-00001D1C0000}"/>
    <cellStyle name="Normal 8 2 2 2 2 8 2" xfId="22577" xr:uid="{CE8C1292-9B6C-4902-9184-C004CDE5943A}"/>
    <cellStyle name="Normal 8 2 2 2 2 8 3" xfId="13297" xr:uid="{546E05C3-84EB-4B2E-AF20-C6DF4FD041E1}"/>
    <cellStyle name="Normal 8 2 2 2 2 9" xfId="18360" xr:uid="{EB8E6D6F-AD2C-414E-96BB-E5FFEE6A4F3F}"/>
    <cellStyle name="Normal 8 2 2 2 3" xfId="484" xr:uid="{00000000-0005-0000-0000-00001E1C0000}"/>
    <cellStyle name="Normal 8 2 2 2 3 10" xfId="9081" xr:uid="{5DE8B05B-EEA3-4C3B-84D8-CED3537EE388}"/>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25137" xr:uid="{51DF4C5E-642B-47A6-A901-A5482C693375}"/>
    <cellStyle name="Normal 8 2 2 2 3 2 2 2 3" xfId="15857" xr:uid="{F57AC9AC-BEBB-4F33-9D04-2ED50DB7C393}"/>
    <cellStyle name="Normal 8 2 2 2 3 2 2 3" xfId="20920" xr:uid="{19658BCC-E47D-4347-BC70-3A5788874896}"/>
    <cellStyle name="Normal 8 2 2 2 3 2 2 4" xfId="11639" xr:uid="{5E113646-E8C3-46C7-86BD-F19EBC3A9F23}"/>
    <cellStyle name="Normal 8 2 2 2 3 2 3" xfId="5262" xr:uid="{00000000-0005-0000-0000-0000221C0000}"/>
    <cellStyle name="Normal 8 2 2 2 3 2 3 2" xfId="22992" xr:uid="{A978C696-7E59-4BDA-B677-82011603FBB8}"/>
    <cellStyle name="Normal 8 2 2 2 3 2 3 3" xfId="13712" xr:uid="{DD822817-0C67-4082-83DB-A07948E9A91D}"/>
    <cellStyle name="Normal 8 2 2 2 3 2 4" xfId="18775" xr:uid="{36C33497-CE07-4086-8B79-A143BFE39201}"/>
    <cellStyle name="Normal 8 2 2 2 3 2 5" xfId="17947" xr:uid="{67BA6012-FFD8-4F75-8557-E4B3848781C4}"/>
    <cellStyle name="Normal 8 2 2 2 3 2 6" xfId="9494" xr:uid="{887DBA6F-2B6A-4F15-954D-A9DB85F536DF}"/>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25550" xr:uid="{94574614-4E34-48FC-84EF-16D3722E8FC8}"/>
    <cellStyle name="Normal 8 2 2 2 3 3 2 2 3" xfId="16270" xr:uid="{451DEC06-6A10-4384-BF1C-92490275DA03}"/>
    <cellStyle name="Normal 8 2 2 2 3 3 2 3" xfId="21333" xr:uid="{565ABD95-E323-45EE-A474-AB48147FE5ED}"/>
    <cellStyle name="Normal 8 2 2 2 3 3 2 4" xfId="12052" xr:uid="{CED626E2-2C3B-4D53-AD3B-8D8C47C9B656}"/>
    <cellStyle name="Normal 8 2 2 2 3 3 3" xfId="5675" xr:uid="{00000000-0005-0000-0000-0000261C0000}"/>
    <cellStyle name="Normal 8 2 2 2 3 3 3 2" xfId="23405" xr:uid="{DC83C0DA-5FB2-4C35-9F78-7B9BF5DFCE90}"/>
    <cellStyle name="Normal 8 2 2 2 3 3 3 3" xfId="14125" xr:uid="{ED931ECC-507D-4861-A329-7F2EDD0A23AB}"/>
    <cellStyle name="Normal 8 2 2 2 3 3 4" xfId="19188" xr:uid="{FF6DBDE6-51E3-4E1E-B3B1-A22D8988FFB5}"/>
    <cellStyle name="Normal 8 2 2 2 3 3 5" xfId="9907" xr:uid="{D6F6F066-8FFB-4F6A-A7CE-8F4D101CB39D}"/>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25963" xr:uid="{73E42F5E-6616-44F4-89E3-2724ABD594A1}"/>
    <cellStyle name="Normal 8 2 2 2 3 4 2 2 3" xfId="16683" xr:uid="{BAFD95B5-4529-45DB-9A77-5AF9D416BAE2}"/>
    <cellStyle name="Normal 8 2 2 2 3 4 2 3" xfId="21746" xr:uid="{5FF608A5-2BB5-45EE-A31B-762FD9A2C726}"/>
    <cellStyle name="Normal 8 2 2 2 3 4 2 4" xfId="12465" xr:uid="{11C2E417-6FD6-4ADA-9629-85A2F00A8F8E}"/>
    <cellStyle name="Normal 8 2 2 2 3 4 3" xfId="6088" xr:uid="{00000000-0005-0000-0000-00002A1C0000}"/>
    <cellStyle name="Normal 8 2 2 2 3 4 3 2" xfId="23818" xr:uid="{76F1B00C-46ED-44F4-A2FC-718E32CCC785}"/>
    <cellStyle name="Normal 8 2 2 2 3 4 3 3" xfId="14538" xr:uid="{A01F71A6-4565-4522-9DF3-2ADEAA9AA878}"/>
    <cellStyle name="Normal 8 2 2 2 3 4 4" xfId="19601" xr:uid="{795E97AB-94A9-4B9A-A125-3709ACAFD36E}"/>
    <cellStyle name="Normal 8 2 2 2 3 4 5" xfId="10320" xr:uid="{4E7E51E0-7DE9-4F5B-8F0E-EB547C8AEF2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26376" xr:uid="{BDBDFFC6-4791-4B01-88FD-0351E5796ACC}"/>
    <cellStyle name="Normal 8 2 2 2 3 5 2 2 3" xfId="17096" xr:uid="{68B473E0-CF5D-4F6C-89AE-27FD890AFB06}"/>
    <cellStyle name="Normal 8 2 2 2 3 5 2 3" xfId="22159" xr:uid="{5585C113-9B10-49BA-AAF1-252ACDAEBABF}"/>
    <cellStyle name="Normal 8 2 2 2 3 5 2 4" xfId="12878" xr:uid="{BCA1920F-86CD-4F03-AF88-FBE2BCB2CFBD}"/>
    <cellStyle name="Normal 8 2 2 2 3 5 3" xfId="6501" xr:uid="{00000000-0005-0000-0000-00002E1C0000}"/>
    <cellStyle name="Normal 8 2 2 2 3 5 3 2" xfId="24231" xr:uid="{19102825-D8F6-4909-8420-97C0F7A52B75}"/>
    <cellStyle name="Normal 8 2 2 2 3 5 3 3" xfId="14951" xr:uid="{22C0E18A-020B-4285-B994-4D23AE809BBC}"/>
    <cellStyle name="Normal 8 2 2 2 3 5 4" xfId="20014" xr:uid="{D358DACF-4D68-44B9-AEAB-EA519D170E3D}"/>
    <cellStyle name="Normal 8 2 2 2 3 5 5" xfId="10733" xr:uid="{43B880E1-2090-4F3A-93BA-1E12FDAD4936}"/>
    <cellStyle name="Normal 8 2 2 2 3 6" xfId="2631" xr:uid="{00000000-0005-0000-0000-00002F1C0000}"/>
    <cellStyle name="Normal 8 2 2 2 3 6 2" xfId="6914" xr:uid="{00000000-0005-0000-0000-0000301C0000}"/>
    <cellStyle name="Normal 8 2 2 2 3 6 2 2" xfId="24644" xr:uid="{CBA70497-7112-4792-BD78-9F725528374C}"/>
    <cellStyle name="Normal 8 2 2 2 3 6 2 3" xfId="15364" xr:uid="{8211664C-A8FE-4165-B4BD-FC5C93D5A5DF}"/>
    <cellStyle name="Normal 8 2 2 2 3 6 3" xfId="20427" xr:uid="{FE788B8C-8093-40E7-9615-F00289AB8ADD}"/>
    <cellStyle name="Normal 8 2 2 2 3 6 4" xfId="11146" xr:uid="{D7BA6AA4-A6CF-49EE-8051-3194C1FB8C0A}"/>
    <cellStyle name="Normal 8 2 2 2 3 7" xfId="4849" xr:uid="{00000000-0005-0000-0000-0000311C0000}"/>
    <cellStyle name="Normal 8 2 2 2 3 7 2" xfId="22579" xr:uid="{1FA2806D-265B-40E9-8AC3-907CE7C8CDA2}"/>
    <cellStyle name="Normal 8 2 2 2 3 7 3" xfId="13299" xr:uid="{E4B8EBC5-95DB-4504-911E-7013C6E8659C}"/>
    <cellStyle name="Normal 8 2 2 2 3 8" xfId="18362" xr:uid="{99EADE90-D66E-4403-85DB-3073F0B187D9}"/>
    <cellStyle name="Normal 8 2 2 2 3 9" xfId="17528" xr:uid="{698210CA-5E26-4600-9486-2C0DDE0CB700}"/>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25134" xr:uid="{84A6B1DB-F8FF-40D4-90E2-54E562C335E6}"/>
    <cellStyle name="Normal 8 2 2 2 4 2 2 3" xfId="15854" xr:uid="{8037FDA0-7337-4426-9ACF-8E67E6602983}"/>
    <cellStyle name="Normal 8 2 2 2 4 2 3" xfId="20917" xr:uid="{65664CC9-AE5A-445F-98B5-86D1987C5E5F}"/>
    <cellStyle name="Normal 8 2 2 2 4 2 4" xfId="11636" xr:uid="{9D1971FF-B790-4382-929E-37405A65B8C5}"/>
    <cellStyle name="Normal 8 2 2 2 4 3" xfId="5259" xr:uid="{00000000-0005-0000-0000-0000351C0000}"/>
    <cellStyle name="Normal 8 2 2 2 4 3 2" xfId="22989" xr:uid="{83D4D7B1-8B68-4781-90B5-4EF1E5FEA10D}"/>
    <cellStyle name="Normal 8 2 2 2 4 3 3" xfId="13709" xr:uid="{8ECD2192-1472-4181-9075-309B306C8EC7}"/>
    <cellStyle name="Normal 8 2 2 2 4 4" xfId="18772" xr:uid="{86BF5D39-55DB-426B-980D-5CA5EE817BB5}"/>
    <cellStyle name="Normal 8 2 2 2 4 5" xfId="17944" xr:uid="{02E559C6-6967-425F-9F22-ADAD54C95A03}"/>
    <cellStyle name="Normal 8 2 2 2 4 6" xfId="9491" xr:uid="{4461C870-E7DE-41F8-9277-B4678475B7FA}"/>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25547" xr:uid="{98D5B000-6E5F-43C9-BF90-BC3116896762}"/>
    <cellStyle name="Normal 8 2 2 2 5 2 2 3" xfId="16267" xr:uid="{A5D04F7E-AD7E-48C4-9F19-AF4DE39D96DB}"/>
    <cellStyle name="Normal 8 2 2 2 5 2 3" xfId="21330" xr:uid="{2A43A729-6B16-459F-8833-77D3065A847F}"/>
    <cellStyle name="Normal 8 2 2 2 5 2 4" xfId="12049" xr:uid="{655F6218-E146-44D3-90BD-8D1C31CC5F37}"/>
    <cellStyle name="Normal 8 2 2 2 5 3" xfId="5672" xr:uid="{00000000-0005-0000-0000-0000391C0000}"/>
    <cellStyle name="Normal 8 2 2 2 5 3 2" xfId="23402" xr:uid="{37DB0C44-5230-4846-ABBF-C9DEB9CD8E32}"/>
    <cellStyle name="Normal 8 2 2 2 5 3 3" xfId="14122" xr:uid="{E4E4F519-F689-4F0A-BE36-B0697ABC89E1}"/>
    <cellStyle name="Normal 8 2 2 2 5 4" xfId="19185" xr:uid="{A75EF40D-FB6E-40CD-97D2-19E7DB9899C1}"/>
    <cellStyle name="Normal 8 2 2 2 5 5" xfId="9904" xr:uid="{35014849-E701-42EA-A392-42441D8E4946}"/>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25960" xr:uid="{B5159E28-14E7-4FD2-8DC4-B5817CFA0EB5}"/>
    <cellStyle name="Normal 8 2 2 2 6 2 2 3" xfId="16680" xr:uid="{453FBE61-38B0-43AD-9B34-21828E0A8C2E}"/>
    <cellStyle name="Normal 8 2 2 2 6 2 3" xfId="21743" xr:uid="{144E9998-476D-4543-8CB3-C486FD643BDC}"/>
    <cellStyle name="Normal 8 2 2 2 6 2 4" xfId="12462" xr:uid="{1A59CD8A-622A-4B9A-97A0-F80158B59A84}"/>
    <cellStyle name="Normal 8 2 2 2 6 3" xfId="6085" xr:uid="{00000000-0005-0000-0000-00003D1C0000}"/>
    <cellStyle name="Normal 8 2 2 2 6 3 2" xfId="23815" xr:uid="{1FF45A62-A9E1-4639-A2D8-E5BE9851EB3D}"/>
    <cellStyle name="Normal 8 2 2 2 6 3 3" xfId="14535" xr:uid="{D1E1DD5B-0793-4F41-952F-5E0FB6556B5D}"/>
    <cellStyle name="Normal 8 2 2 2 6 4" xfId="19598" xr:uid="{0CDC99A2-F44B-471C-BFEE-AE8C0FB7B000}"/>
    <cellStyle name="Normal 8 2 2 2 6 5" xfId="10317" xr:uid="{DE9D8D94-C476-4EED-92D5-1B6E33F950C9}"/>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26373" xr:uid="{F44DD388-6115-4E34-B059-DDFDA7CFD28D}"/>
    <cellStyle name="Normal 8 2 2 2 7 2 2 3" xfId="17093" xr:uid="{E0593D92-9D11-44F3-82D6-1E15A2400992}"/>
    <cellStyle name="Normal 8 2 2 2 7 2 3" xfId="22156" xr:uid="{9CBE216A-5659-4C76-AEC6-A800155746D6}"/>
    <cellStyle name="Normal 8 2 2 2 7 2 4" xfId="12875" xr:uid="{4BED2940-1B7B-4A61-8A21-6C8F016C57EA}"/>
    <cellStyle name="Normal 8 2 2 2 7 3" xfId="6498" xr:uid="{00000000-0005-0000-0000-0000411C0000}"/>
    <cellStyle name="Normal 8 2 2 2 7 3 2" xfId="24228" xr:uid="{72913A20-0180-47F2-89D4-E98D850AC7E0}"/>
    <cellStyle name="Normal 8 2 2 2 7 3 3" xfId="14948" xr:uid="{A0BC17DC-0B8A-4251-8C42-6283B787FB91}"/>
    <cellStyle name="Normal 8 2 2 2 7 4" xfId="20011" xr:uid="{5BED55D8-69D7-4764-89F8-7FEF45513B4F}"/>
    <cellStyle name="Normal 8 2 2 2 7 5" xfId="10730" xr:uid="{2C999EBA-1A28-4210-B31A-F3EF5D8503B5}"/>
    <cellStyle name="Normal 8 2 2 2 8" xfId="2628" xr:uid="{00000000-0005-0000-0000-0000421C0000}"/>
    <cellStyle name="Normal 8 2 2 2 8 2" xfId="6911" xr:uid="{00000000-0005-0000-0000-0000431C0000}"/>
    <cellStyle name="Normal 8 2 2 2 8 2 2" xfId="24641" xr:uid="{516486E8-24D0-4978-A4A0-932389DF23B8}"/>
    <cellStyle name="Normal 8 2 2 2 8 2 3" xfId="15361" xr:uid="{3BEAC35C-DF13-4030-A8CF-77724178209B}"/>
    <cellStyle name="Normal 8 2 2 2 8 3" xfId="20424" xr:uid="{E109FF7B-6317-4332-9FA6-BF0328758645}"/>
    <cellStyle name="Normal 8 2 2 2 8 4" xfId="11143" xr:uid="{A879DC1C-7178-4965-8722-D988E89CECB0}"/>
    <cellStyle name="Normal 8 2 2 2 9" xfId="4846" xr:uid="{00000000-0005-0000-0000-0000441C0000}"/>
    <cellStyle name="Normal 8 2 2 2 9 2" xfId="22576" xr:uid="{23BA0422-34CD-44F6-A611-0EB4E752B317}"/>
    <cellStyle name="Normal 8 2 2 2 9 3" xfId="13296" xr:uid="{FCF22D37-0292-439A-9C5D-D40A32963E59}"/>
    <cellStyle name="Normal 8 2 2 3" xfId="485" xr:uid="{00000000-0005-0000-0000-0000451C0000}"/>
    <cellStyle name="Normal 8 2 2 3 10" xfId="17529" xr:uid="{A2BF43C5-5D86-4DB9-9BAD-857E0F5EDE15}"/>
    <cellStyle name="Normal 8 2 2 3 11" xfId="9082" xr:uid="{4F2BFA99-B3C6-4B84-85CF-9E4A4980F0B7}"/>
    <cellStyle name="Normal 8 2 2 3 2" xfId="486" xr:uid="{00000000-0005-0000-0000-0000461C0000}"/>
    <cellStyle name="Normal 8 2 2 3 2 10" xfId="9083" xr:uid="{54A7EC7C-0804-4A7E-893C-059636D35C74}"/>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25139" xr:uid="{096939FF-8457-4FE0-9EEA-26A251E8BF8E}"/>
    <cellStyle name="Normal 8 2 2 3 2 2 2 2 3" xfId="15859" xr:uid="{9E3E3147-EDD8-4265-9746-5C0F05E101D0}"/>
    <cellStyle name="Normal 8 2 2 3 2 2 2 3" xfId="20922" xr:uid="{5AE90487-537B-4185-99FA-5C548A15F2F4}"/>
    <cellStyle name="Normal 8 2 2 3 2 2 2 4" xfId="11641" xr:uid="{3CAB9505-98D1-4579-80A3-0D8763E0EBCA}"/>
    <cellStyle name="Normal 8 2 2 3 2 2 3" xfId="5264" xr:uid="{00000000-0005-0000-0000-00004A1C0000}"/>
    <cellStyle name="Normal 8 2 2 3 2 2 3 2" xfId="22994" xr:uid="{3B3DDCA6-C7AF-4786-884C-91FDB8D35A10}"/>
    <cellStyle name="Normal 8 2 2 3 2 2 3 3" xfId="13714" xr:uid="{A2B9EE89-6217-499C-BFB3-FFAC2075E556}"/>
    <cellStyle name="Normal 8 2 2 3 2 2 4" xfId="18777" xr:uid="{FEB8DC4A-88A5-4E98-A9DD-E5C2F1B0BDEF}"/>
    <cellStyle name="Normal 8 2 2 3 2 2 5" xfId="17949" xr:uid="{EAFFF309-7705-4AC8-B43E-DDF222CE383E}"/>
    <cellStyle name="Normal 8 2 2 3 2 2 6" xfId="9496" xr:uid="{118D7FF6-26B4-49D4-BE78-F6D963BAEFFF}"/>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25552" xr:uid="{C5E71A15-90F5-46A0-AFDE-0B5C16105D3A}"/>
    <cellStyle name="Normal 8 2 2 3 2 3 2 2 3" xfId="16272" xr:uid="{5A797A35-3777-4600-B313-7381F25412AB}"/>
    <cellStyle name="Normal 8 2 2 3 2 3 2 3" xfId="21335" xr:uid="{9E372C50-E637-463B-BF95-4DB34B37BF7F}"/>
    <cellStyle name="Normal 8 2 2 3 2 3 2 4" xfId="12054" xr:uid="{30981318-055E-485A-B7B4-B55E3F7EA463}"/>
    <cellStyle name="Normal 8 2 2 3 2 3 3" xfId="5677" xr:uid="{00000000-0005-0000-0000-00004E1C0000}"/>
    <cellStyle name="Normal 8 2 2 3 2 3 3 2" xfId="23407" xr:uid="{C9C22A2D-77A3-413A-8113-B54619C712C9}"/>
    <cellStyle name="Normal 8 2 2 3 2 3 3 3" xfId="14127" xr:uid="{EF85C18F-8151-4CCA-BF3E-F454279C57A5}"/>
    <cellStyle name="Normal 8 2 2 3 2 3 4" xfId="19190" xr:uid="{1F50E0A9-B2ED-4F5A-AA4C-1D18EE6E83DC}"/>
    <cellStyle name="Normal 8 2 2 3 2 3 5" xfId="9909" xr:uid="{E51E8349-36C5-4D65-BFA2-D87184121E0E}"/>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25965" xr:uid="{C52CD9A7-8F5B-4271-9698-08B126DCD994}"/>
    <cellStyle name="Normal 8 2 2 3 2 4 2 2 3" xfId="16685" xr:uid="{32236130-76BF-4FBF-ACE3-A47F203DE298}"/>
    <cellStyle name="Normal 8 2 2 3 2 4 2 3" xfId="21748" xr:uid="{D5D52BEC-865B-4861-9CC4-56080C1514EB}"/>
    <cellStyle name="Normal 8 2 2 3 2 4 2 4" xfId="12467" xr:uid="{B1CC5FFB-DF16-4E1E-B041-09E548C063CA}"/>
    <cellStyle name="Normal 8 2 2 3 2 4 3" xfId="6090" xr:uid="{00000000-0005-0000-0000-0000521C0000}"/>
    <cellStyle name="Normal 8 2 2 3 2 4 3 2" xfId="23820" xr:uid="{79FBE716-F509-4FBC-BECA-18C0DFD9F26F}"/>
    <cellStyle name="Normal 8 2 2 3 2 4 3 3" xfId="14540" xr:uid="{0F2F70AC-4BF4-43FB-8508-331B31FEC7CC}"/>
    <cellStyle name="Normal 8 2 2 3 2 4 4" xfId="19603" xr:uid="{557A35F2-546E-48C6-81A6-F1AE60BF6757}"/>
    <cellStyle name="Normal 8 2 2 3 2 4 5" xfId="10322" xr:uid="{5C82ED98-EB70-4F0F-9AD4-275683CE9459}"/>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26378" xr:uid="{099DA979-2901-492D-ABA1-0851F0A29DDB}"/>
    <cellStyle name="Normal 8 2 2 3 2 5 2 2 3" xfId="17098" xr:uid="{44050EA3-A17A-4549-9900-B02277EE1400}"/>
    <cellStyle name="Normal 8 2 2 3 2 5 2 3" xfId="22161" xr:uid="{30D83DB6-EADA-4B28-A292-2CE82AFC91E7}"/>
    <cellStyle name="Normal 8 2 2 3 2 5 2 4" xfId="12880" xr:uid="{548D43B7-18EB-46AB-832F-B20B298F16A7}"/>
    <cellStyle name="Normal 8 2 2 3 2 5 3" xfId="6503" xr:uid="{00000000-0005-0000-0000-0000561C0000}"/>
    <cellStyle name="Normal 8 2 2 3 2 5 3 2" xfId="24233" xr:uid="{4A8FBEDD-4DF0-4E2A-906E-7E74C022ED59}"/>
    <cellStyle name="Normal 8 2 2 3 2 5 3 3" xfId="14953" xr:uid="{8FD72F69-9E04-40F6-9169-9BCCFBC3A85F}"/>
    <cellStyle name="Normal 8 2 2 3 2 5 4" xfId="20016" xr:uid="{042A861B-1DCB-4670-A409-D5E996AA87B9}"/>
    <cellStyle name="Normal 8 2 2 3 2 5 5" xfId="10735" xr:uid="{A90808AC-EF64-46B6-A151-2B22126972FB}"/>
    <cellStyle name="Normal 8 2 2 3 2 6" xfId="2633" xr:uid="{00000000-0005-0000-0000-0000571C0000}"/>
    <cellStyle name="Normal 8 2 2 3 2 6 2" xfId="6916" xr:uid="{00000000-0005-0000-0000-0000581C0000}"/>
    <cellStyle name="Normal 8 2 2 3 2 6 2 2" xfId="24646" xr:uid="{726A0CDD-46FB-46F0-8306-20C0D9848918}"/>
    <cellStyle name="Normal 8 2 2 3 2 6 2 3" xfId="15366" xr:uid="{7C48347E-FD86-40E4-B6A3-8AB769A3422F}"/>
    <cellStyle name="Normal 8 2 2 3 2 6 3" xfId="20429" xr:uid="{342C4501-E47E-4CAE-B667-8517B2077888}"/>
    <cellStyle name="Normal 8 2 2 3 2 6 4" xfId="11148" xr:uid="{826808C3-E518-4C47-B452-F9EA9268BCBA}"/>
    <cellStyle name="Normal 8 2 2 3 2 7" xfId="4851" xr:uid="{00000000-0005-0000-0000-0000591C0000}"/>
    <cellStyle name="Normal 8 2 2 3 2 7 2" xfId="22581" xr:uid="{7A3C2059-F16A-449C-81FB-60957C636591}"/>
    <cellStyle name="Normal 8 2 2 3 2 7 3" xfId="13301" xr:uid="{CB919ADA-D557-40CC-AE81-25992C569B84}"/>
    <cellStyle name="Normal 8 2 2 3 2 8" xfId="18364" xr:uid="{021CD718-2E59-4E89-AC96-FC4DAB8DAC41}"/>
    <cellStyle name="Normal 8 2 2 3 2 9" xfId="17530" xr:uid="{300139AA-C6E5-42EC-9F23-D97F793A91C3}"/>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25138" xr:uid="{DE54AB3D-68A8-4F73-AAA2-4B86B038BC02}"/>
    <cellStyle name="Normal 8 2 2 3 3 2 2 3" xfId="15858" xr:uid="{FBB736F4-C8AD-4171-955B-DDA3897DE7A6}"/>
    <cellStyle name="Normal 8 2 2 3 3 2 3" xfId="20921" xr:uid="{944119E5-500C-4376-A54A-562B97817B85}"/>
    <cellStyle name="Normal 8 2 2 3 3 2 4" xfId="11640" xr:uid="{ACBF7F96-02E5-441B-9D55-62AAB5E6FD63}"/>
    <cellStyle name="Normal 8 2 2 3 3 3" xfId="5263" xr:uid="{00000000-0005-0000-0000-00005D1C0000}"/>
    <cellStyle name="Normal 8 2 2 3 3 3 2" xfId="22993" xr:uid="{82D77105-EAB2-4C94-8584-8048B9BDC180}"/>
    <cellStyle name="Normal 8 2 2 3 3 3 3" xfId="13713" xr:uid="{A5D1C135-0124-49AF-B4B1-30B8F30A26BB}"/>
    <cellStyle name="Normal 8 2 2 3 3 4" xfId="18776" xr:uid="{5B22E535-95B4-4FC4-8B07-F6BFB5DDD0E8}"/>
    <cellStyle name="Normal 8 2 2 3 3 5" xfId="17948" xr:uid="{1E068254-DB07-468B-984C-6BFE3E226B66}"/>
    <cellStyle name="Normal 8 2 2 3 3 6" xfId="9495" xr:uid="{EA07F694-A84C-4A44-9872-07868BC261D0}"/>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25551" xr:uid="{154F2EFE-ACED-4F0D-B1FC-AD4FD407CCE8}"/>
    <cellStyle name="Normal 8 2 2 3 4 2 2 3" xfId="16271" xr:uid="{E368806F-2076-4089-A1FC-30E0DCB8C456}"/>
    <cellStyle name="Normal 8 2 2 3 4 2 3" xfId="21334" xr:uid="{037F9AC3-F8D6-40E0-AA66-DB971C936DD2}"/>
    <cellStyle name="Normal 8 2 2 3 4 2 4" xfId="12053" xr:uid="{8EA13300-1FD0-49A5-A6A0-A3AE7C637507}"/>
    <cellStyle name="Normal 8 2 2 3 4 3" xfId="5676" xr:uid="{00000000-0005-0000-0000-0000611C0000}"/>
    <cellStyle name="Normal 8 2 2 3 4 3 2" xfId="23406" xr:uid="{9A935586-5B9B-42B3-8312-4FDBBBC7A437}"/>
    <cellStyle name="Normal 8 2 2 3 4 3 3" xfId="14126" xr:uid="{51624671-9CB5-4CB6-A782-D02984348197}"/>
    <cellStyle name="Normal 8 2 2 3 4 4" xfId="19189" xr:uid="{A3421663-5462-4F86-977F-4B5FFE4F2B78}"/>
    <cellStyle name="Normal 8 2 2 3 4 5" xfId="9908" xr:uid="{6ACAB7F0-8A9D-4291-BACF-0161DE36EB02}"/>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25964" xr:uid="{0398A24B-2838-4182-B922-F9FE492E6D79}"/>
    <cellStyle name="Normal 8 2 2 3 5 2 2 3" xfId="16684" xr:uid="{0B892E2C-1AC4-4FFC-BACB-FBDBAC2C491C}"/>
    <cellStyle name="Normal 8 2 2 3 5 2 3" xfId="21747" xr:uid="{7DEAC22F-1083-4BED-8494-83D3B0362726}"/>
    <cellStyle name="Normal 8 2 2 3 5 2 4" xfId="12466" xr:uid="{370A6AFD-F820-4D30-887F-0A12ACA692C7}"/>
    <cellStyle name="Normal 8 2 2 3 5 3" xfId="6089" xr:uid="{00000000-0005-0000-0000-0000651C0000}"/>
    <cellStyle name="Normal 8 2 2 3 5 3 2" xfId="23819" xr:uid="{3F82276E-4E51-41E0-A38B-E95665F986A4}"/>
    <cellStyle name="Normal 8 2 2 3 5 3 3" xfId="14539" xr:uid="{A7D6FDAE-19EA-4CD9-8060-C694645D9B89}"/>
    <cellStyle name="Normal 8 2 2 3 5 4" xfId="19602" xr:uid="{3D220703-2FC2-454B-ABAF-B727B684F1FA}"/>
    <cellStyle name="Normal 8 2 2 3 5 5" xfId="10321" xr:uid="{B5B06AB7-A52E-42F6-94F7-79EB93E0FDB1}"/>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26377" xr:uid="{CD1F1AD2-EF51-4912-A196-FF63DCABE5F9}"/>
    <cellStyle name="Normal 8 2 2 3 6 2 2 3" xfId="17097" xr:uid="{BA0FCA2D-816B-4B0F-B40C-8153953E1CAD}"/>
    <cellStyle name="Normal 8 2 2 3 6 2 3" xfId="22160" xr:uid="{424E6563-86C6-404C-95F7-07B477D8C985}"/>
    <cellStyle name="Normal 8 2 2 3 6 2 4" xfId="12879" xr:uid="{929AFBD7-7374-4D5B-8114-F88DE761837F}"/>
    <cellStyle name="Normal 8 2 2 3 6 3" xfId="6502" xr:uid="{00000000-0005-0000-0000-0000691C0000}"/>
    <cellStyle name="Normal 8 2 2 3 6 3 2" xfId="24232" xr:uid="{1421978B-7682-4172-B2E6-F25F7E91768E}"/>
    <cellStyle name="Normal 8 2 2 3 6 3 3" xfId="14952" xr:uid="{6273EF41-5EBF-4F68-8D48-B556B4FA6A59}"/>
    <cellStyle name="Normal 8 2 2 3 6 4" xfId="20015" xr:uid="{6A495649-7E0E-4BFC-8F5C-B2891B8400CE}"/>
    <cellStyle name="Normal 8 2 2 3 6 5" xfId="10734" xr:uid="{92B5274F-1465-4A2E-97FF-9183E7C51974}"/>
    <cellStyle name="Normal 8 2 2 3 7" xfId="2632" xr:uid="{00000000-0005-0000-0000-00006A1C0000}"/>
    <cellStyle name="Normal 8 2 2 3 7 2" xfId="6915" xr:uid="{00000000-0005-0000-0000-00006B1C0000}"/>
    <cellStyle name="Normal 8 2 2 3 7 2 2" xfId="24645" xr:uid="{C40CE68B-C07D-4F60-90EA-9F587B48B5DF}"/>
    <cellStyle name="Normal 8 2 2 3 7 2 3" xfId="15365" xr:uid="{7DF1AD71-4723-4D73-AAA2-89E2229B2BB2}"/>
    <cellStyle name="Normal 8 2 2 3 7 3" xfId="20428" xr:uid="{C6AEE875-E438-4829-B8D1-46CC67A8438C}"/>
    <cellStyle name="Normal 8 2 2 3 7 4" xfId="11147" xr:uid="{55EFE260-E071-41AC-8D17-C0985FF78668}"/>
    <cellStyle name="Normal 8 2 2 3 8" xfId="4850" xr:uid="{00000000-0005-0000-0000-00006C1C0000}"/>
    <cellStyle name="Normal 8 2 2 3 8 2" xfId="22580" xr:uid="{AB845A5E-9BB9-4F70-B9A2-0811589E0212}"/>
    <cellStyle name="Normal 8 2 2 3 8 3" xfId="13300" xr:uid="{0C9A4E13-BC3A-4C96-A0E8-23874764B49B}"/>
    <cellStyle name="Normal 8 2 2 3 9" xfId="18363" xr:uid="{4840C28B-7AF6-4465-9C6B-A82BBF342BE8}"/>
    <cellStyle name="Normal 8 2 2 4" xfId="487" xr:uid="{00000000-0005-0000-0000-00006D1C0000}"/>
    <cellStyle name="Normal 8 2 2 4 10" xfId="9084" xr:uid="{85970FE2-9C8F-451A-87EB-27222DCF9A3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25140" xr:uid="{BA9038B0-F926-4C95-B3F7-F241AB8D9B76}"/>
    <cellStyle name="Normal 8 2 2 4 2 2 2 3" xfId="15860" xr:uid="{341F1E4A-6AAD-40EF-A0C3-EA2B7252FE96}"/>
    <cellStyle name="Normal 8 2 2 4 2 2 3" xfId="20923" xr:uid="{D69B2B3A-D5CD-4724-8FF8-23E16689DD14}"/>
    <cellStyle name="Normal 8 2 2 4 2 2 4" xfId="11642" xr:uid="{70ADD108-B6CF-44D3-9AB8-03D8B9583E9C}"/>
    <cellStyle name="Normal 8 2 2 4 2 3" xfId="5265" xr:uid="{00000000-0005-0000-0000-0000711C0000}"/>
    <cellStyle name="Normal 8 2 2 4 2 3 2" xfId="22995" xr:uid="{A2D92C05-44A4-4180-9543-1AD7DE6DDFB1}"/>
    <cellStyle name="Normal 8 2 2 4 2 3 3" xfId="13715" xr:uid="{F2DB30DD-79DE-46A6-81D0-E8571AC7AE00}"/>
    <cellStyle name="Normal 8 2 2 4 2 4" xfId="18778" xr:uid="{6D13C782-1F1C-45AB-ACA1-EABFC811644B}"/>
    <cellStyle name="Normal 8 2 2 4 2 5" xfId="17950" xr:uid="{25EE5E31-6AE8-4A49-8ACB-CC0EDB732148}"/>
    <cellStyle name="Normal 8 2 2 4 2 6" xfId="9497" xr:uid="{38A788EF-9402-44AC-AA15-17EFEF3CCB7F}"/>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25553" xr:uid="{E55D379F-D0C5-4448-BAE9-9AE6248066B0}"/>
    <cellStyle name="Normal 8 2 2 4 3 2 2 3" xfId="16273" xr:uid="{3FEFDC5C-2CB8-488D-BCBE-0DCF761CA01A}"/>
    <cellStyle name="Normal 8 2 2 4 3 2 3" xfId="21336" xr:uid="{69A98C4F-D056-4533-BFFA-B29A445E1261}"/>
    <cellStyle name="Normal 8 2 2 4 3 2 4" xfId="12055" xr:uid="{037FE1DF-73AD-4219-8014-8DCF96BCF368}"/>
    <cellStyle name="Normal 8 2 2 4 3 3" xfId="5678" xr:uid="{00000000-0005-0000-0000-0000751C0000}"/>
    <cellStyle name="Normal 8 2 2 4 3 3 2" xfId="23408" xr:uid="{16921077-62CE-46DA-BD9E-3883BCEC73E7}"/>
    <cellStyle name="Normal 8 2 2 4 3 3 3" xfId="14128" xr:uid="{A14328CE-C8F6-4661-862E-42A6283A2F3A}"/>
    <cellStyle name="Normal 8 2 2 4 3 4" xfId="19191" xr:uid="{3A71C34E-B910-46A3-B4AE-E958342982B2}"/>
    <cellStyle name="Normal 8 2 2 4 3 5" xfId="9910" xr:uid="{2C397A75-264C-430E-87B3-49CAAB165607}"/>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25966" xr:uid="{6FF8BA55-5BFD-41FF-87B7-BDEFEAA63AA1}"/>
    <cellStyle name="Normal 8 2 2 4 4 2 2 3" xfId="16686" xr:uid="{3D4D5691-D89B-4379-B4AA-8CC0DECD20C5}"/>
    <cellStyle name="Normal 8 2 2 4 4 2 3" xfId="21749" xr:uid="{2003C63F-624C-4B0A-BE56-E6A7A2693145}"/>
    <cellStyle name="Normal 8 2 2 4 4 2 4" xfId="12468" xr:uid="{8F4691C7-6BEE-497D-8037-8F45F303151B}"/>
    <cellStyle name="Normal 8 2 2 4 4 3" xfId="6091" xr:uid="{00000000-0005-0000-0000-0000791C0000}"/>
    <cellStyle name="Normal 8 2 2 4 4 3 2" xfId="23821" xr:uid="{9736E589-44B9-4642-91B5-F61A32C1F56E}"/>
    <cellStyle name="Normal 8 2 2 4 4 3 3" xfId="14541" xr:uid="{838B1188-9DEA-4DA7-84A9-815C8E16B3C2}"/>
    <cellStyle name="Normal 8 2 2 4 4 4" xfId="19604" xr:uid="{AE8E8810-63BE-4FD5-9208-F76B498D75FA}"/>
    <cellStyle name="Normal 8 2 2 4 4 5" xfId="10323" xr:uid="{09471CDF-371C-45D6-A360-1F4C33B09510}"/>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26379" xr:uid="{790FFCCA-E748-4F0A-A3D1-48020C843653}"/>
    <cellStyle name="Normal 8 2 2 4 5 2 2 3" xfId="17099" xr:uid="{99378F23-9E83-4FDF-8BDB-5EC06D5A5280}"/>
    <cellStyle name="Normal 8 2 2 4 5 2 3" xfId="22162" xr:uid="{41609A53-C8B6-41A0-B2C7-FE30BD08CBE9}"/>
    <cellStyle name="Normal 8 2 2 4 5 2 4" xfId="12881" xr:uid="{043B6756-8657-464B-9218-76D29D0CB953}"/>
    <cellStyle name="Normal 8 2 2 4 5 3" xfId="6504" xr:uid="{00000000-0005-0000-0000-00007D1C0000}"/>
    <cellStyle name="Normal 8 2 2 4 5 3 2" xfId="24234" xr:uid="{D036629A-D26A-4C99-87A3-ADC89E330D82}"/>
    <cellStyle name="Normal 8 2 2 4 5 3 3" xfId="14954" xr:uid="{E9D60A59-C0B3-4B89-AF5D-2FE0E8E1DC06}"/>
    <cellStyle name="Normal 8 2 2 4 5 4" xfId="20017" xr:uid="{9D8DB89C-4705-4962-ACE5-385DD5F7BB0C}"/>
    <cellStyle name="Normal 8 2 2 4 5 5" xfId="10736" xr:uid="{D641B53F-05C5-4A5E-BDA3-34062F8888DB}"/>
    <cellStyle name="Normal 8 2 2 4 6" xfId="2634" xr:uid="{00000000-0005-0000-0000-00007E1C0000}"/>
    <cellStyle name="Normal 8 2 2 4 6 2" xfId="6917" xr:uid="{00000000-0005-0000-0000-00007F1C0000}"/>
    <cellStyle name="Normal 8 2 2 4 6 2 2" xfId="24647" xr:uid="{46F0ABF5-A6B3-435C-80B4-505BE201DCB9}"/>
    <cellStyle name="Normal 8 2 2 4 6 2 3" xfId="15367" xr:uid="{C0C2305B-5E18-4348-8B42-F34C8758F676}"/>
    <cellStyle name="Normal 8 2 2 4 6 3" xfId="20430" xr:uid="{02E0241F-6E18-48D2-9D18-756500878DC8}"/>
    <cellStyle name="Normal 8 2 2 4 6 4" xfId="11149" xr:uid="{4AEB3095-215C-44AC-9EE3-BC18BE3C35F6}"/>
    <cellStyle name="Normal 8 2 2 4 7" xfId="4852" xr:uid="{00000000-0005-0000-0000-0000801C0000}"/>
    <cellStyle name="Normal 8 2 2 4 7 2" xfId="22582" xr:uid="{911E90A4-5C14-4B0D-BFD9-19C1EE21EC85}"/>
    <cellStyle name="Normal 8 2 2 4 7 3" xfId="13302" xr:uid="{365D52C0-40B3-42BA-90B7-0E453FD73B23}"/>
    <cellStyle name="Normal 8 2 2 4 8" xfId="18365" xr:uid="{09553265-DCDE-49ED-A7E7-0DD7EF11B581}"/>
    <cellStyle name="Normal 8 2 2 4 9" xfId="17531" xr:uid="{B23E5583-B556-45EF-8C89-5139F9AF8D6F}"/>
    <cellStyle name="Normal 8 2 2 5" xfId="947" xr:uid="{00000000-0005-0000-0000-0000811C0000}"/>
    <cellStyle name="Normal 8 2 2 5 2" xfId="3181" xr:uid="{00000000-0005-0000-0000-0000821C0000}"/>
    <cellStyle name="Normal 8 2 2 5 2 2" xfId="7403" xr:uid="{00000000-0005-0000-0000-0000831C0000}"/>
    <cellStyle name="Normal 8 2 2 5 2 2 2" xfId="25133" xr:uid="{B5B21B84-B5C4-474B-B643-8C73F2D02B0E}"/>
    <cellStyle name="Normal 8 2 2 5 2 2 3" xfId="15853" xr:uid="{C318E052-697F-4A72-8DE4-33C25310B2AB}"/>
    <cellStyle name="Normal 8 2 2 5 2 3" xfId="20916" xr:uid="{D07836E0-581F-4ACA-9915-FD67A757CDDB}"/>
    <cellStyle name="Normal 8 2 2 5 2 4" xfId="11635" xr:uid="{1A506445-C643-4BF0-A946-4F1D2F1B2536}"/>
    <cellStyle name="Normal 8 2 2 5 3" xfId="5258" xr:uid="{00000000-0005-0000-0000-0000841C0000}"/>
    <cellStyle name="Normal 8 2 2 5 3 2" xfId="22988" xr:uid="{FE62C49A-7D5F-489F-84B8-344CB888282E}"/>
    <cellStyle name="Normal 8 2 2 5 3 3" xfId="13708" xr:uid="{EA3BE391-064B-44CE-8DDC-C054D6E8BD87}"/>
    <cellStyle name="Normal 8 2 2 5 4" xfId="18771" xr:uid="{C33BBB09-6849-4775-94FB-021826D75F3D}"/>
    <cellStyle name="Normal 8 2 2 5 5" xfId="17943" xr:uid="{7526644B-5EBD-4BDD-B6F0-6E3E6E12485C}"/>
    <cellStyle name="Normal 8 2 2 5 6" xfId="9490" xr:uid="{C1FE45C9-F917-4B81-BCDA-40C5C1989B0F}"/>
    <cellStyle name="Normal 8 2 2 6" xfId="1364" xr:uid="{00000000-0005-0000-0000-0000851C0000}"/>
    <cellStyle name="Normal 8 2 2 6 2" xfId="3594" xr:uid="{00000000-0005-0000-0000-0000861C0000}"/>
    <cellStyle name="Normal 8 2 2 6 2 2" xfId="7816" xr:uid="{00000000-0005-0000-0000-0000871C0000}"/>
    <cellStyle name="Normal 8 2 2 6 2 2 2" xfId="25546" xr:uid="{7E30CD35-67EC-420C-99B7-F00A70802ECD}"/>
    <cellStyle name="Normal 8 2 2 6 2 2 3" xfId="16266" xr:uid="{6562FC7C-9707-4D3C-9EA8-7063A6A71770}"/>
    <cellStyle name="Normal 8 2 2 6 2 3" xfId="21329" xr:uid="{DD2A4222-502F-4DA9-BE24-2365DA537BDE}"/>
    <cellStyle name="Normal 8 2 2 6 2 4" xfId="12048" xr:uid="{35A7FC4D-A769-43C9-9FA9-98407FAC60DA}"/>
    <cellStyle name="Normal 8 2 2 6 3" xfId="5671" xr:uid="{00000000-0005-0000-0000-0000881C0000}"/>
    <cellStyle name="Normal 8 2 2 6 3 2" xfId="23401" xr:uid="{0D627764-30CD-464E-9611-ADA919205480}"/>
    <cellStyle name="Normal 8 2 2 6 3 3" xfId="14121" xr:uid="{BF1FDF76-A6DF-4BFA-A87C-64212E0E3F44}"/>
    <cellStyle name="Normal 8 2 2 6 4" xfId="19184" xr:uid="{58D8C843-6650-4961-8704-C9A24BD4BB67}"/>
    <cellStyle name="Normal 8 2 2 6 5" xfId="9903" xr:uid="{6DEB91AF-B245-4965-AD70-2D973F18E291}"/>
    <cellStyle name="Normal 8 2 2 7" xfId="1777" xr:uid="{00000000-0005-0000-0000-0000891C0000}"/>
    <cellStyle name="Normal 8 2 2 7 2" xfId="4007" xr:uid="{00000000-0005-0000-0000-00008A1C0000}"/>
    <cellStyle name="Normal 8 2 2 7 2 2" xfId="8229" xr:uid="{00000000-0005-0000-0000-00008B1C0000}"/>
    <cellStyle name="Normal 8 2 2 7 2 2 2" xfId="25959" xr:uid="{8FA23A7E-03E9-44F1-81E6-7DCA394C5D85}"/>
    <cellStyle name="Normal 8 2 2 7 2 2 3" xfId="16679" xr:uid="{4D4AF824-359E-40F4-BBF4-0AC306F3F9C6}"/>
    <cellStyle name="Normal 8 2 2 7 2 3" xfId="21742" xr:uid="{59F71FEE-AA62-4F96-8A0B-2E1F17DEE3C6}"/>
    <cellStyle name="Normal 8 2 2 7 2 4" xfId="12461" xr:uid="{74A41F21-45E2-47EB-A604-8A7F7552193A}"/>
    <cellStyle name="Normal 8 2 2 7 3" xfId="6084" xr:uid="{00000000-0005-0000-0000-00008C1C0000}"/>
    <cellStyle name="Normal 8 2 2 7 3 2" xfId="23814" xr:uid="{E8597D8E-C408-4F8E-B77F-0DD45A775F81}"/>
    <cellStyle name="Normal 8 2 2 7 3 3" xfId="14534" xr:uid="{BFB6BD08-8891-4291-AB9C-F44D6EE89D14}"/>
    <cellStyle name="Normal 8 2 2 7 4" xfId="19597" xr:uid="{F0525F0B-31F6-49B0-B6AD-46B9DC7A4653}"/>
    <cellStyle name="Normal 8 2 2 7 5" xfId="10316" xr:uid="{6056AFA3-6FB1-4E7B-9EC7-304C09675B20}"/>
    <cellStyle name="Normal 8 2 2 8" xfId="2191" xr:uid="{00000000-0005-0000-0000-00008D1C0000}"/>
    <cellStyle name="Normal 8 2 2 8 2" xfId="4420" xr:uid="{00000000-0005-0000-0000-00008E1C0000}"/>
    <cellStyle name="Normal 8 2 2 8 2 2" xfId="8642" xr:uid="{00000000-0005-0000-0000-00008F1C0000}"/>
    <cellStyle name="Normal 8 2 2 8 2 2 2" xfId="26372" xr:uid="{721A6AC0-1B39-4496-AD10-669AEDFDB247}"/>
    <cellStyle name="Normal 8 2 2 8 2 2 3" xfId="17092" xr:uid="{A49BD8FF-3209-42FB-9020-B1412FB8060A}"/>
    <cellStyle name="Normal 8 2 2 8 2 3" xfId="22155" xr:uid="{8EC5B04D-6C36-4D1B-B2F6-20E50F67C879}"/>
    <cellStyle name="Normal 8 2 2 8 2 4" xfId="12874" xr:uid="{26FE06FF-3062-441C-85C9-99610AC5A45C}"/>
    <cellStyle name="Normal 8 2 2 8 3" xfId="6497" xr:uid="{00000000-0005-0000-0000-0000901C0000}"/>
    <cellStyle name="Normal 8 2 2 8 3 2" xfId="24227" xr:uid="{41359EDF-FE35-4514-B5CD-CE119A2F3018}"/>
    <cellStyle name="Normal 8 2 2 8 3 3" xfId="14947" xr:uid="{A3981D78-8159-4BAE-A334-5AF213D4606B}"/>
    <cellStyle name="Normal 8 2 2 8 4" xfId="20010" xr:uid="{E49D5BF7-036D-4FC6-A4F8-08EE0A246BAB}"/>
    <cellStyle name="Normal 8 2 2 8 5" xfId="10729" xr:uid="{C330B9D3-B280-4435-855A-984234E89825}"/>
    <cellStyle name="Normal 8 2 2 9" xfId="2627" xr:uid="{00000000-0005-0000-0000-0000911C0000}"/>
    <cellStyle name="Normal 8 2 2 9 2" xfId="6910" xr:uid="{00000000-0005-0000-0000-0000921C0000}"/>
    <cellStyle name="Normal 8 2 2 9 2 2" xfId="24640" xr:uid="{E7C71217-66A4-49CE-A1B4-1F99BD9E9259}"/>
    <cellStyle name="Normal 8 2 2 9 2 3" xfId="15360" xr:uid="{3984D51B-C8DC-4690-9B18-FF7C35720E05}"/>
    <cellStyle name="Normal 8 2 2 9 3" xfId="20423" xr:uid="{AFB66ACF-0D1D-44E7-9C82-25A9DF7EA6CE}"/>
    <cellStyle name="Normal 8 2 2 9 4" xfId="11142" xr:uid="{8359CF08-4A9F-4141-8C78-1E7C5427BEBD}"/>
    <cellStyle name="Normal 8 2 3" xfId="488" xr:uid="{00000000-0005-0000-0000-0000931C0000}"/>
    <cellStyle name="Normal 8 2 3 10" xfId="18366" xr:uid="{0CBFD1B8-1901-408F-85BE-41953A1F6521}"/>
    <cellStyle name="Normal 8 2 3 11" xfId="17532" xr:uid="{CE85EE7D-ED9E-469D-8FB8-39ABA2EE6856}"/>
    <cellStyle name="Normal 8 2 3 12" xfId="9085" xr:uid="{01B3E27C-1321-4D21-B3B0-1E66EE2AB71F}"/>
    <cellStyle name="Normal 8 2 3 2" xfId="489" xr:uid="{00000000-0005-0000-0000-0000941C0000}"/>
    <cellStyle name="Normal 8 2 3 2 10" xfId="17533" xr:uid="{77A5D53F-12A8-45E1-A6AB-CE280EB3AF33}"/>
    <cellStyle name="Normal 8 2 3 2 11" xfId="9086" xr:uid="{02EE54A3-68FB-4AFF-BAE6-89C109DA6154}"/>
    <cellStyle name="Normal 8 2 3 2 2" xfId="490" xr:uid="{00000000-0005-0000-0000-0000951C0000}"/>
    <cellStyle name="Normal 8 2 3 2 2 10" xfId="9087" xr:uid="{E511A2CC-25FD-4E2A-B91B-50B66E7EFE6F}"/>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25143" xr:uid="{AC9FB4BE-47B2-42FA-AC7C-590E9B0D821C}"/>
    <cellStyle name="Normal 8 2 3 2 2 2 2 2 3" xfId="15863" xr:uid="{A705A8E6-E8D2-4789-AD3F-A0997FB2301C}"/>
    <cellStyle name="Normal 8 2 3 2 2 2 2 3" xfId="20926" xr:uid="{E15E5B67-C094-454B-8AC4-32AD59347BE7}"/>
    <cellStyle name="Normal 8 2 3 2 2 2 2 4" xfId="11645" xr:uid="{01C1CD98-9C9E-4022-A9E5-C5296118A55A}"/>
    <cellStyle name="Normal 8 2 3 2 2 2 3" xfId="5268" xr:uid="{00000000-0005-0000-0000-0000991C0000}"/>
    <cellStyle name="Normal 8 2 3 2 2 2 3 2" xfId="22998" xr:uid="{C03851B9-DD7B-4982-B4F1-258B014F76C9}"/>
    <cellStyle name="Normal 8 2 3 2 2 2 3 3" xfId="13718" xr:uid="{08058A97-14A4-4098-93FF-4B3243D36257}"/>
    <cellStyle name="Normal 8 2 3 2 2 2 4" xfId="18781" xr:uid="{F0C65BBB-8B0F-47FC-A72F-786FEFAA5296}"/>
    <cellStyle name="Normal 8 2 3 2 2 2 5" xfId="17953" xr:uid="{9DF22C96-2B7E-4A35-AFBB-1B112E765206}"/>
    <cellStyle name="Normal 8 2 3 2 2 2 6" xfId="9500" xr:uid="{EFD02AC9-D91E-4997-8142-474EBFDF84CF}"/>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25556" xr:uid="{40B16937-D0BA-46DE-A523-6DD67EE36F3C}"/>
    <cellStyle name="Normal 8 2 3 2 2 3 2 2 3" xfId="16276" xr:uid="{CD4352D1-6F9D-48BB-BAB3-2B8D66571F2F}"/>
    <cellStyle name="Normal 8 2 3 2 2 3 2 3" xfId="21339" xr:uid="{96232193-1E57-4EC0-86E9-1F2886E62E0B}"/>
    <cellStyle name="Normal 8 2 3 2 2 3 2 4" xfId="12058" xr:uid="{39AB3B90-58DF-4304-BCE4-CD4A35C6BB95}"/>
    <cellStyle name="Normal 8 2 3 2 2 3 3" xfId="5681" xr:uid="{00000000-0005-0000-0000-00009D1C0000}"/>
    <cellStyle name="Normal 8 2 3 2 2 3 3 2" xfId="23411" xr:uid="{6DF624AC-751F-4949-9ADB-827F770A3135}"/>
    <cellStyle name="Normal 8 2 3 2 2 3 3 3" xfId="14131" xr:uid="{E751685F-D58B-4060-A0DA-A9726ED2D9F3}"/>
    <cellStyle name="Normal 8 2 3 2 2 3 4" xfId="19194" xr:uid="{0B69C15F-AFAE-4DD2-B3B0-57BD5049F9E6}"/>
    <cellStyle name="Normal 8 2 3 2 2 3 5" xfId="9913" xr:uid="{5932CB66-25EF-4C31-BF75-C3C9C95B2688}"/>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25969" xr:uid="{711A111F-50FB-4304-BA49-969947BF4D9D}"/>
    <cellStyle name="Normal 8 2 3 2 2 4 2 2 3" xfId="16689" xr:uid="{09881A1C-D007-4B7B-B63A-32A9013F70FB}"/>
    <cellStyle name="Normal 8 2 3 2 2 4 2 3" xfId="21752" xr:uid="{AA1C9EFB-EC4D-46BE-879C-AF589D9D55E9}"/>
    <cellStyle name="Normal 8 2 3 2 2 4 2 4" xfId="12471" xr:uid="{025D928C-76BB-4426-9114-9400284E2DFD}"/>
    <cellStyle name="Normal 8 2 3 2 2 4 3" xfId="6094" xr:uid="{00000000-0005-0000-0000-0000A11C0000}"/>
    <cellStyle name="Normal 8 2 3 2 2 4 3 2" xfId="23824" xr:uid="{9CB0DFBB-0ECD-4F69-8A6F-7E454D5345D7}"/>
    <cellStyle name="Normal 8 2 3 2 2 4 3 3" xfId="14544" xr:uid="{AF74C85F-85B2-4019-B877-D94E3041A8C5}"/>
    <cellStyle name="Normal 8 2 3 2 2 4 4" xfId="19607" xr:uid="{B873BEDA-7155-46D0-ACC7-3E488BF3267C}"/>
    <cellStyle name="Normal 8 2 3 2 2 4 5" xfId="10326" xr:uid="{AA47995C-3D13-49E4-9243-4BC9CBB80F4F}"/>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26382" xr:uid="{593C3780-7CDE-45D9-B1E3-0492DD33E0C2}"/>
    <cellStyle name="Normal 8 2 3 2 2 5 2 2 3" xfId="17102" xr:uid="{EAF7D6ED-A904-4E2E-ACC3-D0E007DF701F}"/>
    <cellStyle name="Normal 8 2 3 2 2 5 2 3" xfId="22165" xr:uid="{01B0DA3D-B5BF-4C9E-8F12-1ECD3FBB1B49}"/>
    <cellStyle name="Normal 8 2 3 2 2 5 2 4" xfId="12884" xr:uid="{C230805E-0659-430E-8577-60DD5A35EDE5}"/>
    <cellStyle name="Normal 8 2 3 2 2 5 3" xfId="6507" xr:uid="{00000000-0005-0000-0000-0000A51C0000}"/>
    <cellStyle name="Normal 8 2 3 2 2 5 3 2" xfId="24237" xr:uid="{F255467E-746D-40A3-8BDC-2EF517F5D4F1}"/>
    <cellStyle name="Normal 8 2 3 2 2 5 3 3" xfId="14957" xr:uid="{661DD839-CABF-4E29-A61E-83ED62503F3B}"/>
    <cellStyle name="Normal 8 2 3 2 2 5 4" xfId="20020" xr:uid="{4B55CDDE-5B6C-4FC4-AC37-9054B368D9A2}"/>
    <cellStyle name="Normal 8 2 3 2 2 5 5" xfId="10739" xr:uid="{6F7AF899-397E-499B-82AC-0034D3212089}"/>
    <cellStyle name="Normal 8 2 3 2 2 6" xfId="2637" xr:uid="{00000000-0005-0000-0000-0000A61C0000}"/>
    <cellStyle name="Normal 8 2 3 2 2 6 2" xfId="6920" xr:uid="{00000000-0005-0000-0000-0000A71C0000}"/>
    <cellStyle name="Normal 8 2 3 2 2 6 2 2" xfId="24650" xr:uid="{3BF5AFB6-51EE-4F56-98E9-160898A5AD89}"/>
    <cellStyle name="Normal 8 2 3 2 2 6 2 3" xfId="15370" xr:uid="{699AF024-D33D-49AD-8F75-6E38739989E7}"/>
    <cellStyle name="Normal 8 2 3 2 2 6 3" xfId="20433" xr:uid="{EAC103C1-EF15-439D-AD5A-2D1338DE9951}"/>
    <cellStyle name="Normal 8 2 3 2 2 6 4" xfId="11152" xr:uid="{144EF844-BADB-456F-8034-201DBEA264C4}"/>
    <cellStyle name="Normal 8 2 3 2 2 7" xfId="4855" xr:uid="{00000000-0005-0000-0000-0000A81C0000}"/>
    <cellStyle name="Normal 8 2 3 2 2 7 2" xfId="22585" xr:uid="{088D1E53-22CD-43F6-BB1A-180CC6890A80}"/>
    <cellStyle name="Normal 8 2 3 2 2 7 3" xfId="13305" xr:uid="{0DAD54A7-4740-4778-B812-316BC3E52342}"/>
    <cellStyle name="Normal 8 2 3 2 2 8" xfId="18368" xr:uid="{F563FC19-B831-4115-A579-D2AA83530CDE}"/>
    <cellStyle name="Normal 8 2 3 2 2 9" xfId="17534" xr:uid="{0870BFE7-C9B0-4587-9565-A33251234E07}"/>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25142" xr:uid="{813DC2AC-B841-4AD6-A7EA-7CB8F77868ED}"/>
    <cellStyle name="Normal 8 2 3 2 3 2 2 3" xfId="15862" xr:uid="{4572AFCE-0C25-4FAC-9A11-EAAC0286C442}"/>
    <cellStyle name="Normal 8 2 3 2 3 2 3" xfId="20925" xr:uid="{7625E2BD-7866-4148-94AD-042B15BF5E72}"/>
    <cellStyle name="Normal 8 2 3 2 3 2 4" xfId="11644" xr:uid="{C8EC745D-B494-40E5-A837-0A9B9FA36016}"/>
    <cellStyle name="Normal 8 2 3 2 3 3" xfId="5267" xr:uid="{00000000-0005-0000-0000-0000AC1C0000}"/>
    <cellStyle name="Normal 8 2 3 2 3 3 2" xfId="22997" xr:uid="{84A26241-830A-4B4D-B1E8-ACCADBB6B9FA}"/>
    <cellStyle name="Normal 8 2 3 2 3 3 3" xfId="13717" xr:uid="{87B49244-B62B-497E-8E24-04507522025E}"/>
    <cellStyle name="Normal 8 2 3 2 3 4" xfId="18780" xr:uid="{CEAB6ABA-4698-441B-8C66-5CFD0746C865}"/>
    <cellStyle name="Normal 8 2 3 2 3 5" xfId="17952" xr:uid="{3600FDAA-A3E9-4A12-B7E6-8C358E96E4F9}"/>
    <cellStyle name="Normal 8 2 3 2 3 6" xfId="9499" xr:uid="{C4A52DDD-D129-4555-AB22-F3093E9DA372}"/>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25555" xr:uid="{8BD3A4C7-99B4-441F-8AAD-B22004DF06CB}"/>
    <cellStyle name="Normal 8 2 3 2 4 2 2 3" xfId="16275" xr:uid="{0F774F7D-0584-439B-8DAA-A9A1C89E99A6}"/>
    <cellStyle name="Normal 8 2 3 2 4 2 3" xfId="21338" xr:uid="{9894FE29-7C39-4DCE-B341-129F61520650}"/>
    <cellStyle name="Normal 8 2 3 2 4 2 4" xfId="12057" xr:uid="{1896C17A-AEBB-4764-9B91-DC0FBB53ACE5}"/>
    <cellStyle name="Normal 8 2 3 2 4 3" xfId="5680" xr:uid="{00000000-0005-0000-0000-0000B01C0000}"/>
    <cellStyle name="Normal 8 2 3 2 4 3 2" xfId="23410" xr:uid="{F44397E1-EFB9-44BB-9430-DDC97A5BF7F4}"/>
    <cellStyle name="Normal 8 2 3 2 4 3 3" xfId="14130" xr:uid="{3B4B5A82-A31B-42CC-8BCF-D9D01EFA2045}"/>
    <cellStyle name="Normal 8 2 3 2 4 4" xfId="19193" xr:uid="{42D4C3D1-ED33-4A83-86E9-7648E33A4C82}"/>
    <cellStyle name="Normal 8 2 3 2 4 5" xfId="9912" xr:uid="{5D56DF5B-96C4-4640-A4DD-ED94DFB1D56B}"/>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25968" xr:uid="{A6D2BD43-5E5F-42A5-A6FB-AF448D199971}"/>
    <cellStyle name="Normal 8 2 3 2 5 2 2 3" xfId="16688" xr:uid="{23553D8A-DD03-4BC0-8050-2C65F9B22682}"/>
    <cellStyle name="Normal 8 2 3 2 5 2 3" xfId="21751" xr:uid="{645290EF-6643-408D-B081-63AC75D2BCC4}"/>
    <cellStyle name="Normal 8 2 3 2 5 2 4" xfId="12470" xr:uid="{3925A3A7-F522-4F90-8A0D-23C563347B19}"/>
    <cellStyle name="Normal 8 2 3 2 5 3" xfId="6093" xr:uid="{00000000-0005-0000-0000-0000B41C0000}"/>
    <cellStyle name="Normal 8 2 3 2 5 3 2" xfId="23823" xr:uid="{05678585-6D75-4F06-87CE-65F27A512E98}"/>
    <cellStyle name="Normal 8 2 3 2 5 3 3" xfId="14543" xr:uid="{61D20626-5A4C-4106-83C5-46030D3E8680}"/>
    <cellStyle name="Normal 8 2 3 2 5 4" xfId="19606" xr:uid="{C78D25A4-38A1-412F-AF78-7BC7C6D0AE31}"/>
    <cellStyle name="Normal 8 2 3 2 5 5" xfId="10325" xr:uid="{258B9D78-80A3-4FB8-96D7-58F565C5C630}"/>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26381" xr:uid="{89230C70-6D7C-48D9-BD8F-1AF31BA989D6}"/>
    <cellStyle name="Normal 8 2 3 2 6 2 2 3" xfId="17101" xr:uid="{DADF0D4D-0DA7-410A-95AE-56C07EDACF05}"/>
    <cellStyle name="Normal 8 2 3 2 6 2 3" xfId="22164" xr:uid="{D801D914-E3EF-4A76-9F43-D06D01045501}"/>
    <cellStyle name="Normal 8 2 3 2 6 2 4" xfId="12883" xr:uid="{FC6F79D0-D41C-4AB6-A449-750C891FC3EF}"/>
    <cellStyle name="Normal 8 2 3 2 6 3" xfId="6506" xr:uid="{00000000-0005-0000-0000-0000B81C0000}"/>
    <cellStyle name="Normal 8 2 3 2 6 3 2" xfId="24236" xr:uid="{DD8E44D2-ED8C-4845-9205-528715D5D686}"/>
    <cellStyle name="Normal 8 2 3 2 6 3 3" xfId="14956" xr:uid="{EF297611-0816-422D-B062-C3A9BBF51D20}"/>
    <cellStyle name="Normal 8 2 3 2 6 4" xfId="20019" xr:uid="{F2F133B7-3BBC-438F-9B16-2B9CC8B70FAE}"/>
    <cellStyle name="Normal 8 2 3 2 6 5" xfId="10738" xr:uid="{6FDCAC36-805C-4041-BA91-4BC8D943A876}"/>
    <cellStyle name="Normal 8 2 3 2 7" xfId="2636" xr:uid="{00000000-0005-0000-0000-0000B91C0000}"/>
    <cellStyle name="Normal 8 2 3 2 7 2" xfId="6919" xr:uid="{00000000-0005-0000-0000-0000BA1C0000}"/>
    <cellStyle name="Normal 8 2 3 2 7 2 2" xfId="24649" xr:uid="{D73682EF-ED12-4590-8ACC-4A8A2370B6C6}"/>
    <cellStyle name="Normal 8 2 3 2 7 2 3" xfId="15369" xr:uid="{A6407F53-A511-4331-AE50-1C07073819C0}"/>
    <cellStyle name="Normal 8 2 3 2 7 3" xfId="20432" xr:uid="{27B01AA8-4079-4BEF-B7CA-F2BCB68EB095}"/>
    <cellStyle name="Normal 8 2 3 2 7 4" xfId="11151" xr:uid="{07FFE73D-CE94-4E9D-8D6A-BB5AFF246833}"/>
    <cellStyle name="Normal 8 2 3 2 8" xfId="4854" xr:uid="{00000000-0005-0000-0000-0000BB1C0000}"/>
    <cellStyle name="Normal 8 2 3 2 8 2" xfId="22584" xr:uid="{87B17AB8-5662-4289-A84E-A613700C00CE}"/>
    <cellStyle name="Normal 8 2 3 2 8 3" xfId="13304" xr:uid="{18ACCCF3-6669-4871-B92A-B09299D1CBED}"/>
    <cellStyle name="Normal 8 2 3 2 9" xfId="18367" xr:uid="{03512F1E-1C95-4D70-BB05-5C479A76D0B2}"/>
    <cellStyle name="Normal 8 2 3 3" xfId="491" xr:uid="{00000000-0005-0000-0000-0000BC1C0000}"/>
    <cellStyle name="Normal 8 2 3 3 10" xfId="9088" xr:uid="{8C18AE6E-8DD3-48DB-9186-0EFFFC5A44C4}"/>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25144" xr:uid="{07889B3B-7D76-4770-8958-332B74330CDC}"/>
    <cellStyle name="Normal 8 2 3 3 2 2 2 3" xfId="15864" xr:uid="{9585417D-E8B0-494D-9C6B-88CE8CCE7835}"/>
    <cellStyle name="Normal 8 2 3 3 2 2 3" xfId="20927" xr:uid="{3F135D79-2C69-4F7A-99AB-C52027E364B4}"/>
    <cellStyle name="Normal 8 2 3 3 2 2 4" xfId="11646" xr:uid="{8D490BD5-7599-4689-82B7-91EE883DBA7B}"/>
    <cellStyle name="Normal 8 2 3 3 2 3" xfId="5269" xr:uid="{00000000-0005-0000-0000-0000C01C0000}"/>
    <cellStyle name="Normal 8 2 3 3 2 3 2" xfId="22999" xr:uid="{159D38E2-9CF6-4AB8-8F93-5441EB5722A7}"/>
    <cellStyle name="Normal 8 2 3 3 2 3 3" xfId="13719" xr:uid="{352BE1D0-0FBE-4C14-88BF-31BC8329A12A}"/>
    <cellStyle name="Normal 8 2 3 3 2 4" xfId="18782" xr:uid="{D21C8688-6A7C-41AC-968D-20021831DB19}"/>
    <cellStyle name="Normal 8 2 3 3 2 5" xfId="17954" xr:uid="{60B55218-5420-45D8-B7A4-DDE3FEDBB1AD}"/>
    <cellStyle name="Normal 8 2 3 3 2 6" xfId="9501" xr:uid="{FEA1D1ED-A312-4C9B-AFD9-A180FCEA2796}"/>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25557" xr:uid="{C5A79869-56C0-4C70-8A84-9FA3962914AC}"/>
    <cellStyle name="Normal 8 2 3 3 3 2 2 3" xfId="16277" xr:uid="{2E1652C7-C576-497A-A8BF-E2EC15EA399C}"/>
    <cellStyle name="Normal 8 2 3 3 3 2 3" xfId="21340" xr:uid="{3208886A-A4AF-49EF-9671-98DEA619F940}"/>
    <cellStyle name="Normal 8 2 3 3 3 2 4" xfId="12059" xr:uid="{8B8A7E35-7D34-4E7B-85C4-2EF8B8FC12AF}"/>
    <cellStyle name="Normal 8 2 3 3 3 3" xfId="5682" xr:uid="{00000000-0005-0000-0000-0000C41C0000}"/>
    <cellStyle name="Normal 8 2 3 3 3 3 2" xfId="23412" xr:uid="{B9BAEBA8-54F7-4EA9-8980-3B6D8A882853}"/>
    <cellStyle name="Normal 8 2 3 3 3 3 3" xfId="14132" xr:uid="{E29EA120-1DE7-44DA-B715-E12B20D2B2B2}"/>
    <cellStyle name="Normal 8 2 3 3 3 4" xfId="19195" xr:uid="{8FBEF85D-4554-4308-9B31-7A6476AD31A2}"/>
    <cellStyle name="Normal 8 2 3 3 3 5" xfId="9914" xr:uid="{E6542E31-FD06-44C8-B618-BB90B3B921F5}"/>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25970" xr:uid="{0C4BD381-4C1A-4213-8AFA-E39A981154C0}"/>
    <cellStyle name="Normal 8 2 3 3 4 2 2 3" xfId="16690" xr:uid="{8A428595-9015-49C2-A2FC-DA604DFF1726}"/>
    <cellStyle name="Normal 8 2 3 3 4 2 3" xfId="21753" xr:uid="{D8F472F5-3A70-4956-B059-711F6320BA1C}"/>
    <cellStyle name="Normal 8 2 3 3 4 2 4" xfId="12472" xr:uid="{8E001694-86FA-498B-AD7B-B586E306AD5B}"/>
    <cellStyle name="Normal 8 2 3 3 4 3" xfId="6095" xr:uid="{00000000-0005-0000-0000-0000C81C0000}"/>
    <cellStyle name="Normal 8 2 3 3 4 3 2" xfId="23825" xr:uid="{9FF13B03-74E0-4E78-B5BD-128259972411}"/>
    <cellStyle name="Normal 8 2 3 3 4 3 3" xfId="14545" xr:uid="{ED2DF6A6-5B59-4F9E-91B3-33BFBCD6A4E4}"/>
    <cellStyle name="Normal 8 2 3 3 4 4" xfId="19608" xr:uid="{ADF64AEF-0D2E-413A-B939-93CA4571AD87}"/>
    <cellStyle name="Normal 8 2 3 3 4 5" xfId="10327" xr:uid="{62ABF681-7D3F-4C5C-B790-B28D882EF6A5}"/>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26383" xr:uid="{31F55FBD-DA63-4762-A64D-277013D4B9F1}"/>
    <cellStyle name="Normal 8 2 3 3 5 2 2 3" xfId="17103" xr:uid="{953A6D66-D357-459F-ADD3-A73D45A92A98}"/>
    <cellStyle name="Normal 8 2 3 3 5 2 3" xfId="22166" xr:uid="{42A5EC70-EC2B-425A-A0A1-A0FA1464B2D7}"/>
    <cellStyle name="Normal 8 2 3 3 5 2 4" xfId="12885" xr:uid="{D4EA7620-FB67-456D-97E9-BCDA25B791EA}"/>
    <cellStyle name="Normal 8 2 3 3 5 3" xfId="6508" xr:uid="{00000000-0005-0000-0000-0000CC1C0000}"/>
    <cellStyle name="Normal 8 2 3 3 5 3 2" xfId="24238" xr:uid="{2F607E42-38BE-48E6-84AB-5D7630C3FB1C}"/>
    <cellStyle name="Normal 8 2 3 3 5 3 3" xfId="14958" xr:uid="{132AF557-F0D8-441F-B855-C924F19AE0C2}"/>
    <cellStyle name="Normal 8 2 3 3 5 4" xfId="20021" xr:uid="{6DE2939B-B9B3-45E3-B4CD-935C654B727C}"/>
    <cellStyle name="Normal 8 2 3 3 5 5" xfId="10740" xr:uid="{E784F42B-0933-4C96-A919-0CEE230C5EB5}"/>
    <cellStyle name="Normal 8 2 3 3 6" xfId="2638" xr:uid="{00000000-0005-0000-0000-0000CD1C0000}"/>
    <cellStyle name="Normal 8 2 3 3 6 2" xfId="6921" xr:uid="{00000000-0005-0000-0000-0000CE1C0000}"/>
    <cellStyle name="Normal 8 2 3 3 6 2 2" xfId="24651" xr:uid="{35CA2026-A5F3-4D15-982A-C590224BAD5B}"/>
    <cellStyle name="Normal 8 2 3 3 6 2 3" xfId="15371" xr:uid="{D2885235-3F49-4340-8446-821EB18997B2}"/>
    <cellStyle name="Normal 8 2 3 3 6 3" xfId="20434" xr:uid="{5A47B145-BBE3-4099-99CB-E079DFFA8BBE}"/>
    <cellStyle name="Normal 8 2 3 3 6 4" xfId="11153" xr:uid="{F1D04BAE-D596-4B82-92D3-4CAB85D8EFED}"/>
    <cellStyle name="Normal 8 2 3 3 7" xfId="4856" xr:uid="{00000000-0005-0000-0000-0000CF1C0000}"/>
    <cellStyle name="Normal 8 2 3 3 7 2" xfId="22586" xr:uid="{62318CC9-1AE2-4137-A26A-753CEFAF837E}"/>
    <cellStyle name="Normal 8 2 3 3 7 3" xfId="13306" xr:uid="{C105A73F-7543-47D6-82E6-C9460A531C32}"/>
    <cellStyle name="Normal 8 2 3 3 8" xfId="18369" xr:uid="{B6349812-648D-438B-B557-6BF7EFAC2DE4}"/>
    <cellStyle name="Normal 8 2 3 3 9" xfId="17535" xr:uid="{E46AA51F-167A-456B-AEE5-FE8B67A40509}"/>
    <cellStyle name="Normal 8 2 3 4" xfId="955" xr:uid="{00000000-0005-0000-0000-0000D01C0000}"/>
    <cellStyle name="Normal 8 2 3 4 2" xfId="3189" xr:uid="{00000000-0005-0000-0000-0000D11C0000}"/>
    <cellStyle name="Normal 8 2 3 4 2 2" xfId="7411" xr:uid="{00000000-0005-0000-0000-0000D21C0000}"/>
    <cellStyle name="Normal 8 2 3 4 2 2 2" xfId="25141" xr:uid="{ED263AA6-1622-4E3B-806C-A2F63FF35265}"/>
    <cellStyle name="Normal 8 2 3 4 2 2 3" xfId="15861" xr:uid="{BD835EF7-3914-4492-8EDA-47BF06D16410}"/>
    <cellStyle name="Normal 8 2 3 4 2 3" xfId="20924" xr:uid="{ED942D66-C1D1-447B-BB70-2A874EE24FB9}"/>
    <cellStyle name="Normal 8 2 3 4 2 4" xfId="11643" xr:uid="{38FA55DE-321B-4684-96CB-363377A1FDAC}"/>
    <cellStyle name="Normal 8 2 3 4 3" xfId="5266" xr:uid="{00000000-0005-0000-0000-0000D31C0000}"/>
    <cellStyle name="Normal 8 2 3 4 3 2" xfId="22996" xr:uid="{CAA6E17B-3E46-47B9-992C-F35991CCA6BC}"/>
    <cellStyle name="Normal 8 2 3 4 3 3" xfId="13716" xr:uid="{6E52D0C1-19CB-43B4-B36D-8A2F9C9889BE}"/>
    <cellStyle name="Normal 8 2 3 4 4" xfId="18779" xr:uid="{C2252956-3C65-42E1-AB58-215533248449}"/>
    <cellStyle name="Normal 8 2 3 4 5" xfId="17951" xr:uid="{C1DF2A87-2DFF-47A5-A127-75C95AD8784F}"/>
    <cellStyle name="Normal 8 2 3 4 6" xfId="9498" xr:uid="{C18A1AE1-45F7-4446-A7B4-D9C6367EB3D0}"/>
    <cellStyle name="Normal 8 2 3 5" xfId="1372" xr:uid="{00000000-0005-0000-0000-0000D41C0000}"/>
    <cellStyle name="Normal 8 2 3 5 2" xfId="3602" xr:uid="{00000000-0005-0000-0000-0000D51C0000}"/>
    <cellStyle name="Normal 8 2 3 5 2 2" xfId="7824" xr:uid="{00000000-0005-0000-0000-0000D61C0000}"/>
    <cellStyle name="Normal 8 2 3 5 2 2 2" xfId="25554" xr:uid="{F175E6BE-6DE9-473E-BAAD-A4C524DEFAA3}"/>
    <cellStyle name="Normal 8 2 3 5 2 2 3" xfId="16274" xr:uid="{B461E1D6-84FD-43FC-8A92-1203901183B8}"/>
    <cellStyle name="Normal 8 2 3 5 2 3" xfId="21337" xr:uid="{6FE405B7-B4CB-4449-8B0B-E58E55ECAAE8}"/>
    <cellStyle name="Normal 8 2 3 5 2 4" xfId="12056" xr:uid="{F831DE55-FC2F-4035-BB34-7B82AB870469}"/>
    <cellStyle name="Normal 8 2 3 5 3" xfId="5679" xr:uid="{00000000-0005-0000-0000-0000D71C0000}"/>
    <cellStyle name="Normal 8 2 3 5 3 2" xfId="23409" xr:uid="{A1EA9A69-C771-4EBA-822C-616436DEA739}"/>
    <cellStyle name="Normal 8 2 3 5 3 3" xfId="14129" xr:uid="{93C6C117-1D9A-48B3-B750-7C0E969FA30F}"/>
    <cellStyle name="Normal 8 2 3 5 4" xfId="19192" xr:uid="{BD5E4144-A480-4D42-98F6-469AC23BB8B8}"/>
    <cellStyle name="Normal 8 2 3 5 5" xfId="9911" xr:uid="{42F2FAE2-E174-4985-A28C-52F21980D28B}"/>
    <cellStyle name="Normal 8 2 3 6" xfId="1785" xr:uid="{00000000-0005-0000-0000-0000D81C0000}"/>
    <cellStyle name="Normal 8 2 3 6 2" xfId="4015" xr:uid="{00000000-0005-0000-0000-0000D91C0000}"/>
    <cellStyle name="Normal 8 2 3 6 2 2" xfId="8237" xr:uid="{00000000-0005-0000-0000-0000DA1C0000}"/>
    <cellStyle name="Normal 8 2 3 6 2 2 2" xfId="25967" xr:uid="{FA4BDFD5-0A11-4209-BA51-33D0C7B1CE3C}"/>
    <cellStyle name="Normal 8 2 3 6 2 2 3" xfId="16687" xr:uid="{F0F50879-8D06-4237-855B-ACE04BF350EA}"/>
    <cellStyle name="Normal 8 2 3 6 2 3" xfId="21750" xr:uid="{353A2F00-9A4F-433B-BA37-35D525F5B2FE}"/>
    <cellStyle name="Normal 8 2 3 6 2 4" xfId="12469" xr:uid="{B410E9C6-B5DB-4C21-A089-8BD1ABE1D07E}"/>
    <cellStyle name="Normal 8 2 3 6 3" xfId="6092" xr:uid="{00000000-0005-0000-0000-0000DB1C0000}"/>
    <cellStyle name="Normal 8 2 3 6 3 2" xfId="23822" xr:uid="{9C402DFB-9A85-43C2-8FD1-A47F05A1EE39}"/>
    <cellStyle name="Normal 8 2 3 6 3 3" xfId="14542" xr:uid="{D134A6DA-2604-4209-8DAA-A229ABED60B4}"/>
    <cellStyle name="Normal 8 2 3 6 4" xfId="19605" xr:uid="{B3FCE57A-78FD-43C2-A6CE-209BE00380FB}"/>
    <cellStyle name="Normal 8 2 3 6 5" xfId="10324" xr:uid="{17960946-9099-4EC3-A652-E8BC50C4A071}"/>
    <cellStyle name="Normal 8 2 3 7" xfId="2199" xr:uid="{00000000-0005-0000-0000-0000DC1C0000}"/>
    <cellStyle name="Normal 8 2 3 7 2" xfId="4428" xr:uid="{00000000-0005-0000-0000-0000DD1C0000}"/>
    <cellStyle name="Normal 8 2 3 7 2 2" xfId="8650" xr:uid="{00000000-0005-0000-0000-0000DE1C0000}"/>
    <cellStyle name="Normal 8 2 3 7 2 2 2" xfId="26380" xr:uid="{634FCDD9-F455-4FFE-A893-D454358C91D3}"/>
    <cellStyle name="Normal 8 2 3 7 2 2 3" xfId="17100" xr:uid="{C21FB5E5-48D2-4167-A729-AD62C7C339F8}"/>
    <cellStyle name="Normal 8 2 3 7 2 3" xfId="22163" xr:uid="{B2E4CA22-8953-4F30-A5E3-36109D635DC9}"/>
    <cellStyle name="Normal 8 2 3 7 2 4" xfId="12882" xr:uid="{A06C1583-2257-48B3-A0CA-C1094A6146BA}"/>
    <cellStyle name="Normal 8 2 3 7 3" xfId="6505" xr:uid="{00000000-0005-0000-0000-0000DF1C0000}"/>
    <cellStyle name="Normal 8 2 3 7 3 2" xfId="24235" xr:uid="{7975CD7E-51D8-42BF-89C8-92019424F228}"/>
    <cellStyle name="Normal 8 2 3 7 3 3" xfId="14955" xr:uid="{DA7CF4CC-7EB1-47CB-8EC2-9E3691C8AEB9}"/>
    <cellStyle name="Normal 8 2 3 7 4" xfId="20018" xr:uid="{9C552888-07EF-4799-B959-8BC6C4905D6B}"/>
    <cellStyle name="Normal 8 2 3 7 5" xfId="10737" xr:uid="{84EEB9B9-0CA8-46B7-B83E-D18F4608EE61}"/>
    <cellStyle name="Normal 8 2 3 8" xfId="2635" xr:uid="{00000000-0005-0000-0000-0000E01C0000}"/>
    <cellStyle name="Normal 8 2 3 8 2" xfId="6918" xr:uid="{00000000-0005-0000-0000-0000E11C0000}"/>
    <cellStyle name="Normal 8 2 3 8 2 2" xfId="24648" xr:uid="{A8E72D9A-5CF0-4690-84C1-7012A49A39FE}"/>
    <cellStyle name="Normal 8 2 3 8 2 3" xfId="15368" xr:uid="{4E45E26C-BA15-4CA2-BF65-254D2E8DF4B5}"/>
    <cellStyle name="Normal 8 2 3 8 3" xfId="20431" xr:uid="{E19DD2CF-B0AA-439B-BED4-4BE760AE0627}"/>
    <cellStyle name="Normal 8 2 3 8 4" xfId="11150" xr:uid="{DFDFC878-0577-4428-A198-C446A0FB2050}"/>
    <cellStyle name="Normal 8 2 3 9" xfId="4853" xr:uid="{00000000-0005-0000-0000-0000E21C0000}"/>
    <cellStyle name="Normal 8 2 3 9 2" xfId="22583" xr:uid="{72EB2ABE-4F22-417A-9A8E-AEF938BBA9A9}"/>
    <cellStyle name="Normal 8 2 3 9 3" xfId="13303" xr:uid="{DFFD994C-FBA9-4542-9495-BC28279662B7}"/>
    <cellStyle name="Normal 8 2 4" xfId="492" xr:uid="{00000000-0005-0000-0000-0000E31C0000}"/>
    <cellStyle name="Normal 8 2 4 10" xfId="17536" xr:uid="{17FF3D36-A374-4C34-A5C4-51271E5E8743}"/>
    <cellStyle name="Normal 8 2 4 11" xfId="9089" xr:uid="{76B932DD-0B8D-4AF9-AEC4-5394BB58EB6E}"/>
    <cellStyle name="Normal 8 2 4 2" xfId="493" xr:uid="{00000000-0005-0000-0000-0000E41C0000}"/>
    <cellStyle name="Normal 8 2 4 2 10" xfId="9090" xr:uid="{A4D15C96-CF9A-4142-9304-B84B5E2F7086}"/>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25146" xr:uid="{53C7CD48-F765-4E5D-B92F-A6CC3CE64ADD}"/>
    <cellStyle name="Normal 8 2 4 2 2 2 2 3" xfId="15866" xr:uid="{AC1C5FF3-2C69-47E2-A5A2-C3B598BC9517}"/>
    <cellStyle name="Normal 8 2 4 2 2 2 3" xfId="20929" xr:uid="{33A57453-1562-47FF-8ED0-CFF96ECDA04C}"/>
    <cellStyle name="Normal 8 2 4 2 2 2 4" xfId="11648" xr:uid="{1FEA7221-CBF3-4279-8581-EC5FCCCB71DF}"/>
    <cellStyle name="Normal 8 2 4 2 2 3" xfId="5271" xr:uid="{00000000-0005-0000-0000-0000E81C0000}"/>
    <cellStyle name="Normal 8 2 4 2 2 3 2" xfId="23001" xr:uid="{13A0312C-4AFC-4BEC-BDCF-92F8DFD0B11B}"/>
    <cellStyle name="Normal 8 2 4 2 2 3 3" xfId="13721" xr:uid="{468FB0E3-44DA-4B7D-95A2-D344B9D02E12}"/>
    <cellStyle name="Normal 8 2 4 2 2 4" xfId="18784" xr:uid="{B3587BD9-71F8-438D-8B85-26D223FC697D}"/>
    <cellStyle name="Normal 8 2 4 2 2 5" xfId="17956" xr:uid="{77AA3003-CC37-4511-B8CF-69C524B8B711}"/>
    <cellStyle name="Normal 8 2 4 2 2 6" xfId="9503" xr:uid="{2D733565-CF91-453A-825B-CCD58E23002A}"/>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25559" xr:uid="{01E6596F-7D9D-4C8D-967D-6964E6D3CFF9}"/>
    <cellStyle name="Normal 8 2 4 2 3 2 2 3" xfId="16279" xr:uid="{D00D29F5-3FDA-4EBB-97F5-277A412A4CCA}"/>
    <cellStyle name="Normal 8 2 4 2 3 2 3" xfId="21342" xr:uid="{349EA8A3-9024-4711-B413-E8C9BD1FAB2C}"/>
    <cellStyle name="Normal 8 2 4 2 3 2 4" xfId="12061" xr:uid="{9B0EB072-8B39-4DE6-AEF7-7334D604C742}"/>
    <cellStyle name="Normal 8 2 4 2 3 3" xfId="5684" xr:uid="{00000000-0005-0000-0000-0000EC1C0000}"/>
    <cellStyle name="Normal 8 2 4 2 3 3 2" xfId="23414" xr:uid="{8BD92DE0-3086-43FF-BB6B-38DAF51119F3}"/>
    <cellStyle name="Normal 8 2 4 2 3 3 3" xfId="14134" xr:uid="{AEFC8739-7B86-42EA-BCDD-D76A7A4F43F2}"/>
    <cellStyle name="Normal 8 2 4 2 3 4" xfId="19197" xr:uid="{67F2CC46-542E-4DBB-8293-F138D7D5F705}"/>
    <cellStyle name="Normal 8 2 4 2 3 5" xfId="9916" xr:uid="{95AFE047-B2D1-47F8-801E-6512CF104500}"/>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25972" xr:uid="{D4992A99-B22D-488C-9F97-5A7D868976FB}"/>
    <cellStyle name="Normal 8 2 4 2 4 2 2 3" xfId="16692" xr:uid="{CEDFA65B-773E-4DD5-9610-F1B174F3A031}"/>
    <cellStyle name="Normal 8 2 4 2 4 2 3" xfId="21755" xr:uid="{C6FEC7EF-266F-4F0E-9861-D4920BA712AD}"/>
    <cellStyle name="Normal 8 2 4 2 4 2 4" xfId="12474" xr:uid="{EEE1552D-C219-4DC4-9642-71550BE293C0}"/>
    <cellStyle name="Normal 8 2 4 2 4 3" xfId="6097" xr:uid="{00000000-0005-0000-0000-0000F01C0000}"/>
    <cellStyle name="Normal 8 2 4 2 4 3 2" xfId="23827" xr:uid="{E5641F1A-4501-4EFE-8399-9B9C4D792F67}"/>
    <cellStyle name="Normal 8 2 4 2 4 3 3" xfId="14547" xr:uid="{1B0CC35B-48BC-43FD-A633-54AA4F5BCA58}"/>
    <cellStyle name="Normal 8 2 4 2 4 4" xfId="19610" xr:uid="{94C8A517-4B3D-4633-95F6-30DB7F862327}"/>
    <cellStyle name="Normal 8 2 4 2 4 5" xfId="10329" xr:uid="{99D409B3-80CB-4630-8C93-FA96CB327468}"/>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26385" xr:uid="{8DD75A61-F1B3-4645-A442-F1D5D04AC4AA}"/>
    <cellStyle name="Normal 8 2 4 2 5 2 2 3" xfId="17105" xr:uid="{E1803CB6-4A67-4157-B04F-A2F00B60C7F5}"/>
    <cellStyle name="Normal 8 2 4 2 5 2 3" xfId="22168" xr:uid="{740C3A54-8754-4D6E-849B-48E6BD8DEC21}"/>
    <cellStyle name="Normal 8 2 4 2 5 2 4" xfId="12887" xr:uid="{116BAA16-91A0-4721-9790-EB766A19111C}"/>
    <cellStyle name="Normal 8 2 4 2 5 3" xfId="6510" xr:uid="{00000000-0005-0000-0000-0000F41C0000}"/>
    <cellStyle name="Normal 8 2 4 2 5 3 2" xfId="24240" xr:uid="{877CAF0F-5B12-4E60-AB0C-0BE6CC08D776}"/>
    <cellStyle name="Normal 8 2 4 2 5 3 3" xfId="14960" xr:uid="{8C32AD94-C301-4690-AF66-49BB3DDC51C6}"/>
    <cellStyle name="Normal 8 2 4 2 5 4" xfId="20023" xr:uid="{711A0F89-5FB3-4A5C-9630-CBF98F7451E0}"/>
    <cellStyle name="Normal 8 2 4 2 5 5" xfId="10742" xr:uid="{C02F405D-8665-4F0F-A34E-5A4ABADA23C8}"/>
    <cellStyle name="Normal 8 2 4 2 6" xfId="2640" xr:uid="{00000000-0005-0000-0000-0000F51C0000}"/>
    <cellStyle name="Normal 8 2 4 2 6 2" xfId="6923" xr:uid="{00000000-0005-0000-0000-0000F61C0000}"/>
    <cellStyle name="Normal 8 2 4 2 6 2 2" xfId="24653" xr:uid="{C7CE0677-CA9A-4656-BDD8-3F8A31068656}"/>
    <cellStyle name="Normal 8 2 4 2 6 2 3" xfId="15373" xr:uid="{47224201-BE27-4A8C-95F8-1A70A8CE540F}"/>
    <cellStyle name="Normal 8 2 4 2 6 3" xfId="20436" xr:uid="{9729206B-D929-48D8-8308-C0A557FF64C8}"/>
    <cellStyle name="Normal 8 2 4 2 6 4" xfId="11155" xr:uid="{81904EB0-DC2D-429A-9A63-36048A4B2525}"/>
    <cellStyle name="Normal 8 2 4 2 7" xfId="4858" xr:uid="{00000000-0005-0000-0000-0000F71C0000}"/>
    <cellStyle name="Normal 8 2 4 2 7 2" xfId="22588" xr:uid="{B6AC0F0E-F888-48F4-84AE-2076CFDA44D2}"/>
    <cellStyle name="Normal 8 2 4 2 7 3" xfId="13308" xr:uid="{0E7CE1CA-C608-4416-B27E-65B6706DC4D0}"/>
    <cellStyle name="Normal 8 2 4 2 8" xfId="18371" xr:uid="{C346BC79-76DC-4787-B3F7-8E2B0591FBA1}"/>
    <cellStyle name="Normal 8 2 4 2 9" xfId="17537" xr:uid="{1B9AC388-9B02-4B14-85CA-4588C17B5A56}"/>
    <cellStyle name="Normal 8 2 4 3" xfId="959" xr:uid="{00000000-0005-0000-0000-0000F81C0000}"/>
    <cellStyle name="Normal 8 2 4 3 2" xfId="3193" xr:uid="{00000000-0005-0000-0000-0000F91C0000}"/>
    <cellStyle name="Normal 8 2 4 3 2 2" xfId="7415" xr:uid="{00000000-0005-0000-0000-0000FA1C0000}"/>
    <cellStyle name="Normal 8 2 4 3 2 2 2" xfId="25145" xr:uid="{CFD453FC-461E-4B60-8800-866672F5738D}"/>
    <cellStyle name="Normal 8 2 4 3 2 2 3" xfId="15865" xr:uid="{7850DF03-91F0-4A82-895A-FA175E334CDE}"/>
    <cellStyle name="Normal 8 2 4 3 2 3" xfId="20928" xr:uid="{E867A9FD-5136-4C55-B0CA-523BB6C53420}"/>
    <cellStyle name="Normal 8 2 4 3 2 4" xfId="11647" xr:uid="{C0F2C796-B080-49C0-B1B6-1BC32E026B24}"/>
    <cellStyle name="Normal 8 2 4 3 3" xfId="5270" xr:uid="{00000000-0005-0000-0000-0000FB1C0000}"/>
    <cellStyle name="Normal 8 2 4 3 3 2" xfId="23000" xr:uid="{F6E25B74-4EE8-4F3B-8F11-C90C859AE3B9}"/>
    <cellStyle name="Normal 8 2 4 3 3 3" xfId="13720" xr:uid="{BE9E362E-DEDA-4A92-8E59-3DA3C3815F98}"/>
    <cellStyle name="Normal 8 2 4 3 4" xfId="18783" xr:uid="{C215E5B1-3971-4F69-B6D9-C216D7D88A1F}"/>
    <cellStyle name="Normal 8 2 4 3 5" xfId="17955" xr:uid="{A49CE233-FB5F-4AC0-9B39-FABA0F3811EB}"/>
    <cellStyle name="Normal 8 2 4 3 6" xfId="9502" xr:uid="{A881A9BD-3D42-42D9-9451-8B2E98A8F9A1}"/>
    <cellStyle name="Normal 8 2 4 4" xfId="1376" xr:uid="{00000000-0005-0000-0000-0000FC1C0000}"/>
    <cellStyle name="Normal 8 2 4 4 2" xfId="3606" xr:uid="{00000000-0005-0000-0000-0000FD1C0000}"/>
    <cellStyle name="Normal 8 2 4 4 2 2" xfId="7828" xr:uid="{00000000-0005-0000-0000-0000FE1C0000}"/>
    <cellStyle name="Normal 8 2 4 4 2 2 2" xfId="25558" xr:uid="{40AA2F0C-DA76-4C37-8915-35EAEB517DDA}"/>
    <cellStyle name="Normal 8 2 4 4 2 2 3" xfId="16278" xr:uid="{695BC5CC-88AE-40FB-BFE5-A101CEC6F950}"/>
    <cellStyle name="Normal 8 2 4 4 2 3" xfId="21341" xr:uid="{D53330C5-9E94-42BC-A4CC-A85AE7296C35}"/>
    <cellStyle name="Normal 8 2 4 4 2 4" xfId="12060" xr:uid="{EC9A458E-C929-4C51-A001-738607C5828E}"/>
    <cellStyle name="Normal 8 2 4 4 3" xfId="5683" xr:uid="{00000000-0005-0000-0000-0000FF1C0000}"/>
    <cellStyle name="Normal 8 2 4 4 3 2" xfId="23413" xr:uid="{AF3A58D4-9290-467D-ABC4-E2508ED3C6F2}"/>
    <cellStyle name="Normal 8 2 4 4 3 3" xfId="14133" xr:uid="{E50A441A-2435-4D1A-8629-B091C304B448}"/>
    <cellStyle name="Normal 8 2 4 4 4" xfId="19196" xr:uid="{9097E5A4-D244-498C-AFB4-086269AA5AD1}"/>
    <cellStyle name="Normal 8 2 4 4 5" xfId="9915" xr:uid="{8597718F-5411-43EC-9BA4-1AB79DE3E2CB}"/>
    <cellStyle name="Normal 8 2 4 5" xfId="1789" xr:uid="{00000000-0005-0000-0000-0000001D0000}"/>
    <cellStyle name="Normal 8 2 4 5 2" xfId="4019" xr:uid="{00000000-0005-0000-0000-0000011D0000}"/>
    <cellStyle name="Normal 8 2 4 5 2 2" xfId="8241" xr:uid="{00000000-0005-0000-0000-0000021D0000}"/>
    <cellStyle name="Normal 8 2 4 5 2 2 2" xfId="25971" xr:uid="{5067DE17-2E62-41D3-BF6D-A955664BDC29}"/>
    <cellStyle name="Normal 8 2 4 5 2 2 3" xfId="16691" xr:uid="{9697FBD3-B2BA-4A63-8968-592F14DACB17}"/>
    <cellStyle name="Normal 8 2 4 5 2 3" xfId="21754" xr:uid="{6587E56A-682E-40CC-B8CB-BE2E0CD79D53}"/>
    <cellStyle name="Normal 8 2 4 5 2 4" xfId="12473" xr:uid="{C59B3C1A-7087-4228-9943-13D6A849EE09}"/>
    <cellStyle name="Normal 8 2 4 5 3" xfId="6096" xr:uid="{00000000-0005-0000-0000-0000031D0000}"/>
    <cellStyle name="Normal 8 2 4 5 3 2" xfId="23826" xr:uid="{220E6208-2FD5-4659-A3E2-EB7CCE521671}"/>
    <cellStyle name="Normal 8 2 4 5 3 3" xfId="14546" xr:uid="{DB2C4A32-5DF6-4308-90B0-8BFE1E04432D}"/>
    <cellStyle name="Normal 8 2 4 5 4" xfId="19609" xr:uid="{6A54F117-3C3B-4DAC-8708-BDE46FDAEBB9}"/>
    <cellStyle name="Normal 8 2 4 5 5" xfId="10328" xr:uid="{3F6272CB-54A6-4719-BC06-3D566E08CB5F}"/>
    <cellStyle name="Normal 8 2 4 6" xfId="2203" xr:uid="{00000000-0005-0000-0000-0000041D0000}"/>
    <cellStyle name="Normal 8 2 4 6 2" xfId="4432" xr:uid="{00000000-0005-0000-0000-0000051D0000}"/>
    <cellStyle name="Normal 8 2 4 6 2 2" xfId="8654" xr:uid="{00000000-0005-0000-0000-0000061D0000}"/>
    <cellStyle name="Normal 8 2 4 6 2 2 2" xfId="26384" xr:uid="{C82D4992-CA17-49E0-8316-32658B0247EC}"/>
    <cellStyle name="Normal 8 2 4 6 2 2 3" xfId="17104" xr:uid="{5AFF1338-7C7F-4C1C-A2FD-97745ECDDF30}"/>
    <cellStyle name="Normal 8 2 4 6 2 3" xfId="22167" xr:uid="{EEDFDA9A-E848-4247-A83A-137F2724A497}"/>
    <cellStyle name="Normal 8 2 4 6 2 4" xfId="12886" xr:uid="{9F4C0354-B8AF-48F5-90F4-70FF4D5DDE58}"/>
    <cellStyle name="Normal 8 2 4 6 3" xfId="6509" xr:uid="{00000000-0005-0000-0000-0000071D0000}"/>
    <cellStyle name="Normal 8 2 4 6 3 2" xfId="24239" xr:uid="{D6AEDC1D-0102-40CE-80EE-21C2C02F6B57}"/>
    <cellStyle name="Normal 8 2 4 6 3 3" xfId="14959" xr:uid="{F7D76D6E-4693-480C-8D4D-05BB61039A06}"/>
    <cellStyle name="Normal 8 2 4 6 4" xfId="20022" xr:uid="{906307C3-1964-4D31-8094-DA23064F2252}"/>
    <cellStyle name="Normal 8 2 4 6 5" xfId="10741" xr:uid="{35D16435-6D0E-47E5-B124-DF5C7FE02442}"/>
    <cellStyle name="Normal 8 2 4 7" xfId="2639" xr:uid="{00000000-0005-0000-0000-0000081D0000}"/>
    <cellStyle name="Normal 8 2 4 7 2" xfId="6922" xr:uid="{00000000-0005-0000-0000-0000091D0000}"/>
    <cellStyle name="Normal 8 2 4 7 2 2" xfId="24652" xr:uid="{DBD0BEFF-0907-419B-8EF7-DB4B781C2882}"/>
    <cellStyle name="Normal 8 2 4 7 2 3" xfId="15372" xr:uid="{6AD580D5-C402-433D-9A15-53105BB7C151}"/>
    <cellStyle name="Normal 8 2 4 7 3" xfId="20435" xr:uid="{D555F37D-0392-4241-A55A-47C36DD404E9}"/>
    <cellStyle name="Normal 8 2 4 7 4" xfId="11154" xr:uid="{98FEB9F9-9F94-4B83-AB97-B4C21709E1B5}"/>
    <cellStyle name="Normal 8 2 4 8" xfId="4857" xr:uid="{00000000-0005-0000-0000-00000A1D0000}"/>
    <cellStyle name="Normal 8 2 4 8 2" xfId="22587" xr:uid="{6C80BB42-870B-4452-B66D-AC2DEEE0E981}"/>
    <cellStyle name="Normal 8 2 4 8 3" xfId="13307" xr:uid="{87EF75C4-45C7-48D6-BB74-E22554E66423}"/>
    <cellStyle name="Normal 8 2 4 9" xfId="18370" xr:uid="{A08C06BA-7E50-4485-94C6-9E92716C66DD}"/>
    <cellStyle name="Normal 8 2 5" xfId="494" xr:uid="{00000000-0005-0000-0000-00000B1D0000}"/>
    <cellStyle name="Normal 8 2 5 10" xfId="9091" xr:uid="{21ABD8B0-7A03-4C34-B927-BF8178814643}"/>
    <cellStyle name="Normal 8 2 5 2" xfId="961" xr:uid="{00000000-0005-0000-0000-00000C1D0000}"/>
    <cellStyle name="Normal 8 2 5 2 2" xfId="3195" xr:uid="{00000000-0005-0000-0000-00000D1D0000}"/>
    <cellStyle name="Normal 8 2 5 2 2 2" xfId="7417" xr:uid="{00000000-0005-0000-0000-00000E1D0000}"/>
    <cellStyle name="Normal 8 2 5 2 2 2 2" xfId="25147" xr:uid="{B59F9DA3-7BB4-4ECD-947C-AE8A458D948A}"/>
    <cellStyle name="Normal 8 2 5 2 2 2 3" xfId="15867" xr:uid="{DC7C0C4B-05BC-4ADD-8515-50EAD580581B}"/>
    <cellStyle name="Normal 8 2 5 2 2 3" xfId="20930" xr:uid="{4E5A6761-616C-40DC-B2C1-3380ED753F8F}"/>
    <cellStyle name="Normal 8 2 5 2 2 4" xfId="11649" xr:uid="{CA3E8416-10AB-4FF2-8578-8963EDE5CF13}"/>
    <cellStyle name="Normal 8 2 5 2 3" xfId="5272" xr:uid="{00000000-0005-0000-0000-00000F1D0000}"/>
    <cellStyle name="Normal 8 2 5 2 3 2" xfId="23002" xr:uid="{C11754D3-82B7-4441-8AA4-FFEBA87AF346}"/>
    <cellStyle name="Normal 8 2 5 2 3 3" xfId="13722" xr:uid="{C6CB9F27-8E41-4CAC-A3E1-AEB3F6216290}"/>
    <cellStyle name="Normal 8 2 5 2 4" xfId="18785" xr:uid="{92FC0C8B-448C-4D35-8213-6E559F7F0396}"/>
    <cellStyle name="Normal 8 2 5 2 5" xfId="17957" xr:uid="{F51DA2AE-24B9-4223-B087-519A9873001D}"/>
    <cellStyle name="Normal 8 2 5 2 6" xfId="9504" xr:uid="{A3AF876C-6DCF-4430-B521-532456CA8634}"/>
    <cellStyle name="Normal 8 2 5 3" xfId="1378" xr:uid="{00000000-0005-0000-0000-0000101D0000}"/>
    <cellStyle name="Normal 8 2 5 3 2" xfId="3608" xr:uid="{00000000-0005-0000-0000-0000111D0000}"/>
    <cellStyle name="Normal 8 2 5 3 2 2" xfId="7830" xr:uid="{00000000-0005-0000-0000-0000121D0000}"/>
    <cellStyle name="Normal 8 2 5 3 2 2 2" xfId="25560" xr:uid="{FEA6AACA-FA04-4D0F-A701-C466C3E2D34F}"/>
    <cellStyle name="Normal 8 2 5 3 2 2 3" xfId="16280" xr:uid="{D3915263-6964-4E2E-BF2D-4D47771B015A}"/>
    <cellStyle name="Normal 8 2 5 3 2 3" xfId="21343" xr:uid="{DB79C0AA-73A2-4CFF-9C20-4869F98D21D9}"/>
    <cellStyle name="Normal 8 2 5 3 2 4" xfId="12062" xr:uid="{6C288D75-637B-470B-B36D-0557825BE6E4}"/>
    <cellStyle name="Normal 8 2 5 3 3" xfId="5685" xr:uid="{00000000-0005-0000-0000-0000131D0000}"/>
    <cellStyle name="Normal 8 2 5 3 3 2" xfId="23415" xr:uid="{2D336281-76FA-4A01-8C18-776A697461DB}"/>
    <cellStyle name="Normal 8 2 5 3 3 3" xfId="14135" xr:uid="{EDFDE4F5-B276-4732-BAF9-A81927D85C9A}"/>
    <cellStyle name="Normal 8 2 5 3 4" xfId="19198" xr:uid="{9CD638E7-A2D0-4282-8165-6F98806812D0}"/>
    <cellStyle name="Normal 8 2 5 3 5" xfId="9917" xr:uid="{438C2C9C-2FB9-4E95-B8AC-4026F0FD381C}"/>
    <cellStyle name="Normal 8 2 5 4" xfId="1791" xr:uid="{00000000-0005-0000-0000-0000141D0000}"/>
    <cellStyle name="Normal 8 2 5 4 2" xfId="4021" xr:uid="{00000000-0005-0000-0000-0000151D0000}"/>
    <cellStyle name="Normal 8 2 5 4 2 2" xfId="8243" xr:uid="{00000000-0005-0000-0000-0000161D0000}"/>
    <cellStyle name="Normal 8 2 5 4 2 2 2" xfId="25973" xr:uid="{B2989DF2-0454-4AC3-9407-D0EC456869BB}"/>
    <cellStyle name="Normal 8 2 5 4 2 2 3" xfId="16693" xr:uid="{DE41CEEA-3B2F-44EF-ACE4-41E181282C10}"/>
    <cellStyle name="Normal 8 2 5 4 2 3" xfId="21756" xr:uid="{E2BA87CE-73CB-47D8-8325-261A5E083652}"/>
    <cellStyle name="Normal 8 2 5 4 2 4" xfId="12475" xr:uid="{160CDD82-0D3E-4426-A17A-376B436D4A13}"/>
    <cellStyle name="Normal 8 2 5 4 3" xfId="6098" xr:uid="{00000000-0005-0000-0000-0000171D0000}"/>
    <cellStyle name="Normal 8 2 5 4 3 2" xfId="23828" xr:uid="{0B2E7871-9BCC-439D-AF6C-67D76FF2AAB1}"/>
    <cellStyle name="Normal 8 2 5 4 3 3" xfId="14548" xr:uid="{52CB1B66-44F2-4E0B-BDFB-B8140583EB74}"/>
    <cellStyle name="Normal 8 2 5 4 4" xfId="19611" xr:uid="{CD1A289D-25A7-47EC-82BB-8774FFC55FD6}"/>
    <cellStyle name="Normal 8 2 5 4 5" xfId="10330" xr:uid="{9ADEE269-07E8-4BF0-BF4D-49986B1A9B73}"/>
    <cellStyle name="Normal 8 2 5 5" xfId="2205" xr:uid="{00000000-0005-0000-0000-0000181D0000}"/>
    <cellStyle name="Normal 8 2 5 5 2" xfId="4434" xr:uid="{00000000-0005-0000-0000-0000191D0000}"/>
    <cellStyle name="Normal 8 2 5 5 2 2" xfId="8656" xr:uid="{00000000-0005-0000-0000-00001A1D0000}"/>
    <cellStyle name="Normal 8 2 5 5 2 2 2" xfId="26386" xr:uid="{C98D70EC-E3DE-4377-98F4-510D6065A943}"/>
    <cellStyle name="Normal 8 2 5 5 2 2 3" xfId="17106" xr:uid="{D4BDB39A-DBD1-4F7C-AE63-0BA556DA5A10}"/>
    <cellStyle name="Normal 8 2 5 5 2 3" xfId="22169" xr:uid="{3A9C024C-5062-451D-B038-77C254717C86}"/>
    <cellStyle name="Normal 8 2 5 5 2 4" xfId="12888" xr:uid="{3F3FE5AE-E714-4722-A018-125692FA3377}"/>
    <cellStyle name="Normal 8 2 5 5 3" xfId="6511" xr:uid="{00000000-0005-0000-0000-00001B1D0000}"/>
    <cellStyle name="Normal 8 2 5 5 3 2" xfId="24241" xr:uid="{A2377DF7-A772-47B3-AAFE-B00D2F5E4CED}"/>
    <cellStyle name="Normal 8 2 5 5 3 3" xfId="14961" xr:uid="{34BBD6CD-F5AE-443A-B62B-42D72C429DFB}"/>
    <cellStyle name="Normal 8 2 5 5 4" xfId="20024" xr:uid="{AE197E28-CA08-4966-83F6-F4CE381561C2}"/>
    <cellStyle name="Normal 8 2 5 5 5" xfId="10743" xr:uid="{2A55DBE7-2E79-412F-9164-A9FE87FCFADD}"/>
    <cellStyle name="Normal 8 2 5 6" xfId="2641" xr:uid="{00000000-0005-0000-0000-00001C1D0000}"/>
    <cellStyle name="Normal 8 2 5 6 2" xfId="6924" xr:uid="{00000000-0005-0000-0000-00001D1D0000}"/>
    <cellStyle name="Normal 8 2 5 6 2 2" xfId="24654" xr:uid="{6074F2CB-E298-47F0-BAF0-EB39437D42B1}"/>
    <cellStyle name="Normal 8 2 5 6 2 3" xfId="15374" xr:uid="{D49FC3A1-C9B6-4D0A-A3CF-7D2CAD7F08EB}"/>
    <cellStyle name="Normal 8 2 5 6 3" xfId="20437" xr:uid="{1770715F-0DF7-4C49-9233-92673C000A89}"/>
    <cellStyle name="Normal 8 2 5 6 4" xfId="11156" xr:uid="{B548E8A9-B020-4A14-8662-2A4EABB93A47}"/>
    <cellStyle name="Normal 8 2 5 7" xfId="4859" xr:uid="{00000000-0005-0000-0000-00001E1D0000}"/>
    <cellStyle name="Normal 8 2 5 7 2" xfId="22589" xr:uid="{4162A52A-FD0B-4897-A2C6-6693E6B2C0C9}"/>
    <cellStyle name="Normal 8 2 5 7 3" xfId="13309" xr:uid="{EE443377-4D53-4F63-910D-E469BD1B3C5D}"/>
    <cellStyle name="Normal 8 2 5 8" xfId="18372" xr:uid="{5E766CA1-9F7F-4D51-81C7-E591C479C9A1}"/>
    <cellStyle name="Normal 8 2 5 9" xfId="17538" xr:uid="{4057CC3D-5338-4E3B-B8F0-CF80C8CD3625}"/>
    <cellStyle name="Normal 8 2 6" xfId="946" xr:uid="{00000000-0005-0000-0000-00001F1D0000}"/>
    <cellStyle name="Normal 8 2 6 2" xfId="3180" xr:uid="{00000000-0005-0000-0000-0000201D0000}"/>
    <cellStyle name="Normal 8 2 6 2 2" xfId="7402" xr:uid="{00000000-0005-0000-0000-0000211D0000}"/>
    <cellStyle name="Normal 8 2 6 2 2 2" xfId="25132" xr:uid="{0072D1BA-C9F5-495B-BF86-551DCDC05A7E}"/>
    <cellStyle name="Normal 8 2 6 2 2 3" xfId="15852" xr:uid="{9F17CEEF-A7E4-4731-BEEA-CED8262D35BB}"/>
    <cellStyle name="Normal 8 2 6 2 3" xfId="20915" xr:uid="{31B4BB5D-DE29-43C4-8232-DAC02D85A660}"/>
    <cellStyle name="Normal 8 2 6 2 4" xfId="11634" xr:uid="{67D8E8C6-8816-4D42-B3A1-80B2100C03F9}"/>
    <cellStyle name="Normal 8 2 6 3" xfId="5257" xr:uid="{00000000-0005-0000-0000-0000221D0000}"/>
    <cellStyle name="Normal 8 2 6 3 2" xfId="22987" xr:uid="{444FAB54-96D2-4CD3-9305-83587C967A9B}"/>
    <cellStyle name="Normal 8 2 6 3 3" xfId="13707" xr:uid="{2593133D-CCBA-4613-BEFC-5133B23E5D80}"/>
    <cellStyle name="Normal 8 2 6 4" xfId="18770" xr:uid="{EB3B48CC-5862-47DB-9A21-056DFEC9840D}"/>
    <cellStyle name="Normal 8 2 6 5" xfId="17942" xr:uid="{551D18B3-7616-4D03-BE1A-E7D23E78E40E}"/>
    <cellStyle name="Normal 8 2 6 6" xfId="9489" xr:uid="{16C777AE-1FEB-4910-95C9-C144EA544C5A}"/>
    <cellStyle name="Normal 8 2 7" xfId="1363" xr:uid="{00000000-0005-0000-0000-0000231D0000}"/>
    <cellStyle name="Normal 8 2 7 2" xfId="3593" xr:uid="{00000000-0005-0000-0000-0000241D0000}"/>
    <cellStyle name="Normal 8 2 7 2 2" xfId="7815" xr:uid="{00000000-0005-0000-0000-0000251D0000}"/>
    <cellStyle name="Normal 8 2 7 2 2 2" xfId="25545" xr:uid="{0CA6B9D3-969E-40EF-AE3A-4386ECD7DB0F}"/>
    <cellStyle name="Normal 8 2 7 2 2 3" xfId="16265" xr:uid="{B2698BD0-CC7D-4C50-88DF-979F538DC603}"/>
    <cellStyle name="Normal 8 2 7 2 3" xfId="21328" xr:uid="{0A4E3B8E-79AF-4CEB-8AB6-403309708FE2}"/>
    <cellStyle name="Normal 8 2 7 2 4" xfId="12047" xr:uid="{20D93DFA-A984-4925-AE8F-D8ED7F003846}"/>
    <cellStyle name="Normal 8 2 7 3" xfId="5670" xr:uid="{00000000-0005-0000-0000-0000261D0000}"/>
    <cellStyle name="Normal 8 2 7 3 2" xfId="23400" xr:uid="{D5EC9A88-046F-498E-8EFC-2FD976251DB9}"/>
    <cellStyle name="Normal 8 2 7 3 3" xfId="14120" xr:uid="{8FF16E0B-6652-4455-A710-219154EBCFDD}"/>
    <cellStyle name="Normal 8 2 7 4" xfId="19183" xr:uid="{87F2C73E-7A73-4462-A0D3-6789B671E50D}"/>
    <cellStyle name="Normal 8 2 7 5" xfId="9902" xr:uid="{91D2A400-E710-4A3B-AD21-FBAAD57F39DE}"/>
    <cellStyle name="Normal 8 2 8" xfId="1776" xr:uid="{00000000-0005-0000-0000-0000271D0000}"/>
    <cellStyle name="Normal 8 2 8 2" xfId="4006" xr:uid="{00000000-0005-0000-0000-0000281D0000}"/>
    <cellStyle name="Normal 8 2 8 2 2" xfId="8228" xr:uid="{00000000-0005-0000-0000-0000291D0000}"/>
    <cellStyle name="Normal 8 2 8 2 2 2" xfId="25958" xr:uid="{C0093B51-A1D1-4278-AB92-70FAFE603717}"/>
    <cellStyle name="Normal 8 2 8 2 2 3" xfId="16678" xr:uid="{B2AFB5DD-C58F-4795-B5AD-9576B2362C78}"/>
    <cellStyle name="Normal 8 2 8 2 3" xfId="21741" xr:uid="{361EB337-B605-4F23-A001-B1BB2EED3990}"/>
    <cellStyle name="Normal 8 2 8 2 4" xfId="12460" xr:uid="{0B88EB21-1B8C-4A9C-A007-3BD74C0F0856}"/>
    <cellStyle name="Normal 8 2 8 3" xfId="6083" xr:uid="{00000000-0005-0000-0000-00002A1D0000}"/>
    <cellStyle name="Normal 8 2 8 3 2" xfId="23813" xr:uid="{9071C9AD-4EE0-47B5-AAE9-4A6EFA28A38B}"/>
    <cellStyle name="Normal 8 2 8 3 3" xfId="14533" xr:uid="{13A21590-DD2D-42F9-9E5A-0C6B6CBB9114}"/>
    <cellStyle name="Normal 8 2 8 4" xfId="19596" xr:uid="{415C7946-3000-4C1F-B842-9861F6ADA73C}"/>
    <cellStyle name="Normal 8 2 8 5" xfId="10315" xr:uid="{036F51D1-EB1B-4439-8047-376C26FD3C62}"/>
    <cellStyle name="Normal 8 2 9" xfId="2190" xr:uid="{00000000-0005-0000-0000-00002B1D0000}"/>
    <cellStyle name="Normal 8 2 9 2" xfId="4419" xr:uid="{00000000-0005-0000-0000-00002C1D0000}"/>
    <cellStyle name="Normal 8 2 9 2 2" xfId="8641" xr:uid="{00000000-0005-0000-0000-00002D1D0000}"/>
    <cellStyle name="Normal 8 2 9 2 2 2" xfId="26371" xr:uid="{BB0548D5-6BA0-47F4-8FB1-D776E06E2C6B}"/>
    <cellStyle name="Normal 8 2 9 2 2 3" xfId="17091" xr:uid="{530AD9BA-2A1E-4331-92B4-A96A20D78F0D}"/>
    <cellStyle name="Normal 8 2 9 2 3" xfId="22154" xr:uid="{4EEF8DF0-84CF-4A23-B8B3-1B8B3CE0A263}"/>
    <cellStyle name="Normal 8 2 9 2 4" xfId="12873" xr:uid="{76735324-EC01-4E1C-B5EF-68FEB16C5C84}"/>
    <cellStyle name="Normal 8 2 9 3" xfId="6496" xr:uid="{00000000-0005-0000-0000-00002E1D0000}"/>
    <cellStyle name="Normal 8 2 9 3 2" xfId="24226" xr:uid="{C6368AB4-1356-46AF-B7B1-A270FB34947D}"/>
    <cellStyle name="Normal 8 2 9 3 3" xfId="14946" xr:uid="{FDA4C6A0-8645-40F5-9230-E60100355B73}"/>
    <cellStyle name="Normal 8 2 9 4" xfId="20009" xr:uid="{9D79F3EF-E406-408B-801E-C9165E5B113F}"/>
    <cellStyle name="Normal 8 2 9 5" xfId="10728" xr:uid="{7DF42745-22F4-4035-97DE-A5010A2DF15B}"/>
    <cellStyle name="Normal 8 3" xfId="495" xr:uid="{00000000-0005-0000-0000-00002F1D0000}"/>
    <cellStyle name="Normal 8 3 10" xfId="4860" xr:uid="{00000000-0005-0000-0000-0000301D0000}"/>
    <cellStyle name="Normal 8 3 10 2" xfId="22590" xr:uid="{25C5FAD4-0BB7-4946-9962-7DC658B9D79A}"/>
    <cellStyle name="Normal 8 3 10 3" xfId="13310" xr:uid="{491F8EED-4265-4098-8553-9948A8B9F71D}"/>
    <cellStyle name="Normal 8 3 11" xfId="18373" xr:uid="{856D4C7E-1440-4C06-8B9B-35AED18F2699}"/>
    <cellStyle name="Normal 8 3 12" xfId="17539" xr:uid="{C07367CC-E411-4BCB-90EE-01DB094960D2}"/>
    <cellStyle name="Normal 8 3 13" xfId="9092" xr:uid="{E639F183-74DD-48B4-A0CD-8E5F03D589BE}"/>
    <cellStyle name="Normal 8 3 2" xfId="496" xr:uid="{00000000-0005-0000-0000-0000311D0000}"/>
    <cellStyle name="Normal 8 3 2 10" xfId="18374" xr:uid="{130352C9-D0E2-4AB9-AFAE-A26DEDEB43DA}"/>
    <cellStyle name="Normal 8 3 2 11" xfId="17540" xr:uid="{6D05A5C8-190E-4EB4-8518-131C1754EFAF}"/>
    <cellStyle name="Normal 8 3 2 12" xfId="9093" xr:uid="{F9E5B585-F3F3-4363-8AAD-95D6507B8A64}"/>
    <cellStyle name="Normal 8 3 2 2" xfId="497" xr:uid="{00000000-0005-0000-0000-0000321D0000}"/>
    <cellStyle name="Normal 8 3 2 2 10" xfId="17541" xr:uid="{E087AAA3-369A-4E48-BDF8-1E0205E4F6C2}"/>
    <cellStyle name="Normal 8 3 2 2 11" xfId="9094" xr:uid="{A60EB9D6-3440-4930-B038-F61C79870D27}"/>
    <cellStyle name="Normal 8 3 2 2 2" xfId="498" xr:uid="{00000000-0005-0000-0000-0000331D0000}"/>
    <cellStyle name="Normal 8 3 2 2 2 10" xfId="9095" xr:uid="{60E9597E-421F-42CE-B15F-3F526AFDEB94}"/>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25151" xr:uid="{50D36728-7430-4C0D-9D54-5B5E399E91C5}"/>
    <cellStyle name="Normal 8 3 2 2 2 2 2 2 3" xfId="15871" xr:uid="{29F2011C-F55C-4460-A7A4-37D14C372137}"/>
    <cellStyle name="Normal 8 3 2 2 2 2 2 3" xfId="20934" xr:uid="{75B63F91-87D8-45B3-9682-BBD6A5807CC7}"/>
    <cellStyle name="Normal 8 3 2 2 2 2 2 4" xfId="11653" xr:uid="{B76CD0F3-3594-4E35-89E3-B197ECC7B9D0}"/>
    <cellStyle name="Normal 8 3 2 2 2 2 3" xfId="5276" xr:uid="{00000000-0005-0000-0000-0000371D0000}"/>
    <cellStyle name="Normal 8 3 2 2 2 2 3 2" xfId="23006" xr:uid="{5B6BAFF0-468C-4822-A368-918AE2DAA2E0}"/>
    <cellStyle name="Normal 8 3 2 2 2 2 3 3" xfId="13726" xr:uid="{9BED8DA0-910B-4C72-85F5-5D1958CB6BA8}"/>
    <cellStyle name="Normal 8 3 2 2 2 2 4" xfId="18789" xr:uid="{4E1815AB-2C40-4370-9080-D4504581DBBF}"/>
    <cellStyle name="Normal 8 3 2 2 2 2 5" xfId="17961" xr:uid="{6C0AA9EF-94C3-46EB-A77D-D40A6A71A45D}"/>
    <cellStyle name="Normal 8 3 2 2 2 2 6" xfId="9508" xr:uid="{EE259525-8D89-4FE6-944E-D2F2134E0A1E}"/>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25564" xr:uid="{8EB78812-4152-4A74-BE73-F07424CE2005}"/>
    <cellStyle name="Normal 8 3 2 2 2 3 2 2 3" xfId="16284" xr:uid="{002BEE74-A489-434A-9FA0-38614AD96F1F}"/>
    <cellStyle name="Normal 8 3 2 2 2 3 2 3" xfId="21347" xr:uid="{8B6BD30F-8C06-464D-985A-F74CDE819EFF}"/>
    <cellStyle name="Normal 8 3 2 2 2 3 2 4" xfId="12066" xr:uid="{61382A26-0AC5-409F-ACC4-F2E7A845330F}"/>
    <cellStyle name="Normal 8 3 2 2 2 3 3" xfId="5689" xr:uid="{00000000-0005-0000-0000-00003B1D0000}"/>
    <cellStyle name="Normal 8 3 2 2 2 3 3 2" xfId="23419" xr:uid="{F46BD3BA-B4E7-4E08-A504-DB2C5B64A0D5}"/>
    <cellStyle name="Normal 8 3 2 2 2 3 3 3" xfId="14139" xr:uid="{B051CFC9-F3D9-4B76-84AB-21AE31F12EE8}"/>
    <cellStyle name="Normal 8 3 2 2 2 3 4" xfId="19202" xr:uid="{985666E3-1580-4549-90E5-CA1CE029A808}"/>
    <cellStyle name="Normal 8 3 2 2 2 3 5" xfId="9921" xr:uid="{07BFF446-1BEE-4105-91A0-76C648B87266}"/>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25977" xr:uid="{ED824EA6-AA52-4FA4-9B5E-D74570301070}"/>
    <cellStyle name="Normal 8 3 2 2 2 4 2 2 3" xfId="16697" xr:uid="{6074CD4C-9D94-4CEE-AE4A-0F12E6409BD2}"/>
    <cellStyle name="Normal 8 3 2 2 2 4 2 3" xfId="21760" xr:uid="{DA1C2F90-FF71-4154-A8FE-2CEF2922C6E8}"/>
    <cellStyle name="Normal 8 3 2 2 2 4 2 4" xfId="12479" xr:uid="{690B900B-61DE-463F-8FA6-D85D5F7F19EE}"/>
    <cellStyle name="Normal 8 3 2 2 2 4 3" xfId="6102" xr:uid="{00000000-0005-0000-0000-00003F1D0000}"/>
    <cellStyle name="Normal 8 3 2 2 2 4 3 2" xfId="23832" xr:uid="{DD433E62-272A-41C6-B645-3E5F2BEEEE58}"/>
    <cellStyle name="Normal 8 3 2 2 2 4 3 3" xfId="14552" xr:uid="{0D5C310D-F770-4F65-98A5-B2B29C87E21A}"/>
    <cellStyle name="Normal 8 3 2 2 2 4 4" xfId="19615" xr:uid="{98CD89A8-B822-4EBA-99E5-81FCD0E91041}"/>
    <cellStyle name="Normal 8 3 2 2 2 4 5" xfId="10334" xr:uid="{A6BF61E6-9654-4CC8-8F83-1D81EAADC377}"/>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26390" xr:uid="{7641AA2A-F401-4FFE-8DFD-20A7061B834E}"/>
    <cellStyle name="Normal 8 3 2 2 2 5 2 2 3" xfId="17110" xr:uid="{992EA310-0BCE-4ED9-B0D4-A19D3C493732}"/>
    <cellStyle name="Normal 8 3 2 2 2 5 2 3" xfId="22173" xr:uid="{9750A322-165A-4A11-885A-E17B3A9C5C2D}"/>
    <cellStyle name="Normal 8 3 2 2 2 5 2 4" xfId="12892" xr:uid="{F6A94590-C5EB-49B4-9E1D-189C8E3B853A}"/>
    <cellStyle name="Normal 8 3 2 2 2 5 3" xfId="6515" xr:uid="{00000000-0005-0000-0000-0000431D0000}"/>
    <cellStyle name="Normal 8 3 2 2 2 5 3 2" xfId="24245" xr:uid="{E0EAB23C-9CB1-4BEC-B20A-60C2B464C3DD}"/>
    <cellStyle name="Normal 8 3 2 2 2 5 3 3" xfId="14965" xr:uid="{A5E9ED2A-1BBF-42D1-9602-CC7EDB41F59D}"/>
    <cellStyle name="Normal 8 3 2 2 2 5 4" xfId="20028" xr:uid="{2B638D7F-2547-48B1-B009-50CC90609340}"/>
    <cellStyle name="Normal 8 3 2 2 2 5 5" xfId="10747" xr:uid="{1B18A588-DFF4-4327-9845-EB4ABEE589D8}"/>
    <cellStyle name="Normal 8 3 2 2 2 6" xfId="2645" xr:uid="{00000000-0005-0000-0000-0000441D0000}"/>
    <cellStyle name="Normal 8 3 2 2 2 6 2" xfId="6928" xr:uid="{00000000-0005-0000-0000-0000451D0000}"/>
    <cellStyle name="Normal 8 3 2 2 2 6 2 2" xfId="24658" xr:uid="{D79D47F1-8174-4060-BDA4-2131301AA8E9}"/>
    <cellStyle name="Normal 8 3 2 2 2 6 2 3" xfId="15378" xr:uid="{B4138A5F-0930-4C59-A94B-2039E3BBCA1A}"/>
    <cellStyle name="Normal 8 3 2 2 2 6 3" xfId="20441" xr:uid="{206E241B-89F2-4B21-B59B-B8ED527DF28D}"/>
    <cellStyle name="Normal 8 3 2 2 2 6 4" xfId="11160" xr:uid="{25AC1CF5-7B7A-47A8-BCBD-B51F22261385}"/>
    <cellStyle name="Normal 8 3 2 2 2 7" xfId="4863" xr:uid="{00000000-0005-0000-0000-0000461D0000}"/>
    <cellStyle name="Normal 8 3 2 2 2 7 2" xfId="22593" xr:uid="{AC7ECE0B-1508-4F7F-97E2-C3DF725457B0}"/>
    <cellStyle name="Normal 8 3 2 2 2 7 3" xfId="13313" xr:uid="{B10C621D-CD83-443D-90DC-B0E16F6255DD}"/>
    <cellStyle name="Normal 8 3 2 2 2 8" xfId="18376" xr:uid="{E3B1EED2-AAED-4302-8FB9-0BCE4E8349DA}"/>
    <cellStyle name="Normal 8 3 2 2 2 9" xfId="17542" xr:uid="{4DE273CC-85A9-4820-8025-83BB00DDBC9C}"/>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25150" xr:uid="{4BFE6FE8-85B4-4851-B5F5-AA675EAE232C}"/>
    <cellStyle name="Normal 8 3 2 2 3 2 2 3" xfId="15870" xr:uid="{B252CE71-740F-4BBE-A5B8-E062B0FD7DEF}"/>
    <cellStyle name="Normal 8 3 2 2 3 2 3" xfId="20933" xr:uid="{4F4890B6-F916-42AD-9FC4-551553CACAFC}"/>
    <cellStyle name="Normal 8 3 2 2 3 2 4" xfId="11652" xr:uid="{46622608-788E-4BFE-86F6-8B0434DABFD7}"/>
    <cellStyle name="Normal 8 3 2 2 3 3" xfId="5275" xr:uid="{00000000-0005-0000-0000-00004A1D0000}"/>
    <cellStyle name="Normal 8 3 2 2 3 3 2" xfId="23005" xr:uid="{3006E27B-C99A-4566-B769-13D38E7300F2}"/>
    <cellStyle name="Normal 8 3 2 2 3 3 3" xfId="13725" xr:uid="{D948DF7E-A572-4A04-A20C-D8ABB5B2BD9B}"/>
    <cellStyle name="Normal 8 3 2 2 3 4" xfId="18788" xr:uid="{B51ECC1A-94C4-4284-BA63-0C9F04B88025}"/>
    <cellStyle name="Normal 8 3 2 2 3 5" xfId="17960" xr:uid="{3D884203-98F8-42F6-A9C0-BD0C76366E31}"/>
    <cellStyle name="Normal 8 3 2 2 3 6" xfId="9507" xr:uid="{08AB7AF5-09F2-4D71-B9DB-C4BE669DC7A8}"/>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25563" xr:uid="{3BE34E31-F69B-488F-866A-9A1DFD712B23}"/>
    <cellStyle name="Normal 8 3 2 2 4 2 2 3" xfId="16283" xr:uid="{6A06D1CF-1AF4-4EE8-993E-8F328F52345C}"/>
    <cellStyle name="Normal 8 3 2 2 4 2 3" xfId="21346" xr:uid="{8C986BD8-8BD0-4432-8EC6-1769EC952F61}"/>
    <cellStyle name="Normal 8 3 2 2 4 2 4" xfId="12065" xr:uid="{5D51993E-58A3-4673-A6A4-C9E888EC701D}"/>
    <cellStyle name="Normal 8 3 2 2 4 3" xfId="5688" xr:uid="{00000000-0005-0000-0000-00004E1D0000}"/>
    <cellStyle name="Normal 8 3 2 2 4 3 2" xfId="23418" xr:uid="{972684B3-3CC8-458B-A98E-C8E22EB729AC}"/>
    <cellStyle name="Normal 8 3 2 2 4 3 3" xfId="14138" xr:uid="{D1D8B40F-992A-4FA0-B614-9C8C0DBAFE28}"/>
    <cellStyle name="Normal 8 3 2 2 4 4" xfId="19201" xr:uid="{39E3AA4E-CBEB-4F10-B233-375621C77EF8}"/>
    <cellStyle name="Normal 8 3 2 2 4 5" xfId="9920" xr:uid="{A683FDEE-F3C0-4DF6-ABD1-51F5D466B0E0}"/>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25976" xr:uid="{F303E4A3-0E28-45F6-9D36-B51865997595}"/>
    <cellStyle name="Normal 8 3 2 2 5 2 2 3" xfId="16696" xr:uid="{46839E61-9F10-4022-982A-3337862CACE9}"/>
    <cellStyle name="Normal 8 3 2 2 5 2 3" xfId="21759" xr:uid="{FE9A1F93-D346-4E0B-B271-47A82841DA15}"/>
    <cellStyle name="Normal 8 3 2 2 5 2 4" xfId="12478" xr:uid="{B55A3D0E-F7D0-47BC-87FA-5083E2A520D5}"/>
    <cellStyle name="Normal 8 3 2 2 5 3" xfId="6101" xr:uid="{00000000-0005-0000-0000-0000521D0000}"/>
    <cellStyle name="Normal 8 3 2 2 5 3 2" xfId="23831" xr:uid="{14BC416E-C93C-4271-B517-667783BA6311}"/>
    <cellStyle name="Normal 8 3 2 2 5 3 3" xfId="14551" xr:uid="{4A5ADAB9-6AA9-4687-93F3-F357FFDED3AF}"/>
    <cellStyle name="Normal 8 3 2 2 5 4" xfId="19614" xr:uid="{8A36EDFE-F945-429E-A4A3-8710BC02C30C}"/>
    <cellStyle name="Normal 8 3 2 2 5 5" xfId="10333" xr:uid="{9E85DF89-8223-4753-B5F0-DF4D9E8CE0BF}"/>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26389" xr:uid="{F030B3BF-FDD5-4B38-AF43-AC835D3BA207}"/>
    <cellStyle name="Normal 8 3 2 2 6 2 2 3" xfId="17109" xr:uid="{5F8F0880-2B0E-451B-8764-B66D47AD718E}"/>
    <cellStyle name="Normal 8 3 2 2 6 2 3" xfId="22172" xr:uid="{FE8AA680-B55E-4952-9BA8-E3F165EA1BDA}"/>
    <cellStyle name="Normal 8 3 2 2 6 2 4" xfId="12891" xr:uid="{FD3DC891-3AA8-4CBD-8846-3D394EF4FA95}"/>
    <cellStyle name="Normal 8 3 2 2 6 3" xfId="6514" xr:uid="{00000000-0005-0000-0000-0000561D0000}"/>
    <cellStyle name="Normal 8 3 2 2 6 3 2" xfId="24244" xr:uid="{5BADF87D-890A-4472-9611-B8307FC23F92}"/>
    <cellStyle name="Normal 8 3 2 2 6 3 3" xfId="14964" xr:uid="{F5F070CF-CC20-4DE9-B849-7001D3E71B0F}"/>
    <cellStyle name="Normal 8 3 2 2 6 4" xfId="20027" xr:uid="{2DD3697A-694F-4126-A3F3-AC021F05D445}"/>
    <cellStyle name="Normal 8 3 2 2 6 5" xfId="10746" xr:uid="{AD46107A-0C7E-444D-ADC6-31D64D7B0B30}"/>
    <cellStyle name="Normal 8 3 2 2 7" xfId="2644" xr:uid="{00000000-0005-0000-0000-0000571D0000}"/>
    <cellStyle name="Normal 8 3 2 2 7 2" xfId="6927" xr:uid="{00000000-0005-0000-0000-0000581D0000}"/>
    <cellStyle name="Normal 8 3 2 2 7 2 2" xfId="24657" xr:uid="{715A13C0-6B58-4E5E-BFE6-A4F781BD90C4}"/>
    <cellStyle name="Normal 8 3 2 2 7 2 3" xfId="15377" xr:uid="{9B2AAFDC-CB13-4831-B08D-754583A81C6C}"/>
    <cellStyle name="Normal 8 3 2 2 7 3" xfId="20440" xr:uid="{2EDA763A-A00D-4EE7-9E0F-FCF37AA20BCE}"/>
    <cellStyle name="Normal 8 3 2 2 7 4" xfId="11159" xr:uid="{5EF5677F-3053-49A7-B403-26CEB58B3BD6}"/>
    <cellStyle name="Normal 8 3 2 2 8" xfId="4862" xr:uid="{00000000-0005-0000-0000-0000591D0000}"/>
    <cellStyle name="Normal 8 3 2 2 8 2" xfId="22592" xr:uid="{77008A3F-D110-48A0-A010-E3B034A8603D}"/>
    <cellStyle name="Normal 8 3 2 2 8 3" xfId="13312" xr:uid="{8B9D7904-C154-4EF7-9C0E-8062AAED24F2}"/>
    <cellStyle name="Normal 8 3 2 2 9" xfId="18375" xr:uid="{201116E5-8933-4517-A0B8-44758EB20EB2}"/>
    <cellStyle name="Normal 8 3 2 3" xfId="499" xr:uid="{00000000-0005-0000-0000-00005A1D0000}"/>
    <cellStyle name="Normal 8 3 2 3 10" xfId="9096" xr:uid="{30085889-04A1-4009-AD2A-368D5C1809CD}"/>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25152" xr:uid="{D41F82CB-7C28-4D38-BF1F-56C9732A5633}"/>
    <cellStyle name="Normal 8 3 2 3 2 2 2 3" xfId="15872" xr:uid="{14F4467A-0076-45FB-B567-7F7381F6E02D}"/>
    <cellStyle name="Normal 8 3 2 3 2 2 3" xfId="20935" xr:uid="{B8ED2349-BBF4-4AFC-BF9B-05FD783C9966}"/>
    <cellStyle name="Normal 8 3 2 3 2 2 4" xfId="11654" xr:uid="{86029A1A-6513-486B-BA1D-4D26C77E6E1F}"/>
    <cellStyle name="Normal 8 3 2 3 2 3" xfId="5277" xr:uid="{00000000-0005-0000-0000-00005E1D0000}"/>
    <cellStyle name="Normal 8 3 2 3 2 3 2" xfId="23007" xr:uid="{07DF006E-6B75-4B3C-BEFE-D2CFC6036E12}"/>
    <cellStyle name="Normal 8 3 2 3 2 3 3" xfId="13727" xr:uid="{1EF9A5A8-5A13-4756-850C-3EACB80916E2}"/>
    <cellStyle name="Normal 8 3 2 3 2 4" xfId="18790" xr:uid="{6859BB22-8422-49EF-8C3E-39781D6BBF0D}"/>
    <cellStyle name="Normal 8 3 2 3 2 5" xfId="17962" xr:uid="{5B9569A1-8022-4A65-877F-31E09109B705}"/>
    <cellStyle name="Normal 8 3 2 3 2 6" xfId="9509" xr:uid="{86C92CBA-A118-44F6-8014-4C884F9F1632}"/>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25565" xr:uid="{845B75FD-161E-430F-AFFE-955143031617}"/>
    <cellStyle name="Normal 8 3 2 3 3 2 2 3" xfId="16285" xr:uid="{13929FA1-40EF-4FE6-B9E8-80719F1F2022}"/>
    <cellStyle name="Normal 8 3 2 3 3 2 3" xfId="21348" xr:uid="{ADF7192A-0F52-4F11-A39A-BE5F3CBE5C3E}"/>
    <cellStyle name="Normal 8 3 2 3 3 2 4" xfId="12067" xr:uid="{C606A80D-3CAD-441C-B708-A4DF7AE41E36}"/>
    <cellStyle name="Normal 8 3 2 3 3 3" xfId="5690" xr:uid="{00000000-0005-0000-0000-0000621D0000}"/>
    <cellStyle name="Normal 8 3 2 3 3 3 2" xfId="23420" xr:uid="{D5B4B49E-4D4A-4ADB-84F2-F0517557BCDF}"/>
    <cellStyle name="Normal 8 3 2 3 3 3 3" xfId="14140" xr:uid="{81394C2E-062E-47B1-AA35-0222AF72E33C}"/>
    <cellStyle name="Normal 8 3 2 3 3 4" xfId="19203" xr:uid="{EE5185EE-E16C-4FF1-BDFB-E1551967755A}"/>
    <cellStyle name="Normal 8 3 2 3 3 5" xfId="9922" xr:uid="{F0985581-1529-44F5-A7C7-9D7B2547A3C3}"/>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25978" xr:uid="{9D63AF70-1713-42A1-8D0C-AA25F5F0F647}"/>
    <cellStyle name="Normal 8 3 2 3 4 2 2 3" xfId="16698" xr:uid="{FD2DC2D1-0FA7-42B6-B84C-DE8E3E7B6784}"/>
    <cellStyle name="Normal 8 3 2 3 4 2 3" xfId="21761" xr:uid="{74E7DE20-E7E6-433E-9994-9C918FE0A4E9}"/>
    <cellStyle name="Normal 8 3 2 3 4 2 4" xfId="12480" xr:uid="{3FD7C100-6C35-4816-8494-D9ECDE855758}"/>
    <cellStyle name="Normal 8 3 2 3 4 3" xfId="6103" xr:uid="{00000000-0005-0000-0000-0000661D0000}"/>
    <cellStyle name="Normal 8 3 2 3 4 3 2" xfId="23833" xr:uid="{481B5648-9562-4183-AE3A-FD511F3962CB}"/>
    <cellStyle name="Normal 8 3 2 3 4 3 3" xfId="14553" xr:uid="{ACC5FB41-BB21-4EF5-80F7-4893B02C2A05}"/>
    <cellStyle name="Normal 8 3 2 3 4 4" xfId="19616" xr:uid="{78FFF39E-9635-4112-8F76-B2B9F0A930AF}"/>
    <cellStyle name="Normal 8 3 2 3 4 5" xfId="10335" xr:uid="{00E30336-4D99-4EEF-BB55-9A1E58E8707E}"/>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26391" xr:uid="{B988A233-566D-452C-8AB3-AFDEA84230DB}"/>
    <cellStyle name="Normal 8 3 2 3 5 2 2 3" xfId="17111" xr:uid="{CAD17EE4-2A63-4E78-9EEA-D4C945DD53B8}"/>
    <cellStyle name="Normal 8 3 2 3 5 2 3" xfId="22174" xr:uid="{7DB4DF7D-1141-4365-AF14-DC64D35658B4}"/>
    <cellStyle name="Normal 8 3 2 3 5 2 4" xfId="12893" xr:uid="{B1E177CB-C7C7-44F4-95E0-85815F33C1B3}"/>
    <cellStyle name="Normal 8 3 2 3 5 3" xfId="6516" xr:uid="{00000000-0005-0000-0000-00006A1D0000}"/>
    <cellStyle name="Normal 8 3 2 3 5 3 2" xfId="24246" xr:uid="{71692DC9-A016-47D4-8258-3EFFDEE66B6A}"/>
    <cellStyle name="Normal 8 3 2 3 5 3 3" xfId="14966" xr:uid="{0D02B88E-9F44-4C50-9071-DB1CDB20D316}"/>
    <cellStyle name="Normal 8 3 2 3 5 4" xfId="20029" xr:uid="{9B009F23-B318-4125-B200-EADEAFD3FB43}"/>
    <cellStyle name="Normal 8 3 2 3 5 5" xfId="10748" xr:uid="{CA037B9E-CB6B-4690-833B-DC17027D44D5}"/>
    <cellStyle name="Normal 8 3 2 3 6" xfId="2646" xr:uid="{00000000-0005-0000-0000-00006B1D0000}"/>
    <cellStyle name="Normal 8 3 2 3 6 2" xfId="6929" xr:uid="{00000000-0005-0000-0000-00006C1D0000}"/>
    <cellStyle name="Normal 8 3 2 3 6 2 2" xfId="24659" xr:uid="{630CE83E-4ECB-4587-8101-1203CDE4FA77}"/>
    <cellStyle name="Normal 8 3 2 3 6 2 3" xfId="15379" xr:uid="{E0EC82B1-76FA-4060-8E8C-0533709813F2}"/>
    <cellStyle name="Normal 8 3 2 3 6 3" xfId="20442" xr:uid="{EB71978E-EFDF-4A1F-814C-BE8D635CAEB8}"/>
    <cellStyle name="Normal 8 3 2 3 6 4" xfId="11161" xr:uid="{0BC8B5EF-FD53-45C5-925F-6E4CC6873295}"/>
    <cellStyle name="Normal 8 3 2 3 7" xfId="4864" xr:uid="{00000000-0005-0000-0000-00006D1D0000}"/>
    <cellStyle name="Normal 8 3 2 3 7 2" xfId="22594" xr:uid="{F8D0604E-7D50-4AD1-B046-8A926D0F28F6}"/>
    <cellStyle name="Normal 8 3 2 3 7 3" xfId="13314" xr:uid="{16760900-CFCC-4C51-8EA5-81FD5314DA0A}"/>
    <cellStyle name="Normal 8 3 2 3 8" xfId="18377" xr:uid="{D3D5B914-E0EB-4A44-A446-813F419D0480}"/>
    <cellStyle name="Normal 8 3 2 3 9" xfId="17543" xr:uid="{57A171ED-E8E1-4AA2-867E-4ADE94B431F4}"/>
    <cellStyle name="Normal 8 3 2 4" xfId="963" xr:uid="{00000000-0005-0000-0000-00006E1D0000}"/>
    <cellStyle name="Normal 8 3 2 4 2" xfId="3197" xr:uid="{00000000-0005-0000-0000-00006F1D0000}"/>
    <cellStyle name="Normal 8 3 2 4 2 2" xfId="7419" xr:uid="{00000000-0005-0000-0000-0000701D0000}"/>
    <cellStyle name="Normal 8 3 2 4 2 2 2" xfId="25149" xr:uid="{EECB7EA7-C972-4360-B47D-3969672EF9E6}"/>
    <cellStyle name="Normal 8 3 2 4 2 2 3" xfId="15869" xr:uid="{4758915D-5E40-439C-81CF-1B8B91DC0B7F}"/>
    <cellStyle name="Normal 8 3 2 4 2 3" xfId="20932" xr:uid="{20628986-F05B-4866-AE2E-30B93C6012D7}"/>
    <cellStyle name="Normal 8 3 2 4 2 4" xfId="11651" xr:uid="{66810312-F87B-42FD-8BFC-323A8C570AD9}"/>
    <cellStyle name="Normal 8 3 2 4 3" xfId="5274" xr:uid="{00000000-0005-0000-0000-0000711D0000}"/>
    <cellStyle name="Normal 8 3 2 4 3 2" xfId="23004" xr:uid="{7E5317F6-4534-4314-9150-F3440F2FE928}"/>
    <cellStyle name="Normal 8 3 2 4 3 3" xfId="13724" xr:uid="{3FAB77DF-7A98-4AA6-872F-B2300A18A5DE}"/>
    <cellStyle name="Normal 8 3 2 4 4" xfId="18787" xr:uid="{30FF3AD4-64C9-4F20-AE94-0AE54DF6BC3A}"/>
    <cellStyle name="Normal 8 3 2 4 5" xfId="17959" xr:uid="{A175A203-6B34-4CA6-9BE1-DEDF6330F796}"/>
    <cellStyle name="Normal 8 3 2 4 6" xfId="9506" xr:uid="{7721F86D-57EE-4864-9919-4A73571646F3}"/>
    <cellStyle name="Normal 8 3 2 5" xfId="1380" xr:uid="{00000000-0005-0000-0000-0000721D0000}"/>
    <cellStyle name="Normal 8 3 2 5 2" xfId="3610" xr:uid="{00000000-0005-0000-0000-0000731D0000}"/>
    <cellStyle name="Normal 8 3 2 5 2 2" xfId="7832" xr:uid="{00000000-0005-0000-0000-0000741D0000}"/>
    <cellStyle name="Normal 8 3 2 5 2 2 2" xfId="25562" xr:uid="{6FA462B6-5E77-4297-8797-4FC3C686BC3E}"/>
    <cellStyle name="Normal 8 3 2 5 2 2 3" xfId="16282" xr:uid="{711C5CE3-8617-443C-8A9D-FA0D570AD363}"/>
    <cellStyle name="Normal 8 3 2 5 2 3" xfId="21345" xr:uid="{CFD4F1F1-4942-4416-87CD-201B9D22B203}"/>
    <cellStyle name="Normal 8 3 2 5 2 4" xfId="12064" xr:uid="{47068027-60A2-416A-837C-92103D7814AC}"/>
    <cellStyle name="Normal 8 3 2 5 3" xfId="5687" xr:uid="{00000000-0005-0000-0000-0000751D0000}"/>
    <cellStyle name="Normal 8 3 2 5 3 2" xfId="23417" xr:uid="{7061E7E5-99A2-47B3-8BBB-CDE3E48FC527}"/>
    <cellStyle name="Normal 8 3 2 5 3 3" xfId="14137" xr:uid="{4548DEF1-CF28-4B85-8610-315E6D58D42B}"/>
    <cellStyle name="Normal 8 3 2 5 4" xfId="19200" xr:uid="{817F88CE-2010-499B-878E-FB2CBE1D9309}"/>
    <cellStyle name="Normal 8 3 2 5 5" xfId="9919" xr:uid="{EBFA158D-523F-4D18-A59A-ED01E17818F5}"/>
    <cellStyle name="Normal 8 3 2 6" xfId="1793" xr:uid="{00000000-0005-0000-0000-0000761D0000}"/>
    <cellStyle name="Normal 8 3 2 6 2" xfId="4023" xr:uid="{00000000-0005-0000-0000-0000771D0000}"/>
    <cellStyle name="Normal 8 3 2 6 2 2" xfId="8245" xr:uid="{00000000-0005-0000-0000-0000781D0000}"/>
    <cellStyle name="Normal 8 3 2 6 2 2 2" xfId="25975" xr:uid="{FBB10EFE-07E5-42FA-AED1-F3EF3CAB1C06}"/>
    <cellStyle name="Normal 8 3 2 6 2 2 3" xfId="16695" xr:uid="{1765523E-A2BC-4A49-8F45-1ED6E364AF7A}"/>
    <cellStyle name="Normal 8 3 2 6 2 3" xfId="21758" xr:uid="{382DAEC8-13F5-42D3-ACD1-9859AAFD068A}"/>
    <cellStyle name="Normal 8 3 2 6 2 4" xfId="12477" xr:uid="{322D1BD6-18D9-4779-9C90-FE370DE0E067}"/>
    <cellStyle name="Normal 8 3 2 6 3" xfId="6100" xr:uid="{00000000-0005-0000-0000-0000791D0000}"/>
    <cellStyle name="Normal 8 3 2 6 3 2" xfId="23830" xr:uid="{ECD63313-D4B5-4CBE-85DE-EC0F710EE721}"/>
    <cellStyle name="Normal 8 3 2 6 3 3" xfId="14550" xr:uid="{5D516D54-5448-43D8-99A5-F0B5431C7B73}"/>
    <cellStyle name="Normal 8 3 2 6 4" xfId="19613" xr:uid="{7B7C9EED-7A1B-4E83-913E-C16304074342}"/>
    <cellStyle name="Normal 8 3 2 6 5" xfId="10332" xr:uid="{FC5409E0-E7CB-41BF-B404-B05DE045B9A3}"/>
    <cellStyle name="Normal 8 3 2 7" xfId="2207" xr:uid="{00000000-0005-0000-0000-00007A1D0000}"/>
    <cellStyle name="Normal 8 3 2 7 2" xfId="4436" xr:uid="{00000000-0005-0000-0000-00007B1D0000}"/>
    <cellStyle name="Normal 8 3 2 7 2 2" xfId="8658" xr:uid="{00000000-0005-0000-0000-00007C1D0000}"/>
    <cellStyle name="Normal 8 3 2 7 2 2 2" xfId="26388" xr:uid="{F840B391-1F4E-4B8B-83A6-D4B16B99087B}"/>
    <cellStyle name="Normal 8 3 2 7 2 2 3" xfId="17108" xr:uid="{42CD37B3-8361-4986-AF70-072850811054}"/>
    <cellStyle name="Normal 8 3 2 7 2 3" xfId="22171" xr:uid="{6FAA610E-634D-4E85-8015-6011BB784864}"/>
    <cellStyle name="Normal 8 3 2 7 2 4" xfId="12890" xr:uid="{A8DF0683-F9C2-47EA-97AE-3612858F12B7}"/>
    <cellStyle name="Normal 8 3 2 7 3" xfId="6513" xr:uid="{00000000-0005-0000-0000-00007D1D0000}"/>
    <cellStyle name="Normal 8 3 2 7 3 2" xfId="24243" xr:uid="{BCE6709D-A0EE-4E49-9E47-00A53C4DCF01}"/>
    <cellStyle name="Normal 8 3 2 7 3 3" xfId="14963" xr:uid="{AB3BC61B-9D75-4E52-BBF7-547F12E74382}"/>
    <cellStyle name="Normal 8 3 2 7 4" xfId="20026" xr:uid="{07F2B866-790D-433E-BFEF-85EBD1CCB786}"/>
    <cellStyle name="Normal 8 3 2 7 5" xfId="10745" xr:uid="{C6E4D6B2-9A4B-4D06-9B8E-33DCB816AAED}"/>
    <cellStyle name="Normal 8 3 2 8" xfId="2643" xr:uid="{00000000-0005-0000-0000-00007E1D0000}"/>
    <cellStyle name="Normal 8 3 2 8 2" xfId="6926" xr:uid="{00000000-0005-0000-0000-00007F1D0000}"/>
    <cellStyle name="Normal 8 3 2 8 2 2" xfId="24656" xr:uid="{EBAECAB0-0F03-4F06-9CE3-B0A37E6CBBBD}"/>
    <cellStyle name="Normal 8 3 2 8 2 3" xfId="15376" xr:uid="{38239C93-7CCE-4893-B7E9-098A23B33CA2}"/>
    <cellStyle name="Normal 8 3 2 8 3" xfId="20439" xr:uid="{E3B921A1-3C01-450D-9A50-A5F20B1AE445}"/>
    <cellStyle name="Normal 8 3 2 8 4" xfId="11158" xr:uid="{AAD44ED3-AF29-4C08-87D2-F25C7CB4519F}"/>
    <cellStyle name="Normal 8 3 2 9" xfId="4861" xr:uid="{00000000-0005-0000-0000-0000801D0000}"/>
    <cellStyle name="Normal 8 3 2 9 2" xfId="22591" xr:uid="{DB5ACE48-F2C6-4098-AC88-46B498ECC898}"/>
    <cellStyle name="Normal 8 3 2 9 3" xfId="13311" xr:uid="{F765A9F8-5491-4060-BC57-91803BA3E0B5}"/>
    <cellStyle name="Normal 8 3 3" xfId="500" xr:uid="{00000000-0005-0000-0000-0000811D0000}"/>
    <cellStyle name="Normal 8 3 3 10" xfId="17544" xr:uid="{DDDF92F5-5981-4985-A87E-3590FBF28598}"/>
    <cellStyle name="Normal 8 3 3 11" xfId="9097" xr:uid="{785BC42A-4430-46C8-B893-F11D2D2A6128}"/>
    <cellStyle name="Normal 8 3 3 2" xfId="501" xr:uid="{00000000-0005-0000-0000-0000821D0000}"/>
    <cellStyle name="Normal 8 3 3 2 10" xfId="9098" xr:uid="{E2C26E33-F2DC-47EE-B754-DC8E51B779FB}"/>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25154" xr:uid="{7198887E-0A59-4661-8A80-6832B0D6A152}"/>
    <cellStyle name="Normal 8 3 3 2 2 2 2 3" xfId="15874" xr:uid="{1A393854-2975-4BF4-B043-DBC5782B0A66}"/>
    <cellStyle name="Normal 8 3 3 2 2 2 3" xfId="20937" xr:uid="{64BE31C8-4055-48A2-A7FB-3CD3E6668F9D}"/>
    <cellStyle name="Normal 8 3 3 2 2 2 4" xfId="11656" xr:uid="{D38D0458-7CEA-4E4F-8104-CA11C4C04A13}"/>
    <cellStyle name="Normal 8 3 3 2 2 3" xfId="5279" xr:uid="{00000000-0005-0000-0000-0000861D0000}"/>
    <cellStyle name="Normal 8 3 3 2 2 3 2" xfId="23009" xr:uid="{42E25024-C85D-4847-99C6-748257734BE0}"/>
    <cellStyle name="Normal 8 3 3 2 2 3 3" xfId="13729" xr:uid="{4609E94D-5F43-4A9B-93E9-BB6FD0693333}"/>
    <cellStyle name="Normal 8 3 3 2 2 4" xfId="18792" xr:uid="{B4C98C31-7AB9-4CED-8621-6EC51D0D47B2}"/>
    <cellStyle name="Normal 8 3 3 2 2 5" xfId="17964" xr:uid="{81EC2C8D-7ED0-4164-9FD7-42068C39EF59}"/>
    <cellStyle name="Normal 8 3 3 2 2 6" xfId="9511" xr:uid="{700D9692-F050-44B6-82BD-EC9F1FB0347F}"/>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25567" xr:uid="{340E78B6-F119-420A-B775-D3C02E00AB6A}"/>
    <cellStyle name="Normal 8 3 3 2 3 2 2 3" xfId="16287" xr:uid="{8901E278-F6F5-4DE8-B53C-2B8D6240CEF9}"/>
    <cellStyle name="Normal 8 3 3 2 3 2 3" xfId="21350" xr:uid="{98CAC02F-B8BA-4B1F-A561-5CCE3A3B5EE6}"/>
    <cellStyle name="Normal 8 3 3 2 3 2 4" xfId="12069" xr:uid="{4F69A746-5833-4A3B-916A-9D26C75BEFA5}"/>
    <cellStyle name="Normal 8 3 3 2 3 3" xfId="5692" xr:uid="{00000000-0005-0000-0000-00008A1D0000}"/>
    <cellStyle name="Normal 8 3 3 2 3 3 2" xfId="23422" xr:uid="{5CA8ED34-E031-4A09-BA4A-5C842B226176}"/>
    <cellStyle name="Normal 8 3 3 2 3 3 3" xfId="14142" xr:uid="{66C27921-1D3F-4B1C-80E6-9EEF3E7A6029}"/>
    <cellStyle name="Normal 8 3 3 2 3 4" xfId="19205" xr:uid="{F32F08FC-A4A0-477F-AF8F-10565E1E0BA8}"/>
    <cellStyle name="Normal 8 3 3 2 3 5" xfId="9924" xr:uid="{649BA249-FEA8-4280-BC58-4443F6B3D915}"/>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25980" xr:uid="{FC5540BB-186D-4A23-90D8-B0A33621C535}"/>
    <cellStyle name="Normal 8 3 3 2 4 2 2 3" xfId="16700" xr:uid="{595A12A8-0ABE-463B-A853-DA3DB6DE0A71}"/>
    <cellStyle name="Normal 8 3 3 2 4 2 3" xfId="21763" xr:uid="{2FA95F5A-1B9B-43C4-8568-24E51CD1DACD}"/>
    <cellStyle name="Normal 8 3 3 2 4 2 4" xfId="12482" xr:uid="{D46DA706-5371-4D14-885D-F8FF41847106}"/>
    <cellStyle name="Normal 8 3 3 2 4 3" xfId="6105" xr:uid="{00000000-0005-0000-0000-00008E1D0000}"/>
    <cellStyle name="Normal 8 3 3 2 4 3 2" xfId="23835" xr:uid="{1A3942CF-7747-4E09-8B8B-3B4D2E1D4EF8}"/>
    <cellStyle name="Normal 8 3 3 2 4 3 3" xfId="14555" xr:uid="{07860903-FFA2-4D58-8E61-C885F1EDC8B2}"/>
    <cellStyle name="Normal 8 3 3 2 4 4" xfId="19618" xr:uid="{BEE81EDB-5D8F-4832-9322-BFEC61CB6CB0}"/>
    <cellStyle name="Normal 8 3 3 2 4 5" xfId="10337" xr:uid="{C0E4C4DA-34C3-4733-B300-27F525D93E44}"/>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26393" xr:uid="{2B352DA2-F692-4850-851C-9580329544AB}"/>
    <cellStyle name="Normal 8 3 3 2 5 2 2 3" xfId="17113" xr:uid="{4AB44D4C-20F3-4F7B-856C-D0B6810E2204}"/>
    <cellStyle name="Normal 8 3 3 2 5 2 3" xfId="22176" xr:uid="{04AC7CFB-EF43-4734-B9F9-CE23B4D2A64F}"/>
    <cellStyle name="Normal 8 3 3 2 5 2 4" xfId="12895" xr:uid="{8DFA55C4-C415-4837-805F-78C788731BCA}"/>
    <cellStyle name="Normal 8 3 3 2 5 3" xfId="6518" xr:uid="{00000000-0005-0000-0000-0000921D0000}"/>
    <cellStyle name="Normal 8 3 3 2 5 3 2" xfId="24248" xr:uid="{6627387A-141C-47FB-B257-3CF8526AD329}"/>
    <cellStyle name="Normal 8 3 3 2 5 3 3" xfId="14968" xr:uid="{8E6674BD-E6F5-4442-A284-6DEB3B70264A}"/>
    <cellStyle name="Normal 8 3 3 2 5 4" xfId="20031" xr:uid="{010C68FF-6C86-405E-A271-343D0A975298}"/>
    <cellStyle name="Normal 8 3 3 2 5 5" xfId="10750" xr:uid="{4FD54678-4FB3-4CFF-93EA-F5410038B326}"/>
    <cellStyle name="Normal 8 3 3 2 6" xfId="2648" xr:uid="{00000000-0005-0000-0000-0000931D0000}"/>
    <cellStyle name="Normal 8 3 3 2 6 2" xfId="6931" xr:uid="{00000000-0005-0000-0000-0000941D0000}"/>
    <cellStyle name="Normal 8 3 3 2 6 2 2" xfId="24661" xr:uid="{8BEA767D-3B13-40EC-A25B-D594FF5887E6}"/>
    <cellStyle name="Normal 8 3 3 2 6 2 3" xfId="15381" xr:uid="{7C3BC424-A184-41E8-9424-6BDCBC8C68D8}"/>
    <cellStyle name="Normal 8 3 3 2 6 3" xfId="20444" xr:uid="{FFDDE370-36D1-4E9E-8A23-4D401A6669FC}"/>
    <cellStyle name="Normal 8 3 3 2 6 4" xfId="11163" xr:uid="{F8C56374-5BF0-4F7C-8D20-9A42E293F129}"/>
    <cellStyle name="Normal 8 3 3 2 7" xfId="4866" xr:uid="{00000000-0005-0000-0000-0000951D0000}"/>
    <cellStyle name="Normal 8 3 3 2 7 2" xfId="22596" xr:uid="{8B0B0071-922D-42AD-AC53-7571E0B0EFE0}"/>
    <cellStyle name="Normal 8 3 3 2 7 3" xfId="13316" xr:uid="{AE346E45-B2DC-466A-A6D7-0ACD443E98D7}"/>
    <cellStyle name="Normal 8 3 3 2 8" xfId="18379" xr:uid="{D1CA2EF4-4000-4D25-99AD-731F36E11765}"/>
    <cellStyle name="Normal 8 3 3 2 9" xfId="17545" xr:uid="{8BA022AC-7D7C-4D46-81D6-6521A30B5066}"/>
    <cellStyle name="Normal 8 3 3 3" xfId="967" xr:uid="{00000000-0005-0000-0000-0000961D0000}"/>
    <cellStyle name="Normal 8 3 3 3 2" xfId="3201" xr:uid="{00000000-0005-0000-0000-0000971D0000}"/>
    <cellStyle name="Normal 8 3 3 3 2 2" xfId="7423" xr:uid="{00000000-0005-0000-0000-0000981D0000}"/>
    <cellStyle name="Normal 8 3 3 3 2 2 2" xfId="25153" xr:uid="{43D5AE3D-C946-41AB-A72B-C6B23B905954}"/>
    <cellStyle name="Normal 8 3 3 3 2 2 3" xfId="15873" xr:uid="{1BB969AC-A7A5-4CCD-9344-8F69D54C3951}"/>
    <cellStyle name="Normal 8 3 3 3 2 3" xfId="20936" xr:uid="{832F9E55-DE85-4D9D-96A3-C34C0223B5D3}"/>
    <cellStyle name="Normal 8 3 3 3 2 4" xfId="11655" xr:uid="{6AD3C4D4-C511-4C9F-AF2F-54D42458FF14}"/>
    <cellStyle name="Normal 8 3 3 3 3" xfId="5278" xr:uid="{00000000-0005-0000-0000-0000991D0000}"/>
    <cellStyle name="Normal 8 3 3 3 3 2" xfId="23008" xr:uid="{D771A2A0-0D9B-4C8D-A5C1-11883332AB2D}"/>
    <cellStyle name="Normal 8 3 3 3 3 3" xfId="13728" xr:uid="{58D6918B-CF6D-4DCD-9CD6-799BF0723853}"/>
    <cellStyle name="Normal 8 3 3 3 4" xfId="18791" xr:uid="{57C0585C-C575-4752-95DD-8B10D11DD5F2}"/>
    <cellStyle name="Normal 8 3 3 3 5" xfId="17963" xr:uid="{A983D504-E7A9-460E-8F29-F695C75BC6B0}"/>
    <cellStyle name="Normal 8 3 3 3 6" xfId="9510" xr:uid="{9742CAEF-3FAC-4F8E-9A51-21EDD28476B5}"/>
    <cellStyle name="Normal 8 3 3 4" xfId="1384" xr:uid="{00000000-0005-0000-0000-00009A1D0000}"/>
    <cellStyle name="Normal 8 3 3 4 2" xfId="3614" xr:uid="{00000000-0005-0000-0000-00009B1D0000}"/>
    <cellStyle name="Normal 8 3 3 4 2 2" xfId="7836" xr:uid="{00000000-0005-0000-0000-00009C1D0000}"/>
    <cellStyle name="Normal 8 3 3 4 2 2 2" xfId="25566" xr:uid="{6CA214F3-DAC7-488F-9FD1-6491A104E1C4}"/>
    <cellStyle name="Normal 8 3 3 4 2 2 3" xfId="16286" xr:uid="{AD9081AD-A20A-4017-A47C-9D76B4E6C942}"/>
    <cellStyle name="Normal 8 3 3 4 2 3" xfId="21349" xr:uid="{4135A572-93D2-4F99-9BD9-E16A52E7AF9A}"/>
    <cellStyle name="Normal 8 3 3 4 2 4" xfId="12068" xr:uid="{3036704C-BDE7-4996-B651-FB15B658F359}"/>
    <cellStyle name="Normal 8 3 3 4 3" xfId="5691" xr:uid="{00000000-0005-0000-0000-00009D1D0000}"/>
    <cellStyle name="Normal 8 3 3 4 3 2" xfId="23421" xr:uid="{E8CC1BD4-7B9D-4A35-8157-AF8061034AB4}"/>
    <cellStyle name="Normal 8 3 3 4 3 3" xfId="14141" xr:uid="{AC72DE94-F364-49AA-B5C4-5A7DA7946A8E}"/>
    <cellStyle name="Normal 8 3 3 4 4" xfId="19204" xr:uid="{2ADBA7C5-AC70-48C9-B9A5-6E5C8C8AB3AF}"/>
    <cellStyle name="Normal 8 3 3 4 5" xfId="9923" xr:uid="{7997E87A-B916-4786-8D80-517727B348F5}"/>
    <cellStyle name="Normal 8 3 3 5" xfId="1797" xr:uid="{00000000-0005-0000-0000-00009E1D0000}"/>
    <cellStyle name="Normal 8 3 3 5 2" xfId="4027" xr:uid="{00000000-0005-0000-0000-00009F1D0000}"/>
    <cellStyle name="Normal 8 3 3 5 2 2" xfId="8249" xr:uid="{00000000-0005-0000-0000-0000A01D0000}"/>
    <cellStyle name="Normal 8 3 3 5 2 2 2" xfId="25979" xr:uid="{B4B529B6-6D69-4E4D-A94F-E7084DF01198}"/>
    <cellStyle name="Normal 8 3 3 5 2 2 3" xfId="16699" xr:uid="{079AD647-0AAA-4662-A365-20D18B0D52EB}"/>
    <cellStyle name="Normal 8 3 3 5 2 3" xfId="21762" xr:uid="{998A0E02-C80E-4B85-9BFF-F71C8415A9B9}"/>
    <cellStyle name="Normal 8 3 3 5 2 4" xfId="12481" xr:uid="{A9E305AE-88BA-4459-9BC9-197591A3CEDA}"/>
    <cellStyle name="Normal 8 3 3 5 3" xfId="6104" xr:uid="{00000000-0005-0000-0000-0000A11D0000}"/>
    <cellStyle name="Normal 8 3 3 5 3 2" xfId="23834" xr:uid="{D81FA9A7-C5C2-40FE-97C1-F3E21E334612}"/>
    <cellStyle name="Normal 8 3 3 5 3 3" xfId="14554" xr:uid="{5191CCF9-7A14-4581-A388-0B1016AAD98B}"/>
    <cellStyle name="Normal 8 3 3 5 4" xfId="19617" xr:uid="{EF26996B-7732-42DC-B9BA-CF6562A149A3}"/>
    <cellStyle name="Normal 8 3 3 5 5" xfId="10336" xr:uid="{4FF7E0C5-8FFD-41EF-A3DC-041816363DB1}"/>
    <cellStyle name="Normal 8 3 3 6" xfId="2211" xr:uid="{00000000-0005-0000-0000-0000A21D0000}"/>
    <cellStyle name="Normal 8 3 3 6 2" xfId="4440" xr:uid="{00000000-0005-0000-0000-0000A31D0000}"/>
    <cellStyle name="Normal 8 3 3 6 2 2" xfId="8662" xr:uid="{00000000-0005-0000-0000-0000A41D0000}"/>
    <cellStyle name="Normal 8 3 3 6 2 2 2" xfId="26392" xr:uid="{2288C5D4-B00A-46F4-BE69-148F8804B262}"/>
    <cellStyle name="Normal 8 3 3 6 2 2 3" xfId="17112" xr:uid="{01C49089-6AA9-43C8-8B49-19E7F73B2B6E}"/>
    <cellStyle name="Normal 8 3 3 6 2 3" xfId="22175" xr:uid="{1F20B4AF-BB2C-45C4-B669-A4522E01C5FF}"/>
    <cellStyle name="Normal 8 3 3 6 2 4" xfId="12894" xr:uid="{FCAB3FB9-36B7-4E14-BEE7-D038711AF1A2}"/>
    <cellStyle name="Normal 8 3 3 6 3" xfId="6517" xr:uid="{00000000-0005-0000-0000-0000A51D0000}"/>
    <cellStyle name="Normal 8 3 3 6 3 2" xfId="24247" xr:uid="{6C687B0C-0937-4E7F-BCE0-35E4BB08A39F}"/>
    <cellStyle name="Normal 8 3 3 6 3 3" xfId="14967" xr:uid="{60671A42-1C1F-4BF3-B869-C10A0F6F2346}"/>
    <cellStyle name="Normal 8 3 3 6 4" xfId="20030" xr:uid="{BE419FFF-F19D-455F-A2BB-DE4905E01520}"/>
    <cellStyle name="Normal 8 3 3 6 5" xfId="10749" xr:uid="{5CA4C2BC-9B6F-4EE8-98C1-7E952B4884A4}"/>
    <cellStyle name="Normal 8 3 3 7" xfId="2647" xr:uid="{00000000-0005-0000-0000-0000A61D0000}"/>
    <cellStyle name="Normal 8 3 3 7 2" xfId="6930" xr:uid="{00000000-0005-0000-0000-0000A71D0000}"/>
    <cellStyle name="Normal 8 3 3 7 2 2" xfId="24660" xr:uid="{E69E1BB5-2747-44C4-8234-2128DBF980F5}"/>
    <cellStyle name="Normal 8 3 3 7 2 3" xfId="15380" xr:uid="{F3457A9C-091E-4B5A-B670-605CBA0FF1A7}"/>
    <cellStyle name="Normal 8 3 3 7 3" xfId="20443" xr:uid="{C10889A4-5EBF-4BAE-A80E-F6E5DDCCD33F}"/>
    <cellStyle name="Normal 8 3 3 7 4" xfId="11162" xr:uid="{1F14AB48-6B37-4101-AFDB-86F8EFAE7509}"/>
    <cellStyle name="Normal 8 3 3 8" xfId="4865" xr:uid="{00000000-0005-0000-0000-0000A81D0000}"/>
    <cellStyle name="Normal 8 3 3 8 2" xfId="22595" xr:uid="{A6D76092-47C5-4B46-B6A3-E585074DC493}"/>
    <cellStyle name="Normal 8 3 3 8 3" xfId="13315" xr:uid="{92F28955-D362-41E7-8529-7C053825146B}"/>
    <cellStyle name="Normal 8 3 3 9" xfId="18378" xr:uid="{81CBEDC9-19E4-4FF1-95F7-77315DB0A203}"/>
    <cellStyle name="Normal 8 3 4" xfId="502" xr:uid="{00000000-0005-0000-0000-0000A91D0000}"/>
    <cellStyle name="Normal 8 3 4 10" xfId="9099" xr:uid="{A9EF322E-72C1-4A40-BC5E-525FFF95A372}"/>
    <cellStyle name="Normal 8 3 4 2" xfId="969" xr:uid="{00000000-0005-0000-0000-0000AA1D0000}"/>
    <cellStyle name="Normal 8 3 4 2 2" xfId="3203" xr:uid="{00000000-0005-0000-0000-0000AB1D0000}"/>
    <cellStyle name="Normal 8 3 4 2 2 2" xfId="7425" xr:uid="{00000000-0005-0000-0000-0000AC1D0000}"/>
    <cellStyle name="Normal 8 3 4 2 2 2 2" xfId="25155" xr:uid="{92AC5A8F-18AD-4CB8-8980-9EAF0AD2C149}"/>
    <cellStyle name="Normal 8 3 4 2 2 2 3" xfId="15875" xr:uid="{27B10487-B4FB-477F-B622-760C5BE9BD25}"/>
    <cellStyle name="Normal 8 3 4 2 2 3" xfId="20938" xr:uid="{2DA0E789-F7EC-44C9-886E-4871CBDFE791}"/>
    <cellStyle name="Normal 8 3 4 2 2 4" xfId="11657" xr:uid="{805A0E85-E297-44DD-8D59-78B963D71BB3}"/>
    <cellStyle name="Normal 8 3 4 2 3" xfId="5280" xr:uid="{00000000-0005-0000-0000-0000AD1D0000}"/>
    <cellStyle name="Normal 8 3 4 2 3 2" xfId="23010" xr:uid="{AF9F66C5-61ED-4D78-AA74-ED3830EB6851}"/>
    <cellStyle name="Normal 8 3 4 2 3 3" xfId="13730" xr:uid="{92116E3B-3AD5-4354-B406-2803CDCC53C2}"/>
    <cellStyle name="Normal 8 3 4 2 4" xfId="18793" xr:uid="{B99CF48D-1D21-4D9D-8D33-47BED1B9C80C}"/>
    <cellStyle name="Normal 8 3 4 2 5" xfId="17965" xr:uid="{A1E9690A-A459-4B4E-A52F-5E5FD6E80DEB}"/>
    <cellStyle name="Normal 8 3 4 2 6" xfId="9512" xr:uid="{52F22A08-715E-4C36-BDBC-BE3A34C0B10D}"/>
    <cellStyle name="Normal 8 3 4 3" xfId="1386" xr:uid="{00000000-0005-0000-0000-0000AE1D0000}"/>
    <cellStyle name="Normal 8 3 4 3 2" xfId="3616" xr:uid="{00000000-0005-0000-0000-0000AF1D0000}"/>
    <cellStyle name="Normal 8 3 4 3 2 2" xfId="7838" xr:uid="{00000000-0005-0000-0000-0000B01D0000}"/>
    <cellStyle name="Normal 8 3 4 3 2 2 2" xfId="25568" xr:uid="{643CFC57-4D65-4F43-B56D-E5D589BF98D0}"/>
    <cellStyle name="Normal 8 3 4 3 2 2 3" xfId="16288" xr:uid="{311D19AF-2D49-4663-A429-1F8EA7091E87}"/>
    <cellStyle name="Normal 8 3 4 3 2 3" xfId="21351" xr:uid="{82BC0822-2E33-4207-8A06-714DAA8CF141}"/>
    <cellStyle name="Normal 8 3 4 3 2 4" xfId="12070" xr:uid="{4BD1DC85-7CCA-4F81-A8B0-F39834FCAB62}"/>
    <cellStyle name="Normal 8 3 4 3 3" xfId="5693" xr:uid="{00000000-0005-0000-0000-0000B11D0000}"/>
    <cellStyle name="Normal 8 3 4 3 3 2" xfId="23423" xr:uid="{20A1A5FA-C403-4622-B58F-16A7BA8FB012}"/>
    <cellStyle name="Normal 8 3 4 3 3 3" xfId="14143" xr:uid="{4DFC0097-990F-4FD3-BE62-4A0032BB28E0}"/>
    <cellStyle name="Normal 8 3 4 3 4" xfId="19206" xr:uid="{96537433-8DAA-4936-A317-AF5CD62A8CAE}"/>
    <cellStyle name="Normal 8 3 4 3 5" xfId="9925" xr:uid="{EAF9A7A0-8654-4DF0-AC9E-FFA2640566B8}"/>
    <cellStyle name="Normal 8 3 4 4" xfId="1799" xr:uid="{00000000-0005-0000-0000-0000B21D0000}"/>
    <cellStyle name="Normal 8 3 4 4 2" xfId="4029" xr:uid="{00000000-0005-0000-0000-0000B31D0000}"/>
    <cellStyle name="Normal 8 3 4 4 2 2" xfId="8251" xr:uid="{00000000-0005-0000-0000-0000B41D0000}"/>
    <cellStyle name="Normal 8 3 4 4 2 2 2" xfId="25981" xr:uid="{D0B90013-5EFD-4F1E-A75B-B0A15776F872}"/>
    <cellStyle name="Normal 8 3 4 4 2 2 3" xfId="16701" xr:uid="{8BF0F832-8DD4-4F66-849B-C4CD8654C019}"/>
    <cellStyle name="Normal 8 3 4 4 2 3" xfId="21764" xr:uid="{8C13D24F-2C96-403D-B221-97200319354E}"/>
    <cellStyle name="Normal 8 3 4 4 2 4" xfId="12483" xr:uid="{2317C6E6-607D-4792-805F-053892B7A691}"/>
    <cellStyle name="Normal 8 3 4 4 3" xfId="6106" xr:uid="{00000000-0005-0000-0000-0000B51D0000}"/>
    <cellStyle name="Normal 8 3 4 4 3 2" xfId="23836" xr:uid="{0C9B69EC-8CB8-42A3-9094-CAEEC4FDE0AB}"/>
    <cellStyle name="Normal 8 3 4 4 3 3" xfId="14556" xr:uid="{55BB3934-8653-4A9B-B8C9-BB88829C26F6}"/>
    <cellStyle name="Normal 8 3 4 4 4" xfId="19619" xr:uid="{C1BC2757-6BBE-4DFB-BE9D-69E4D6EDAC68}"/>
    <cellStyle name="Normal 8 3 4 4 5" xfId="10338" xr:uid="{0998B317-3D2D-4FA7-972C-379F718F180E}"/>
    <cellStyle name="Normal 8 3 4 5" xfId="2213" xr:uid="{00000000-0005-0000-0000-0000B61D0000}"/>
    <cellStyle name="Normal 8 3 4 5 2" xfId="4442" xr:uid="{00000000-0005-0000-0000-0000B71D0000}"/>
    <cellStyle name="Normal 8 3 4 5 2 2" xfId="8664" xr:uid="{00000000-0005-0000-0000-0000B81D0000}"/>
    <cellStyle name="Normal 8 3 4 5 2 2 2" xfId="26394" xr:uid="{3F9E537E-867C-405E-8211-2D2A992CCDFC}"/>
    <cellStyle name="Normal 8 3 4 5 2 2 3" xfId="17114" xr:uid="{9CF0B83C-44C1-4FB5-803D-FB2574D45444}"/>
    <cellStyle name="Normal 8 3 4 5 2 3" xfId="22177" xr:uid="{2AC5993D-7EEB-4307-B1B2-A515A22E2A02}"/>
    <cellStyle name="Normal 8 3 4 5 2 4" xfId="12896" xr:uid="{33C88FA2-C4ED-4067-9260-28BBEC586A0D}"/>
    <cellStyle name="Normal 8 3 4 5 3" xfId="6519" xr:uid="{00000000-0005-0000-0000-0000B91D0000}"/>
    <cellStyle name="Normal 8 3 4 5 3 2" xfId="24249" xr:uid="{9D8B50D5-CC38-4BB3-8784-6C279313AB5C}"/>
    <cellStyle name="Normal 8 3 4 5 3 3" xfId="14969" xr:uid="{E23F6334-28D7-4BAD-AE68-6213F23036A9}"/>
    <cellStyle name="Normal 8 3 4 5 4" xfId="20032" xr:uid="{5F5986EE-EDC4-4960-9F61-91AC2FC0AE90}"/>
    <cellStyle name="Normal 8 3 4 5 5" xfId="10751" xr:uid="{03B452C2-423C-4818-8356-9E4F7C99733F}"/>
    <cellStyle name="Normal 8 3 4 6" xfId="2649" xr:uid="{00000000-0005-0000-0000-0000BA1D0000}"/>
    <cellStyle name="Normal 8 3 4 6 2" xfId="6932" xr:uid="{00000000-0005-0000-0000-0000BB1D0000}"/>
    <cellStyle name="Normal 8 3 4 6 2 2" xfId="24662" xr:uid="{0F58B86A-95E4-4945-BDD3-DDB648355EE3}"/>
    <cellStyle name="Normal 8 3 4 6 2 3" xfId="15382" xr:uid="{49F5E2B8-8E9F-420F-A3EE-D3D70383AC88}"/>
    <cellStyle name="Normal 8 3 4 6 3" xfId="20445" xr:uid="{A4B43104-A105-48CE-BDF1-866F80A1E42C}"/>
    <cellStyle name="Normal 8 3 4 6 4" xfId="11164" xr:uid="{8970CDB5-8F8C-4C84-9925-729605D29296}"/>
    <cellStyle name="Normal 8 3 4 7" xfId="4867" xr:uid="{00000000-0005-0000-0000-0000BC1D0000}"/>
    <cellStyle name="Normal 8 3 4 7 2" xfId="22597" xr:uid="{847C59B5-9320-4D37-B83F-D54A782AEB43}"/>
    <cellStyle name="Normal 8 3 4 7 3" xfId="13317" xr:uid="{B26A2094-00B3-48E6-A6DC-6236C38CA6FE}"/>
    <cellStyle name="Normal 8 3 4 8" xfId="18380" xr:uid="{8AAEC091-7AEB-4D1E-A199-B6247D936F3C}"/>
    <cellStyle name="Normal 8 3 4 9" xfId="17546" xr:uid="{B473B999-8A6D-41B1-8EDE-22215816153D}"/>
    <cellStyle name="Normal 8 3 5" xfId="962" xr:uid="{00000000-0005-0000-0000-0000BD1D0000}"/>
    <cellStyle name="Normal 8 3 5 2" xfId="3196" xr:uid="{00000000-0005-0000-0000-0000BE1D0000}"/>
    <cellStyle name="Normal 8 3 5 2 2" xfId="7418" xr:uid="{00000000-0005-0000-0000-0000BF1D0000}"/>
    <cellStyle name="Normal 8 3 5 2 2 2" xfId="25148" xr:uid="{D229D554-4134-42CB-B0CB-E9B4D6F63EAC}"/>
    <cellStyle name="Normal 8 3 5 2 2 3" xfId="15868" xr:uid="{564852BD-507E-4B72-B515-1EB10E166EA0}"/>
    <cellStyle name="Normal 8 3 5 2 3" xfId="20931" xr:uid="{19063576-B6E0-40C5-AD7B-36CCDA7E27DB}"/>
    <cellStyle name="Normal 8 3 5 2 4" xfId="11650" xr:uid="{8A674DE4-890D-4638-8B65-FFFB1026DFA2}"/>
    <cellStyle name="Normal 8 3 5 3" xfId="5273" xr:uid="{00000000-0005-0000-0000-0000C01D0000}"/>
    <cellStyle name="Normal 8 3 5 3 2" xfId="23003" xr:uid="{39C6041B-E1FB-4B36-A15A-08A302818ABD}"/>
    <cellStyle name="Normal 8 3 5 3 3" xfId="13723" xr:uid="{12D03819-5656-4C3B-BC8D-0E7F6F0CA62C}"/>
    <cellStyle name="Normal 8 3 5 4" xfId="18786" xr:uid="{85903F27-2537-4127-81B5-E76484E24211}"/>
    <cellStyle name="Normal 8 3 5 5" xfId="17958" xr:uid="{45A9645F-8CD0-4775-A727-87AA6D166756}"/>
    <cellStyle name="Normal 8 3 5 6" xfId="9505" xr:uid="{965C9C8D-F8A5-4012-BCEE-5545CF525B34}"/>
    <cellStyle name="Normal 8 3 6" xfId="1379" xr:uid="{00000000-0005-0000-0000-0000C11D0000}"/>
    <cellStyle name="Normal 8 3 6 2" xfId="3609" xr:uid="{00000000-0005-0000-0000-0000C21D0000}"/>
    <cellStyle name="Normal 8 3 6 2 2" xfId="7831" xr:uid="{00000000-0005-0000-0000-0000C31D0000}"/>
    <cellStyle name="Normal 8 3 6 2 2 2" xfId="25561" xr:uid="{87DB48F4-D7B2-49A0-B872-1798FE54F571}"/>
    <cellStyle name="Normal 8 3 6 2 2 3" xfId="16281" xr:uid="{A4069871-DE7D-4B9C-BFD1-625FE4D0E4FB}"/>
    <cellStyle name="Normal 8 3 6 2 3" xfId="21344" xr:uid="{BAF0E1E5-6F7D-427C-9982-E508DE28534A}"/>
    <cellStyle name="Normal 8 3 6 2 4" xfId="12063" xr:uid="{85B71D42-E73A-43D1-BFA7-7DD1C2E846ED}"/>
    <cellStyle name="Normal 8 3 6 3" xfId="5686" xr:uid="{00000000-0005-0000-0000-0000C41D0000}"/>
    <cellStyle name="Normal 8 3 6 3 2" xfId="23416" xr:uid="{0FB8E77F-E25E-4B66-9F7D-9A751AFE443F}"/>
    <cellStyle name="Normal 8 3 6 3 3" xfId="14136" xr:uid="{9BABA541-AAC3-447C-BF52-DD6194423E08}"/>
    <cellStyle name="Normal 8 3 6 4" xfId="19199" xr:uid="{EF1EE9D7-1C0C-435C-903D-D9B8832A2897}"/>
    <cellStyle name="Normal 8 3 6 5" xfId="9918" xr:uid="{E4A7755E-4699-425E-A68E-4D3977A03043}"/>
    <cellStyle name="Normal 8 3 7" xfId="1792" xr:uid="{00000000-0005-0000-0000-0000C51D0000}"/>
    <cellStyle name="Normal 8 3 7 2" xfId="4022" xr:uid="{00000000-0005-0000-0000-0000C61D0000}"/>
    <cellStyle name="Normal 8 3 7 2 2" xfId="8244" xr:uid="{00000000-0005-0000-0000-0000C71D0000}"/>
    <cellStyle name="Normal 8 3 7 2 2 2" xfId="25974" xr:uid="{B7CA3429-D6CC-42C9-A7B3-0EA9C27B47E1}"/>
    <cellStyle name="Normal 8 3 7 2 2 3" xfId="16694" xr:uid="{9A1711AF-3771-46B9-B53F-DFB281CCCC74}"/>
    <cellStyle name="Normal 8 3 7 2 3" xfId="21757" xr:uid="{B2934F65-9728-4E6C-BD4E-C5713D01D876}"/>
    <cellStyle name="Normal 8 3 7 2 4" xfId="12476" xr:uid="{F33BA711-BE39-498B-92A2-AC6B8D9F8587}"/>
    <cellStyle name="Normal 8 3 7 3" xfId="6099" xr:uid="{00000000-0005-0000-0000-0000C81D0000}"/>
    <cellStyle name="Normal 8 3 7 3 2" xfId="23829" xr:uid="{BBE9453B-B3CA-424E-A6D7-26A2CC9AA717}"/>
    <cellStyle name="Normal 8 3 7 3 3" xfId="14549" xr:uid="{524B34A5-058E-4E63-BB7E-DC65459C51CD}"/>
    <cellStyle name="Normal 8 3 7 4" xfId="19612" xr:uid="{1BCE9C36-43DF-471B-98E1-F6C8D5002376}"/>
    <cellStyle name="Normal 8 3 7 5" xfId="10331" xr:uid="{16A736BD-1487-4D40-82BB-0DD52F4D3460}"/>
    <cellStyle name="Normal 8 3 8" xfId="2206" xr:uid="{00000000-0005-0000-0000-0000C91D0000}"/>
    <cellStyle name="Normal 8 3 8 2" xfId="4435" xr:uid="{00000000-0005-0000-0000-0000CA1D0000}"/>
    <cellStyle name="Normal 8 3 8 2 2" xfId="8657" xr:uid="{00000000-0005-0000-0000-0000CB1D0000}"/>
    <cellStyle name="Normal 8 3 8 2 2 2" xfId="26387" xr:uid="{1F8195AB-C15E-4A62-B3A4-8F7581047004}"/>
    <cellStyle name="Normal 8 3 8 2 2 3" xfId="17107" xr:uid="{9E71AA3A-AA58-40C1-9C0D-2A41A4CE4BCA}"/>
    <cellStyle name="Normal 8 3 8 2 3" xfId="22170" xr:uid="{437C834D-CA32-40D6-91C4-7E0691F044B9}"/>
    <cellStyle name="Normal 8 3 8 2 4" xfId="12889" xr:uid="{C224AED9-D518-45D1-AF80-E1B2A76F2382}"/>
    <cellStyle name="Normal 8 3 8 3" xfId="6512" xr:uid="{00000000-0005-0000-0000-0000CC1D0000}"/>
    <cellStyle name="Normal 8 3 8 3 2" xfId="24242" xr:uid="{7665A521-37D1-4F43-82B4-03F2E0236892}"/>
    <cellStyle name="Normal 8 3 8 3 3" xfId="14962" xr:uid="{48D2EE7C-3A32-4AA4-8F7B-AF5C53F89E41}"/>
    <cellStyle name="Normal 8 3 8 4" xfId="20025" xr:uid="{47F8194A-A1D4-4E60-A3EB-41E9DF41A624}"/>
    <cellStyle name="Normal 8 3 8 5" xfId="10744" xr:uid="{25D066A0-A663-49BA-A9A9-D0C06B6401FB}"/>
    <cellStyle name="Normal 8 3 9" xfId="2642" xr:uid="{00000000-0005-0000-0000-0000CD1D0000}"/>
    <cellStyle name="Normal 8 3 9 2" xfId="6925" xr:uid="{00000000-0005-0000-0000-0000CE1D0000}"/>
    <cellStyle name="Normal 8 3 9 2 2" xfId="24655" xr:uid="{E6CA265B-9A8C-44EB-8710-4BEAB16F3A61}"/>
    <cellStyle name="Normal 8 3 9 2 3" xfId="15375" xr:uid="{C01381A7-D34D-4E9D-9674-78A671B2A4FF}"/>
    <cellStyle name="Normal 8 3 9 3" xfId="20438" xr:uid="{8DF646BF-2E2E-4CBA-B917-6DC1762DD7A7}"/>
    <cellStyle name="Normal 8 3 9 4" xfId="11157" xr:uid="{043365FC-3B4A-4597-994C-D29383024742}"/>
    <cellStyle name="Normal 8 4" xfId="503" xr:uid="{00000000-0005-0000-0000-0000CF1D0000}"/>
    <cellStyle name="Normal 8 4 10" xfId="18381" xr:uid="{111F95F4-FAD8-4B14-9ACB-95D3723B26E8}"/>
    <cellStyle name="Normal 8 4 11" xfId="17547" xr:uid="{BD7369ED-0B17-4AE8-A4ED-E89E195D25BB}"/>
    <cellStyle name="Normal 8 4 12" xfId="9100" xr:uid="{34AB2582-0D21-4D3A-8213-31A46FA8E7C6}"/>
    <cellStyle name="Normal 8 4 2" xfId="504" xr:uid="{00000000-0005-0000-0000-0000D01D0000}"/>
    <cellStyle name="Normal 8 4 2 10" xfId="17548" xr:uid="{6E0DD1FE-0523-4408-836E-3623C08F724B}"/>
    <cellStyle name="Normal 8 4 2 11" xfId="9101" xr:uid="{2BFD98F5-33D1-4180-97F5-99F49B17630C}"/>
    <cellStyle name="Normal 8 4 2 2" xfId="505" xr:uid="{00000000-0005-0000-0000-0000D11D0000}"/>
    <cellStyle name="Normal 8 4 2 2 10" xfId="9102" xr:uid="{E1BC1EB8-7C02-4DD1-9E4C-C2AD55353CD6}"/>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25158" xr:uid="{ABDD944E-FDCB-4EE0-844B-BE2ECAF10007}"/>
    <cellStyle name="Normal 8 4 2 2 2 2 2 3" xfId="15878" xr:uid="{F2B79CDF-19F7-4873-AB11-9D7CBDD075B6}"/>
    <cellStyle name="Normal 8 4 2 2 2 2 3" xfId="20941" xr:uid="{A73F2A61-29F5-4A19-A979-A9E51A284065}"/>
    <cellStyle name="Normal 8 4 2 2 2 2 4" xfId="11660" xr:uid="{6C6D8CE2-12D1-4A0A-8388-035033CBD1B4}"/>
    <cellStyle name="Normal 8 4 2 2 2 3" xfId="5283" xr:uid="{00000000-0005-0000-0000-0000D51D0000}"/>
    <cellStyle name="Normal 8 4 2 2 2 3 2" xfId="23013" xr:uid="{92F0DF60-47B2-4D07-9D4E-C66B3CEDAA7C}"/>
    <cellStyle name="Normal 8 4 2 2 2 3 3" xfId="13733" xr:uid="{B1EDFCA4-5817-4A5B-888D-D851AF330DE5}"/>
    <cellStyle name="Normal 8 4 2 2 2 4" xfId="18796" xr:uid="{726374AE-6E39-4C3C-B008-2746808ACCD0}"/>
    <cellStyle name="Normal 8 4 2 2 2 5" xfId="17968" xr:uid="{CB1F3AA8-63B8-4DC7-945B-4F3E39B88CCD}"/>
    <cellStyle name="Normal 8 4 2 2 2 6" xfId="9515" xr:uid="{A32573B7-C153-4C1B-AD28-224DCA68ECFF}"/>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25571" xr:uid="{71D5CE6C-787C-4358-AF8F-2FB8971644DB}"/>
    <cellStyle name="Normal 8 4 2 2 3 2 2 3" xfId="16291" xr:uid="{5888B883-8DFE-4C31-A746-30D2645E2226}"/>
    <cellStyle name="Normal 8 4 2 2 3 2 3" xfId="21354" xr:uid="{5A4C76DB-6E2C-417B-91F8-3A86CE992B0B}"/>
    <cellStyle name="Normal 8 4 2 2 3 2 4" xfId="12073" xr:uid="{676BF508-9692-4559-851A-9F7ADCC7017F}"/>
    <cellStyle name="Normal 8 4 2 2 3 3" xfId="5696" xr:uid="{00000000-0005-0000-0000-0000D91D0000}"/>
    <cellStyle name="Normal 8 4 2 2 3 3 2" xfId="23426" xr:uid="{DA78D2C6-0A68-44EE-A2E1-6B37D6D3748F}"/>
    <cellStyle name="Normal 8 4 2 2 3 3 3" xfId="14146" xr:uid="{0698B761-4D9C-40F6-924C-C6040CB5063D}"/>
    <cellStyle name="Normal 8 4 2 2 3 4" xfId="19209" xr:uid="{7C10BFCF-D223-43B9-8A6A-568D356E1A00}"/>
    <cellStyle name="Normal 8 4 2 2 3 5" xfId="9928" xr:uid="{5AC2659B-520E-4095-A5FA-60DD505D47F3}"/>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25984" xr:uid="{0E0C00F5-92F5-463E-9435-D06A51DC8492}"/>
    <cellStyle name="Normal 8 4 2 2 4 2 2 3" xfId="16704" xr:uid="{82138BE6-58AC-44D7-9943-11392F8C9D44}"/>
    <cellStyle name="Normal 8 4 2 2 4 2 3" xfId="21767" xr:uid="{D8CB9CFA-209D-42A9-9C6A-826340721672}"/>
    <cellStyle name="Normal 8 4 2 2 4 2 4" xfId="12486" xr:uid="{FF1CDB55-A131-4FEC-AAD6-4C4BF8A91C08}"/>
    <cellStyle name="Normal 8 4 2 2 4 3" xfId="6109" xr:uid="{00000000-0005-0000-0000-0000DD1D0000}"/>
    <cellStyle name="Normal 8 4 2 2 4 3 2" xfId="23839" xr:uid="{98B165F9-C497-4E5D-841A-21CB1C91BB13}"/>
    <cellStyle name="Normal 8 4 2 2 4 3 3" xfId="14559" xr:uid="{4AE28D86-0036-465F-B3FF-66487C5C131B}"/>
    <cellStyle name="Normal 8 4 2 2 4 4" xfId="19622" xr:uid="{C19A26C7-FA27-4447-90B7-08659050E8B1}"/>
    <cellStyle name="Normal 8 4 2 2 4 5" xfId="10341" xr:uid="{79D8B01B-4A9F-4019-B9F8-0FE3D4C58E5B}"/>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26397" xr:uid="{4C1BCE91-6C53-4E28-9120-3A91CB9F2AF9}"/>
    <cellStyle name="Normal 8 4 2 2 5 2 2 3" xfId="17117" xr:uid="{CD58A758-30EC-4019-ACAA-06B6DCD53F38}"/>
    <cellStyle name="Normal 8 4 2 2 5 2 3" xfId="22180" xr:uid="{BA55B1B8-B37A-46D5-B1CE-473DB985E14B}"/>
    <cellStyle name="Normal 8 4 2 2 5 2 4" xfId="12899" xr:uid="{4E1FF34C-1A28-4091-B3FC-2287436948D3}"/>
    <cellStyle name="Normal 8 4 2 2 5 3" xfId="6522" xr:uid="{00000000-0005-0000-0000-0000E11D0000}"/>
    <cellStyle name="Normal 8 4 2 2 5 3 2" xfId="24252" xr:uid="{CE0B9873-D1B2-49A6-94EB-24C360F2CCD7}"/>
    <cellStyle name="Normal 8 4 2 2 5 3 3" xfId="14972" xr:uid="{B3A64FFD-D6F0-4FA4-BDDB-7700A6274D2B}"/>
    <cellStyle name="Normal 8 4 2 2 5 4" xfId="20035" xr:uid="{DA063425-DB85-4F6B-81F9-4F025FAB95D4}"/>
    <cellStyle name="Normal 8 4 2 2 5 5" xfId="10754" xr:uid="{D5CDA83B-17F9-4851-B631-0D478FC64392}"/>
    <cellStyle name="Normal 8 4 2 2 6" xfId="2652" xr:uid="{00000000-0005-0000-0000-0000E21D0000}"/>
    <cellStyle name="Normal 8 4 2 2 6 2" xfId="6935" xr:uid="{00000000-0005-0000-0000-0000E31D0000}"/>
    <cellStyle name="Normal 8 4 2 2 6 2 2" xfId="24665" xr:uid="{C110CA98-9B1D-4290-AD1C-FC4811EDD706}"/>
    <cellStyle name="Normal 8 4 2 2 6 2 3" xfId="15385" xr:uid="{50A62984-20BF-4CEA-8354-4EDE57FB4FF3}"/>
    <cellStyle name="Normal 8 4 2 2 6 3" xfId="20448" xr:uid="{C9860066-3F77-4F63-A764-26ACBB04EFB1}"/>
    <cellStyle name="Normal 8 4 2 2 6 4" xfId="11167" xr:uid="{134961C9-9F49-466B-9976-71CEE60930AC}"/>
    <cellStyle name="Normal 8 4 2 2 7" xfId="4870" xr:uid="{00000000-0005-0000-0000-0000E41D0000}"/>
    <cellStyle name="Normal 8 4 2 2 7 2" xfId="22600" xr:uid="{0DDEABAA-E08B-4AFA-977E-3DE6C21B5A36}"/>
    <cellStyle name="Normal 8 4 2 2 7 3" xfId="13320" xr:uid="{2B1E6C9F-2EC1-4BCB-B2FB-FA71942A91CD}"/>
    <cellStyle name="Normal 8 4 2 2 8" xfId="18383" xr:uid="{0FB420C9-2F42-4947-B689-33729593344A}"/>
    <cellStyle name="Normal 8 4 2 2 9" xfId="17549" xr:uid="{3AFB13A1-8E97-47B3-AF09-99D534415A41}"/>
    <cellStyle name="Normal 8 4 2 3" xfId="971" xr:uid="{00000000-0005-0000-0000-0000E51D0000}"/>
    <cellStyle name="Normal 8 4 2 3 2" xfId="3205" xr:uid="{00000000-0005-0000-0000-0000E61D0000}"/>
    <cellStyle name="Normal 8 4 2 3 2 2" xfId="7427" xr:uid="{00000000-0005-0000-0000-0000E71D0000}"/>
    <cellStyle name="Normal 8 4 2 3 2 2 2" xfId="25157" xr:uid="{F3494B04-7751-47D3-80D1-79B637595DFC}"/>
    <cellStyle name="Normal 8 4 2 3 2 2 3" xfId="15877" xr:uid="{143C3AE4-9BEF-4D45-83DD-6FBD2CED69BC}"/>
    <cellStyle name="Normal 8 4 2 3 2 3" xfId="20940" xr:uid="{C1DAC1E3-E471-4402-8345-7F4475CE217D}"/>
    <cellStyle name="Normal 8 4 2 3 2 4" xfId="11659" xr:uid="{AF9E6FD2-D5DA-44EB-BCE1-F82EE3A578B7}"/>
    <cellStyle name="Normal 8 4 2 3 3" xfId="5282" xr:uid="{00000000-0005-0000-0000-0000E81D0000}"/>
    <cellStyle name="Normal 8 4 2 3 3 2" xfId="23012" xr:uid="{D9CC4FC7-3AD5-4537-9912-93AC2AAD44D2}"/>
    <cellStyle name="Normal 8 4 2 3 3 3" xfId="13732" xr:uid="{0BB2EC78-34E1-41EE-9A54-DB0A7EBC0E1C}"/>
    <cellStyle name="Normal 8 4 2 3 4" xfId="18795" xr:uid="{5F567E32-CBD2-4B89-9317-003FCCF361E7}"/>
    <cellStyle name="Normal 8 4 2 3 5" xfId="17967" xr:uid="{8F16F39F-FF89-4A45-B54A-FD907DB07FCB}"/>
    <cellStyle name="Normal 8 4 2 3 6" xfId="9514" xr:uid="{6501AA55-C952-4591-AD56-C2EBCE428C85}"/>
    <cellStyle name="Normal 8 4 2 4" xfId="1388" xr:uid="{00000000-0005-0000-0000-0000E91D0000}"/>
    <cellStyle name="Normal 8 4 2 4 2" xfId="3618" xr:uid="{00000000-0005-0000-0000-0000EA1D0000}"/>
    <cellStyle name="Normal 8 4 2 4 2 2" xfId="7840" xr:uid="{00000000-0005-0000-0000-0000EB1D0000}"/>
    <cellStyle name="Normal 8 4 2 4 2 2 2" xfId="25570" xr:uid="{CE625B93-6E6D-4BB1-B86E-C27EA520176D}"/>
    <cellStyle name="Normal 8 4 2 4 2 2 3" xfId="16290" xr:uid="{7E50D4CD-3306-4F2D-96E1-51DF6C72AAF5}"/>
    <cellStyle name="Normal 8 4 2 4 2 3" xfId="21353" xr:uid="{1E0AD7B6-B300-476E-8DAA-2FB150AEA1A1}"/>
    <cellStyle name="Normal 8 4 2 4 2 4" xfId="12072" xr:uid="{39ADC0DE-368B-4E56-87CE-5EFFCF874AB2}"/>
    <cellStyle name="Normal 8 4 2 4 3" xfId="5695" xr:uid="{00000000-0005-0000-0000-0000EC1D0000}"/>
    <cellStyle name="Normal 8 4 2 4 3 2" xfId="23425" xr:uid="{9028D1B8-7EFD-4CFE-8973-48E60E01DFD5}"/>
    <cellStyle name="Normal 8 4 2 4 3 3" xfId="14145" xr:uid="{17EA80EA-0610-45F7-97D4-C4ED71329740}"/>
    <cellStyle name="Normal 8 4 2 4 4" xfId="19208" xr:uid="{64CBEE26-D670-44F9-896B-DD6D3A6F0439}"/>
    <cellStyle name="Normal 8 4 2 4 5" xfId="9927" xr:uid="{7CBF765C-D385-4D26-AAFF-A08C7C532D17}"/>
    <cellStyle name="Normal 8 4 2 5" xfId="1801" xr:uid="{00000000-0005-0000-0000-0000ED1D0000}"/>
    <cellStyle name="Normal 8 4 2 5 2" xfId="4031" xr:uid="{00000000-0005-0000-0000-0000EE1D0000}"/>
    <cellStyle name="Normal 8 4 2 5 2 2" xfId="8253" xr:uid="{00000000-0005-0000-0000-0000EF1D0000}"/>
    <cellStyle name="Normal 8 4 2 5 2 2 2" xfId="25983" xr:uid="{6F7E3653-FDC3-4147-891C-0B87DE5F654A}"/>
    <cellStyle name="Normal 8 4 2 5 2 2 3" xfId="16703" xr:uid="{92B8653F-FCAF-4A1B-B244-C5F4AACE756E}"/>
    <cellStyle name="Normal 8 4 2 5 2 3" xfId="21766" xr:uid="{FBA9C491-094D-49AA-A8AC-5A9DBFC9AF6D}"/>
    <cellStyle name="Normal 8 4 2 5 2 4" xfId="12485" xr:uid="{5231D1EE-E72C-47B3-934C-B76CF4BBDBFB}"/>
    <cellStyle name="Normal 8 4 2 5 3" xfId="6108" xr:uid="{00000000-0005-0000-0000-0000F01D0000}"/>
    <cellStyle name="Normal 8 4 2 5 3 2" xfId="23838" xr:uid="{74256F43-017A-4EE8-91C4-89D1838079A2}"/>
    <cellStyle name="Normal 8 4 2 5 3 3" xfId="14558" xr:uid="{BB923B58-B53C-4401-A4F6-B2347E3EDB36}"/>
    <cellStyle name="Normal 8 4 2 5 4" xfId="19621" xr:uid="{E0706E94-437D-4140-A96D-AE0FB3ACEDAF}"/>
    <cellStyle name="Normal 8 4 2 5 5" xfId="10340" xr:uid="{391EDC8A-8713-4133-8E7D-74ECB6C9E58C}"/>
    <cellStyle name="Normal 8 4 2 6" xfId="2215" xr:uid="{00000000-0005-0000-0000-0000F11D0000}"/>
    <cellStyle name="Normal 8 4 2 6 2" xfId="4444" xr:uid="{00000000-0005-0000-0000-0000F21D0000}"/>
    <cellStyle name="Normal 8 4 2 6 2 2" xfId="8666" xr:uid="{00000000-0005-0000-0000-0000F31D0000}"/>
    <cellStyle name="Normal 8 4 2 6 2 2 2" xfId="26396" xr:uid="{BE10360D-8CAF-4081-81CB-1EB46B7E18C0}"/>
    <cellStyle name="Normal 8 4 2 6 2 2 3" xfId="17116" xr:uid="{50C76AC6-5316-429D-B607-FE7304C0890B}"/>
    <cellStyle name="Normal 8 4 2 6 2 3" xfId="22179" xr:uid="{FB115F03-6C78-439E-9C09-E2D9CCC0BEFD}"/>
    <cellStyle name="Normal 8 4 2 6 2 4" xfId="12898" xr:uid="{441BF98C-181D-48E7-A514-9605A7C9C9BE}"/>
    <cellStyle name="Normal 8 4 2 6 3" xfId="6521" xr:uid="{00000000-0005-0000-0000-0000F41D0000}"/>
    <cellStyle name="Normal 8 4 2 6 3 2" xfId="24251" xr:uid="{D0E37878-EEFB-4446-9891-C3C646C4DC4A}"/>
    <cellStyle name="Normal 8 4 2 6 3 3" xfId="14971" xr:uid="{8EE1BF46-C109-459A-B0E4-8329F414F0EE}"/>
    <cellStyle name="Normal 8 4 2 6 4" xfId="20034" xr:uid="{DDBE7326-2617-4C5B-805B-245F816EDB9A}"/>
    <cellStyle name="Normal 8 4 2 6 5" xfId="10753" xr:uid="{7CEB15D4-CC7D-4650-A668-051C031B7C1F}"/>
    <cellStyle name="Normal 8 4 2 7" xfId="2651" xr:uid="{00000000-0005-0000-0000-0000F51D0000}"/>
    <cellStyle name="Normal 8 4 2 7 2" xfId="6934" xr:uid="{00000000-0005-0000-0000-0000F61D0000}"/>
    <cellStyle name="Normal 8 4 2 7 2 2" xfId="24664" xr:uid="{814B2B13-78D6-4586-B1A1-6505CE535DAD}"/>
    <cellStyle name="Normal 8 4 2 7 2 3" xfId="15384" xr:uid="{F9FE7404-0D22-40EB-BA15-68D06F41F7AD}"/>
    <cellStyle name="Normal 8 4 2 7 3" xfId="20447" xr:uid="{15363CA4-5455-4818-BD01-819FEE618411}"/>
    <cellStyle name="Normal 8 4 2 7 4" xfId="11166" xr:uid="{E1D4240B-CBCB-4E6E-9D41-CCF7CE67360A}"/>
    <cellStyle name="Normal 8 4 2 8" xfId="4869" xr:uid="{00000000-0005-0000-0000-0000F71D0000}"/>
    <cellStyle name="Normal 8 4 2 8 2" xfId="22599" xr:uid="{8700A02D-EABC-4809-961A-8AC9AEDDFB3B}"/>
    <cellStyle name="Normal 8 4 2 8 3" xfId="13319" xr:uid="{2C4FE1A4-A5FE-4764-B5C7-690AB07750ED}"/>
    <cellStyle name="Normal 8 4 2 9" xfId="18382" xr:uid="{A11C1FBD-3826-4A89-B178-F5ACC123BC6D}"/>
    <cellStyle name="Normal 8 4 3" xfId="506" xr:uid="{00000000-0005-0000-0000-0000F81D0000}"/>
    <cellStyle name="Normal 8 4 3 10" xfId="9103" xr:uid="{3DAE7E49-3BE0-470F-A154-542900E793B7}"/>
    <cellStyle name="Normal 8 4 3 2" xfId="973" xr:uid="{00000000-0005-0000-0000-0000F91D0000}"/>
    <cellStyle name="Normal 8 4 3 2 2" xfId="3207" xr:uid="{00000000-0005-0000-0000-0000FA1D0000}"/>
    <cellStyle name="Normal 8 4 3 2 2 2" xfId="7429" xr:uid="{00000000-0005-0000-0000-0000FB1D0000}"/>
    <cellStyle name="Normal 8 4 3 2 2 2 2" xfId="25159" xr:uid="{A13DD197-5B0E-4775-A5AC-FE3D1F27B871}"/>
    <cellStyle name="Normal 8 4 3 2 2 2 3" xfId="15879" xr:uid="{E1C27A2E-9264-4332-89AE-B2C1974FE45D}"/>
    <cellStyle name="Normal 8 4 3 2 2 3" xfId="20942" xr:uid="{DFB435AA-75F8-4458-80D1-BC057292C014}"/>
    <cellStyle name="Normal 8 4 3 2 2 4" xfId="11661" xr:uid="{59F64A53-3FB8-4EAA-A6CB-5D01492268B3}"/>
    <cellStyle name="Normal 8 4 3 2 3" xfId="5284" xr:uid="{00000000-0005-0000-0000-0000FC1D0000}"/>
    <cellStyle name="Normal 8 4 3 2 3 2" xfId="23014" xr:uid="{98179C6F-7418-495B-8BD8-97C9B6DF8B82}"/>
    <cellStyle name="Normal 8 4 3 2 3 3" xfId="13734" xr:uid="{E7519DE4-57E7-40F1-A160-FE4944D0C880}"/>
    <cellStyle name="Normal 8 4 3 2 4" xfId="18797" xr:uid="{F3E3156F-A66C-4451-88A2-35305651A953}"/>
    <cellStyle name="Normal 8 4 3 2 5" xfId="17969" xr:uid="{B62734D4-FC34-465C-8D28-E5D271483F9C}"/>
    <cellStyle name="Normal 8 4 3 2 6" xfId="9516" xr:uid="{F7051E37-52D2-4FA6-89DC-9B5088CAC41F}"/>
    <cellStyle name="Normal 8 4 3 3" xfId="1390" xr:uid="{00000000-0005-0000-0000-0000FD1D0000}"/>
    <cellStyle name="Normal 8 4 3 3 2" xfId="3620" xr:uid="{00000000-0005-0000-0000-0000FE1D0000}"/>
    <cellStyle name="Normal 8 4 3 3 2 2" xfId="7842" xr:uid="{00000000-0005-0000-0000-0000FF1D0000}"/>
    <cellStyle name="Normal 8 4 3 3 2 2 2" xfId="25572" xr:uid="{47004201-83E6-41D0-97EA-09A5EE00F687}"/>
    <cellStyle name="Normal 8 4 3 3 2 2 3" xfId="16292" xr:uid="{A11A2192-ED23-41F7-9182-CC9A178C4622}"/>
    <cellStyle name="Normal 8 4 3 3 2 3" xfId="21355" xr:uid="{FEC8CB1D-C75D-49B0-8D95-36CDEBE36CE6}"/>
    <cellStyle name="Normal 8 4 3 3 2 4" xfId="12074" xr:uid="{B5D5C81B-6CB6-43A1-BBB5-FDBB85E9871D}"/>
    <cellStyle name="Normal 8 4 3 3 3" xfId="5697" xr:uid="{00000000-0005-0000-0000-0000001E0000}"/>
    <cellStyle name="Normal 8 4 3 3 3 2" xfId="23427" xr:uid="{81C199E4-85CE-4FA0-8F27-9848C28142F2}"/>
    <cellStyle name="Normal 8 4 3 3 3 3" xfId="14147" xr:uid="{7253A8D9-CDE5-4745-9A1A-AA4ABC5B37DB}"/>
    <cellStyle name="Normal 8 4 3 3 4" xfId="19210" xr:uid="{BB17BA6D-78A9-4C1A-A2F3-9678C8B3C97B}"/>
    <cellStyle name="Normal 8 4 3 3 5" xfId="9929" xr:uid="{B6163ACB-1DB7-4804-9D31-09F4287F8BAE}"/>
    <cellStyle name="Normal 8 4 3 4" xfId="1803" xr:uid="{00000000-0005-0000-0000-0000011E0000}"/>
    <cellStyle name="Normal 8 4 3 4 2" xfId="4033" xr:uid="{00000000-0005-0000-0000-0000021E0000}"/>
    <cellStyle name="Normal 8 4 3 4 2 2" xfId="8255" xr:uid="{00000000-0005-0000-0000-0000031E0000}"/>
    <cellStyle name="Normal 8 4 3 4 2 2 2" xfId="25985" xr:uid="{EB292603-8ECA-4ABC-A361-CFB5A850FD79}"/>
    <cellStyle name="Normal 8 4 3 4 2 2 3" xfId="16705" xr:uid="{5636F884-A826-4A58-A95F-41B1D042A6D6}"/>
    <cellStyle name="Normal 8 4 3 4 2 3" xfId="21768" xr:uid="{101424A4-4E55-409C-B471-D0A5A4602CB2}"/>
    <cellStyle name="Normal 8 4 3 4 2 4" xfId="12487" xr:uid="{FD42E2C5-732B-4D90-A282-82AC1C9DFE6D}"/>
    <cellStyle name="Normal 8 4 3 4 3" xfId="6110" xr:uid="{00000000-0005-0000-0000-0000041E0000}"/>
    <cellStyle name="Normal 8 4 3 4 3 2" xfId="23840" xr:uid="{2DA7550F-3AEF-4650-94E3-97EA9CDA1704}"/>
    <cellStyle name="Normal 8 4 3 4 3 3" xfId="14560" xr:uid="{25AFD38C-D03B-41B5-833E-B6C60CF04585}"/>
    <cellStyle name="Normal 8 4 3 4 4" xfId="19623" xr:uid="{165A9183-8403-44D3-8519-355C0C4AA2BA}"/>
    <cellStyle name="Normal 8 4 3 4 5" xfId="10342" xr:uid="{0AAA37B8-99B6-450C-BD31-D60873BA3FF2}"/>
    <cellStyle name="Normal 8 4 3 5" xfId="2217" xr:uid="{00000000-0005-0000-0000-0000051E0000}"/>
    <cellStyle name="Normal 8 4 3 5 2" xfId="4446" xr:uid="{00000000-0005-0000-0000-0000061E0000}"/>
    <cellStyle name="Normal 8 4 3 5 2 2" xfId="8668" xr:uid="{00000000-0005-0000-0000-0000071E0000}"/>
    <cellStyle name="Normal 8 4 3 5 2 2 2" xfId="26398" xr:uid="{A76C1708-B861-4FC8-8ABC-1D135487125A}"/>
    <cellStyle name="Normal 8 4 3 5 2 2 3" xfId="17118" xr:uid="{9B60360F-B9B9-4B7F-B5F2-B48E1E77316F}"/>
    <cellStyle name="Normal 8 4 3 5 2 3" xfId="22181" xr:uid="{56A4B335-FD71-4B44-84E0-9B3270104532}"/>
    <cellStyle name="Normal 8 4 3 5 2 4" xfId="12900" xr:uid="{BF79FDFE-5A17-436B-BC5A-05F8BD1B0CC4}"/>
    <cellStyle name="Normal 8 4 3 5 3" xfId="6523" xr:uid="{00000000-0005-0000-0000-0000081E0000}"/>
    <cellStyle name="Normal 8 4 3 5 3 2" xfId="24253" xr:uid="{C893FA09-1B0F-4F75-A6D4-703E85B90E52}"/>
    <cellStyle name="Normal 8 4 3 5 3 3" xfId="14973" xr:uid="{C723F1EB-96F2-4FDF-B575-9B60CCF8DC3C}"/>
    <cellStyle name="Normal 8 4 3 5 4" xfId="20036" xr:uid="{132D9656-C06C-41E6-B8E8-D0D40FF8886F}"/>
    <cellStyle name="Normal 8 4 3 5 5" xfId="10755" xr:uid="{1762B73D-433D-45F3-9C04-4E70D6F8ECCF}"/>
    <cellStyle name="Normal 8 4 3 6" xfId="2653" xr:uid="{00000000-0005-0000-0000-0000091E0000}"/>
    <cellStyle name="Normal 8 4 3 6 2" xfId="6936" xr:uid="{00000000-0005-0000-0000-00000A1E0000}"/>
    <cellStyle name="Normal 8 4 3 6 2 2" xfId="24666" xr:uid="{3C1B29E5-D2CE-400A-8193-42458C0E7ABB}"/>
    <cellStyle name="Normal 8 4 3 6 2 3" xfId="15386" xr:uid="{BE46557D-5BCA-44CD-9051-46C9FB4A617A}"/>
    <cellStyle name="Normal 8 4 3 6 3" xfId="20449" xr:uid="{C7BA5CB6-204C-4F55-B167-C1DD871B6BBB}"/>
    <cellStyle name="Normal 8 4 3 6 4" xfId="11168" xr:uid="{05CAE4BB-B091-4561-A031-3A006D76BB4F}"/>
    <cellStyle name="Normal 8 4 3 7" xfId="4871" xr:uid="{00000000-0005-0000-0000-00000B1E0000}"/>
    <cellStyle name="Normal 8 4 3 7 2" xfId="22601" xr:uid="{934AD902-1A40-49B4-B2D4-E3EE81FC8084}"/>
    <cellStyle name="Normal 8 4 3 7 3" xfId="13321" xr:uid="{BFC70896-E034-4F0E-A862-6010D1CF78F7}"/>
    <cellStyle name="Normal 8 4 3 8" xfId="18384" xr:uid="{48305C83-BD71-4347-ACDC-83A0F6DE1A63}"/>
    <cellStyle name="Normal 8 4 3 9" xfId="17550" xr:uid="{7E5FFED9-0262-44EB-BEF3-1FE6FBB06478}"/>
    <cellStyle name="Normal 8 4 4" xfId="970" xr:uid="{00000000-0005-0000-0000-00000C1E0000}"/>
    <cellStyle name="Normal 8 4 4 2" xfId="3204" xr:uid="{00000000-0005-0000-0000-00000D1E0000}"/>
    <cellStyle name="Normal 8 4 4 2 2" xfId="7426" xr:uid="{00000000-0005-0000-0000-00000E1E0000}"/>
    <cellStyle name="Normal 8 4 4 2 2 2" xfId="25156" xr:uid="{B3773108-107C-4A5A-9C8E-BE9BF5D4F857}"/>
    <cellStyle name="Normal 8 4 4 2 2 3" xfId="15876" xr:uid="{5C0B1ED3-7EBB-4891-80A8-596BDC45D444}"/>
    <cellStyle name="Normal 8 4 4 2 3" xfId="20939" xr:uid="{7447F25F-0AD0-487C-A0AD-65EB85BDDB67}"/>
    <cellStyle name="Normal 8 4 4 2 4" xfId="11658" xr:uid="{BC95CE3F-C795-476C-B08A-7B1B0187EA48}"/>
    <cellStyle name="Normal 8 4 4 3" xfId="5281" xr:uid="{00000000-0005-0000-0000-00000F1E0000}"/>
    <cellStyle name="Normal 8 4 4 3 2" xfId="23011" xr:uid="{E59C1D20-43C4-43C2-9F5C-A1C437C4286A}"/>
    <cellStyle name="Normal 8 4 4 3 3" xfId="13731" xr:uid="{5F0F6B02-52A8-4C09-91AD-9BB789DECBC2}"/>
    <cellStyle name="Normal 8 4 4 4" xfId="18794" xr:uid="{2EEA4ED2-76ED-428B-89E8-D09827FC5258}"/>
    <cellStyle name="Normal 8 4 4 5" xfId="17966" xr:uid="{D81E4775-C806-4B51-B901-62414C57768F}"/>
    <cellStyle name="Normal 8 4 4 6" xfId="9513" xr:uid="{38A56CEF-9A18-4ADC-8C22-9D7AB37DB96C}"/>
    <cellStyle name="Normal 8 4 5" xfId="1387" xr:uid="{00000000-0005-0000-0000-0000101E0000}"/>
    <cellStyle name="Normal 8 4 5 2" xfId="3617" xr:uid="{00000000-0005-0000-0000-0000111E0000}"/>
    <cellStyle name="Normal 8 4 5 2 2" xfId="7839" xr:uid="{00000000-0005-0000-0000-0000121E0000}"/>
    <cellStyle name="Normal 8 4 5 2 2 2" xfId="25569" xr:uid="{9C427F49-C925-4B7D-9F8F-8909BD111682}"/>
    <cellStyle name="Normal 8 4 5 2 2 3" xfId="16289" xr:uid="{E37179B6-67B6-4741-A705-773E8C940B03}"/>
    <cellStyle name="Normal 8 4 5 2 3" xfId="21352" xr:uid="{8982DA80-8194-4C87-8DBB-BACBC1BB8A74}"/>
    <cellStyle name="Normal 8 4 5 2 4" xfId="12071" xr:uid="{6E6CB86A-2C39-4066-AA33-D057B6D1A46B}"/>
    <cellStyle name="Normal 8 4 5 3" xfId="5694" xr:uid="{00000000-0005-0000-0000-0000131E0000}"/>
    <cellStyle name="Normal 8 4 5 3 2" xfId="23424" xr:uid="{4DA6112D-259B-450D-83AB-089E7E9CC019}"/>
    <cellStyle name="Normal 8 4 5 3 3" xfId="14144" xr:uid="{1D58D89E-2D15-431F-B7D1-FD701E7BFE07}"/>
    <cellStyle name="Normal 8 4 5 4" xfId="19207" xr:uid="{0D7CE89F-0F9C-4A8E-B4EC-9BD93EE1CF5A}"/>
    <cellStyle name="Normal 8 4 5 5" xfId="9926" xr:uid="{9BD4EF3A-BA7A-4DAF-B7AF-08DC79B8237A}"/>
    <cellStyle name="Normal 8 4 6" xfId="1800" xr:uid="{00000000-0005-0000-0000-0000141E0000}"/>
    <cellStyle name="Normal 8 4 6 2" xfId="4030" xr:uid="{00000000-0005-0000-0000-0000151E0000}"/>
    <cellStyle name="Normal 8 4 6 2 2" xfId="8252" xr:uid="{00000000-0005-0000-0000-0000161E0000}"/>
    <cellStyle name="Normal 8 4 6 2 2 2" xfId="25982" xr:uid="{859A445B-850B-4655-A999-1E0BC5AD7328}"/>
    <cellStyle name="Normal 8 4 6 2 2 3" xfId="16702" xr:uid="{AF9BD8E8-A867-4F0B-825E-2696F8CC5074}"/>
    <cellStyle name="Normal 8 4 6 2 3" xfId="21765" xr:uid="{D6729C19-5DBF-467F-AB9B-FB87C589F978}"/>
    <cellStyle name="Normal 8 4 6 2 4" xfId="12484" xr:uid="{A5B764D0-A0D8-4661-B872-1A615821CEDF}"/>
    <cellStyle name="Normal 8 4 6 3" xfId="6107" xr:uid="{00000000-0005-0000-0000-0000171E0000}"/>
    <cellStyle name="Normal 8 4 6 3 2" xfId="23837" xr:uid="{AEB6697C-051E-4630-A948-210188207A25}"/>
    <cellStyle name="Normal 8 4 6 3 3" xfId="14557" xr:uid="{44BD708B-B5E7-4117-AA52-0D029ADF3A2A}"/>
    <cellStyle name="Normal 8 4 6 4" xfId="19620" xr:uid="{2A799C18-06F2-46A9-9658-033B03D2689E}"/>
    <cellStyle name="Normal 8 4 6 5" xfId="10339" xr:uid="{73FB6BFC-3F4B-4245-8574-D9B4F7EABFB0}"/>
    <cellStyle name="Normal 8 4 7" xfId="2214" xr:uid="{00000000-0005-0000-0000-0000181E0000}"/>
    <cellStyle name="Normal 8 4 7 2" xfId="4443" xr:uid="{00000000-0005-0000-0000-0000191E0000}"/>
    <cellStyle name="Normal 8 4 7 2 2" xfId="8665" xr:uid="{00000000-0005-0000-0000-00001A1E0000}"/>
    <cellStyle name="Normal 8 4 7 2 2 2" xfId="26395" xr:uid="{6B9B55EB-70FB-4A6F-9107-1FE4D4DD6DF8}"/>
    <cellStyle name="Normal 8 4 7 2 2 3" xfId="17115" xr:uid="{90EEFB9F-2A07-4EB1-A5BE-9AEF6C801C9A}"/>
    <cellStyle name="Normal 8 4 7 2 3" xfId="22178" xr:uid="{930B455B-6EA8-498E-B14E-C4A303A4DB56}"/>
    <cellStyle name="Normal 8 4 7 2 4" xfId="12897" xr:uid="{8D392431-243E-4375-99BC-C3FD443A05D1}"/>
    <cellStyle name="Normal 8 4 7 3" xfId="6520" xr:uid="{00000000-0005-0000-0000-00001B1E0000}"/>
    <cellStyle name="Normal 8 4 7 3 2" xfId="24250" xr:uid="{91BB29F3-F175-4C46-A9C2-6FA78E6E8EBA}"/>
    <cellStyle name="Normal 8 4 7 3 3" xfId="14970" xr:uid="{CC14867D-074A-4B18-BCA2-460D23F55350}"/>
    <cellStyle name="Normal 8 4 7 4" xfId="20033" xr:uid="{3D1964F0-06C5-452B-9D71-B16B568C3ABF}"/>
    <cellStyle name="Normal 8 4 7 5" xfId="10752" xr:uid="{8A66FB7C-4E11-44EA-A6B9-DDFA10292424}"/>
    <cellStyle name="Normal 8 4 8" xfId="2650" xr:uid="{00000000-0005-0000-0000-00001C1E0000}"/>
    <cellStyle name="Normal 8 4 8 2" xfId="6933" xr:uid="{00000000-0005-0000-0000-00001D1E0000}"/>
    <cellStyle name="Normal 8 4 8 2 2" xfId="24663" xr:uid="{BA5A6FA3-2FC3-425C-BAAB-383DD5C82529}"/>
    <cellStyle name="Normal 8 4 8 2 3" xfId="15383" xr:uid="{CFAEC085-8900-4090-8FB8-C471DBDEC8C5}"/>
    <cellStyle name="Normal 8 4 8 3" xfId="20446" xr:uid="{D6367FC2-B498-48B9-932D-8ECFDC5B4DE9}"/>
    <cellStyle name="Normal 8 4 8 4" xfId="11165" xr:uid="{01CF2059-130B-4D65-A042-BC960EB65C81}"/>
    <cellStyle name="Normal 8 4 9" xfId="4868" xr:uid="{00000000-0005-0000-0000-00001E1E0000}"/>
    <cellStyle name="Normal 8 4 9 2" xfId="22598" xr:uid="{7BF70D11-A0EE-45BA-9757-B890D85FCEF4}"/>
    <cellStyle name="Normal 8 4 9 3" xfId="13318" xr:uid="{4D6F7395-6500-48C7-87DF-4A94EDCB3C9E}"/>
    <cellStyle name="Normal 8 5" xfId="507" xr:uid="{00000000-0005-0000-0000-00001F1E0000}"/>
    <cellStyle name="Normal 8 5 10" xfId="17551" xr:uid="{18AE4048-7EF1-47FE-AB02-C4BD5A4B0D22}"/>
    <cellStyle name="Normal 8 5 11" xfId="9104" xr:uid="{4A4459D9-8E85-43AB-8F80-D7B0D74F0681}"/>
    <cellStyle name="Normal 8 5 2" xfId="508" xr:uid="{00000000-0005-0000-0000-0000201E0000}"/>
    <cellStyle name="Normal 8 5 2 10" xfId="9105" xr:uid="{0465CFB8-A7DC-4980-8FF5-39A17EAADC2F}"/>
    <cellStyle name="Normal 8 5 2 2" xfId="975" xr:uid="{00000000-0005-0000-0000-0000211E0000}"/>
    <cellStyle name="Normal 8 5 2 2 2" xfId="3209" xr:uid="{00000000-0005-0000-0000-0000221E0000}"/>
    <cellStyle name="Normal 8 5 2 2 2 2" xfId="7431" xr:uid="{00000000-0005-0000-0000-0000231E0000}"/>
    <cellStyle name="Normal 8 5 2 2 2 2 2" xfId="25161" xr:uid="{82AD38FD-2301-4D99-852B-4D4773FF7E7A}"/>
    <cellStyle name="Normal 8 5 2 2 2 2 3" xfId="15881" xr:uid="{03377C9A-E190-49FB-8D9C-6211C1B5B435}"/>
    <cellStyle name="Normal 8 5 2 2 2 3" xfId="20944" xr:uid="{640EDED0-2433-4885-97D6-603F5FE12086}"/>
    <cellStyle name="Normal 8 5 2 2 2 4" xfId="11663" xr:uid="{9FB6476F-0935-4A4C-BF51-C69EE0738681}"/>
    <cellStyle name="Normal 8 5 2 2 3" xfId="5286" xr:uid="{00000000-0005-0000-0000-0000241E0000}"/>
    <cellStyle name="Normal 8 5 2 2 3 2" xfId="23016" xr:uid="{3A2F3266-B026-4D7A-83F7-8C81410C77B5}"/>
    <cellStyle name="Normal 8 5 2 2 3 3" xfId="13736" xr:uid="{F911B17F-7349-46CC-B7E8-800F00981F0C}"/>
    <cellStyle name="Normal 8 5 2 2 4" xfId="18799" xr:uid="{FDB461C0-5BFD-4D69-8352-0A76B250A70D}"/>
    <cellStyle name="Normal 8 5 2 2 5" xfId="17971" xr:uid="{ADB88750-8D4D-4861-968A-C9C6C40F31F6}"/>
    <cellStyle name="Normal 8 5 2 2 6" xfId="9518" xr:uid="{3F63A6D4-B516-4188-8876-3B007AC3252C}"/>
    <cellStyle name="Normal 8 5 2 3" xfId="1392" xr:uid="{00000000-0005-0000-0000-0000251E0000}"/>
    <cellStyle name="Normal 8 5 2 3 2" xfId="3622" xr:uid="{00000000-0005-0000-0000-0000261E0000}"/>
    <cellStyle name="Normal 8 5 2 3 2 2" xfId="7844" xr:uid="{00000000-0005-0000-0000-0000271E0000}"/>
    <cellStyle name="Normal 8 5 2 3 2 2 2" xfId="25574" xr:uid="{3E58B9F9-6A58-4013-AD7B-B66D4388138A}"/>
    <cellStyle name="Normal 8 5 2 3 2 2 3" xfId="16294" xr:uid="{33A7520B-8245-4C2D-8BC0-9CF95D2324B3}"/>
    <cellStyle name="Normal 8 5 2 3 2 3" xfId="21357" xr:uid="{82D8B261-A73F-4195-AB37-5D7A0F20E480}"/>
    <cellStyle name="Normal 8 5 2 3 2 4" xfId="12076" xr:uid="{1C8180D9-243F-469A-AEBA-C4D02A07BA02}"/>
    <cellStyle name="Normal 8 5 2 3 3" xfId="5699" xr:uid="{00000000-0005-0000-0000-0000281E0000}"/>
    <cellStyle name="Normal 8 5 2 3 3 2" xfId="23429" xr:uid="{0E9EA964-7BC2-4878-9447-2DC02D6A6E31}"/>
    <cellStyle name="Normal 8 5 2 3 3 3" xfId="14149" xr:uid="{85A42767-2A3B-4D42-9B97-92743FB92D3C}"/>
    <cellStyle name="Normal 8 5 2 3 4" xfId="19212" xr:uid="{6893778E-AE46-4D70-A6CB-5B55AEFF5FA1}"/>
    <cellStyle name="Normal 8 5 2 3 5" xfId="9931" xr:uid="{ED6F0412-4566-4F7B-A4B0-6EE4476A0EE2}"/>
    <cellStyle name="Normal 8 5 2 4" xfId="1805" xr:uid="{00000000-0005-0000-0000-0000291E0000}"/>
    <cellStyle name="Normal 8 5 2 4 2" xfId="4035" xr:uid="{00000000-0005-0000-0000-00002A1E0000}"/>
    <cellStyle name="Normal 8 5 2 4 2 2" xfId="8257" xr:uid="{00000000-0005-0000-0000-00002B1E0000}"/>
    <cellStyle name="Normal 8 5 2 4 2 2 2" xfId="25987" xr:uid="{E55FA41D-08CF-427C-9DE6-E8C70C50AFB3}"/>
    <cellStyle name="Normal 8 5 2 4 2 2 3" xfId="16707" xr:uid="{069C4B44-B699-4D72-BC1D-85543279AC92}"/>
    <cellStyle name="Normal 8 5 2 4 2 3" xfId="21770" xr:uid="{A0D4C12D-58F7-463E-8D0F-3F080DD30AF1}"/>
    <cellStyle name="Normal 8 5 2 4 2 4" xfId="12489" xr:uid="{C13D1E04-BA2D-4287-99C6-962E4DCDADF0}"/>
    <cellStyle name="Normal 8 5 2 4 3" xfId="6112" xr:uid="{00000000-0005-0000-0000-00002C1E0000}"/>
    <cellStyle name="Normal 8 5 2 4 3 2" xfId="23842" xr:uid="{A67ACB7B-1420-49CC-BAD3-81117FAAF1D9}"/>
    <cellStyle name="Normal 8 5 2 4 3 3" xfId="14562" xr:uid="{AAB5EB6D-F78A-4F67-9666-41F713985EA2}"/>
    <cellStyle name="Normal 8 5 2 4 4" xfId="19625" xr:uid="{EFFFA3CB-6BC9-476B-9A12-47FC33236598}"/>
    <cellStyle name="Normal 8 5 2 4 5" xfId="10344" xr:uid="{CF6B3C4F-6939-44AF-B527-7651E190A169}"/>
    <cellStyle name="Normal 8 5 2 5" xfId="2219" xr:uid="{00000000-0005-0000-0000-00002D1E0000}"/>
    <cellStyle name="Normal 8 5 2 5 2" xfId="4448" xr:uid="{00000000-0005-0000-0000-00002E1E0000}"/>
    <cellStyle name="Normal 8 5 2 5 2 2" xfId="8670" xr:uid="{00000000-0005-0000-0000-00002F1E0000}"/>
    <cellStyle name="Normal 8 5 2 5 2 2 2" xfId="26400" xr:uid="{2C52F9B8-AB6E-4E36-B3B8-08EA5ABDF317}"/>
    <cellStyle name="Normal 8 5 2 5 2 2 3" xfId="17120" xr:uid="{12FEC847-CB30-4DA7-A2A4-B8D4854B8B42}"/>
    <cellStyle name="Normal 8 5 2 5 2 3" xfId="22183" xr:uid="{3AEB6E6D-2B7B-425C-8F08-4A1701EAB845}"/>
    <cellStyle name="Normal 8 5 2 5 2 4" xfId="12902" xr:uid="{29ACB48F-D349-4566-87D5-EAB68AE1C06A}"/>
    <cellStyle name="Normal 8 5 2 5 3" xfId="6525" xr:uid="{00000000-0005-0000-0000-0000301E0000}"/>
    <cellStyle name="Normal 8 5 2 5 3 2" xfId="24255" xr:uid="{E8F7A406-0ABE-4E87-BCBD-88427863A608}"/>
    <cellStyle name="Normal 8 5 2 5 3 3" xfId="14975" xr:uid="{FE742238-0B62-42E7-BA80-1F61B8AC1DB9}"/>
    <cellStyle name="Normal 8 5 2 5 4" xfId="20038" xr:uid="{EB802E28-959A-4768-A4AC-D33543E26491}"/>
    <cellStyle name="Normal 8 5 2 5 5" xfId="10757" xr:uid="{37998890-AC63-46BA-AD6D-B222DF2B3425}"/>
    <cellStyle name="Normal 8 5 2 6" xfId="2655" xr:uid="{00000000-0005-0000-0000-0000311E0000}"/>
    <cellStyle name="Normal 8 5 2 6 2" xfId="6938" xr:uid="{00000000-0005-0000-0000-0000321E0000}"/>
    <cellStyle name="Normal 8 5 2 6 2 2" xfId="24668" xr:uid="{633A4B27-336F-492F-BD7C-F4D448481320}"/>
    <cellStyle name="Normal 8 5 2 6 2 3" xfId="15388" xr:uid="{71A7D9B0-FA07-45E2-8099-7FDAFAAB7A65}"/>
    <cellStyle name="Normal 8 5 2 6 3" xfId="20451" xr:uid="{F9E73998-7255-4DCB-8B8F-35E5AFE8B345}"/>
    <cellStyle name="Normal 8 5 2 6 4" xfId="11170" xr:uid="{8C601E88-B4E4-4551-A2A4-DCF7C0D6EB82}"/>
    <cellStyle name="Normal 8 5 2 7" xfId="4873" xr:uid="{00000000-0005-0000-0000-0000331E0000}"/>
    <cellStyle name="Normal 8 5 2 7 2" xfId="22603" xr:uid="{3AF6A0A1-08F6-457C-A4AD-78E4B74FD49F}"/>
    <cellStyle name="Normal 8 5 2 7 3" xfId="13323" xr:uid="{0D1EB016-8D46-44F3-8638-966D74C2A1AD}"/>
    <cellStyle name="Normal 8 5 2 8" xfId="18386" xr:uid="{0A805729-B579-40E4-BEA3-A87F20525085}"/>
    <cellStyle name="Normal 8 5 2 9" xfId="17552" xr:uid="{FC30A0CD-B402-4DC0-A88C-A1014EE2EB46}"/>
    <cellStyle name="Normal 8 5 3" xfId="974" xr:uid="{00000000-0005-0000-0000-0000341E0000}"/>
    <cellStyle name="Normal 8 5 3 2" xfId="3208" xr:uid="{00000000-0005-0000-0000-0000351E0000}"/>
    <cellStyle name="Normal 8 5 3 2 2" xfId="7430" xr:uid="{00000000-0005-0000-0000-0000361E0000}"/>
    <cellStyle name="Normal 8 5 3 2 2 2" xfId="25160" xr:uid="{5943615B-68CE-49FC-B462-EEBADA8E4063}"/>
    <cellStyle name="Normal 8 5 3 2 2 3" xfId="15880" xr:uid="{D3C83701-0DDC-4D8F-AF78-1A7A542842F0}"/>
    <cellStyle name="Normal 8 5 3 2 3" xfId="20943" xr:uid="{FC22AEB0-F065-4859-811B-04A9A6FAB9E7}"/>
    <cellStyle name="Normal 8 5 3 2 4" xfId="11662" xr:uid="{EFA08196-ACEB-4E9C-8760-73236C01A7F1}"/>
    <cellStyle name="Normal 8 5 3 3" xfId="5285" xr:uid="{00000000-0005-0000-0000-0000371E0000}"/>
    <cellStyle name="Normal 8 5 3 3 2" xfId="23015" xr:uid="{8505DE72-DCE1-4B1D-93E4-96C507416F2E}"/>
    <cellStyle name="Normal 8 5 3 3 3" xfId="13735" xr:uid="{D1E344F5-EB90-4A39-9354-15D31A004C8C}"/>
    <cellStyle name="Normal 8 5 3 4" xfId="18798" xr:uid="{68E5CE50-54B2-446E-A25D-31D4118FB32F}"/>
    <cellStyle name="Normal 8 5 3 5" xfId="17970" xr:uid="{A8BA8411-F301-4C21-9A31-431A43D7A200}"/>
    <cellStyle name="Normal 8 5 3 6" xfId="9517" xr:uid="{40439116-DF91-4170-BF73-64F20C22E23C}"/>
    <cellStyle name="Normal 8 5 4" xfId="1391" xr:uid="{00000000-0005-0000-0000-0000381E0000}"/>
    <cellStyle name="Normal 8 5 4 2" xfId="3621" xr:uid="{00000000-0005-0000-0000-0000391E0000}"/>
    <cellStyle name="Normal 8 5 4 2 2" xfId="7843" xr:uid="{00000000-0005-0000-0000-00003A1E0000}"/>
    <cellStyle name="Normal 8 5 4 2 2 2" xfId="25573" xr:uid="{047B30FB-B5DE-4907-9F32-220E0DF0E666}"/>
    <cellStyle name="Normal 8 5 4 2 2 3" xfId="16293" xr:uid="{B08C7E97-67D9-4171-85C7-FF747EA4803C}"/>
    <cellStyle name="Normal 8 5 4 2 3" xfId="21356" xr:uid="{CB83336F-0D6B-4754-BD6A-4B1A0AFF586E}"/>
    <cellStyle name="Normal 8 5 4 2 4" xfId="12075" xr:uid="{ACB702C5-7494-4A4C-9E6B-6AF897425BC1}"/>
    <cellStyle name="Normal 8 5 4 3" xfId="5698" xr:uid="{00000000-0005-0000-0000-00003B1E0000}"/>
    <cellStyle name="Normal 8 5 4 3 2" xfId="23428" xr:uid="{824CF742-2213-4616-91FC-D1203E76D917}"/>
    <cellStyle name="Normal 8 5 4 3 3" xfId="14148" xr:uid="{91503661-11D9-45FE-8F1D-3163A590B255}"/>
    <cellStyle name="Normal 8 5 4 4" xfId="19211" xr:uid="{F5E2D6A7-08D1-49C0-AC93-8C1073CC9441}"/>
    <cellStyle name="Normal 8 5 4 5" xfId="9930" xr:uid="{1C195CB6-9E58-42EB-8AB0-7B902D65DA79}"/>
    <cellStyle name="Normal 8 5 5" xfId="1804" xr:uid="{00000000-0005-0000-0000-00003C1E0000}"/>
    <cellStyle name="Normal 8 5 5 2" xfId="4034" xr:uid="{00000000-0005-0000-0000-00003D1E0000}"/>
    <cellStyle name="Normal 8 5 5 2 2" xfId="8256" xr:uid="{00000000-0005-0000-0000-00003E1E0000}"/>
    <cellStyle name="Normal 8 5 5 2 2 2" xfId="25986" xr:uid="{5F4FED7B-F9B5-4F0F-897F-793C916560C9}"/>
    <cellStyle name="Normal 8 5 5 2 2 3" xfId="16706" xr:uid="{56F5543E-F8FD-4E15-90C4-13346F49D34F}"/>
    <cellStyle name="Normal 8 5 5 2 3" xfId="21769" xr:uid="{B6FBA91A-4A56-4DE3-821A-5AB6D1B397F5}"/>
    <cellStyle name="Normal 8 5 5 2 4" xfId="12488" xr:uid="{8108CF94-200C-40AA-9B26-D4FEEDCACD25}"/>
    <cellStyle name="Normal 8 5 5 3" xfId="6111" xr:uid="{00000000-0005-0000-0000-00003F1E0000}"/>
    <cellStyle name="Normal 8 5 5 3 2" xfId="23841" xr:uid="{D1888C01-BD00-4C97-B7DC-27F5F81C0C5D}"/>
    <cellStyle name="Normal 8 5 5 3 3" xfId="14561" xr:uid="{15FE3073-4464-4A18-8116-975509A8B58E}"/>
    <cellStyle name="Normal 8 5 5 4" xfId="19624" xr:uid="{313890EE-6DFA-43F7-8DD1-0567EFC500FF}"/>
    <cellStyle name="Normal 8 5 5 5" xfId="10343" xr:uid="{6ABDDC27-848E-4BD7-A240-3BF7D0696DBB}"/>
    <cellStyle name="Normal 8 5 6" xfId="2218" xr:uid="{00000000-0005-0000-0000-0000401E0000}"/>
    <cellStyle name="Normal 8 5 6 2" xfId="4447" xr:uid="{00000000-0005-0000-0000-0000411E0000}"/>
    <cellStyle name="Normal 8 5 6 2 2" xfId="8669" xr:uid="{00000000-0005-0000-0000-0000421E0000}"/>
    <cellStyle name="Normal 8 5 6 2 2 2" xfId="26399" xr:uid="{4B3C6F7B-4627-4CC2-9ACD-E890C12F59B7}"/>
    <cellStyle name="Normal 8 5 6 2 2 3" xfId="17119" xr:uid="{2FC5DBB2-AFDF-4F84-8668-9D30856850E3}"/>
    <cellStyle name="Normal 8 5 6 2 3" xfId="22182" xr:uid="{8A5E4054-59C6-4E4F-B531-50F973096CB5}"/>
    <cellStyle name="Normal 8 5 6 2 4" xfId="12901" xr:uid="{79182BA4-6867-402D-B5DC-EFEB74669F3D}"/>
    <cellStyle name="Normal 8 5 6 3" xfId="6524" xr:uid="{00000000-0005-0000-0000-0000431E0000}"/>
    <cellStyle name="Normal 8 5 6 3 2" xfId="24254" xr:uid="{68F95A31-3D95-45B1-A672-4F800494B8BC}"/>
    <cellStyle name="Normal 8 5 6 3 3" xfId="14974" xr:uid="{3C899746-370A-4EEF-A045-25D37F5E4441}"/>
    <cellStyle name="Normal 8 5 6 4" xfId="20037" xr:uid="{873E3545-F174-4E5E-94A6-C36BA6FAB183}"/>
    <cellStyle name="Normal 8 5 6 5" xfId="10756" xr:uid="{1B50E142-6376-4555-9713-F946F0212B3B}"/>
    <cellStyle name="Normal 8 5 7" xfId="2654" xr:uid="{00000000-0005-0000-0000-0000441E0000}"/>
    <cellStyle name="Normal 8 5 7 2" xfId="6937" xr:uid="{00000000-0005-0000-0000-0000451E0000}"/>
    <cellStyle name="Normal 8 5 7 2 2" xfId="24667" xr:uid="{E1435B5A-2B89-4A0D-8616-1D48E458B612}"/>
    <cellStyle name="Normal 8 5 7 2 3" xfId="15387" xr:uid="{83BE5820-AEB3-42E2-8E49-E88D370D8398}"/>
    <cellStyle name="Normal 8 5 7 3" xfId="20450" xr:uid="{257A5C44-FC94-4C4E-A974-8035EC676F39}"/>
    <cellStyle name="Normal 8 5 7 4" xfId="11169" xr:uid="{33ECE76E-13D7-4866-909B-E5CFCD505E43}"/>
    <cellStyle name="Normal 8 5 8" xfId="4872" xr:uid="{00000000-0005-0000-0000-0000461E0000}"/>
    <cellStyle name="Normal 8 5 8 2" xfId="22602" xr:uid="{C63E1DDE-50CF-42D1-BF1F-F777299F093D}"/>
    <cellStyle name="Normal 8 5 8 3" xfId="13322" xr:uid="{7FE9BBB0-6AA1-44B8-8AB4-0F602E37EF3E}"/>
    <cellStyle name="Normal 8 5 9" xfId="18385" xr:uid="{FB892CED-6AD7-431F-838A-9DBF29A0133A}"/>
    <cellStyle name="Normal 8 6" xfId="509" xr:uid="{00000000-0005-0000-0000-0000471E0000}"/>
    <cellStyle name="Normal 8 6 10" xfId="9106" xr:uid="{9D704E1D-542D-4B54-87FE-477A7820F2C6}"/>
    <cellStyle name="Normal 8 6 2" xfId="976" xr:uid="{00000000-0005-0000-0000-0000481E0000}"/>
    <cellStyle name="Normal 8 6 2 2" xfId="3210" xr:uid="{00000000-0005-0000-0000-0000491E0000}"/>
    <cellStyle name="Normal 8 6 2 2 2" xfId="7432" xr:uid="{00000000-0005-0000-0000-00004A1E0000}"/>
    <cellStyle name="Normal 8 6 2 2 2 2" xfId="25162" xr:uid="{8FFC5BB4-76E6-474F-8796-5E596FD0077E}"/>
    <cellStyle name="Normal 8 6 2 2 2 3" xfId="15882" xr:uid="{3C94A151-9DE4-4B27-8298-33918F41B9BF}"/>
    <cellStyle name="Normal 8 6 2 2 3" xfId="20945" xr:uid="{D444AD03-AC47-4DBA-A284-13C93B4BEEBB}"/>
    <cellStyle name="Normal 8 6 2 2 4" xfId="11664" xr:uid="{CE36C4E8-E436-49CC-90B1-641A77A74D1D}"/>
    <cellStyle name="Normal 8 6 2 3" xfId="5287" xr:uid="{00000000-0005-0000-0000-00004B1E0000}"/>
    <cellStyle name="Normal 8 6 2 3 2" xfId="23017" xr:uid="{6B319ED0-9EF8-4B87-A345-9A61E725AF11}"/>
    <cellStyle name="Normal 8 6 2 3 3" xfId="13737" xr:uid="{B60F6C2D-3904-4781-BDAF-A7DC7DD15F00}"/>
    <cellStyle name="Normal 8 6 2 4" xfId="18800" xr:uid="{837D001E-79E3-4D4C-8BA1-37CB56698623}"/>
    <cellStyle name="Normal 8 6 2 5" xfId="17972" xr:uid="{2B981293-A92D-4EF6-8A70-67CF7F1EFC57}"/>
    <cellStyle name="Normal 8 6 2 6" xfId="9519" xr:uid="{F9E0A1F2-80C9-4BBF-A9B8-9FD4C4FC5B4A}"/>
    <cellStyle name="Normal 8 6 3" xfId="1393" xr:uid="{00000000-0005-0000-0000-00004C1E0000}"/>
    <cellStyle name="Normal 8 6 3 2" xfId="3623" xr:uid="{00000000-0005-0000-0000-00004D1E0000}"/>
    <cellStyle name="Normal 8 6 3 2 2" xfId="7845" xr:uid="{00000000-0005-0000-0000-00004E1E0000}"/>
    <cellStyle name="Normal 8 6 3 2 2 2" xfId="25575" xr:uid="{20FFAA67-0B29-4298-81D7-B3131366F0D3}"/>
    <cellStyle name="Normal 8 6 3 2 2 3" xfId="16295" xr:uid="{4CAD3246-7B81-45C2-8DE6-187585A6A5FF}"/>
    <cellStyle name="Normal 8 6 3 2 3" xfId="21358" xr:uid="{748D4F1B-81A3-41CF-8A76-6C4D430C55C2}"/>
    <cellStyle name="Normal 8 6 3 2 4" xfId="12077" xr:uid="{86385D2F-E9AD-49A3-91D7-45F8C8AC5ABD}"/>
    <cellStyle name="Normal 8 6 3 3" xfId="5700" xr:uid="{00000000-0005-0000-0000-00004F1E0000}"/>
    <cellStyle name="Normal 8 6 3 3 2" xfId="23430" xr:uid="{A84C0519-BD64-491C-A5F5-75BCED6AFBF4}"/>
    <cellStyle name="Normal 8 6 3 3 3" xfId="14150" xr:uid="{805BE028-EC34-4687-9D3A-00E0314F832F}"/>
    <cellStyle name="Normal 8 6 3 4" xfId="19213" xr:uid="{476579ED-C1D5-4AF5-A185-D16AC18CD3E4}"/>
    <cellStyle name="Normal 8 6 3 5" xfId="9932" xr:uid="{65243939-AD67-40A8-AEE9-5A7AB00B940C}"/>
    <cellStyle name="Normal 8 6 4" xfId="1806" xr:uid="{00000000-0005-0000-0000-0000501E0000}"/>
    <cellStyle name="Normal 8 6 4 2" xfId="4036" xr:uid="{00000000-0005-0000-0000-0000511E0000}"/>
    <cellStyle name="Normal 8 6 4 2 2" xfId="8258" xr:uid="{00000000-0005-0000-0000-0000521E0000}"/>
    <cellStyle name="Normal 8 6 4 2 2 2" xfId="25988" xr:uid="{DA2E5C98-F34D-4B44-B85E-7B4AF9407C2C}"/>
    <cellStyle name="Normal 8 6 4 2 2 3" xfId="16708" xr:uid="{E95DC85F-8563-46EC-B686-47A5F90477FC}"/>
    <cellStyle name="Normal 8 6 4 2 3" xfId="21771" xr:uid="{617DAD10-0380-46D5-B78B-0C5691071DBF}"/>
    <cellStyle name="Normal 8 6 4 2 4" xfId="12490" xr:uid="{54519E8E-4443-4A74-A3A3-7204FAED0D1C}"/>
    <cellStyle name="Normal 8 6 4 3" xfId="6113" xr:uid="{00000000-0005-0000-0000-0000531E0000}"/>
    <cellStyle name="Normal 8 6 4 3 2" xfId="23843" xr:uid="{145F2160-B339-42E5-8C8B-E7824E3AA824}"/>
    <cellStyle name="Normal 8 6 4 3 3" xfId="14563" xr:uid="{E9CAE712-6382-4D76-98FF-EE59FCED52AA}"/>
    <cellStyle name="Normal 8 6 4 4" xfId="19626" xr:uid="{D27C2CCC-A25D-4BB3-B73F-8D51A24DF3A8}"/>
    <cellStyle name="Normal 8 6 4 5" xfId="10345" xr:uid="{7E85C4C2-F258-4D6B-B92A-71F945DAF286}"/>
    <cellStyle name="Normal 8 6 5" xfId="2220" xr:uid="{00000000-0005-0000-0000-0000541E0000}"/>
    <cellStyle name="Normal 8 6 5 2" xfId="4449" xr:uid="{00000000-0005-0000-0000-0000551E0000}"/>
    <cellStyle name="Normal 8 6 5 2 2" xfId="8671" xr:uid="{00000000-0005-0000-0000-0000561E0000}"/>
    <cellStyle name="Normal 8 6 5 2 2 2" xfId="26401" xr:uid="{7877DCF4-C857-4113-8091-C69E64203CD3}"/>
    <cellStyle name="Normal 8 6 5 2 2 3" xfId="17121" xr:uid="{E64F36A3-9F6F-46BE-9514-8619A5ED2085}"/>
    <cellStyle name="Normal 8 6 5 2 3" xfId="22184" xr:uid="{8AF71D6A-A4E6-4790-B5D9-C4A3DA5A3F0D}"/>
    <cellStyle name="Normal 8 6 5 2 4" xfId="12903" xr:uid="{DE198E3A-B451-4A93-B9B3-FD8848D8AE1F}"/>
    <cellStyle name="Normal 8 6 5 3" xfId="6526" xr:uid="{00000000-0005-0000-0000-0000571E0000}"/>
    <cellStyle name="Normal 8 6 5 3 2" xfId="24256" xr:uid="{4659BB52-7F15-4A34-8832-7CF427D41A43}"/>
    <cellStyle name="Normal 8 6 5 3 3" xfId="14976" xr:uid="{89005EDA-8E0E-4E77-A51B-FE2552A6A72F}"/>
    <cellStyle name="Normal 8 6 5 4" xfId="20039" xr:uid="{FED80DE6-9FF5-4B1D-8006-0DEE456D5591}"/>
    <cellStyle name="Normal 8 6 5 5" xfId="10758" xr:uid="{2949A3AF-3737-4FD0-AE1A-E73902100FEE}"/>
    <cellStyle name="Normal 8 6 6" xfId="2656" xr:uid="{00000000-0005-0000-0000-0000581E0000}"/>
    <cellStyle name="Normal 8 6 6 2" xfId="6939" xr:uid="{00000000-0005-0000-0000-0000591E0000}"/>
    <cellStyle name="Normal 8 6 6 2 2" xfId="24669" xr:uid="{2943BCC9-6E23-42E7-9109-EC03710E9170}"/>
    <cellStyle name="Normal 8 6 6 2 3" xfId="15389" xr:uid="{5E2EFBB5-CD6A-45DD-9598-2FA867724110}"/>
    <cellStyle name="Normal 8 6 6 3" xfId="20452" xr:uid="{CA62A5F3-E54E-4DC2-BDAB-AF4282CFEF8B}"/>
    <cellStyle name="Normal 8 6 6 4" xfId="11171" xr:uid="{8D8B1269-405B-4655-A1CD-5DAEC943A177}"/>
    <cellStyle name="Normal 8 6 7" xfId="4874" xr:uid="{00000000-0005-0000-0000-00005A1E0000}"/>
    <cellStyle name="Normal 8 6 7 2" xfId="22604" xr:uid="{861FBBF5-B7CF-4CAC-BE38-76C9F6D9652C}"/>
    <cellStyle name="Normal 8 6 7 3" xfId="13324" xr:uid="{A2219755-0BDB-4C50-979E-D6E912366020}"/>
    <cellStyle name="Normal 8 6 8" xfId="18387" xr:uid="{50DC077C-3DC7-4EED-A734-7A6A3C07CB81}"/>
    <cellStyle name="Normal 8 6 9" xfId="17553" xr:uid="{7453A59C-65A0-4242-8959-A1EFB5F8B628}"/>
    <cellStyle name="Normal 8 7" xfId="945" xr:uid="{00000000-0005-0000-0000-00005B1E0000}"/>
    <cellStyle name="Normal 8 7 2" xfId="3179" xr:uid="{00000000-0005-0000-0000-00005C1E0000}"/>
    <cellStyle name="Normal 8 7 2 2" xfId="7401" xr:uid="{00000000-0005-0000-0000-00005D1E0000}"/>
    <cellStyle name="Normal 8 7 2 2 2" xfId="25131" xr:uid="{60385EE2-52DB-4E38-9517-5323C9722892}"/>
    <cellStyle name="Normal 8 7 2 2 3" xfId="15851" xr:uid="{B4DA3267-FABA-4861-9553-9873954B693E}"/>
    <cellStyle name="Normal 8 7 2 3" xfId="20914" xr:uid="{AA7D2CE6-F6FC-4C85-8ED0-E6E684CC044E}"/>
    <cellStyle name="Normal 8 7 2 4" xfId="11633" xr:uid="{A5E1649F-F94B-4086-8F79-929DDAD7FD1D}"/>
    <cellStyle name="Normal 8 7 3" xfId="5256" xr:uid="{00000000-0005-0000-0000-00005E1E0000}"/>
    <cellStyle name="Normal 8 7 3 2" xfId="22986" xr:uid="{A3679A60-FD84-4EB3-B7D1-D2ECAC65CAC9}"/>
    <cellStyle name="Normal 8 7 3 3" xfId="13706" xr:uid="{39147BCF-F0A2-4A9B-8234-9F87AC6C649A}"/>
    <cellStyle name="Normal 8 7 4" xfId="18769" xr:uid="{AAF86F1B-537F-4E90-8D6A-68CB5DB67BFC}"/>
    <cellStyle name="Normal 8 7 5" xfId="17941" xr:uid="{9FD61EA7-DBAA-4347-B221-8EEB7DC1505F}"/>
    <cellStyle name="Normal 8 7 6" xfId="9488" xr:uid="{B2436942-9A36-4A9A-AECD-BFBB8D90C16B}"/>
    <cellStyle name="Normal 8 8" xfId="1362" xr:uid="{00000000-0005-0000-0000-00005F1E0000}"/>
    <cellStyle name="Normal 8 8 2" xfId="3592" xr:uid="{00000000-0005-0000-0000-0000601E0000}"/>
    <cellStyle name="Normal 8 8 2 2" xfId="7814" xr:uid="{00000000-0005-0000-0000-0000611E0000}"/>
    <cellStyle name="Normal 8 8 2 2 2" xfId="25544" xr:uid="{5D7D86A9-99A6-41EB-905B-086E1CEBEF8C}"/>
    <cellStyle name="Normal 8 8 2 2 3" xfId="16264" xr:uid="{44BFAE00-09B4-41A6-A0E4-4B4B702E3C39}"/>
    <cellStyle name="Normal 8 8 2 3" xfId="21327" xr:uid="{75F590C6-F10B-4982-8C81-C5B0775FB299}"/>
    <cellStyle name="Normal 8 8 2 4" xfId="12046" xr:uid="{A131D14C-B2B7-40EA-B0EA-E28DB5A02ADF}"/>
    <cellStyle name="Normal 8 8 3" xfId="5669" xr:uid="{00000000-0005-0000-0000-0000621E0000}"/>
    <cellStyle name="Normal 8 8 3 2" xfId="23399" xr:uid="{91E98FA7-F21E-4E84-8F8C-CF39A7A9501D}"/>
    <cellStyle name="Normal 8 8 3 3" xfId="14119" xr:uid="{22C7C94C-2CDF-4A58-A0E3-D125747AC310}"/>
    <cellStyle name="Normal 8 8 4" xfId="19182" xr:uid="{7CBF4852-1660-41E0-B91E-63F2B7D5E393}"/>
    <cellStyle name="Normal 8 8 5" xfId="9901" xr:uid="{06D818E7-AFBB-445E-91BE-79AD1044628E}"/>
    <cellStyle name="Normal 8 9" xfId="1775" xr:uid="{00000000-0005-0000-0000-0000631E0000}"/>
    <cellStyle name="Normal 8 9 2" xfId="4005" xr:uid="{00000000-0005-0000-0000-0000641E0000}"/>
    <cellStyle name="Normal 8 9 2 2" xfId="8227" xr:uid="{00000000-0005-0000-0000-0000651E0000}"/>
    <cellStyle name="Normal 8 9 2 2 2" xfId="25957" xr:uid="{9C1450B4-447C-45FF-AB9F-C8C6B092F6B0}"/>
    <cellStyle name="Normal 8 9 2 2 3" xfId="16677" xr:uid="{16531D3D-47F2-4AD4-82E2-ECBA6D4CD02F}"/>
    <cellStyle name="Normal 8 9 2 3" xfId="21740" xr:uid="{15A30299-FA1D-40F3-A29D-6ED5DAED54D2}"/>
    <cellStyle name="Normal 8 9 2 4" xfId="12459" xr:uid="{CCF47815-297F-4ED5-89C6-3ECD010755B8}"/>
    <cellStyle name="Normal 8 9 3" xfId="6082" xr:uid="{00000000-0005-0000-0000-0000661E0000}"/>
    <cellStyle name="Normal 8 9 3 2" xfId="23812" xr:uid="{BD1D27AE-A6DC-4DE4-9C36-89216E9A5687}"/>
    <cellStyle name="Normal 8 9 3 3" xfId="14532" xr:uid="{1201C6A4-95B4-45C4-AEE6-425D8118F278}"/>
    <cellStyle name="Normal 8 9 4" xfId="19595" xr:uid="{71B98932-2DD7-4860-85A2-206449A3F31C}"/>
    <cellStyle name="Normal 8 9 5" xfId="10314" xr:uid="{18B0B887-ED2B-4C31-A21B-F9B0053BB109}"/>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24670" xr:uid="{15707BCC-1272-4895-8E28-64404103C39F}"/>
    <cellStyle name="Normal 9 2 10 2 3" xfId="15390" xr:uid="{331FC96B-C700-47D3-A529-12A47E400E2B}"/>
    <cellStyle name="Normal 9 2 10 3" xfId="20453" xr:uid="{77810C21-CA49-4BAC-89D9-554D7A8CC2D5}"/>
    <cellStyle name="Normal 9 2 10 4" xfId="11172" xr:uid="{4A4A6DC3-D711-4972-9641-8E9C2A9A11CF}"/>
    <cellStyle name="Normal 9 2 11" xfId="4875" xr:uid="{00000000-0005-0000-0000-00006B1E0000}"/>
    <cellStyle name="Normal 9 2 11 2" xfId="22605" xr:uid="{2D0C45E2-9E91-4623-AD4F-3C3004332A4A}"/>
    <cellStyle name="Normal 9 2 11 3" xfId="13325" xr:uid="{8F030B58-6680-49C1-BFE4-873354FA9B86}"/>
    <cellStyle name="Normal 9 2 12" xfId="18388" xr:uid="{E603125F-A83D-453F-B277-13E1C3A90CA4}"/>
    <cellStyle name="Normal 9 2 13" xfId="17554" xr:uid="{DEA99BC3-8711-404B-9CB7-CA41D182F5CD}"/>
    <cellStyle name="Normal 9 2 14" xfId="9107" xr:uid="{8DA45DDD-3F59-404A-9F27-BC1938186391}"/>
    <cellStyle name="Normal 9 2 2" xfId="512" xr:uid="{00000000-0005-0000-0000-00006C1E0000}"/>
    <cellStyle name="Normal 9 2 2 10" xfId="4876" xr:uid="{00000000-0005-0000-0000-00006D1E0000}"/>
    <cellStyle name="Normal 9 2 2 10 2" xfId="22606" xr:uid="{3FF00CE2-DD75-48B5-AA9A-1BD3291ACB7C}"/>
    <cellStyle name="Normal 9 2 2 10 3" xfId="13326" xr:uid="{236727C1-BFF1-415C-B6C1-55AA1B169329}"/>
    <cellStyle name="Normal 9 2 2 11" xfId="18389" xr:uid="{7D80724A-6E45-4B7C-A8CC-6826143004FA}"/>
    <cellStyle name="Normal 9 2 2 12" xfId="17555" xr:uid="{86AC38AF-3D5B-477C-AEE7-A6A5A24490DE}"/>
    <cellStyle name="Normal 9 2 2 13" xfId="9108" xr:uid="{C1224446-1C89-4ED4-9240-69C450A4F2C1}"/>
    <cellStyle name="Normal 9 2 2 2" xfId="513" xr:uid="{00000000-0005-0000-0000-00006E1E0000}"/>
    <cellStyle name="Normal 9 2 2 2 10" xfId="18390" xr:uid="{B41F5496-A621-4330-A49D-4A7EC0993B8C}"/>
    <cellStyle name="Normal 9 2 2 2 11" xfId="17556" xr:uid="{ECE294F7-1E61-440F-ABDD-252B013FDB85}"/>
    <cellStyle name="Normal 9 2 2 2 12" xfId="9109" xr:uid="{1CE36A8D-CAC8-4DE7-9CEA-D3AC73B3ECE7}"/>
    <cellStyle name="Normal 9 2 2 2 2" xfId="514" xr:uid="{00000000-0005-0000-0000-00006F1E0000}"/>
    <cellStyle name="Normal 9 2 2 2 2 10" xfId="17557" xr:uid="{4FA480B0-EE3A-4AF5-9AE4-E72F87D2FA2C}"/>
    <cellStyle name="Normal 9 2 2 2 2 11" xfId="9110" xr:uid="{65CB2248-E5DF-4A9C-93B2-B27E8E1F7E70}"/>
    <cellStyle name="Normal 9 2 2 2 2 2" xfId="515" xr:uid="{00000000-0005-0000-0000-0000701E0000}"/>
    <cellStyle name="Normal 9 2 2 2 2 2 10" xfId="9111" xr:uid="{879013B8-2513-4BF8-9833-42C99104E003}"/>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25167" xr:uid="{AEB97B4F-EBA0-4885-B65C-8A94DEC5ED57}"/>
    <cellStyle name="Normal 9 2 2 2 2 2 2 2 2 3" xfId="15887" xr:uid="{A55035DE-05D2-4949-A15B-FFDF515B3E16}"/>
    <cellStyle name="Normal 9 2 2 2 2 2 2 2 3" xfId="20950" xr:uid="{BAC01C86-CA73-4785-AA3A-F0699A04DD42}"/>
    <cellStyle name="Normal 9 2 2 2 2 2 2 2 4" xfId="11669" xr:uid="{2DDD050F-754B-4BCD-9745-8D51F556868E}"/>
    <cellStyle name="Normal 9 2 2 2 2 2 2 3" xfId="5292" xr:uid="{00000000-0005-0000-0000-0000741E0000}"/>
    <cellStyle name="Normal 9 2 2 2 2 2 2 3 2" xfId="23022" xr:uid="{14D47237-AFBB-463C-93F7-303A5E9B1F93}"/>
    <cellStyle name="Normal 9 2 2 2 2 2 2 3 3" xfId="13742" xr:uid="{4DB6AC0E-EA59-45A4-9FDF-78DAD03E654C}"/>
    <cellStyle name="Normal 9 2 2 2 2 2 2 4" xfId="18805" xr:uid="{84255916-EEBC-4268-91F0-B30D4FD1EB36}"/>
    <cellStyle name="Normal 9 2 2 2 2 2 2 5" xfId="17977" xr:uid="{0DB316D3-F134-496B-81A1-D1559C13D677}"/>
    <cellStyle name="Normal 9 2 2 2 2 2 2 6" xfId="9524" xr:uid="{EE23F4AF-B564-4281-B218-32FD258BF473}"/>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25580" xr:uid="{F07F74BF-7FD7-46CF-9E28-D5A5E58948AD}"/>
    <cellStyle name="Normal 9 2 2 2 2 2 3 2 2 3" xfId="16300" xr:uid="{C7A22047-7378-4672-AAFB-6AB8FDC5974F}"/>
    <cellStyle name="Normal 9 2 2 2 2 2 3 2 3" xfId="21363" xr:uid="{C26321A1-731D-44CA-B1E3-8080B554EA2A}"/>
    <cellStyle name="Normal 9 2 2 2 2 2 3 2 4" xfId="12082" xr:uid="{DD37DFBA-5698-43EB-9945-0414A5FAB27D}"/>
    <cellStyle name="Normal 9 2 2 2 2 2 3 3" xfId="5705" xr:uid="{00000000-0005-0000-0000-0000781E0000}"/>
    <cellStyle name="Normal 9 2 2 2 2 2 3 3 2" xfId="23435" xr:uid="{88B0101B-BA44-4D18-9DA5-64709BAF5177}"/>
    <cellStyle name="Normal 9 2 2 2 2 2 3 3 3" xfId="14155" xr:uid="{7BE26EBF-6338-427B-8EC5-236FD551D055}"/>
    <cellStyle name="Normal 9 2 2 2 2 2 3 4" xfId="19218" xr:uid="{D93B2F4B-009E-4361-B699-45B300AFF7F9}"/>
    <cellStyle name="Normal 9 2 2 2 2 2 3 5" xfId="9937" xr:uid="{FAE32A18-91C4-4538-A6D9-F268E19F93A1}"/>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25993" xr:uid="{3A990F3B-B707-4E5F-B1E0-C0C3BE68DB81}"/>
    <cellStyle name="Normal 9 2 2 2 2 2 4 2 2 3" xfId="16713" xr:uid="{8BBA55E4-294B-47C9-8B1C-16EDFFA65784}"/>
    <cellStyle name="Normal 9 2 2 2 2 2 4 2 3" xfId="21776" xr:uid="{03F47DBD-8873-4158-A17B-4BD4557DE5AD}"/>
    <cellStyle name="Normal 9 2 2 2 2 2 4 2 4" xfId="12495" xr:uid="{E15A3C7F-7465-4FFC-99A9-FF0DC2A6CADA}"/>
    <cellStyle name="Normal 9 2 2 2 2 2 4 3" xfId="6118" xr:uid="{00000000-0005-0000-0000-00007C1E0000}"/>
    <cellStyle name="Normal 9 2 2 2 2 2 4 3 2" xfId="23848" xr:uid="{18F69929-A7C3-4786-8F4A-C9B00F4D30DE}"/>
    <cellStyle name="Normal 9 2 2 2 2 2 4 3 3" xfId="14568" xr:uid="{0C945D26-2D59-46CA-BE07-BBB46FEECEBE}"/>
    <cellStyle name="Normal 9 2 2 2 2 2 4 4" xfId="19631" xr:uid="{6AAA9605-3D23-4611-9F4E-FF15CD3D962F}"/>
    <cellStyle name="Normal 9 2 2 2 2 2 4 5" xfId="10350" xr:uid="{814059F2-F450-4517-994A-CAE1F3D5AB6C}"/>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26406" xr:uid="{C1239B9E-1058-4FDB-AA83-BFA9CD2B7FE3}"/>
    <cellStyle name="Normal 9 2 2 2 2 2 5 2 2 3" xfId="17126" xr:uid="{A57B2B91-06FE-4E07-AC76-806C703C3B91}"/>
    <cellStyle name="Normal 9 2 2 2 2 2 5 2 3" xfId="22189" xr:uid="{63A8944F-41B8-4EB5-B071-299EE83E9CE2}"/>
    <cellStyle name="Normal 9 2 2 2 2 2 5 2 4" xfId="12908" xr:uid="{C8A827D9-D8A9-46B0-BB34-52EC81AC5BCA}"/>
    <cellStyle name="Normal 9 2 2 2 2 2 5 3" xfId="6531" xr:uid="{00000000-0005-0000-0000-0000801E0000}"/>
    <cellStyle name="Normal 9 2 2 2 2 2 5 3 2" xfId="24261" xr:uid="{6DA01BD5-33AB-4522-8CDE-94DFF3E05B55}"/>
    <cellStyle name="Normal 9 2 2 2 2 2 5 3 3" xfId="14981" xr:uid="{257C1742-4E8E-40FD-833D-D87C5D308368}"/>
    <cellStyle name="Normal 9 2 2 2 2 2 5 4" xfId="20044" xr:uid="{A1854599-606D-4E20-B4F9-70595D5C3079}"/>
    <cellStyle name="Normal 9 2 2 2 2 2 5 5" xfId="10763" xr:uid="{0BC05DAB-AEC5-4248-A36B-EBA15BE38F7C}"/>
    <cellStyle name="Normal 9 2 2 2 2 2 6" xfId="2661" xr:uid="{00000000-0005-0000-0000-0000811E0000}"/>
    <cellStyle name="Normal 9 2 2 2 2 2 6 2" xfId="6944" xr:uid="{00000000-0005-0000-0000-0000821E0000}"/>
    <cellStyle name="Normal 9 2 2 2 2 2 6 2 2" xfId="24674" xr:uid="{B55F0156-C2D6-4F90-96A6-D826A1ABE2F5}"/>
    <cellStyle name="Normal 9 2 2 2 2 2 6 2 3" xfId="15394" xr:uid="{42B5827D-8EEB-40D7-8BFF-C08AEE278A5B}"/>
    <cellStyle name="Normal 9 2 2 2 2 2 6 3" xfId="20457" xr:uid="{3D90EE50-EA6B-4C52-94FB-BE040E0A924B}"/>
    <cellStyle name="Normal 9 2 2 2 2 2 6 4" xfId="11176" xr:uid="{DE0A3FB1-FD85-4516-A724-23C288A9AA27}"/>
    <cellStyle name="Normal 9 2 2 2 2 2 7" xfId="4879" xr:uid="{00000000-0005-0000-0000-0000831E0000}"/>
    <cellStyle name="Normal 9 2 2 2 2 2 7 2" xfId="22609" xr:uid="{17655CB9-EB18-4742-83AE-9B621842D881}"/>
    <cellStyle name="Normal 9 2 2 2 2 2 7 3" xfId="13329" xr:uid="{51822815-5FA5-46EE-A736-1213CB77CECB}"/>
    <cellStyle name="Normal 9 2 2 2 2 2 8" xfId="18392" xr:uid="{5FEE1BA7-11DB-4B6C-8F0D-7EBE6256DFA2}"/>
    <cellStyle name="Normal 9 2 2 2 2 2 9" xfId="17558" xr:uid="{401F1882-399F-465E-A81C-6DF2EB41E595}"/>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25166" xr:uid="{6119981D-A0D4-4566-AF50-C6BEC779F5C3}"/>
    <cellStyle name="Normal 9 2 2 2 2 3 2 2 3" xfId="15886" xr:uid="{6DEC191F-F8DA-4C0F-9783-905FC3DC51F3}"/>
    <cellStyle name="Normal 9 2 2 2 2 3 2 3" xfId="20949" xr:uid="{80D87D96-8E67-4E1E-8CCC-C9B2018CA680}"/>
    <cellStyle name="Normal 9 2 2 2 2 3 2 4" xfId="11668" xr:uid="{CE5CB7BC-7E1B-40B3-B07A-45BA0BC54EE2}"/>
    <cellStyle name="Normal 9 2 2 2 2 3 3" xfId="5291" xr:uid="{00000000-0005-0000-0000-0000871E0000}"/>
    <cellStyle name="Normal 9 2 2 2 2 3 3 2" xfId="23021" xr:uid="{FAB6719A-F2BF-4596-8374-BBCF9990BDE5}"/>
    <cellStyle name="Normal 9 2 2 2 2 3 3 3" xfId="13741" xr:uid="{21F887CF-7451-4323-A2EB-27FD2C0A9559}"/>
    <cellStyle name="Normal 9 2 2 2 2 3 4" xfId="18804" xr:uid="{BB9D9899-0F87-4241-A5C3-210E51A98EBD}"/>
    <cellStyle name="Normal 9 2 2 2 2 3 5" xfId="17976" xr:uid="{2077CF09-71CB-4DBF-82A8-CD7ED8AE2470}"/>
    <cellStyle name="Normal 9 2 2 2 2 3 6" xfId="9523" xr:uid="{7938ED5E-4335-4B20-94F9-43100CE8F4A5}"/>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25579" xr:uid="{16435539-0471-40A9-A2D5-A8314C9275F9}"/>
    <cellStyle name="Normal 9 2 2 2 2 4 2 2 3" xfId="16299" xr:uid="{D3288B41-D3EF-4CB5-A24F-0C0619A3872D}"/>
    <cellStyle name="Normal 9 2 2 2 2 4 2 3" xfId="21362" xr:uid="{D5CFFF90-8554-4881-97B1-5C6F92733C48}"/>
    <cellStyle name="Normal 9 2 2 2 2 4 2 4" xfId="12081" xr:uid="{96C9FB81-5B33-4973-9B24-8357C3A11EFC}"/>
    <cellStyle name="Normal 9 2 2 2 2 4 3" xfId="5704" xr:uid="{00000000-0005-0000-0000-00008B1E0000}"/>
    <cellStyle name="Normal 9 2 2 2 2 4 3 2" xfId="23434" xr:uid="{77A85B19-EBA5-42EF-9059-524E544AB986}"/>
    <cellStyle name="Normal 9 2 2 2 2 4 3 3" xfId="14154" xr:uid="{2B637169-8999-4567-8526-C5E4A981091A}"/>
    <cellStyle name="Normal 9 2 2 2 2 4 4" xfId="19217" xr:uid="{569F15C3-7873-4DEC-A77F-33813528E7C8}"/>
    <cellStyle name="Normal 9 2 2 2 2 4 5" xfId="9936" xr:uid="{BB5EAEDD-A4E6-4F06-925D-A3A7F3699D71}"/>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25992" xr:uid="{C94773BA-E604-4A4A-9962-C772B341A6E6}"/>
    <cellStyle name="Normal 9 2 2 2 2 5 2 2 3" xfId="16712" xr:uid="{F1357322-FDF6-4E5E-8ABC-C15114CED7AB}"/>
    <cellStyle name="Normal 9 2 2 2 2 5 2 3" xfId="21775" xr:uid="{403F1606-41C8-4C8E-A7C1-A456496FBBEE}"/>
    <cellStyle name="Normal 9 2 2 2 2 5 2 4" xfId="12494" xr:uid="{CDB7ECBF-77D1-4959-9DA2-D55CBEE2CD1B}"/>
    <cellStyle name="Normal 9 2 2 2 2 5 3" xfId="6117" xr:uid="{00000000-0005-0000-0000-00008F1E0000}"/>
    <cellStyle name="Normal 9 2 2 2 2 5 3 2" xfId="23847" xr:uid="{CDBA7478-1772-4A81-AFDF-FC5763271D80}"/>
    <cellStyle name="Normal 9 2 2 2 2 5 3 3" xfId="14567" xr:uid="{183DB94E-D5F3-424C-B479-69639D957E13}"/>
    <cellStyle name="Normal 9 2 2 2 2 5 4" xfId="19630" xr:uid="{851F70D6-E1E6-4C8E-9FA6-60CCC54F32FA}"/>
    <cellStyle name="Normal 9 2 2 2 2 5 5" xfId="10349" xr:uid="{84961600-637D-4EE3-81EF-1B411F723322}"/>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26405" xr:uid="{3DADCED6-FEAD-4FD9-B6A6-9DDBBF3AE2DC}"/>
    <cellStyle name="Normal 9 2 2 2 2 6 2 2 3" xfId="17125" xr:uid="{B484778A-B1C2-4630-9651-39903455F980}"/>
    <cellStyle name="Normal 9 2 2 2 2 6 2 3" xfId="22188" xr:uid="{6ED8CB72-0E57-4C2C-B3C5-3BC3C4D0B7DC}"/>
    <cellStyle name="Normal 9 2 2 2 2 6 2 4" xfId="12907" xr:uid="{D70D5436-EE15-48D4-9C52-9C37A57BE5EB}"/>
    <cellStyle name="Normal 9 2 2 2 2 6 3" xfId="6530" xr:uid="{00000000-0005-0000-0000-0000931E0000}"/>
    <cellStyle name="Normal 9 2 2 2 2 6 3 2" xfId="24260" xr:uid="{A4E09067-E096-49D4-8638-8A0FEC1106AB}"/>
    <cellStyle name="Normal 9 2 2 2 2 6 3 3" xfId="14980" xr:uid="{DE2BB1FB-AAE1-41D4-9844-1ACF9AD5C34B}"/>
    <cellStyle name="Normal 9 2 2 2 2 6 4" xfId="20043" xr:uid="{3281C7F5-8559-4C84-BF90-6352A92B7C04}"/>
    <cellStyle name="Normal 9 2 2 2 2 6 5" xfId="10762" xr:uid="{2B24B4E8-8F81-4DB7-B96E-D2EB4D995661}"/>
    <cellStyle name="Normal 9 2 2 2 2 7" xfId="2660" xr:uid="{00000000-0005-0000-0000-0000941E0000}"/>
    <cellStyle name="Normal 9 2 2 2 2 7 2" xfId="6943" xr:uid="{00000000-0005-0000-0000-0000951E0000}"/>
    <cellStyle name="Normal 9 2 2 2 2 7 2 2" xfId="24673" xr:uid="{17FC0519-D0C9-4BD4-8B05-8786C299CFC8}"/>
    <cellStyle name="Normal 9 2 2 2 2 7 2 3" xfId="15393" xr:uid="{95945425-3591-4C27-ABDA-961F02202566}"/>
    <cellStyle name="Normal 9 2 2 2 2 7 3" xfId="20456" xr:uid="{A97177DE-3ABB-40EA-9FA5-4F952A5B6B61}"/>
    <cellStyle name="Normal 9 2 2 2 2 7 4" xfId="11175" xr:uid="{9AA00E8A-82BC-420A-B8FC-C9303263564E}"/>
    <cellStyle name="Normal 9 2 2 2 2 8" xfId="4878" xr:uid="{00000000-0005-0000-0000-0000961E0000}"/>
    <cellStyle name="Normal 9 2 2 2 2 8 2" xfId="22608" xr:uid="{03C867F5-5A25-4B1C-97BC-B1FAB1E10C91}"/>
    <cellStyle name="Normal 9 2 2 2 2 8 3" xfId="13328" xr:uid="{D73476FA-48FD-495C-881D-E9736F60668D}"/>
    <cellStyle name="Normal 9 2 2 2 2 9" xfId="18391" xr:uid="{61FF3F65-DEB2-4ABD-AFD3-0AABB833803D}"/>
    <cellStyle name="Normal 9 2 2 2 3" xfId="516" xr:uid="{00000000-0005-0000-0000-0000971E0000}"/>
    <cellStyle name="Normal 9 2 2 2 3 10" xfId="9112" xr:uid="{69342D2B-0D84-470A-A58E-38A4128FBC5E}"/>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25168" xr:uid="{09A492F0-0FBC-4286-B45D-D88D44211F47}"/>
    <cellStyle name="Normal 9 2 2 2 3 2 2 2 3" xfId="15888" xr:uid="{09A69533-A1D2-485E-85F8-EB597E430242}"/>
    <cellStyle name="Normal 9 2 2 2 3 2 2 3" xfId="20951" xr:uid="{97517239-9B6E-47EA-B6FC-F0612998C510}"/>
    <cellStyle name="Normal 9 2 2 2 3 2 2 4" xfId="11670" xr:uid="{ED280F98-4C9D-46BF-93DE-389BF1898F18}"/>
    <cellStyle name="Normal 9 2 2 2 3 2 3" xfId="5293" xr:uid="{00000000-0005-0000-0000-00009B1E0000}"/>
    <cellStyle name="Normal 9 2 2 2 3 2 3 2" xfId="23023" xr:uid="{9C2CAB64-5206-431E-A7E6-6927DCE19E7F}"/>
    <cellStyle name="Normal 9 2 2 2 3 2 3 3" xfId="13743" xr:uid="{DA185A52-80F8-4A2C-86BA-56FCAED7EDD3}"/>
    <cellStyle name="Normal 9 2 2 2 3 2 4" xfId="18806" xr:uid="{4938A6A6-4C38-443C-BD75-F30BBB43091A}"/>
    <cellStyle name="Normal 9 2 2 2 3 2 5" xfId="17978" xr:uid="{3F71E7DF-2425-4F17-873A-3B3BA83556F2}"/>
    <cellStyle name="Normal 9 2 2 2 3 2 6" xfId="9525" xr:uid="{D6803530-7D21-4D17-95E5-0284DFA685B3}"/>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25581" xr:uid="{AA5727E4-2B16-42E1-8F1F-D2FADBE30B13}"/>
    <cellStyle name="Normal 9 2 2 2 3 3 2 2 3" xfId="16301" xr:uid="{BBCA292D-9567-4E9C-8F94-6BDE1F8E5542}"/>
    <cellStyle name="Normal 9 2 2 2 3 3 2 3" xfId="21364" xr:uid="{6AE36B99-C60A-486B-AA56-842BDF82420A}"/>
    <cellStyle name="Normal 9 2 2 2 3 3 2 4" xfId="12083" xr:uid="{E98177F2-262F-46DA-AFC4-1AA702C8D0D3}"/>
    <cellStyle name="Normal 9 2 2 2 3 3 3" xfId="5706" xr:uid="{00000000-0005-0000-0000-00009F1E0000}"/>
    <cellStyle name="Normal 9 2 2 2 3 3 3 2" xfId="23436" xr:uid="{8AF3B990-CBB5-4CA8-9840-A7DF4BCFE1BA}"/>
    <cellStyle name="Normal 9 2 2 2 3 3 3 3" xfId="14156" xr:uid="{4515430F-E1FA-4C25-9A68-494D5197DDBC}"/>
    <cellStyle name="Normal 9 2 2 2 3 3 4" xfId="19219" xr:uid="{73C6B513-DC09-4CF9-99CA-7BDD95CF8DCB}"/>
    <cellStyle name="Normal 9 2 2 2 3 3 5" xfId="9938" xr:uid="{19495A6B-FE30-457F-B295-423BDD69EFE4}"/>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25994" xr:uid="{261EEF5E-3C1A-4532-A290-7E986B881099}"/>
    <cellStyle name="Normal 9 2 2 2 3 4 2 2 3" xfId="16714" xr:uid="{3E3B33C5-CFAF-4F60-9788-50F1F2127737}"/>
    <cellStyle name="Normal 9 2 2 2 3 4 2 3" xfId="21777" xr:uid="{CAD65715-C6AE-47A4-BE4F-9A736306B76C}"/>
    <cellStyle name="Normal 9 2 2 2 3 4 2 4" xfId="12496" xr:uid="{B0ADA460-2FA4-4075-A043-2930000D3718}"/>
    <cellStyle name="Normal 9 2 2 2 3 4 3" xfId="6119" xr:uid="{00000000-0005-0000-0000-0000A31E0000}"/>
    <cellStyle name="Normal 9 2 2 2 3 4 3 2" xfId="23849" xr:uid="{13EB7AFA-32B6-4522-816D-E962B6F78033}"/>
    <cellStyle name="Normal 9 2 2 2 3 4 3 3" xfId="14569" xr:uid="{A553E330-CC8B-4764-9989-6BCAE5754284}"/>
    <cellStyle name="Normal 9 2 2 2 3 4 4" xfId="19632" xr:uid="{E4B5C7B6-898C-468E-830D-AFA53F4B7430}"/>
    <cellStyle name="Normal 9 2 2 2 3 4 5" xfId="10351" xr:uid="{22A0EBE8-9128-43AC-B478-9997B36C59B8}"/>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26407" xr:uid="{050D139B-0259-4973-9E39-BCDFBB3441CF}"/>
    <cellStyle name="Normal 9 2 2 2 3 5 2 2 3" xfId="17127" xr:uid="{3F0C3808-844E-4A5A-BD79-3A39FDA66579}"/>
    <cellStyle name="Normal 9 2 2 2 3 5 2 3" xfId="22190" xr:uid="{10CD1161-0249-4C96-947B-4D72650A221E}"/>
    <cellStyle name="Normal 9 2 2 2 3 5 2 4" xfId="12909" xr:uid="{1EFB72F5-7C5F-4CB7-BE73-659DCE97DF44}"/>
    <cellStyle name="Normal 9 2 2 2 3 5 3" xfId="6532" xr:uid="{00000000-0005-0000-0000-0000A71E0000}"/>
    <cellStyle name="Normal 9 2 2 2 3 5 3 2" xfId="24262" xr:uid="{FDC0D083-374C-4C0A-8828-1676CC4AF0D1}"/>
    <cellStyle name="Normal 9 2 2 2 3 5 3 3" xfId="14982" xr:uid="{3CF016CC-F582-4C10-B572-86324ECCE173}"/>
    <cellStyle name="Normal 9 2 2 2 3 5 4" xfId="20045" xr:uid="{69349EA5-F6A0-461B-AAF7-486656231C31}"/>
    <cellStyle name="Normal 9 2 2 2 3 5 5" xfId="10764" xr:uid="{051A8D5B-D777-473C-9084-1018E4649D19}"/>
    <cellStyle name="Normal 9 2 2 2 3 6" xfId="2662" xr:uid="{00000000-0005-0000-0000-0000A81E0000}"/>
    <cellStyle name="Normal 9 2 2 2 3 6 2" xfId="6945" xr:uid="{00000000-0005-0000-0000-0000A91E0000}"/>
    <cellStyle name="Normal 9 2 2 2 3 6 2 2" xfId="24675" xr:uid="{5EF5EF89-F36B-4D81-AF1C-1A58EAA14466}"/>
    <cellStyle name="Normal 9 2 2 2 3 6 2 3" xfId="15395" xr:uid="{59E72D37-2909-4605-BA63-E059D22D4CA4}"/>
    <cellStyle name="Normal 9 2 2 2 3 6 3" xfId="20458" xr:uid="{15659FD6-B1E2-40D8-9682-7BB08DCF693A}"/>
    <cellStyle name="Normal 9 2 2 2 3 6 4" xfId="11177" xr:uid="{7C46D756-D1BB-4B79-9E3A-AFAFED4E3AE2}"/>
    <cellStyle name="Normal 9 2 2 2 3 7" xfId="4880" xr:uid="{00000000-0005-0000-0000-0000AA1E0000}"/>
    <cellStyle name="Normal 9 2 2 2 3 7 2" xfId="22610" xr:uid="{9D26EF0A-3A32-4E2F-AA8A-F34AA9861062}"/>
    <cellStyle name="Normal 9 2 2 2 3 7 3" xfId="13330" xr:uid="{B0030B26-430A-4EF6-9866-DA85F087521B}"/>
    <cellStyle name="Normal 9 2 2 2 3 8" xfId="18393" xr:uid="{559985E1-3948-4436-BE48-C6B5BF96555D}"/>
    <cellStyle name="Normal 9 2 2 2 3 9" xfId="17559" xr:uid="{62C02F10-F693-4856-B99C-141DD783ADD4}"/>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25165" xr:uid="{D98DF44D-299E-4CDA-8DBF-37E0D3D824D9}"/>
    <cellStyle name="Normal 9 2 2 2 4 2 2 3" xfId="15885" xr:uid="{04CE38E3-539D-4E26-BD4D-DBDD4A554754}"/>
    <cellStyle name="Normal 9 2 2 2 4 2 3" xfId="20948" xr:uid="{C2B48934-5908-422B-B20B-1F1C917715AC}"/>
    <cellStyle name="Normal 9 2 2 2 4 2 4" xfId="11667" xr:uid="{07D04ED0-D027-4E92-B20E-8AA4C4573371}"/>
    <cellStyle name="Normal 9 2 2 2 4 3" xfId="5290" xr:uid="{00000000-0005-0000-0000-0000AE1E0000}"/>
    <cellStyle name="Normal 9 2 2 2 4 3 2" xfId="23020" xr:uid="{5C77942F-EC1F-4D51-8C95-8C5CC6E8309D}"/>
    <cellStyle name="Normal 9 2 2 2 4 3 3" xfId="13740" xr:uid="{39646D5E-319F-46AF-ABBF-FA25FFF91A3C}"/>
    <cellStyle name="Normal 9 2 2 2 4 4" xfId="18803" xr:uid="{8C1E98AC-CED8-4425-B5A5-BCA90AFB441D}"/>
    <cellStyle name="Normal 9 2 2 2 4 5" xfId="17975" xr:uid="{7714CF47-B41F-4577-BB1E-B8887CDBC79C}"/>
    <cellStyle name="Normal 9 2 2 2 4 6" xfId="9522" xr:uid="{811E5300-5884-4086-A2B4-5CCC87219246}"/>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25578" xr:uid="{D74D051A-D0E1-4CBA-ADCD-B21F587183F7}"/>
    <cellStyle name="Normal 9 2 2 2 5 2 2 3" xfId="16298" xr:uid="{887E1B60-1377-4FE8-8B53-1AE6444FF86D}"/>
    <cellStyle name="Normal 9 2 2 2 5 2 3" xfId="21361" xr:uid="{0BA37670-8694-4D01-96A0-5FEBE0E16A4F}"/>
    <cellStyle name="Normal 9 2 2 2 5 2 4" xfId="12080" xr:uid="{8846A1CD-3D0E-4E02-B38B-1A821183501D}"/>
    <cellStyle name="Normal 9 2 2 2 5 3" xfId="5703" xr:uid="{00000000-0005-0000-0000-0000B21E0000}"/>
    <cellStyle name="Normal 9 2 2 2 5 3 2" xfId="23433" xr:uid="{46F30236-A3E6-4C1A-B3A8-AA681A452410}"/>
    <cellStyle name="Normal 9 2 2 2 5 3 3" xfId="14153" xr:uid="{3D41D53A-EF87-44F7-8C4D-BF4C1E59644D}"/>
    <cellStyle name="Normal 9 2 2 2 5 4" xfId="19216" xr:uid="{6A35B881-B543-4A3C-9F88-9DEA155A4761}"/>
    <cellStyle name="Normal 9 2 2 2 5 5" xfId="9935" xr:uid="{10F364A0-4F68-4D66-B1B2-DC136B5EB6C3}"/>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25991" xr:uid="{A818045B-2702-4AA4-BCF1-07E1EE3A7C1D}"/>
    <cellStyle name="Normal 9 2 2 2 6 2 2 3" xfId="16711" xr:uid="{E295ACF8-4F1B-4E7C-AE31-758C3CDA5BA4}"/>
    <cellStyle name="Normal 9 2 2 2 6 2 3" xfId="21774" xr:uid="{57D06580-5ABF-4182-B883-EA24E217BE5A}"/>
    <cellStyle name="Normal 9 2 2 2 6 2 4" xfId="12493" xr:uid="{323DCED2-04DA-4B6B-A139-EDA1DB27D1FD}"/>
    <cellStyle name="Normal 9 2 2 2 6 3" xfId="6116" xr:uid="{00000000-0005-0000-0000-0000B61E0000}"/>
    <cellStyle name="Normal 9 2 2 2 6 3 2" xfId="23846" xr:uid="{85C4C80C-1483-4831-9713-80903EC8C2A3}"/>
    <cellStyle name="Normal 9 2 2 2 6 3 3" xfId="14566" xr:uid="{BD212F16-5D1C-49F8-BB53-2D5138F793D4}"/>
    <cellStyle name="Normal 9 2 2 2 6 4" xfId="19629" xr:uid="{51449C3F-389D-48EE-97E7-C53EF05DD201}"/>
    <cellStyle name="Normal 9 2 2 2 6 5" xfId="10348" xr:uid="{FDA7753B-6E7B-4D44-B6A4-E53A7649E67B}"/>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26404" xr:uid="{8D06B39C-28D3-4493-99A4-CC8D3B428472}"/>
    <cellStyle name="Normal 9 2 2 2 7 2 2 3" xfId="17124" xr:uid="{41B5DFED-EF24-4B08-9503-C9889F4CCBD0}"/>
    <cellStyle name="Normal 9 2 2 2 7 2 3" xfId="22187" xr:uid="{93342E1D-97CA-4964-B78A-38B46E75E72D}"/>
    <cellStyle name="Normal 9 2 2 2 7 2 4" xfId="12906" xr:uid="{EFEA87E4-27B6-4876-BB33-AD46B50946F9}"/>
    <cellStyle name="Normal 9 2 2 2 7 3" xfId="6529" xr:uid="{00000000-0005-0000-0000-0000BA1E0000}"/>
    <cellStyle name="Normal 9 2 2 2 7 3 2" xfId="24259" xr:uid="{45DC26DF-96F1-4771-92CD-B3E658570A10}"/>
    <cellStyle name="Normal 9 2 2 2 7 3 3" xfId="14979" xr:uid="{9A51621B-23A4-4668-A275-140C3D1885F1}"/>
    <cellStyle name="Normal 9 2 2 2 7 4" xfId="20042" xr:uid="{A95EF4BF-DE0A-4011-A5F5-6063009B1A9D}"/>
    <cellStyle name="Normal 9 2 2 2 7 5" xfId="10761" xr:uid="{8CA94E41-7DB3-483C-B18E-C55EA2008A43}"/>
    <cellStyle name="Normal 9 2 2 2 8" xfId="2659" xr:uid="{00000000-0005-0000-0000-0000BB1E0000}"/>
    <cellStyle name="Normal 9 2 2 2 8 2" xfId="6942" xr:uid="{00000000-0005-0000-0000-0000BC1E0000}"/>
    <cellStyle name="Normal 9 2 2 2 8 2 2" xfId="24672" xr:uid="{19C22202-F262-47A7-A305-BDCF55FCEA8C}"/>
    <cellStyle name="Normal 9 2 2 2 8 2 3" xfId="15392" xr:uid="{9721389D-C85E-4CDF-8367-9A553190766C}"/>
    <cellStyle name="Normal 9 2 2 2 8 3" xfId="20455" xr:uid="{BC906CF9-E091-4BCC-981B-B4D0FDE37A1D}"/>
    <cellStyle name="Normal 9 2 2 2 8 4" xfId="11174" xr:uid="{7768DC78-982A-4412-B99F-DE2F7120AD0A}"/>
    <cellStyle name="Normal 9 2 2 2 9" xfId="4877" xr:uid="{00000000-0005-0000-0000-0000BD1E0000}"/>
    <cellStyle name="Normal 9 2 2 2 9 2" xfId="22607" xr:uid="{B1FB60EC-4522-4B10-8FE9-B41C07106D87}"/>
    <cellStyle name="Normal 9 2 2 2 9 3" xfId="13327" xr:uid="{D26FBAFF-EEA8-4F2B-9000-F58B49A03D36}"/>
    <cellStyle name="Normal 9 2 2 3" xfId="517" xr:uid="{00000000-0005-0000-0000-0000BE1E0000}"/>
    <cellStyle name="Normal 9 2 2 3 10" xfId="17560" xr:uid="{77C09C4D-B6BB-4552-909D-184344ECC12D}"/>
    <cellStyle name="Normal 9 2 2 3 11" xfId="9113" xr:uid="{7F4D1BB9-ED95-4FCB-B57D-90AB0D1AB574}"/>
    <cellStyle name="Normal 9 2 2 3 2" xfId="518" xr:uid="{00000000-0005-0000-0000-0000BF1E0000}"/>
    <cellStyle name="Normal 9 2 2 3 2 10" xfId="9114" xr:uid="{52A8C55C-7D75-4269-82BC-B4F8BD3245E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25170" xr:uid="{4490E9B4-0409-4B30-A907-787B8B0AB3AD}"/>
    <cellStyle name="Normal 9 2 2 3 2 2 2 2 3" xfId="15890" xr:uid="{9890DD2A-F469-4052-9E2A-C68110A59171}"/>
    <cellStyle name="Normal 9 2 2 3 2 2 2 3" xfId="20953" xr:uid="{1C89E5B2-21F8-4846-971B-972091CFA3DF}"/>
    <cellStyle name="Normal 9 2 2 3 2 2 2 4" xfId="11672" xr:uid="{98EEA714-C3A4-46FB-AB3D-A5633908D26B}"/>
    <cellStyle name="Normal 9 2 2 3 2 2 3" xfId="5295" xr:uid="{00000000-0005-0000-0000-0000C31E0000}"/>
    <cellStyle name="Normal 9 2 2 3 2 2 3 2" xfId="23025" xr:uid="{0F9B93B9-AEF7-43B8-89E5-373CD35046ED}"/>
    <cellStyle name="Normal 9 2 2 3 2 2 3 3" xfId="13745" xr:uid="{CF888A43-5413-4AE7-8526-647F2A309313}"/>
    <cellStyle name="Normal 9 2 2 3 2 2 4" xfId="18808" xr:uid="{F2C0E3E1-DD94-46E5-9143-83A182912804}"/>
    <cellStyle name="Normal 9 2 2 3 2 2 5" xfId="17980" xr:uid="{400B4AE7-8F98-4C4F-B2A7-C1A0AE81E489}"/>
    <cellStyle name="Normal 9 2 2 3 2 2 6" xfId="9527" xr:uid="{8E5E8783-848C-4DFA-919E-96581AD7EA9B}"/>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25583" xr:uid="{351FA222-BE3D-4091-ACC9-C12941ACD479}"/>
    <cellStyle name="Normal 9 2 2 3 2 3 2 2 3" xfId="16303" xr:uid="{A5041A4D-4FE7-44E1-B7DF-EBE0FDB236FA}"/>
    <cellStyle name="Normal 9 2 2 3 2 3 2 3" xfId="21366" xr:uid="{2EB91839-322D-4F7C-A3F8-B82A9C34E1C5}"/>
    <cellStyle name="Normal 9 2 2 3 2 3 2 4" xfId="12085" xr:uid="{318CFD7F-8B09-448B-8A68-D8E56396D870}"/>
    <cellStyle name="Normal 9 2 2 3 2 3 3" xfId="5708" xr:uid="{00000000-0005-0000-0000-0000C71E0000}"/>
    <cellStyle name="Normal 9 2 2 3 2 3 3 2" xfId="23438" xr:uid="{B72B9C1E-9374-42A8-9176-3E306F544538}"/>
    <cellStyle name="Normal 9 2 2 3 2 3 3 3" xfId="14158" xr:uid="{4769B43E-AA53-41B4-8519-2E352833336D}"/>
    <cellStyle name="Normal 9 2 2 3 2 3 4" xfId="19221" xr:uid="{714958E0-2B90-404C-BF4E-9FDE2629A073}"/>
    <cellStyle name="Normal 9 2 2 3 2 3 5" xfId="9940" xr:uid="{60BA66FC-D22C-4E7F-8E1B-6311ACCC0BA8}"/>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25996" xr:uid="{C11F6B1B-7B59-49B1-85DC-120A9668DF21}"/>
    <cellStyle name="Normal 9 2 2 3 2 4 2 2 3" xfId="16716" xr:uid="{8E6B7C2A-4381-45E0-94A5-A566A49E12B3}"/>
    <cellStyle name="Normal 9 2 2 3 2 4 2 3" xfId="21779" xr:uid="{AA5FEB52-0B60-4421-9060-6E17BC28AEB1}"/>
    <cellStyle name="Normal 9 2 2 3 2 4 2 4" xfId="12498" xr:uid="{EC87DF6F-31BE-45CE-B019-3DD23647B2EA}"/>
    <cellStyle name="Normal 9 2 2 3 2 4 3" xfId="6121" xr:uid="{00000000-0005-0000-0000-0000CB1E0000}"/>
    <cellStyle name="Normal 9 2 2 3 2 4 3 2" xfId="23851" xr:uid="{0BD14AC4-32A2-4E82-A106-E4D54B269C61}"/>
    <cellStyle name="Normal 9 2 2 3 2 4 3 3" xfId="14571" xr:uid="{3B7FCD89-8557-4E35-92C2-E4C25FEE87BF}"/>
    <cellStyle name="Normal 9 2 2 3 2 4 4" xfId="19634" xr:uid="{4B12F627-E5BE-4B04-8EB5-A9C66A25EAE4}"/>
    <cellStyle name="Normal 9 2 2 3 2 4 5" xfId="10353" xr:uid="{8619B14A-51A8-45ED-9678-D47A97F0BF4E}"/>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26409" xr:uid="{6094DAC1-D514-4DD3-9F06-7F832B9AD337}"/>
    <cellStyle name="Normal 9 2 2 3 2 5 2 2 3" xfId="17129" xr:uid="{08B920AE-6E5B-478F-8AFA-6556BC50C67E}"/>
    <cellStyle name="Normal 9 2 2 3 2 5 2 3" xfId="22192" xr:uid="{847D2B82-58CE-42BC-9A1E-8F7BB4E1D9C2}"/>
    <cellStyle name="Normal 9 2 2 3 2 5 2 4" xfId="12911" xr:uid="{E2F2B390-AADA-4102-8650-78D92A35E9B8}"/>
    <cellStyle name="Normal 9 2 2 3 2 5 3" xfId="6534" xr:uid="{00000000-0005-0000-0000-0000CF1E0000}"/>
    <cellStyle name="Normal 9 2 2 3 2 5 3 2" xfId="24264" xr:uid="{8876BFE5-8D96-4EEA-8369-3841D7B51EDE}"/>
    <cellStyle name="Normal 9 2 2 3 2 5 3 3" xfId="14984" xr:uid="{C254EF36-838E-471D-9336-713BB3A65F40}"/>
    <cellStyle name="Normal 9 2 2 3 2 5 4" xfId="20047" xr:uid="{7A82A625-2F00-4FE7-A0F4-328A22327F11}"/>
    <cellStyle name="Normal 9 2 2 3 2 5 5" xfId="10766" xr:uid="{12C6182E-2A26-44A5-ABDC-E3ED4971F2AA}"/>
    <cellStyle name="Normal 9 2 2 3 2 6" xfId="2664" xr:uid="{00000000-0005-0000-0000-0000D01E0000}"/>
    <cellStyle name="Normal 9 2 2 3 2 6 2" xfId="6947" xr:uid="{00000000-0005-0000-0000-0000D11E0000}"/>
    <cellStyle name="Normal 9 2 2 3 2 6 2 2" xfId="24677" xr:uid="{FF20707E-A5DD-4CD6-824D-0A3302FB78DC}"/>
    <cellStyle name="Normal 9 2 2 3 2 6 2 3" xfId="15397" xr:uid="{458D8F99-4FD1-4486-98B3-D403E5F35957}"/>
    <cellStyle name="Normal 9 2 2 3 2 6 3" xfId="20460" xr:uid="{5CB19803-BA55-450D-8285-7207CB76C775}"/>
    <cellStyle name="Normal 9 2 2 3 2 6 4" xfId="11179" xr:uid="{0BB45BE3-9759-4DF0-82BC-65DD932FF3D5}"/>
    <cellStyle name="Normal 9 2 2 3 2 7" xfId="4882" xr:uid="{00000000-0005-0000-0000-0000D21E0000}"/>
    <cellStyle name="Normal 9 2 2 3 2 7 2" xfId="22612" xr:uid="{0BF922AF-6D88-4CD0-9139-E1E5C158880F}"/>
    <cellStyle name="Normal 9 2 2 3 2 7 3" xfId="13332" xr:uid="{1C1F2061-F275-4A56-B1D7-19F06BA017B3}"/>
    <cellStyle name="Normal 9 2 2 3 2 8" xfId="18395" xr:uid="{EA6FFE67-447F-42FE-81CC-7A08715F3467}"/>
    <cellStyle name="Normal 9 2 2 3 2 9" xfId="17561" xr:uid="{985DB3E0-EAE0-4143-9483-740A8F7B6D1F}"/>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25169" xr:uid="{2CA1962F-AA5D-427C-841E-1140688F8971}"/>
    <cellStyle name="Normal 9 2 2 3 3 2 2 3" xfId="15889" xr:uid="{C977600E-52DE-45AA-A2E8-B23975F3E1ED}"/>
    <cellStyle name="Normal 9 2 2 3 3 2 3" xfId="20952" xr:uid="{398EF2AA-0274-4C97-AAAE-711D3E2F18FC}"/>
    <cellStyle name="Normal 9 2 2 3 3 2 4" xfId="11671" xr:uid="{F81A3460-636C-4D66-97D3-EBAC4435FCF4}"/>
    <cellStyle name="Normal 9 2 2 3 3 3" xfId="5294" xr:uid="{00000000-0005-0000-0000-0000D61E0000}"/>
    <cellStyle name="Normal 9 2 2 3 3 3 2" xfId="23024" xr:uid="{F38EAF69-CE65-4811-B0CB-5538D17EE63D}"/>
    <cellStyle name="Normal 9 2 2 3 3 3 3" xfId="13744" xr:uid="{03A90039-9CF5-4CA2-9B63-05BD140E3A9E}"/>
    <cellStyle name="Normal 9 2 2 3 3 4" xfId="18807" xr:uid="{F8288E81-3726-41B6-885D-4056B9CD21EF}"/>
    <cellStyle name="Normal 9 2 2 3 3 5" xfId="17979" xr:uid="{4E28AF5E-352B-4B50-8B78-C9EA256B5F3A}"/>
    <cellStyle name="Normal 9 2 2 3 3 6" xfId="9526" xr:uid="{BBA217DE-4B9A-40B4-9928-F8247F060C20}"/>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25582" xr:uid="{66B33150-CAA4-4503-9022-4D19CC819CA6}"/>
    <cellStyle name="Normal 9 2 2 3 4 2 2 3" xfId="16302" xr:uid="{9F462779-D9C0-4D68-B2C3-3C302570D07E}"/>
    <cellStyle name="Normal 9 2 2 3 4 2 3" xfId="21365" xr:uid="{7EFC1CB9-302A-4287-A663-A8DEAF3C2B64}"/>
    <cellStyle name="Normal 9 2 2 3 4 2 4" xfId="12084" xr:uid="{9F8609C0-8B7B-4B05-ACAD-29E28AB694DA}"/>
    <cellStyle name="Normal 9 2 2 3 4 3" xfId="5707" xr:uid="{00000000-0005-0000-0000-0000DA1E0000}"/>
    <cellStyle name="Normal 9 2 2 3 4 3 2" xfId="23437" xr:uid="{8169AEE7-D071-45C2-AEFB-5AB23ECB481A}"/>
    <cellStyle name="Normal 9 2 2 3 4 3 3" xfId="14157" xr:uid="{FFBDA26B-7B40-4FF7-B2A4-3EABF83E81C2}"/>
    <cellStyle name="Normal 9 2 2 3 4 4" xfId="19220" xr:uid="{B76F8B3F-A9EB-43AE-88C1-AB6BA57F0B3F}"/>
    <cellStyle name="Normal 9 2 2 3 4 5" xfId="9939" xr:uid="{A274AABE-1C7F-4FBA-BD70-5E9D641AAB84}"/>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25995" xr:uid="{493B967A-CC6D-493B-AFEA-5BB873087C09}"/>
    <cellStyle name="Normal 9 2 2 3 5 2 2 3" xfId="16715" xr:uid="{CD39026E-F322-4C55-9A58-2F12DCC0ACCD}"/>
    <cellStyle name="Normal 9 2 2 3 5 2 3" xfId="21778" xr:uid="{DC8177F9-13A6-44EE-A5EC-28D2C8E3C173}"/>
    <cellStyle name="Normal 9 2 2 3 5 2 4" xfId="12497" xr:uid="{53AE59E7-10BA-4C20-AA84-B02280BB07FA}"/>
    <cellStyle name="Normal 9 2 2 3 5 3" xfId="6120" xr:uid="{00000000-0005-0000-0000-0000DE1E0000}"/>
    <cellStyle name="Normal 9 2 2 3 5 3 2" xfId="23850" xr:uid="{4C91114C-38EB-466F-98D4-17E372B9A14A}"/>
    <cellStyle name="Normal 9 2 2 3 5 3 3" xfId="14570" xr:uid="{B83DF03E-984D-4747-B974-BC33F03A1A28}"/>
    <cellStyle name="Normal 9 2 2 3 5 4" xfId="19633" xr:uid="{8F8E659B-360D-4BAC-AE31-B9F24DCD0A24}"/>
    <cellStyle name="Normal 9 2 2 3 5 5" xfId="10352" xr:uid="{0B6E75FE-ABE5-491E-9899-2AB31A525453}"/>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26408" xr:uid="{A7A1B076-41E9-40E6-BFC6-435D17B908F1}"/>
    <cellStyle name="Normal 9 2 2 3 6 2 2 3" xfId="17128" xr:uid="{6DFFD753-90C7-4D03-A1C6-477E7D025963}"/>
    <cellStyle name="Normal 9 2 2 3 6 2 3" xfId="22191" xr:uid="{13F81F28-292E-4F1E-B7B0-ADD403481699}"/>
    <cellStyle name="Normal 9 2 2 3 6 2 4" xfId="12910" xr:uid="{A456E8E4-689A-4BD8-9F4C-3D6F53682534}"/>
    <cellStyle name="Normal 9 2 2 3 6 3" xfId="6533" xr:uid="{00000000-0005-0000-0000-0000E21E0000}"/>
    <cellStyle name="Normal 9 2 2 3 6 3 2" xfId="24263" xr:uid="{2F46C803-8FB4-4FFA-B9CB-4FC3EC914AC2}"/>
    <cellStyle name="Normal 9 2 2 3 6 3 3" xfId="14983" xr:uid="{A2AB5F12-6F4F-4667-8449-E9BFA6D9AA39}"/>
    <cellStyle name="Normal 9 2 2 3 6 4" xfId="20046" xr:uid="{F1FB1255-D125-461F-969B-86ABA5FA8079}"/>
    <cellStyle name="Normal 9 2 2 3 6 5" xfId="10765" xr:uid="{C73A06CF-3F48-4144-8AE8-0333B4684040}"/>
    <cellStyle name="Normal 9 2 2 3 7" xfId="2663" xr:uid="{00000000-0005-0000-0000-0000E31E0000}"/>
    <cellStyle name="Normal 9 2 2 3 7 2" xfId="6946" xr:uid="{00000000-0005-0000-0000-0000E41E0000}"/>
    <cellStyle name="Normal 9 2 2 3 7 2 2" xfId="24676" xr:uid="{045CA063-3414-4167-9388-D4D9DA69D69B}"/>
    <cellStyle name="Normal 9 2 2 3 7 2 3" xfId="15396" xr:uid="{571A3E94-0B20-4F1E-8474-9A9CBE61045C}"/>
    <cellStyle name="Normal 9 2 2 3 7 3" xfId="20459" xr:uid="{41EEEE31-003D-4B42-9E6C-664A8C1A6BA7}"/>
    <cellStyle name="Normal 9 2 2 3 7 4" xfId="11178" xr:uid="{7691F1D6-399A-4BF6-A736-CB899B07F489}"/>
    <cellStyle name="Normal 9 2 2 3 8" xfId="4881" xr:uid="{00000000-0005-0000-0000-0000E51E0000}"/>
    <cellStyle name="Normal 9 2 2 3 8 2" xfId="22611" xr:uid="{B53B5E28-B5BF-421D-8002-3DEEA5E8F9C4}"/>
    <cellStyle name="Normal 9 2 2 3 8 3" xfId="13331" xr:uid="{F75E8E70-D31C-4DE3-94D6-B275EA6085BC}"/>
    <cellStyle name="Normal 9 2 2 3 9" xfId="18394" xr:uid="{56CB0794-A1E1-4BE5-8B59-2571749FD179}"/>
    <cellStyle name="Normal 9 2 2 4" xfId="519" xr:uid="{00000000-0005-0000-0000-0000E61E0000}"/>
    <cellStyle name="Normal 9 2 2 4 10" xfId="9115" xr:uid="{8B4D3774-D5D7-467B-88B0-0871CC994BED}"/>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25171" xr:uid="{F3820B0F-4BC9-4EE4-9D4B-B222A2D58800}"/>
    <cellStyle name="Normal 9 2 2 4 2 2 2 3" xfId="15891" xr:uid="{E4A171BD-3750-491C-AD44-BCD4E8B27039}"/>
    <cellStyle name="Normal 9 2 2 4 2 2 3" xfId="20954" xr:uid="{CE8675A8-6F6A-4B17-B829-7E22C1A12C49}"/>
    <cellStyle name="Normal 9 2 2 4 2 2 4" xfId="11673" xr:uid="{6A89A63B-6B95-4FE3-826D-AE1FF81B7832}"/>
    <cellStyle name="Normal 9 2 2 4 2 3" xfId="5296" xr:uid="{00000000-0005-0000-0000-0000EA1E0000}"/>
    <cellStyle name="Normal 9 2 2 4 2 3 2" xfId="23026" xr:uid="{7DB4C125-DC40-4AE3-9A9D-5F31374CFD10}"/>
    <cellStyle name="Normal 9 2 2 4 2 3 3" xfId="13746" xr:uid="{E23CAEB2-D7BE-42A6-A07C-232F9BC4C6A3}"/>
    <cellStyle name="Normal 9 2 2 4 2 4" xfId="18809" xr:uid="{CD2BC7AE-4FB9-4B91-B4C9-7886FC28B90A}"/>
    <cellStyle name="Normal 9 2 2 4 2 5" xfId="17981" xr:uid="{25A2D510-0D5E-46BD-BE7F-FE04E8104B95}"/>
    <cellStyle name="Normal 9 2 2 4 2 6" xfId="9528" xr:uid="{B4C38B63-6C2A-4AF7-AEEB-C54470AD7082}"/>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25584" xr:uid="{774FAB14-E2E4-49DA-BFA0-3A7CB3304894}"/>
    <cellStyle name="Normal 9 2 2 4 3 2 2 3" xfId="16304" xr:uid="{953CB241-17B8-4B95-A53E-1D990F98764B}"/>
    <cellStyle name="Normal 9 2 2 4 3 2 3" xfId="21367" xr:uid="{B46AA88E-1570-49FC-93CD-4E23F5ACC9A2}"/>
    <cellStyle name="Normal 9 2 2 4 3 2 4" xfId="12086" xr:uid="{5D41B1AF-D35F-4561-8F85-620CF1837442}"/>
    <cellStyle name="Normal 9 2 2 4 3 3" xfId="5709" xr:uid="{00000000-0005-0000-0000-0000EE1E0000}"/>
    <cellStyle name="Normal 9 2 2 4 3 3 2" xfId="23439" xr:uid="{111B81B4-F60D-4122-9D77-98CC2B4141E9}"/>
    <cellStyle name="Normal 9 2 2 4 3 3 3" xfId="14159" xr:uid="{B03DEB57-5839-48B1-A16E-BC454E28E298}"/>
    <cellStyle name="Normal 9 2 2 4 3 4" xfId="19222" xr:uid="{74BD2F75-C052-4690-A549-88D7F6264E7B}"/>
    <cellStyle name="Normal 9 2 2 4 3 5" xfId="9941" xr:uid="{5B8D4FA1-2FBA-4898-AB1C-44BFB44E77A1}"/>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25997" xr:uid="{4FA5CBCA-B546-4A74-804B-7EF0E97159D7}"/>
    <cellStyle name="Normal 9 2 2 4 4 2 2 3" xfId="16717" xr:uid="{43DDEC0A-AB58-4A4B-9ECE-C391BD246632}"/>
    <cellStyle name="Normal 9 2 2 4 4 2 3" xfId="21780" xr:uid="{FEF55300-9882-4668-AA76-FA878CB5D881}"/>
    <cellStyle name="Normal 9 2 2 4 4 2 4" xfId="12499" xr:uid="{038E46C9-C5F9-41EA-87A9-454F683B427B}"/>
    <cellStyle name="Normal 9 2 2 4 4 3" xfId="6122" xr:uid="{00000000-0005-0000-0000-0000F21E0000}"/>
    <cellStyle name="Normal 9 2 2 4 4 3 2" xfId="23852" xr:uid="{2425C525-0424-4BA4-A87D-5BCBC0F921DF}"/>
    <cellStyle name="Normal 9 2 2 4 4 3 3" xfId="14572" xr:uid="{DDA808DC-5929-4F9F-91FB-91874163D234}"/>
    <cellStyle name="Normal 9 2 2 4 4 4" xfId="19635" xr:uid="{12C1E16A-A529-46C9-AC7A-BF9C69479E7D}"/>
    <cellStyle name="Normal 9 2 2 4 4 5" xfId="10354" xr:uid="{CCE75F93-97B3-4976-A259-766A3F8243C7}"/>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26410" xr:uid="{30C0D02B-F60F-4F5E-9243-0BB37760900A}"/>
    <cellStyle name="Normal 9 2 2 4 5 2 2 3" xfId="17130" xr:uid="{86DFA1D9-C1B6-4C61-8B16-29E3D5072FA3}"/>
    <cellStyle name="Normal 9 2 2 4 5 2 3" xfId="22193" xr:uid="{ECEA690F-71CD-470A-8D71-5960FD9FFBF7}"/>
    <cellStyle name="Normal 9 2 2 4 5 2 4" xfId="12912" xr:uid="{B492AF21-B343-42F2-9F07-190B94657E8C}"/>
    <cellStyle name="Normal 9 2 2 4 5 3" xfId="6535" xr:uid="{00000000-0005-0000-0000-0000F61E0000}"/>
    <cellStyle name="Normal 9 2 2 4 5 3 2" xfId="24265" xr:uid="{D99D01D9-F1C5-4D3C-A9D2-EE9A2BE86F98}"/>
    <cellStyle name="Normal 9 2 2 4 5 3 3" xfId="14985" xr:uid="{F3661947-DBBB-4762-BC75-EFA2AB0C1244}"/>
    <cellStyle name="Normal 9 2 2 4 5 4" xfId="20048" xr:uid="{3467F492-7C66-4A7A-872B-B69728629124}"/>
    <cellStyle name="Normal 9 2 2 4 5 5" xfId="10767" xr:uid="{7B05F279-BB42-48BA-BBDF-EE56F9493AC4}"/>
    <cellStyle name="Normal 9 2 2 4 6" xfId="2665" xr:uid="{00000000-0005-0000-0000-0000F71E0000}"/>
    <cellStyle name="Normal 9 2 2 4 6 2" xfId="6948" xr:uid="{00000000-0005-0000-0000-0000F81E0000}"/>
    <cellStyle name="Normal 9 2 2 4 6 2 2" xfId="24678" xr:uid="{7074A3F2-7F71-4166-B30D-F8827C3DE54E}"/>
    <cellStyle name="Normal 9 2 2 4 6 2 3" xfId="15398" xr:uid="{CA08C1BE-7F61-485A-BA61-D54FA7A72201}"/>
    <cellStyle name="Normal 9 2 2 4 6 3" xfId="20461" xr:uid="{9DE4A0F2-EBA0-40AF-B305-63BCD231AE99}"/>
    <cellStyle name="Normal 9 2 2 4 6 4" xfId="11180" xr:uid="{B4DA477B-1602-4681-9EB7-3E1675F43F35}"/>
    <cellStyle name="Normal 9 2 2 4 7" xfId="4883" xr:uid="{00000000-0005-0000-0000-0000F91E0000}"/>
    <cellStyle name="Normal 9 2 2 4 7 2" xfId="22613" xr:uid="{0B4F1D68-1CD5-4413-BF24-8A0F99D109DF}"/>
    <cellStyle name="Normal 9 2 2 4 7 3" xfId="13333" xr:uid="{BDFD0F9C-063D-4458-9ABD-CCEF62D67853}"/>
    <cellStyle name="Normal 9 2 2 4 8" xfId="18396" xr:uid="{6B3AEB5D-DC97-46BB-B2EE-3B57B5499F05}"/>
    <cellStyle name="Normal 9 2 2 4 9" xfId="17562" xr:uid="{7AA1DDC9-0C3B-41F4-87FE-7ABC86B393A9}"/>
    <cellStyle name="Normal 9 2 2 5" xfId="979" xr:uid="{00000000-0005-0000-0000-0000FA1E0000}"/>
    <cellStyle name="Normal 9 2 2 5 2" xfId="3212" xr:uid="{00000000-0005-0000-0000-0000FB1E0000}"/>
    <cellStyle name="Normal 9 2 2 5 2 2" xfId="7434" xr:uid="{00000000-0005-0000-0000-0000FC1E0000}"/>
    <cellStyle name="Normal 9 2 2 5 2 2 2" xfId="25164" xr:uid="{B28C75C5-C4A5-48FE-9BE8-29BE2F8460E6}"/>
    <cellStyle name="Normal 9 2 2 5 2 2 3" xfId="15884" xr:uid="{F3793D22-D7A4-4F2A-B504-9A85D14EF501}"/>
    <cellStyle name="Normal 9 2 2 5 2 3" xfId="20947" xr:uid="{D901FCFB-C1B1-4FE6-9F20-2CFE6826F5DE}"/>
    <cellStyle name="Normal 9 2 2 5 2 4" xfId="11666" xr:uid="{7D7966B1-5A17-4737-998E-79AB0D86A75B}"/>
    <cellStyle name="Normal 9 2 2 5 3" xfId="5289" xr:uid="{00000000-0005-0000-0000-0000FD1E0000}"/>
    <cellStyle name="Normal 9 2 2 5 3 2" xfId="23019" xr:uid="{2FF05292-EC4D-472B-ACD6-4124E0A6FA21}"/>
    <cellStyle name="Normal 9 2 2 5 3 3" xfId="13739" xr:uid="{1EDF56B2-D887-402B-8BA9-B703D4341D3F}"/>
    <cellStyle name="Normal 9 2 2 5 4" xfId="18802" xr:uid="{F79C0954-8A3F-4C04-8F48-AE80D0E84768}"/>
    <cellStyle name="Normal 9 2 2 5 5" xfId="17974" xr:uid="{8FF0B8B1-7386-434C-9FBD-FD1EFC2BD278}"/>
    <cellStyle name="Normal 9 2 2 5 6" xfId="9521" xr:uid="{2398E51F-C2BA-48BC-941E-2D82AF4328D4}"/>
    <cellStyle name="Normal 9 2 2 6" xfId="1395" xr:uid="{00000000-0005-0000-0000-0000FE1E0000}"/>
    <cellStyle name="Normal 9 2 2 6 2" xfId="3625" xr:uid="{00000000-0005-0000-0000-0000FF1E0000}"/>
    <cellStyle name="Normal 9 2 2 6 2 2" xfId="7847" xr:uid="{00000000-0005-0000-0000-0000001F0000}"/>
    <cellStyle name="Normal 9 2 2 6 2 2 2" xfId="25577" xr:uid="{0CE50A8B-5DDA-4C81-A902-1071590EB1ED}"/>
    <cellStyle name="Normal 9 2 2 6 2 2 3" xfId="16297" xr:uid="{8FBDB7B0-3201-478A-AB54-F3A6C5B51C2B}"/>
    <cellStyle name="Normal 9 2 2 6 2 3" xfId="21360" xr:uid="{A2EF0300-E7B3-453B-AE3C-EAB49C7E1A1E}"/>
    <cellStyle name="Normal 9 2 2 6 2 4" xfId="12079" xr:uid="{432F1A4A-6F25-4A07-8C76-6B640590A66C}"/>
    <cellStyle name="Normal 9 2 2 6 3" xfId="5702" xr:uid="{00000000-0005-0000-0000-0000011F0000}"/>
    <cellStyle name="Normal 9 2 2 6 3 2" xfId="23432" xr:uid="{A38FCD67-E7F4-4FD4-A593-1CA5C6BD7EFB}"/>
    <cellStyle name="Normal 9 2 2 6 3 3" xfId="14152" xr:uid="{1F8CD653-BB24-4AE6-9AB2-B1DAF5F4FD76}"/>
    <cellStyle name="Normal 9 2 2 6 4" xfId="19215" xr:uid="{02E0ED68-F94A-40BF-BBA0-8988464BC489}"/>
    <cellStyle name="Normal 9 2 2 6 5" xfId="9934" xr:uid="{902492D8-8A31-47D8-BFDD-8ABFF1D646A1}"/>
    <cellStyle name="Normal 9 2 2 7" xfId="1808" xr:uid="{00000000-0005-0000-0000-0000021F0000}"/>
    <cellStyle name="Normal 9 2 2 7 2" xfId="4038" xr:uid="{00000000-0005-0000-0000-0000031F0000}"/>
    <cellStyle name="Normal 9 2 2 7 2 2" xfId="8260" xr:uid="{00000000-0005-0000-0000-0000041F0000}"/>
    <cellStyle name="Normal 9 2 2 7 2 2 2" xfId="25990" xr:uid="{26F33346-B510-4BDD-B2FA-BFC72A4E841C}"/>
    <cellStyle name="Normal 9 2 2 7 2 2 3" xfId="16710" xr:uid="{5674F4AC-3DEE-4A90-A27B-E1A42F246C43}"/>
    <cellStyle name="Normal 9 2 2 7 2 3" xfId="21773" xr:uid="{0F88D6F2-9479-4506-AF3E-D4135B6581A3}"/>
    <cellStyle name="Normal 9 2 2 7 2 4" xfId="12492" xr:uid="{C395A853-5F9F-4C75-8AA9-9B5B0CC64987}"/>
    <cellStyle name="Normal 9 2 2 7 3" xfId="6115" xr:uid="{00000000-0005-0000-0000-0000051F0000}"/>
    <cellStyle name="Normal 9 2 2 7 3 2" xfId="23845" xr:uid="{12E2F3E1-43DB-4FA2-A686-A80D674ADB5C}"/>
    <cellStyle name="Normal 9 2 2 7 3 3" xfId="14565" xr:uid="{7A7031F7-8BA5-40FC-95D2-675A7520BC6C}"/>
    <cellStyle name="Normal 9 2 2 7 4" xfId="19628" xr:uid="{A57E27B6-3A67-48FB-83CC-5256FFBD7860}"/>
    <cellStyle name="Normal 9 2 2 7 5" xfId="10347" xr:uid="{4880A730-661F-4F40-BA77-7C16C7B9297F}"/>
    <cellStyle name="Normal 9 2 2 8" xfId="2222" xr:uid="{00000000-0005-0000-0000-0000061F0000}"/>
    <cellStyle name="Normal 9 2 2 8 2" xfId="4451" xr:uid="{00000000-0005-0000-0000-0000071F0000}"/>
    <cellStyle name="Normal 9 2 2 8 2 2" xfId="8673" xr:uid="{00000000-0005-0000-0000-0000081F0000}"/>
    <cellStyle name="Normal 9 2 2 8 2 2 2" xfId="26403" xr:uid="{E353D649-1D1B-477D-9CC9-98E6CF9800CD}"/>
    <cellStyle name="Normal 9 2 2 8 2 2 3" xfId="17123" xr:uid="{9FBDE77C-4E98-4791-95A3-058E1583D9C7}"/>
    <cellStyle name="Normal 9 2 2 8 2 3" xfId="22186" xr:uid="{CA561C22-5495-4938-8239-02E52804D9BC}"/>
    <cellStyle name="Normal 9 2 2 8 2 4" xfId="12905" xr:uid="{12BDB286-47EE-4380-9970-CACDFB066DDC}"/>
    <cellStyle name="Normal 9 2 2 8 3" xfId="6528" xr:uid="{00000000-0005-0000-0000-0000091F0000}"/>
    <cellStyle name="Normal 9 2 2 8 3 2" xfId="24258" xr:uid="{5C145129-F7F1-40EA-B322-1F99C2BAE80D}"/>
    <cellStyle name="Normal 9 2 2 8 3 3" xfId="14978" xr:uid="{8A2FAC53-ACBD-4D82-81FB-FE802D8F8EEC}"/>
    <cellStyle name="Normal 9 2 2 8 4" xfId="20041" xr:uid="{7713691D-D5D6-4CE7-82AA-A7503B0C636D}"/>
    <cellStyle name="Normal 9 2 2 8 5" xfId="10760" xr:uid="{3616BC8A-111B-45B8-9B1B-7292E071F428}"/>
    <cellStyle name="Normal 9 2 2 9" xfId="2658" xr:uid="{00000000-0005-0000-0000-00000A1F0000}"/>
    <cellStyle name="Normal 9 2 2 9 2" xfId="6941" xr:uid="{00000000-0005-0000-0000-00000B1F0000}"/>
    <cellStyle name="Normal 9 2 2 9 2 2" xfId="24671" xr:uid="{F436AD4D-DF20-4E78-8C36-9B4F09C0AFA8}"/>
    <cellStyle name="Normal 9 2 2 9 2 3" xfId="15391" xr:uid="{11EDD7EF-142C-465D-9619-E5A10B912DD7}"/>
    <cellStyle name="Normal 9 2 2 9 3" xfId="20454" xr:uid="{1A5E34D3-732A-48EA-8037-AC7C9BBA855E}"/>
    <cellStyle name="Normal 9 2 2 9 4" xfId="11173" xr:uid="{8BBDF3D1-0DDA-413C-B957-ACF5B808BAD3}"/>
    <cellStyle name="Normal 9 2 3" xfId="520" xr:uid="{00000000-0005-0000-0000-00000C1F0000}"/>
    <cellStyle name="Normal 9 2 3 10" xfId="18397" xr:uid="{0D0C6238-5337-46CA-98F0-94328004E47B}"/>
    <cellStyle name="Normal 9 2 3 11" xfId="17563" xr:uid="{99F0969F-46D9-44F2-B0CE-3B571CA03F59}"/>
    <cellStyle name="Normal 9 2 3 12" xfId="9116" xr:uid="{0994790D-4CFE-44BB-BF80-6546B76C720E}"/>
    <cellStyle name="Normal 9 2 3 2" xfId="521" xr:uid="{00000000-0005-0000-0000-00000D1F0000}"/>
    <cellStyle name="Normal 9 2 3 2 10" xfId="17564" xr:uid="{B66E71C0-1BDB-4F18-B56C-E0F0559EDA7C}"/>
    <cellStyle name="Normal 9 2 3 2 11" xfId="9117" xr:uid="{4E4DACBA-F1E0-457B-B310-724F911EF246}"/>
    <cellStyle name="Normal 9 2 3 2 2" xfId="522" xr:uid="{00000000-0005-0000-0000-00000E1F0000}"/>
    <cellStyle name="Normal 9 2 3 2 2 10" xfId="9118" xr:uid="{9D99F7D1-CDB1-4B1D-B0F7-A54D3DE42D35}"/>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25174" xr:uid="{61A9FD5D-93AE-43D5-AD3C-6B254F3D6B52}"/>
    <cellStyle name="Normal 9 2 3 2 2 2 2 2 3" xfId="15894" xr:uid="{D00849DE-4630-4CA1-A37C-5C204FB3FD72}"/>
    <cellStyle name="Normal 9 2 3 2 2 2 2 3" xfId="20957" xr:uid="{9AAFB070-845F-4425-B897-45279FC31B9A}"/>
    <cellStyle name="Normal 9 2 3 2 2 2 2 4" xfId="11676" xr:uid="{4E9E7FC0-DC2D-4508-9843-13E1F299D43C}"/>
    <cellStyle name="Normal 9 2 3 2 2 2 3" xfId="5299" xr:uid="{00000000-0005-0000-0000-0000121F0000}"/>
    <cellStyle name="Normal 9 2 3 2 2 2 3 2" xfId="23029" xr:uid="{DDEF1F0F-A474-4276-8AB4-6B13EE368DFD}"/>
    <cellStyle name="Normal 9 2 3 2 2 2 3 3" xfId="13749" xr:uid="{48DE85ED-5302-4791-8E4B-84A9C0734835}"/>
    <cellStyle name="Normal 9 2 3 2 2 2 4" xfId="18812" xr:uid="{A847D4D6-B2A1-4D06-A6CC-3C3275190C30}"/>
    <cellStyle name="Normal 9 2 3 2 2 2 5" xfId="17984" xr:uid="{4ECB6B64-CEC8-411B-991D-57D9B2DD86C8}"/>
    <cellStyle name="Normal 9 2 3 2 2 2 6" xfId="9531" xr:uid="{C203258F-71B8-4F8C-8095-0E3AF123DDEF}"/>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25587" xr:uid="{DC674CAD-140E-4FC4-946F-ACADDA3BCC87}"/>
    <cellStyle name="Normal 9 2 3 2 2 3 2 2 3" xfId="16307" xr:uid="{A97FAFAB-4C94-4E4C-BB7F-78708A94BF26}"/>
    <cellStyle name="Normal 9 2 3 2 2 3 2 3" xfId="21370" xr:uid="{FF8911AB-CE38-48AB-8053-230A8A8B1E4E}"/>
    <cellStyle name="Normal 9 2 3 2 2 3 2 4" xfId="12089" xr:uid="{8207EB70-EC7B-4BEC-9349-FA11A6CFB210}"/>
    <cellStyle name="Normal 9 2 3 2 2 3 3" xfId="5712" xr:uid="{00000000-0005-0000-0000-0000161F0000}"/>
    <cellStyle name="Normal 9 2 3 2 2 3 3 2" xfId="23442" xr:uid="{ED1272DA-3CD2-4D6A-BF32-52A447FDF888}"/>
    <cellStyle name="Normal 9 2 3 2 2 3 3 3" xfId="14162" xr:uid="{272C06F2-E676-4A4E-BBEA-1127824C481C}"/>
    <cellStyle name="Normal 9 2 3 2 2 3 4" xfId="19225" xr:uid="{EBFABB12-3CFB-448B-9E23-7604126F65D9}"/>
    <cellStyle name="Normal 9 2 3 2 2 3 5" xfId="9944" xr:uid="{E97F89A8-E435-4319-8D92-55E84D6EEFCD}"/>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26000" xr:uid="{A080383F-6EC0-47E6-BAD6-4C7F24A03662}"/>
    <cellStyle name="Normal 9 2 3 2 2 4 2 2 3" xfId="16720" xr:uid="{051219C2-7580-4626-88CD-545943871CED}"/>
    <cellStyle name="Normal 9 2 3 2 2 4 2 3" xfId="21783" xr:uid="{03C830D4-565A-4E1A-AA4F-C182DE1CCD18}"/>
    <cellStyle name="Normal 9 2 3 2 2 4 2 4" xfId="12502" xr:uid="{5DA82225-E5AD-415E-B03F-FE34F11E7AA6}"/>
    <cellStyle name="Normal 9 2 3 2 2 4 3" xfId="6125" xr:uid="{00000000-0005-0000-0000-00001A1F0000}"/>
    <cellStyle name="Normal 9 2 3 2 2 4 3 2" xfId="23855" xr:uid="{C278836B-66BC-477D-A02A-43F8AF79B5E1}"/>
    <cellStyle name="Normal 9 2 3 2 2 4 3 3" xfId="14575" xr:uid="{842B954C-5120-4C2B-A90B-D13C23A0C1E3}"/>
    <cellStyle name="Normal 9 2 3 2 2 4 4" xfId="19638" xr:uid="{5F2884B3-190D-4311-8E76-641E0601AFD1}"/>
    <cellStyle name="Normal 9 2 3 2 2 4 5" xfId="10357" xr:uid="{179F3B69-D0D3-40D2-B5EA-E9CBD53E1557}"/>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26413" xr:uid="{ADDA15F0-91B1-46DF-ABD3-30DDE91320F8}"/>
    <cellStyle name="Normal 9 2 3 2 2 5 2 2 3" xfId="17133" xr:uid="{D7A68C9F-984C-449F-A5D5-0A8AE0FE4A77}"/>
    <cellStyle name="Normal 9 2 3 2 2 5 2 3" xfId="22196" xr:uid="{8F7829B9-3F0A-4DDD-9CB6-F6D977955B6E}"/>
    <cellStyle name="Normal 9 2 3 2 2 5 2 4" xfId="12915" xr:uid="{7181DCA7-AEF3-4B1E-AE9D-315EF2AD00C7}"/>
    <cellStyle name="Normal 9 2 3 2 2 5 3" xfId="6538" xr:uid="{00000000-0005-0000-0000-00001E1F0000}"/>
    <cellStyle name="Normal 9 2 3 2 2 5 3 2" xfId="24268" xr:uid="{C776C1D9-9185-4420-8B8D-3FDD8B15D370}"/>
    <cellStyle name="Normal 9 2 3 2 2 5 3 3" xfId="14988" xr:uid="{C85A9028-6773-4003-AE02-89E2763EFC8C}"/>
    <cellStyle name="Normal 9 2 3 2 2 5 4" xfId="20051" xr:uid="{33B67ADC-E1FF-434E-BE88-F2390595CBF8}"/>
    <cellStyle name="Normal 9 2 3 2 2 5 5" xfId="10770" xr:uid="{9FAA1C9A-1E11-4D86-9742-0B5A6C4FCFE0}"/>
    <cellStyle name="Normal 9 2 3 2 2 6" xfId="2668" xr:uid="{00000000-0005-0000-0000-00001F1F0000}"/>
    <cellStyle name="Normal 9 2 3 2 2 6 2" xfId="6951" xr:uid="{00000000-0005-0000-0000-0000201F0000}"/>
    <cellStyle name="Normal 9 2 3 2 2 6 2 2" xfId="24681" xr:uid="{E80503F1-B64C-4E36-B0F1-E7770AE2D0C4}"/>
    <cellStyle name="Normal 9 2 3 2 2 6 2 3" xfId="15401" xr:uid="{7F7F0F00-9071-45AD-9310-DF10B9B6B13A}"/>
    <cellStyle name="Normal 9 2 3 2 2 6 3" xfId="20464" xr:uid="{9D4A30AC-B724-413F-91DB-2DC5193679C6}"/>
    <cellStyle name="Normal 9 2 3 2 2 6 4" xfId="11183" xr:uid="{F1F5BBEC-9B0E-4F76-A58D-F841CB31760E}"/>
    <cellStyle name="Normal 9 2 3 2 2 7" xfId="4886" xr:uid="{00000000-0005-0000-0000-0000211F0000}"/>
    <cellStyle name="Normal 9 2 3 2 2 7 2" xfId="22616" xr:uid="{11260B5B-326E-4C7D-8D04-AA7AF566A8C5}"/>
    <cellStyle name="Normal 9 2 3 2 2 7 3" xfId="13336" xr:uid="{5B0E7D02-A788-41B2-8141-0248F528511E}"/>
    <cellStyle name="Normal 9 2 3 2 2 8" xfId="18399" xr:uid="{DC3B928A-8808-49D4-B909-10536081CF5D}"/>
    <cellStyle name="Normal 9 2 3 2 2 9" xfId="17565" xr:uid="{9B2C88FF-8A75-4AEE-978A-05F86C74C346}"/>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25173" xr:uid="{F057609B-1A1B-4E6C-B78D-31961DF9B857}"/>
    <cellStyle name="Normal 9 2 3 2 3 2 2 3" xfId="15893" xr:uid="{F9F7E815-4C51-411C-92AF-3518A3C1AAFB}"/>
    <cellStyle name="Normal 9 2 3 2 3 2 3" xfId="20956" xr:uid="{72068E29-E029-4D04-8215-58F7D6EADB2D}"/>
    <cellStyle name="Normal 9 2 3 2 3 2 4" xfId="11675" xr:uid="{04F16BAD-5BEE-4B69-B913-8E93A2D832F9}"/>
    <cellStyle name="Normal 9 2 3 2 3 3" xfId="5298" xr:uid="{00000000-0005-0000-0000-0000251F0000}"/>
    <cellStyle name="Normal 9 2 3 2 3 3 2" xfId="23028" xr:uid="{0B58F3DC-27BD-492B-B40C-EC5C9F3405DA}"/>
    <cellStyle name="Normal 9 2 3 2 3 3 3" xfId="13748" xr:uid="{907FA321-5C3D-4F5A-9738-A7D0C81CE3E9}"/>
    <cellStyle name="Normal 9 2 3 2 3 4" xfId="18811" xr:uid="{2F05A343-DEE0-4317-B9AA-9A7CCE7EE9A6}"/>
    <cellStyle name="Normal 9 2 3 2 3 5" xfId="17983" xr:uid="{3000DE72-CE5E-4065-A822-BE9EEFE5D308}"/>
    <cellStyle name="Normal 9 2 3 2 3 6" xfId="9530" xr:uid="{60629313-9FB5-499C-A74F-102293E449AD}"/>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25586" xr:uid="{F2EEB711-88ED-44F4-B962-911B79384463}"/>
    <cellStyle name="Normal 9 2 3 2 4 2 2 3" xfId="16306" xr:uid="{9782C331-A476-4BAA-990E-CC25CECA1FBA}"/>
    <cellStyle name="Normal 9 2 3 2 4 2 3" xfId="21369" xr:uid="{1EC376EA-15C2-4BEA-AB1D-1F47E868A089}"/>
    <cellStyle name="Normal 9 2 3 2 4 2 4" xfId="12088" xr:uid="{6A7E4AF6-A8B3-426E-99C5-D842B41B1A2A}"/>
    <cellStyle name="Normal 9 2 3 2 4 3" xfId="5711" xr:uid="{00000000-0005-0000-0000-0000291F0000}"/>
    <cellStyle name="Normal 9 2 3 2 4 3 2" xfId="23441" xr:uid="{5F386D9A-077D-45F0-A7B0-7FBE2CBFA8D9}"/>
    <cellStyle name="Normal 9 2 3 2 4 3 3" xfId="14161" xr:uid="{BE075DF1-5BA3-4E4C-95F0-D7373C3E98EF}"/>
    <cellStyle name="Normal 9 2 3 2 4 4" xfId="19224" xr:uid="{D2CDD2CD-B1E4-4BB3-93A7-DCEFBB7EB1D4}"/>
    <cellStyle name="Normal 9 2 3 2 4 5" xfId="9943" xr:uid="{F081B18C-9CDA-424C-9878-297524D51DAC}"/>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25999" xr:uid="{6CB765DF-90C4-4776-9397-621BE3A00846}"/>
    <cellStyle name="Normal 9 2 3 2 5 2 2 3" xfId="16719" xr:uid="{0EF94469-152B-402E-BC05-F919393475DE}"/>
    <cellStyle name="Normal 9 2 3 2 5 2 3" xfId="21782" xr:uid="{A7778B89-86E8-4532-8CAC-FB7F0DC133BF}"/>
    <cellStyle name="Normal 9 2 3 2 5 2 4" xfId="12501" xr:uid="{35F91866-0080-4DD9-92CD-7B86E90B2FC4}"/>
    <cellStyle name="Normal 9 2 3 2 5 3" xfId="6124" xr:uid="{00000000-0005-0000-0000-00002D1F0000}"/>
    <cellStyle name="Normal 9 2 3 2 5 3 2" xfId="23854" xr:uid="{F99BEE61-30A8-4753-B73B-2F8870C03633}"/>
    <cellStyle name="Normal 9 2 3 2 5 3 3" xfId="14574" xr:uid="{5331961D-A014-4373-BB1D-C43D2C6F73DB}"/>
    <cellStyle name="Normal 9 2 3 2 5 4" xfId="19637" xr:uid="{F0434694-4B39-414C-8DBC-E4C58A0D7724}"/>
    <cellStyle name="Normal 9 2 3 2 5 5" xfId="10356" xr:uid="{984DD08B-34B2-4945-89DE-646E77F0A097}"/>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26412" xr:uid="{975B05F1-8BA3-4039-93CF-2F17FA084D6B}"/>
    <cellStyle name="Normal 9 2 3 2 6 2 2 3" xfId="17132" xr:uid="{EE313D83-7999-47F7-BFC7-1E8852F729FC}"/>
    <cellStyle name="Normal 9 2 3 2 6 2 3" xfId="22195" xr:uid="{D4BEBAA2-E282-4FC8-A1DA-BC7605C7144D}"/>
    <cellStyle name="Normal 9 2 3 2 6 2 4" xfId="12914" xr:uid="{6AB2DDD3-A40D-4602-A168-BA3AA69C0AD7}"/>
    <cellStyle name="Normal 9 2 3 2 6 3" xfId="6537" xr:uid="{00000000-0005-0000-0000-0000311F0000}"/>
    <cellStyle name="Normal 9 2 3 2 6 3 2" xfId="24267" xr:uid="{10E996FF-4259-40E1-A672-87B09A46C5B3}"/>
    <cellStyle name="Normal 9 2 3 2 6 3 3" xfId="14987" xr:uid="{C0475FB9-A01E-4F5F-A99F-4BFC5AD5C9ED}"/>
    <cellStyle name="Normal 9 2 3 2 6 4" xfId="20050" xr:uid="{9FEE1B9D-D7AB-400C-87B1-736F9BD15F4B}"/>
    <cellStyle name="Normal 9 2 3 2 6 5" xfId="10769" xr:uid="{12059285-8E93-4B3B-AFDD-0DE1F4F77C7F}"/>
    <cellStyle name="Normal 9 2 3 2 7" xfId="2667" xr:uid="{00000000-0005-0000-0000-0000321F0000}"/>
    <cellStyle name="Normal 9 2 3 2 7 2" xfId="6950" xr:uid="{00000000-0005-0000-0000-0000331F0000}"/>
    <cellStyle name="Normal 9 2 3 2 7 2 2" xfId="24680" xr:uid="{8AA6A001-2C45-4B31-89C5-319B35BA0259}"/>
    <cellStyle name="Normal 9 2 3 2 7 2 3" xfId="15400" xr:uid="{59788FE5-37E0-461F-90DD-2C0258BE88AC}"/>
    <cellStyle name="Normal 9 2 3 2 7 3" xfId="20463" xr:uid="{EE8161C7-029F-4607-B331-7076ADBD6718}"/>
    <cellStyle name="Normal 9 2 3 2 7 4" xfId="11182" xr:uid="{065A83E7-38B6-4447-B2B6-6ACEB1CCEF08}"/>
    <cellStyle name="Normal 9 2 3 2 8" xfId="4885" xr:uid="{00000000-0005-0000-0000-0000341F0000}"/>
    <cellStyle name="Normal 9 2 3 2 8 2" xfId="22615" xr:uid="{98454D40-E6BC-4CCE-94B1-E75DB3F7109F}"/>
    <cellStyle name="Normal 9 2 3 2 8 3" xfId="13335" xr:uid="{AC42E9AF-4991-465E-9527-B14A7E48D2D1}"/>
    <cellStyle name="Normal 9 2 3 2 9" xfId="18398" xr:uid="{DB2DE0A9-806F-4514-BFA1-F1E67A1EFE8F}"/>
    <cellStyle name="Normal 9 2 3 3" xfId="523" xr:uid="{00000000-0005-0000-0000-0000351F0000}"/>
    <cellStyle name="Normal 9 2 3 3 10" xfId="9119" xr:uid="{E0F2EBEB-60AC-409E-8F0E-9E7E036269D5}"/>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25175" xr:uid="{9A16540B-0CBE-4D50-9209-3D4E7A775ED4}"/>
    <cellStyle name="Normal 9 2 3 3 2 2 2 3" xfId="15895" xr:uid="{005612D4-D624-44A1-B77A-C393A0448978}"/>
    <cellStyle name="Normal 9 2 3 3 2 2 3" xfId="20958" xr:uid="{3A32171C-B664-41E8-8C2F-88112D5DB0B1}"/>
    <cellStyle name="Normal 9 2 3 3 2 2 4" xfId="11677" xr:uid="{1348B5CE-DB1F-4072-83DE-4DAB6FA95BF9}"/>
    <cellStyle name="Normal 9 2 3 3 2 3" xfId="5300" xr:uid="{00000000-0005-0000-0000-0000391F0000}"/>
    <cellStyle name="Normal 9 2 3 3 2 3 2" xfId="23030" xr:uid="{4541A0BB-78D3-419F-9C54-FF428AECE343}"/>
    <cellStyle name="Normal 9 2 3 3 2 3 3" xfId="13750" xr:uid="{4205FA42-8053-4411-B9C1-09FF351D3627}"/>
    <cellStyle name="Normal 9 2 3 3 2 4" xfId="18813" xr:uid="{3EE11645-5418-41CB-B246-6CAD6AC295E0}"/>
    <cellStyle name="Normal 9 2 3 3 2 5" xfId="17985" xr:uid="{61CB5E94-0AFF-4D15-9C82-45374A7ACBC3}"/>
    <cellStyle name="Normal 9 2 3 3 2 6" xfId="9532" xr:uid="{A80325FC-767E-4A02-817D-3AB34739E7EA}"/>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25588" xr:uid="{97F7B80C-0416-46D5-8C8C-CDB2134D1518}"/>
    <cellStyle name="Normal 9 2 3 3 3 2 2 3" xfId="16308" xr:uid="{00D88A77-EC8A-420B-9922-5CB0FA9E3780}"/>
    <cellStyle name="Normal 9 2 3 3 3 2 3" xfId="21371" xr:uid="{4DAC7293-2CDC-44FB-A169-0479C472571C}"/>
    <cellStyle name="Normal 9 2 3 3 3 2 4" xfId="12090" xr:uid="{23A6D6CF-8F58-47EC-94CD-A082D4E3E5B0}"/>
    <cellStyle name="Normal 9 2 3 3 3 3" xfId="5713" xr:uid="{00000000-0005-0000-0000-00003D1F0000}"/>
    <cellStyle name="Normal 9 2 3 3 3 3 2" xfId="23443" xr:uid="{BDE6D0F2-F5CE-4043-924B-FC775F44196E}"/>
    <cellStyle name="Normal 9 2 3 3 3 3 3" xfId="14163" xr:uid="{C5C28CE6-D6EB-4F18-BFC3-81E7F510B2A4}"/>
    <cellStyle name="Normal 9 2 3 3 3 4" xfId="19226" xr:uid="{326A6E5F-3FDC-4498-A676-4D08E5980382}"/>
    <cellStyle name="Normal 9 2 3 3 3 5" xfId="9945" xr:uid="{0F01997E-291B-44E3-9C7D-B8CB67E4E716}"/>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26001" xr:uid="{112E02E5-0117-47AB-9AEB-1EC548BD5B0E}"/>
    <cellStyle name="Normal 9 2 3 3 4 2 2 3" xfId="16721" xr:uid="{126DF9D5-5114-4473-AB44-D0C87162C164}"/>
    <cellStyle name="Normal 9 2 3 3 4 2 3" xfId="21784" xr:uid="{AB4227B8-53EA-44A5-8E7A-9924DE01E1BE}"/>
    <cellStyle name="Normal 9 2 3 3 4 2 4" xfId="12503" xr:uid="{E45A5914-F7B6-4F35-A04A-998FD8CA5BAA}"/>
    <cellStyle name="Normal 9 2 3 3 4 3" xfId="6126" xr:uid="{00000000-0005-0000-0000-0000411F0000}"/>
    <cellStyle name="Normal 9 2 3 3 4 3 2" xfId="23856" xr:uid="{CAA951BF-601E-4173-B716-C8D6A05E9F91}"/>
    <cellStyle name="Normal 9 2 3 3 4 3 3" xfId="14576" xr:uid="{95E03761-350D-4329-9337-AECFC662B851}"/>
    <cellStyle name="Normal 9 2 3 3 4 4" xfId="19639" xr:uid="{7C07EADE-5642-44A9-AB77-2A39E86B9272}"/>
    <cellStyle name="Normal 9 2 3 3 4 5" xfId="10358" xr:uid="{0D39CE1E-A07F-4F81-9B5E-63C6B4556DC5}"/>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26414" xr:uid="{21B82A8F-099E-4886-BA62-86E778824677}"/>
    <cellStyle name="Normal 9 2 3 3 5 2 2 3" xfId="17134" xr:uid="{230A1019-B480-4F49-AB43-6D0911C78E61}"/>
    <cellStyle name="Normal 9 2 3 3 5 2 3" xfId="22197" xr:uid="{5ACAFFA7-1419-4FA0-8EF6-E9F7508DA5A6}"/>
    <cellStyle name="Normal 9 2 3 3 5 2 4" xfId="12916" xr:uid="{DA794F0A-2D56-4FF6-9941-6E951C85215F}"/>
    <cellStyle name="Normal 9 2 3 3 5 3" xfId="6539" xr:uid="{00000000-0005-0000-0000-0000451F0000}"/>
    <cellStyle name="Normal 9 2 3 3 5 3 2" xfId="24269" xr:uid="{39B5EE64-9D19-43C2-AE8B-5AC27CB0F808}"/>
    <cellStyle name="Normal 9 2 3 3 5 3 3" xfId="14989" xr:uid="{C58BC738-4AB5-4510-94D6-7B5B7B343213}"/>
    <cellStyle name="Normal 9 2 3 3 5 4" xfId="20052" xr:uid="{D25A1136-6A92-447C-B39F-DE09CA051E57}"/>
    <cellStyle name="Normal 9 2 3 3 5 5" xfId="10771" xr:uid="{D23E8156-0565-4D00-806B-290EDCD6F770}"/>
    <cellStyle name="Normal 9 2 3 3 6" xfId="2669" xr:uid="{00000000-0005-0000-0000-0000461F0000}"/>
    <cellStyle name="Normal 9 2 3 3 6 2" xfId="6952" xr:uid="{00000000-0005-0000-0000-0000471F0000}"/>
    <cellStyle name="Normal 9 2 3 3 6 2 2" xfId="24682" xr:uid="{FD07775D-FE80-492A-9EDF-D7A14FBD5BB8}"/>
    <cellStyle name="Normal 9 2 3 3 6 2 3" xfId="15402" xr:uid="{9F2878F2-95ED-4E73-AA6C-B3D61B169D75}"/>
    <cellStyle name="Normal 9 2 3 3 6 3" xfId="20465" xr:uid="{50BFA186-F447-40AF-8A42-C42DEC953F3C}"/>
    <cellStyle name="Normal 9 2 3 3 6 4" xfId="11184" xr:uid="{368D8C14-DBF8-42C9-9830-2426C08AB9F1}"/>
    <cellStyle name="Normal 9 2 3 3 7" xfId="4887" xr:uid="{00000000-0005-0000-0000-0000481F0000}"/>
    <cellStyle name="Normal 9 2 3 3 7 2" xfId="22617" xr:uid="{547C7AB8-8895-4D66-8D61-A2A15C446E56}"/>
    <cellStyle name="Normal 9 2 3 3 7 3" xfId="13337" xr:uid="{687D29FD-7859-4648-9643-6A43E68B81D4}"/>
    <cellStyle name="Normal 9 2 3 3 8" xfId="18400" xr:uid="{C41017E4-1FBE-4181-B68F-63AEE5EFCBA4}"/>
    <cellStyle name="Normal 9 2 3 3 9" xfId="17566" xr:uid="{46364083-36EE-49BD-9A36-A1C78A0575CF}"/>
    <cellStyle name="Normal 9 2 3 4" xfId="987" xr:uid="{00000000-0005-0000-0000-0000491F0000}"/>
    <cellStyle name="Normal 9 2 3 4 2" xfId="3220" xr:uid="{00000000-0005-0000-0000-00004A1F0000}"/>
    <cellStyle name="Normal 9 2 3 4 2 2" xfId="7442" xr:uid="{00000000-0005-0000-0000-00004B1F0000}"/>
    <cellStyle name="Normal 9 2 3 4 2 2 2" xfId="25172" xr:uid="{9C8CB272-5E80-4B6C-BE70-C416BB52144D}"/>
    <cellStyle name="Normal 9 2 3 4 2 2 3" xfId="15892" xr:uid="{6695A7F5-7B3B-48D1-9D08-9254534A106F}"/>
    <cellStyle name="Normal 9 2 3 4 2 3" xfId="20955" xr:uid="{EFE9B5B4-AB35-4F67-9AB4-04425FDE619B}"/>
    <cellStyle name="Normal 9 2 3 4 2 4" xfId="11674" xr:uid="{C7A388DF-5235-4CD3-899D-7AF5AD1E0624}"/>
    <cellStyle name="Normal 9 2 3 4 3" xfId="5297" xr:uid="{00000000-0005-0000-0000-00004C1F0000}"/>
    <cellStyle name="Normal 9 2 3 4 3 2" xfId="23027" xr:uid="{BB972DE4-B4D4-45DA-B3DA-FB0612431B48}"/>
    <cellStyle name="Normal 9 2 3 4 3 3" xfId="13747" xr:uid="{FD86A3C6-A7A0-4136-B22F-BAC421A5BF2D}"/>
    <cellStyle name="Normal 9 2 3 4 4" xfId="18810" xr:uid="{D08627C7-1108-456B-BFBE-905929F5F1D9}"/>
    <cellStyle name="Normal 9 2 3 4 5" xfId="17982" xr:uid="{91FCC21E-34B9-487F-BAB0-1D2316680C19}"/>
    <cellStyle name="Normal 9 2 3 4 6" xfId="9529" xr:uid="{CE189992-320B-460D-A3D2-D1481C970F84}"/>
    <cellStyle name="Normal 9 2 3 5" xfId="1403" xr:uid="{00000000-0005-0000-0000-00004D1F0000}"/>
    <cellStyle name="Normal 9 2 3 5 2" xfId="3633" xr:uid="{00000000-0005-0000-0000-00004E1F0000}"/>
    <cellStyle name="Normal 9 2 3 5 2 2" xfId="7855" xr:uid="{00000000-0005-0000-0000-00004F1F0000}"/>
    <cellStyle name="Normal 9 2 3 5 2 2 2" xfId="25585" xr:uid="{6FFA5A50-5724-41C6-9F89-FCFDFF43392F}"/>
    <cellStyle name="Normal 9 2 3 5 2 2 3" xfId="16305" xr:uid="{361AFB0F-7AAE-46AA-8ABA-D62333B2E3A0}"/>
    <cellStyle name="Normal 9 2 3 5 2 3" xfId="21368" xr:uid="{8FD340D4-F5A6-4B31-9835-0BE1A2BB5D48}"/>
    <cellStyle name="Normal 9 2 3 5 2 4" xfId="12087" xr:uid="{B231222F-B542-4D63-829C-7805F31F9D16}"/>
    <cellStyle name="Normal 9 2 3 5 3" xfId="5710" xr:uid="{00000000-0005-0000-0000-0000501F0000}"/>
    <cellStyle name="Normal 9 2 3 5 3 2" xfId="23440" xr:uid="{5555FBC9-B099-470E-B319-A88FA01F4A23}"/>
    <cellStyle name="Normal 9 2 3 5 3 3" xfId="14160" xr:uid="{2B19B677-5C8D-43A5-A061-DCBBE2895BD7}"/>
    <cellStyle name="Normal 9 2 3 5 4" xfId="19223" xr:uid="{15351C65-7A39-42E1-809D-ACF7B7C2145E}"/>
    <cellStyle name="Normal 9 2 3 5 5" xfId="9942" xr:uid="{20959686-3736-4E3D-903A-E81CE1C10DF3}"/>
    <cellStyle name="Normal 9 2 3 6" xfId="1816" xr:uid="{00000000-0005-0000-0000-0000511F0000}"/>
    <cellStyle name="Normal 9 2 3 6 2" xfId="4046" xr:uid="{00000000-0005-0000-0000-0000521F0000}"/>
    <cellStyle name="Normal 9 2 3 6 2 2" xfId="8268" xr:uid="{00000000-0005-0000-0000-0000531F0000}"/>
    <cellStyle name="Normal 9 2 3 6 2 2 2" xfId="25998" xr:uid="{7863B3F2-B13B-410F-ADC4-EA8150DCA47B}"/>
    <cellStyle name="Normal 9 2 3 6 2 2 3" xfId="16718" xr:uid="{8A6163AE-9129-44BC-920F-E226B2AFE526}"/>
    <cellStyle name="Normal 9 2 3 6 2 3" xfId="21781" xr:uid="{D137FC87-A038-4727-8FD8-F0C1E89F6FF2}"/>
    <cellStyle name="Normal 9 2 3 6 2 4" xfId="12500" xr:uid="{BD3BD936-920F-4EE4-B84F-E469870481F9}"/>
    <cellStyle name="Normal 9 2 3 6 3" xfId="6123" xr:uid="{00000000-0005-0000-0000-0000541F0000}"/>
    <cellStyle name="Normal 9 2 3 6 3 2" xfId="23853" xr:uid="{3D71D724-7784-494E-8649-936FC90B91E6}"/>
    <cellStyle name="Normal 9 2 3 6 3 3" xfId="14573" xr:uid="{12DEAF7B-148E-4A4A-B1F9-73A68C433029}"/>
    <cellStyle name="Normal 9 2 3 6 4" xfId="19636" xr:uid="{97EFC4D4-FEC4-485D-A66C-6F7484E459BC}"/>
    <cellStyle name="Normal 9 2 3 6 5" xfId="10355" xr:uid="{211761D6-30EA-4C05-B058-CB51DDCFE335}"/>
    <cellStyle name="Normal 9 2 3 7" xfId="2230" xr:uid="{00000000-0005-0000-0000-0000551F0000}"/>
    <cellStyle name="Normal 9 2 3 7 2" xfId="4459" xr:uid="{00000000-0005-0000-0000-0000561F0000}"/>
    <cellStyle name="Normal 9 2 3 7 2 2" xfId="8681" xr:uid="{00000000-0005-0000-0000-0000571F0000}"/>
    <cellStyle name="Normal 9 2 3 7 2 2 2" xfId="26411" xr:uid="{2412D30F-483B-4A1F-94A2-B4ECAB052670}"/>
    <cellStyle name="Normal 9 2 3 7 2 2 3" xfId="17131" xr:uid="{E93F5D2F-0145-4DAC-B4BD-F1B4D4B25C8B}"/>
    <cellStyle name="Normal 9 2 3 7 2 3" xfId="22194" xr:uid="{BB77B7DC-0CBD-4634-9EB9-13005C9DC2F8}"/>
    <cellStyle name="Normal 9 2 3 7 2 4" xfId="12913" xr:uid="{89D6DB3C-6027-4AE2-9D20-488AE363C32E}"/>
    <cellStyle name="Normal 9 2 3 7 3" xfId="6536" xr:uid="{00000000-0005-0000-0000-0000581F0000}"/>
    <cellStyle name="Normal 9 2 3 7 3 2" xfId="24266" xr:uid="{8E9111E5-7997-4B73-A90A-380FA542121D}"/>
    <cellStyle name="Normal 9 2 3 7 3 3" xfId="14986" xr:uid="{5E437137-6E42-42C2-B09D-FB73B5267092}"/>
    <cellStyle name="Normal 9 2 3 7 4" xfId="20049" xr:uid="{E90745EB-A971-491E-9CB5-5A8517AB04AE}"/>
    <cellStyle name="Normal 9 2 3 7 5" xfId="10768" xr:uid="{E2E3AD9B-EC3B-46DA-BCBE-26140578EB2C}"/>
    <cellStyle name="Normal 9 2 3 8" xfId="2666" xr:uid="{00000000-0005-0000-0000-0000591F0000}"/>
    <cellStyle name="Normal 9 2 3 8 2" xfId="6949" xr:uid="{00000000-0005-0000-0000-00005A1F0000}"/>
    <cellStyle name="Normal 9 2 3 8 2 2" xfId="24679" xr:uid="{897FD5B4-4A71-4730-8B4C-E7E40C29239A}"/>
    <cellStyle name="Normal 9 2 3 8 2 3" xfId="15399" xr:uid="{ECC8D0C3-6BE3-4783-8033-0C073E086D13}"/>
    <cellStyle name="Normal 9 2 3 8 3" xfId="20462" xr:uid="{C05AA5EA-0165-44DD-BE55-441EAF0C4960}"/>
    <cellStyle name="Normal 9 2 3 8 4" xfId="11181" xr:uid="{664DACAC-863E-48EA-8F44-72291DDC0C91}"/>
    <cellStyle name="Normal 9 2 3 9" xfId="4884" xr:uid="{00000000-0005-0000-0000-00005B1F0000}"/>
    <cellStyle name="Normal 9 2 3 9 2" xfId="22614" xr:uid="{51D7BF59-63C2-443B-9749-BC34C1CC2055}"/>
    <cellStyle name="Normal 9 2 3 9 3" xfId="13334" xr:uid="{B06A2DC4-8D23-49E9-85DF-8FA4B8E49752}"/>
    <cellStyle name="Normal 9 2 4" xfId="524" xr:uid="{00000000-0005-0000-0000-00005C1F0000}"/>
    <cellStyle name="Normal 9 2 4 10" xfId="17567" xr:uid="{884E70F1-4ED4-4A24-922A-FCFDC0BC233F}"/>
    <cellStyle name="Normal 9 2 4 11" xfId="9120" xr:uid="{5E30D337-2E0F-44EE-85D7-59A16A8C5F05}"/>
    <cellStyle name="Normal 9 2 4 2" xfId="525" xr:uid="{00000000-0005-0000-0000-00005D1F0000}"/>
    <cellStyle name="Normal 9 2 4 2 10" xfId="9121" xr:uid="{6EB9B009-55CF-4BFC-8D59-C063DC4A4B47}"/>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25177" xr:uid="{E34E615C-BE40-4FA0-8841-00ADD116376D}"/>
    <cellStyle name="Normal 9 2 4 2 2 2 2 3" xfId="15897" xr:uid="{FC255748-CD16-4798-B69E-8DABCEC098F0}"/>
    <cellStyle name="Normal 9 2 4 2 2 2 3" xfId="20960" xr:uid="{CF649B43-3754-4015-88CC-21D661D32CA7}"/>
    <cellStyle name="Normal 9 2 4 2 2 2 4" xfId="11679" xr:uid="{5403DCAE-4F01-4424-BAB2-697222945AE0}"/>
    <cellStyle name="Normal 9 2 4 2 2 3" xfId="5302" xr:uid="{00000000-0005-0000-0000-0000611F0000}"/>
    <cellStyle name="Normal 9 2 4 2 2 3 2" xfId="23032" xr:uid="{B3BDE8E6-EFA8-4FD9-978B-40EEB267E773}"/>
    <cellStyle name="Normal 9 2 4 2 2 3 3" xfId="13752" xr:uid="{AC459FDD-306E-4FA1-A4D8-ED39F7679BD2}"/>
    <cellStyle name="Normal 9 2 4 2 2 4" xfId="18815" xr:uid="{145FB8F2-0829-4A2A-8EA8-A182A525452B}"/>
    <cellStyle name="Normal 9 2 4 2 2 5" xfId="17987" xr:uid="{800E6D9C-9BAE-4696-B71F-A19EBE5E0A3B}"/>
    <cellStyle name="Normal 9 2 4 2 2 6" xfId="9534" xr:uid="{8890EFBD-286F-4780-8255-9820E0EE686F}"/>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25590" xr:uid="{3E9FBE08-0C98-42D1-915C-58E23BB124F7}"/>
    <cellStyle name="Normal 9 2 4 2 3 2 2 3" xfId="16310" xr:uid="{903F5A20-E7DA-4F9F-99AA-DCE2FCA59952}"/>
    <cellStyle name="Normal 9 2 4 2 3 2 3" xfId="21373" xr:uid="{1B986203-BB16-4424-A0EA-39EE7579CE14}"/>
    <cellStyle name="Normal 9 2 4 2 3 2 4" xfId="12092" xr:uid="{D57C93FF-F16A-48CF-8A25-B3BEA7DBE366}"/>
    <cellStyle name="Normal 9 2 4 2 3 3" xfId="5715" xr:uid="{00000000-0005-0000-0000-0000651F0000}"/>
    <cellStyle name="Normal 9 2 4 2 3 3 2" xfId="23445" xr:uid="{946F4CEC-DBD6-4DA6-813C-B7F1AA146C1C}"/>
    <cellStyle name="Normal 9 2 4 2 3 3 3" xfId="14165" xr:uid="{BE956625-C2C9-4153-91A9-2485BE2CD2A8}"/>
    <cellStyle name="Normal 9 2 4 2 3 4" xfId="19228" xr:uid="{A042119F-2D11-4183-AD22-E4A952B84853}"/>
    <cellStyle name="Normal 9 2 4 2 3 5" xfId="9947" xr:uid="{3CDFD87B-4CC5-4562-956B-04F7184017B6}"/>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26003" xr:uid="{3E9DFC50-4C12-48F9-AF50-73C09097BC90}"/>
    <cellStyle name="Normal 9 2 4 2 4 2 2 3" xfId="16723" xr:uid="{7A269DB7-A277-4AD9-8C30-E121B2276AFA}"/>
    <cellStyle name="Normal 9 2 4 2 4 2 3" xfId="21786" xr:uid="{C0EFFE2E-5CCA-4D76-B5DA-C8640070AF3F}"/>
    <cellStyle name="Normal 9 2 4 2 4 2 4" xfId="12505" xr:uid="{1EB82538-E74C-401B-B2F8-3C2C876326EA}"/>
    <cellStyle name="Normal 9 2 4 2 4 3" xfId="6128" xr:uid="{00000000-0005-0000-0000-0000691F0000}"/>
    <cellStyle name="Normal 9 2 4 2 4 3 2" xfId="23858" xr:uid="{D9E2CBD2-8E04-43B0-81A3-5B68EBB4A37C}"/>
    <cellStyle name="Normal 9 2 4 2 4 3 3" xfId="14578" xr:uid="{7264220B-992F-4EE6-A935-4AD8D42B18A3}"/>
    <cellStyle name="Normal 9 2 4 2 4 4" xfId="19641" xr:uid="{0D033554-5001-446B-9F56-82A466C021AE}"/>
    <cellStyle name="Normal 9 2 4 2 4 5" xfId="10360" xr:uid="{CEBC4ADE-D879-42C9-8A0C-97253360DD8E}"/>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26416" xr:uid="{D9BE2CA6-EAFB-44B2-8468-6CD773A03351}"/>
    <cellStyle name="Normal 9 2 4 2 5 2 2 3" xfId="17136" xr:uid="{1FB908F0-6DBC-4A96-BB9A-B0559497B121}"/>
    <cellStyle name="Normal 9 2 4 2 5 2 3" xfId="22199" xr:uid="{8A238D4E-3B01-445E-8439-6E5A3C14F97F}"/>
    <cellStyle name="Normal 9 2 4 2 5 2 4" xfId="12918" xr:uid="{80BD4EAA-226B-44C0-AABD-D842C3B91916}"/>
    <cellStyle name="Normal 9 2 4 2 5 3" xfId="6541" xr:uid="{00000000-0005-0000-0000-00006D1F0000}"/>
    <cellStyle name="Normal 9 2 4 2 5 3 2" xfId="24271" xr:uid="{C16A7CA1-D924-409C-BC23-B1D621E11C44}"/>
    <cellStyle name="Normal 9 2 4 2 5 3 3" xfId="14991" xr:uid="{C7D8395D-C5E1-4A3F-A0C9-DBDEAC061781}"/>
    <cellStyle name="Normal 9 2 4 2 5 4" xfId="20054" xr:uid="{D5EB7BE5-5C2B-4927-8825-64A01CB06EE9}"/>
    <cellStyle name="Normal 9 2 4 2 5 5" xfId="10773" xr:uid="{18E156E5-AD6E-49E0-82A0-3467D210655B}"/>
    <cellStyle name="Normal 9 2 4 2 6" xfId="2671" xr:uid="{00000000-0005-0000-0000-00006E1F0000}"/>
    <cellStyle name="Normal 9 2 4 2 6 2" xfId="6954" xr:uid="{00000000-0005-0000-0000-00006F1F0000}"/>
    <cellStyle name="Normal 9 2 4 2 6 2 2" xfId="24684" xr:uid="{20281D54-F9B3-470C-A3D9-DF201EF75614}"/>
    <cellStyle name="Normal 9 2 4 2 6 2 3" xfId="15404" xr:uid="{FBDF5388-8386-4766-B585-BDDF61AF275D}"/>
    <cellStyle name="Normal 9 2 4 2 6 3" xfId="20467" xr:uid="{E2042114-096E-453E-A789-A71B4E6FC6DD}"/>
    <cellStyle name="Normal 9 2 4 2 6 4" xfId="11186" xr:uid="{DDEB7200-0ECC-41D9-B958-8BE4B30D32E9}"/>
    <cellStyle name="Normal 9 2 4 2 7" xfId="4889" xr:uid="{00000000-0005-0000-0000-0000701F0000}"/>
    <cellStyle name="Normal 9 2 4 2 7 2" xfId="22619" xr:uid="{9823F702-8710-4ABB-8DFF-6C75CB70EEB8}"/>
    <cellStyle name="Normal 9 2 4 2 7 3" xfId="13339" xr:uid="{C00747CA-89D0-4E73-A5F8-97F472576A7C}"/>
    <cellStyle name="Normal 9 2 4 2 8" xfId="18402" xr:uid="{ED81CB87-C8A3-468D-8844-5CE5E5F747BD}"/>
    <cellStyle name="Normal 9 2 4 2 9" xfId="17568" xr:uid="{D704F99A-CF05-4D26-8E65-4B1CAD150CA3}"/>
    <cellStyle name="Normal 9 2 4 3" xfId="991" xr:uid="{00000000-0005-0000-0000-0000711F0000}"/>
    <cellStyle name="Normal 9 2 4 3 2" xfId="3224" xr:uid="{00000000-0005-0000-0000-0000721F0000}"/>
    <cellStyle name="Normal 9 2 4 3 2 2" xfId="7446" xr:uid="{00000000-0005-0000-0000-0000731F0000}"/>
    <cellStyle name="Normal 9 2 4 3 2 2 2" xfId="25176" xr:uid="{AA4AC568-CCF9-43C6-AF8A-0A728E6360AD}"/>
    <cellStyle name="Normal 9 2 4 3 2 2 3" xfId="15896" xr:uid="{1A54462C-B0B2-4B76-87CB-FCF5E3DD5F15}"/>
    <cellStyle name="Normal 9 2 4 3 2 3" xfId="20959" xr:uid="{1734B150-1BBB-4FEF-ABFF-1A34AEC4D13D}"/>
    <cellStyle name="Normal 9 2 4 3 2 4" xfId="11678" xr:uid="{C5AF1538-88FA-4B40-B7D6-1C56F588B804}"/>
    <cellStyle name="Normal 9 2 4 3 3" xfId="5301" xr:uid="{00000000-0005-0000-0000-0000741F0000}"/>
    <cellStyle name="Normal 9 2 4 3 3 2" xfId="23031" xr:uid="{DC095F1F-1A04-490B-A940-6496350FE153}"/>
    <cellStyle name="Normal 9 2 4 3 3 3" xfId="13751" xr:uid="{10854B00-88C1-415B-8C82-47CB2219B1F0}"/>
    <cellStyle name="Normal 9 2 4 3 4" xfId="18814" xr:uid="{297110A4-682B-4A3A-856E-5098EDEB2892}"/>
    <cellStyle name="Normal 9 2 4 3 5" xfId="17986" xr:uid="{BB799B9C-0747-4169-B927-912F8D8FBC1C}"/>
    <cellStyle name="Normal 9 2 4 3 6" xfId="9533" xr:uid="{7218E3F2-98C1-4A85-B02D-A768C71F5C69}"/>
    <cellStyle name="Normal 9 2 4 4" xfId="1407" xr:uid="{00000000-0005-0000-0000-0000751F0000}"/>
    <cellStyle name="Normal 9 2 4 4 2" xfId="3637" xr:uid="{00000000-0005-0000-0000-0000761F0000}"/>
    <cellStyle name="Normal 9 2 4 4 2 2" xfId="7859" xr:uid="{00000000-0005-0000-0000-0000771F0000}"/>
    <cellStyle name="Normal 9 2 4 4 2 2 2" xfId="25589" xr:uid="{4D2BFF08-0778-4313-A61F-01330BD5CD49}"/>
    <cellStyle name="Normal 9 2 4 4 2 2 3" xfId="16309" xr:uid="{B3BCE3F8-04B1-4878-9D11-DC9BA5E444C3}"/>
    <cellStyle name="Normal 9 2 4 4 2 3" xfId="21372" xr:uid="{C3038591-A4C7-4CB8-948A-C181D520A7DB}"/>
    <cellStyle name="Normal 9 2 4 4 2 4" xfId="12091" xr:uid="{DBC676A1-AC10-466C-9D4D-9B03431AD7A6}"/>
    <cellStyle name="Normal 9 2 4 4 3" xfId="5714" xr:uid="{00000000-0005-0000-0000-0000781F0000}"/>
    <cellStyle name="Normal 9 2 4 4 3 2" xfId="23444" xr:uid="{9C176DE4-FD72-485F-AD90-1E5909EC6F4A}"/>
    <cellStyle name="Normal 9 2 4 4 3 3" xfId="14164" xr:uid="{951100E5-5FC5-4CA6-A47A-23374EB2F8E0}"/>
    <cellStyle name="Normal 9 2 4 4 4" xfId="19227" xr:uid="{842F8997-1775-4C4B-A124-923B3C25FEDE}"/>
    <cellStyle name="Normal 9 2 4 4 5" xfId="9946" xr:uid="{82FD5978-C1BD-4D9D-BBAB-346550CA882C}"/>
    <cellStyle name="Normal 9 2 4 5" xfId="1820" xr:uid="{00000000-0005-0000-0000-0000791F0000}"/>
    <cellStyle name="Normal 9 2 4 5 2" xfId="4050" xr:uid="{00000000-0005-0000-0000-00007A1F0000}"/>
    <cellStyle name="Normal 9 2 4 5 2 2" xfId="8272" xr:uid="{00000000-0005-0000-0000-00007B1F0000}"/>
    <cellStyle name="Normal 9 2 4 5 2 2 2" xfId="26002" xr:uid="{BD16869F-FD96-49A5-B70B-DF7627B1034D}"/>
    <cellStyle name="Normal 9 2 4 5 2 2 3" xfId="16722" xr:uid="{14725657-430B-41B7-9BE6-06E4247297B7}"/>
    <cellStyle name="Normal 9 2 4 5 2 3" xfId="21785" xr:uid="{2EA7B98E-EDF5-4B08-BB51-87B47EA87E8F}"/>
    <cellStyle name="Normal 9 2 4 5 2 4" xfId="12504" xr:uid="{34F6450F-42AF-43DA-BF15-324C0A8593B8}"/>
    <cellStyle name="Normal 9 2 4 5 3" xfId="6127" xr:uid="{00000000-0005-0000-0000-00007C1F0000}"/>
    <cellStyle name="Normal 9 2 4 5 3 2" xfId="23857" xr:uid="{720A0A74-8874-418E-AC5E-C8A32FD56DD4}"/>
    <cellStyle name="Normal 9 2 4 5 3 3" xfId="14577" xr:uid="{88F3BEEB-5128-4F05-8935-AEAE3241BE4E}"/>
    <cellStyle name="Normal 9 2 4 5 4" xfId="19640" xr:uid="{5614E1F5-C689-49E0-963B-46713885E473}"/>
    <cellStyle name="Normal 9 2 4 5 5" xfId="10359" xr:uid="{F1A0B47E-B2AA-461A-8DB4-F3284F269E9A}"/>
    <cellStyle name="Normal 9 2 4 6" xfId="2234" xr:uid="{00000000-0005-0000-0000-00007D1F0000}"/>
    <cellStyle name="Normal 9 2 4 6 2" xfId="4463" xr:uid="{00000000-0005-0000-0000-00007E1F0000}"/>
    <cellStyle name="Normal 9 2 4 6 2 2" xfId="8685" xr:uid="{00000000-0005-0000-0000-00007F1F0000}"/>
    <cellStyle name="Normal 9 2 4 6 2 2 2" xfId="26415" xr:uid="{E730D8F4-0EBD-487B-81CC-6D9232AA6EBA}"/>
    <cellStyle name="Normal 9 2 4 6 2 2 3" xfId="17135" xr:uid="{C1740021-E080-4E92-A7DF-F65B12B540B0}"/>
    <cellStyle name="Normal 9 2 4 6 2 3" xfId="22198" xr:uid="{82A880AF-0041-4342-B1EA-A16DA5F32D51}"/>
    <cellStyle name="Normal 9 2 4 6 2 4" xfId="12917" xr:uid="{0A6E5321-355C-4FC6-BA0D-A89AFD12DB00}"/>
    <cellStyle name="Normal 9 2 4 6 3" xfId="6540" xr:uid="{00000000-0005-0000-0000-0000801F0000}"/>
    <cellStyle name="Normal 9 2 4 6 3 2" xfId="24270" xr:uid="{08F8C57D-7606-4A76-8719-C2342CE02BE0}"/>
    <cellStyle name="Normal 9 2 4 6 3 3" xfId="14990" xr:uid="{7AD6B5B5-28BE-47DA-B3BB-7B96A2AB9CFE}"/>
    <cellStyle name="Normal 9 2 4 6 4" xfId="20053" xr:uid="{A6D24892-5641-4488-9811-D16EFD367ABC}"/>
    <cellStyle name="Normal 9 2 4 6 5" xfId="10772" xr:uid="{1175D28A-23E1-468C-A0C8-9741DC9C6B37}"/>
    <cellStyle name="Normal 9 2 4 7" xfId="2670" xr:uid="{00000000-0005-0000-0000-0000811F0000}"/>
    <cellStyle name="Normal 9 2 4 7 2" xfId="6953" xr:uid="{00000000-0005-0000-0000-0000821F0000}"/>
    <cellStyle name="Normal 9 2 4 7 2 2" xfId="24683" xr:uid="{6DD5D598-6B57-4E5A-B9C4-5E72BBCDF435}"/>
    <cellStyle name="Normal 9 2 4 7 2 3" xfId="15403" xr:uid="{D3885DE1-8DBA-4C1B-A408-B8441ED662A5}"/>
    <cellStyle name="Normal 9 2 4 7 3" xfId="20466" xr:uid="{B16A1F22-F5D0-487D-B617-66CF60BC6A55}"/>
    <cellStyle name="Normal 9 2 4 7 4" xfId="11185" xr:uid="{1C293043-AB83-4725-B2F1-33F7FDBE8D56}"/>
    <cellStyle name="Normal 9 2 4 8" xfId="4888" xr:uid="{00000000-0005-0000-0000-0000831F0000}"/>
    <cellStyle name="Normal 9 2 4 8 2" xfId="22618" xr:uid="{4D56683B-6B40-4AC4-9749-FFB240885811}"/>
    <cellStyle name="Normal 9 2 4 8 3" xfId="13338" xr:uid="{096D62F2-2DDE-491F-BEF1-7B990F1D5877}"/>
    <cellStyle name="Normal 9 2 4 9" xfId="18401" xr:uid="{E4A03B68-803D-4444-9427-E7FA20D061AB}"/>
    <cellStyle name="Normal 9 2 5" xfId="526" xr:uid="{00000000-0005-0000-0000-0000841F0000}"/>
    <cellStyle name="Normal 9 2 5 10" xfId="9122" xr:uid="{D08FE616-BD51-4425-984D-48D117AC2E7A}"/>
    <cellStyle name="Normal 9 2 5 2" xfId="993" xr:uid="{00000000-0005-0000-0000-0000851F0000}"/>
    <cellStyle name="Normal 9 2 5 2 2" xfId="3226" xr:uid="{00000000-0005-0000-0000-0000861F0000}"/>
    <cellStyle name="Normal 9 2 5 2 2 2" xfId="7448" xr:uid="{00000000-0005-0000-0000-0000871F0000}"/>
    <cellStyle name="Normal 9 2 5 2 2 2 2" xfId="25178" xr:uid="{8B6E2C87-A81B-46CB-B0B7-95A95C241C5D}"/>
    <cellStyle name="Normal 9 2 5 2 2 2 3" xfId="15898" xr:uid="{B3C8F5C9-A42A-419A-8783-F7478821B921}"/>
    <cellStyle name="Normal 9 2 5 2 2 3" xfId="20961" xr:uid="{C745FFFD-2C3F-474A-8869-15859795FC4F}"/>
    <cellStyle name="Normal 9 2 5 2 2 4" xfId="11680" xr:uid="{AEBE3754-E0F5-4A58-AA44-13EF93EDBC37}"/>
    <cellStyle name="Normal 9 2 5 2 3" xfId="5303" xr:uid="{00000000-0005-0000-0000-0000881F0000}"/>
    <cellStyle name="Normal 9 2 5 2 3 2" xfId="23033" xr:uid="{82F66B5B-1CA7-464C-9592-BC3AB2D79059}"/>
    <cellStyle name="Normal 9 2 5 2 3 3" xfId="13753" xr:uid="{45AD59B6-018A-40C5-A73C-5C83C6D46A58}"/>
    <cellStyle name="Normal 9 2 5 2 4" xfId="18816" xr:uid="{03A09D11-4CAF-46E7-81FF-64D965D42F29}"/>
    <cellStyle name="Normal 9 2 5 2 5" xfId="17988" xr:uid="{7673AEA1-6617-4C3B-83CA-A83377C743D4}"/>
    <cellStyle name="Normal 9 2 5 2 6" xfId="9535" xr:uid="{C038C73A-C900-427E-B2B0-9A46F106A736}"/>
    <cellStyle name="Normal 9 2 5 3" xfId="1409" xr:uid="{00000000-0005-0000-0000-0000891F0000}"/>
    <cellStyle name="Normal 9 2 5 3 2" xfId="3639" xr:uid="{00000000-0005-0000-0000-00008A1F0000}"/>
    <cellStyle name="Normal 9 2 5 3 2 2" xfId="7861" xr:uid="{00000000-0005-0000-0000-00008B1F0000}"/>
    <cellStyle name="Normal 9 2 5 3 2 2 2" xfId="25591" xr:uid="{994567C6-5F53-405B-AC61-36CB64F554CA}"/>
    <cellStyle name="Normal 9 2 5 3 2 2 3" xfId="16311" xr:uid="{4EB7756F-44FD-4752-B2FA-F3309794DE45}"/>
    <cellStyle name="Normal 9 2 5 3 2 3" xfId="21374" xr:uid="{9E2CC583-ADE7-4624-8F36-2CB287B5493D}"/>
    <cellStyle name="Normal 9 2 5 3 2 4" xfId="12093" xr:uid="{A7C17122-A8A2-470B-A15E-2FD0CCAB379B}"/>
    <cellStyle name="Normal 9 2 5 3 3" xfId="5716" xr:uid="{00000000-0005-0000-0000-00008C1F0000}"/>
    <cellStyle name="Normal 9 2 5 3 3 2" xfId="23446" xr:uid="{4D9441E6-5B53-4E57-AC2A-1DA15E2B2062}"/>
    <cellStyle name="Normal 9 2 5 3 3 3" xfId="14166" xr:uid="{0F39941E-1ADD-4E6B-ACD1-59530D47861A}"/>
    <cellStyle name="Normal 9 2 5 3 4" xfId="19229" xr:uid="{CDA26CA5-425C-4BA0-9C33-E575A720EB4A}"/>
    <cellStyle name="Normal 9 2 5 3 5" xfId="9948" xr:uid="{746964F6-F5FE-499E-998D-5E8B347D7460}"/>
    <cellStyle name="Normal 9 2 5 4" xfId="1822" xr:uid="{00000000-0005-0000-0000-00008D1F0000}"/>
    <cellStyle name="Normal 9 2 5 4 2" xfId="4052" xr:uid="{00000000-0005-0000-0000-00008E1F0000}"/>
    <cellStyle name="Normal 9 2 5 4 2 2" xfId="8274" xr:uid="{00000000-0005-0000-0000-00008F1F0000}"/>
    <cellStyle name="Normal 9 2 5 4 2 2 2" xfId="26004" xr:uid="{17F2AD81-2424-43C4-882B-B5C3A14FB684}"/>
    <cellStyle name="Normal 9 2 5 4 2 2 3" xfId="16724" xr:uid="{7C8BACBF-43B3-4F02-816F-DCC014C7A27B}"/>
    <cellStyle name="Normal 9 2 5 4 2 3" xfId="21787" xr:uid="{B6CBDD32-3C25-4915-B92A-9224405BB585}"/>
    <cellStyle name="Normal 9 2 5 4 2 4" xfId="12506" xr:uid="{37EF806A-5DE7-4CD8-95EB-20D35120E078}"/>
    <cellStyle name="Normal 9 2 5 4 3" xfId="6129" xr:uid="{00000000-0005-0000-0000-0000901F0000}"/>
    <cellStyle name="Normal 9 2 5 4 3 2" xfId="23859" xr:uid="{840F80FA-366F-4052-AA17-B0A9CAD32994}"/>
    <cellStyle name="Normal 9 2 5 4 3 3" xfId="14579" xr:uid="{4F34AAD4-0E0E-4ECC-8043-A85B567CC0D9}"/>
    <cellStyle name="Normal 9 2 5 4 4" xfId="19642" xr:uid="{AF7600DE-4D13-42E1-9091-FAAB06325AA2}"/>
    <cellStyle name="Normal 9 2 5 4 5" xfId="10361" xr:uid="{0668C53B-3C26-40D1-A62A-521A313614C7}"/>
    <cellStyle name="Normal 9 2 5 5" xfId="2236" xr:uid="{00000000-0005-0000-0000-0000911F0000}"/>
    <cellStyle name="Normal 9 2 5 5 2" xfId="4465" xr:uid="{00000000-0005-0000-0000-0000921F0000}"/>
    <cellStyle name="Normal 9 2 5 5 2 2" xfId="8687" xr:uid="{00000000-0005-0000-0000-0000931F0000}"/>
    <cellStyle name="Normal 9 2 5 5 2 2 2" xfId="26417" xr:uid="{DA210E47-2701-4E27-B47C-018B47A8A326}"/>
    <cellStyle name="Normal 9 2 5 5 2 2 3" xfId="17137" xr:uid="{EFB02CEA-F163-4CAF-B535-D86695BF7D52}"/>
    <cellStyle name="Normal 9 2 5 5 2 3" xfId="22200" xr:uid="{49EC20E9-8489-4BBC-9242-E4A2380722A1}"/>
    <cellStyle name="Normal 9 2 5 5 2 4" xfId="12919" xr:uid="{4CAE2DF0-91BF-455F-9355-AF4240AA0A15}"/>
    <cellStyle name="Normal 9 2 5 5 3" xfId="6542" xr:uid="{00000000-0005-0000-0000-0000941F0000}"/>
    <cellStyle name="Normal 9 2 5 5 3 2" xfId="24272" xr:uid="{3A6BD594-AC82-4BFB-ABEF-B51D53928CAE}"/>
    <cellStyle name="Normal 9 2 5 5 3 3" xfId="14992" xr:uid="{6C97913A-F221-4C60-B3C2-B56D9A0914B5}"/>
    <cellStyle name="Normal 9 2 5 5 4" xfId="20055" xr:uid="{2A3A1471-2920-442B-8998-A0E76134B08D}"/>
    <cellStyle name="Normal 9 2 5 5 5" xfId="10774" xr:uid="{5D45306E-503A-4E15-9579-B22C8CE3658D}"/>
    <cellStyle name="Normal 9 2 5 6" xfId="2672" xr:uid="{00000000-0005-0000-0000-0000951F0000}"/>
    <cellStyle name="Normal 9 2 5 6 2" xfId="6955" xr:uid="{00000000-0005-0000-0000-0000961F0000}"/>
    <cellStyle name="Normal 9 2 5 6 2 2" xfId="24685" xr:uid="{D34681D5-4EFE-4068-BEF8-4117C9951DD2}"/>
    <cellStyle name="Normal 9 2 5 6 2 3" xfId="15405" xr:uid="{F984CD59-0F76-4D7A-958C-997577F8808A}"/>
    <cellStyle name="Normal 9 2 5 6 3" xfId="20468" xr:uid="{DFB05360-84DF-44D1-ABA2-96B49A759E8A}"/>
    <cellStyle name="Normal 9 2 5 6 4" xfId="11187" xr:uid="{BD66AB61-CA04-427D-8D22-7826D47FA6A6}"/>
    <cellStyle name="Normal 9 2 5 7" xfId="4890" xr:uid="{00000000-0005-0000-0000-0000971F0000}"/>
    <cellStyle name="Normal 9 2 5 7 2" xfId="22620" xr:uid="{4B86B839-1EF4-4F8F-9375-510FE879A7BF}"/>
    <cellStyle name="Normal 9 2 5 7 3" xfId="13340" xr:uid="{3D49D97A-A0D0-423F-AC24-38B973BB2C59}"/>
    <cellStyle name="Normal 9 2 5 8" xfId="18403" xr:uid="{C4967598-4ED5-4A74-A2A3-5F0CC25CA88C}"/>
    <cellStyle name="Normal 9 2 5 9" xfId="17569" xr:uid="{F68B24DF-5A1E-4E39-9270-4D2BFA365686}"/>
    <cellStyle name="Normal 9 2 6" xfId="978" xr:uid="{00000000-0005-0000-0000-0000981F0000}"/>
    <cellStyle name="Normal 9 2 6 2" xfId="3211" xr:uid="{00000000-0005-0000-0000-0000991F0000}"/>
    <cellStyle name="Normal 9 2 6 2 2" xfId="7433" xr:uid="{00000000-0005-0000-0000-00009A1F0000}"/>
    <cellStyle name="Normal 9 2 6 2 2 2" xfId="25163" xr:uid="{02ADD414-B1C8-43B0-8EB4-CAF033BF5151}"/>
    <cellStyle name="Normal 9 2 6 2 2 3" xfId="15883" xr:uid="{701EAEDA-9C8A-413E-B27C-2212A0B0CC96}"/>
    <cellStyle name="Normal 9 2 6 2 3" xfId="20946" xr:uid="{42929FC7-21A2-4F82-BD71-7CC0E488E879}"/>
    <cellStyle name="Normal 9 2 6 2 4" xfId="11665" xr:uid="{A50C667D-2240-406F-BCCD-6731EA37DDB1}"/>
    <cellStyle name="Normal 9 2 6 3" xfId="5288" xr:uid="{00000000-0005-0000-0000-00009B1F0000}"/>
    <cellStyle name="Normal 9 2 6 3 2" xfId="23018" xr:uid="{BD5F6253-C265-4D85-8CEB-0AB27B471244}"/>
    <cellStyle name="Normal 9 2 6 3 3" xfId="13738" xr:uid="{D86E6471-2558-4DD0-B919-ABC1DD0FD13B}"/>
    <cellStyle name="Normal 9 2 6 4" xfId="18801" xr:uid="{B9334107-4AB9-46BA-81D3-79198CF0678A}"/>
    <cellStyle name="Normal 9 2 6 5" xfId="17973" xr:uid="{FA0C3060-7B5A-4A68-B7C7-19E4132D08E3}"/>
    <cellStyle name="Normal 9 2 6 6" xfId="9520" xr:uid="{1BEA8BE3-3C8F-4111-B502-3608FECC56EF}"/>
    <cellStyle name="Normal 9 2 7" xfId="1394" xr:uid="{00000000-0005-0000-0000-00009C1F0000}"/>
    <cellStyle name="Normal 9 2 7 2" xfId="3624" xr:uid="{00000000-0005-0000-0000-00009D1F0000}"/>
    <cellStyle name="Normal 9 2 7 2 2" xfId="7846" xr:uid="{00000000-0005-0000-0000-00009E1F0000}"/>
    <cellStyle name="Normal 9 2 7 2 2 2" xfId="25576" xr:uid="{CDAFB2DC-3864-4D1A-89B2-EFB2044340A2}"/>
    <cellStyle name="Normal 9 2 7 2 2 3" xfId="16296" xr:uid="{BF0952FE-6675-43D7-A0F9-5124DD941BC9}"/>
    <cellStyle name="Normal 9 2 7 2 3" xfId="21359" xr:uid="{2B1E3099-7D41-4976-82D5-167CB104154C}"/>
    <cellStyle name="Normal 9 2 7 2 4" xfId="12078" xr:uid="{AAA9D861-02D2-424E-B60A-7F6B70326C6B}"/>
    <cellStyle name="Normal 9 2 7 3" xfId="5701" xr:uid="{00000000-0005-0000-0000-00009F1F0000}"/>
    <cellStyle name="Normal 9 2 7 3 2" xfId="23431" xr:uid="{72B56799-4993-4A2A-9ED3-9575AA025965}"/>
    <cellStyle name="Normal 9 2 7 3 3" xfId="14151" xr:uid="{8AFF248D-55BA-4477-B254-8A2074861D76}"/>
    <cellStyle name="Normal 9 2 7 4" xfId="19214" xr:uid="{4A7CE2B9-520D-4A52-A0A2-85A6250E2279}"/>
    <cellStyle name="Normal 9 2 7 5" xfId="9933" xr:uid="{894F312A-AB93-4DCF-AA6D-27BECBC796FF}"/>
    <cellStyle name="Normal 9 2 8" xfId="1807" xr:uid="{00000000-0005-0000-0000-0000A01F0000}"/>
    <cellStyle name="Normal 9 2 8 2" xfId="4037" xr:uid="{00000000-0005-0000-0000-0000A11F0000}"/>
    <cellStyle name="Normal 9 2 8 2 2" xfId="8259" xr:uid="{00000000-0005-0000-0000-0000A21F0000}"/>
    <cellStyle name="Normal 9 2 8 2 2 2" xfId="25989" xr:uid="{A724E694-FC38-4EF8-8BCB-73A9DA38CBB5}"/>
    <cellStyle name="Normal 9 2 8 2 2 3" xfId="16709" xr:uid="{1D490749-1E3C-433B-82EC-C389436E5CDA}"/>
    <cellStyle name="Normal 9 2 8 2 3" xfId="21772" xr:uid="{863549BC-705F-4186-90E7-7C49188FAF25}"/>
    <cellStyle name="Normal 9 2 8 2 4" xfId="12491" xr:uid="{CCAB3DCE-2FA3-4F84-A82E-A0C5E716878E}"/>
    <cellStyle name="Normal 9 2 8 3" xfId="6114" xr:uid="{00000000-0005-0000-0000-0000A31F0000}"/>
    <cellStyle name="Normal 9 2 8 3 2" xfId="23844" xr:uid="{90C9F520-C4AA-453B-91AF-2E2C0CCB26E2}"/>
    <cellStyle name="Normal 9 2 8 3 3" xfId="14564" xr:uid="{9E868AE9-5801-4251-99EE-224431DAA4C2}"/>
    <cellStyle name="Normal 9 2 8 4" xfId="19627" xr:uid="{740B5766-8AD2-45AA-9E76-BAA0811609DD}"/>
    <cellStyle name="Normal 9 2 8 5" xfId="10346" xr:uid="{E9AF97A8-BC04-406F-A68F-2320F711811E}"/>
    <cellStyle name="Normal 9 2 9" xfId="2221" xr:uid="{00000000-0005-0000-0000-0000A41F0000}"/>
    <cellStyle name="Normal 9 2 9 2" xfId="4450" xr:uid="{00000000-0005-0000-0000-0000A51F0000}"/>
    <cellStyle name="Normal 9 2 9 2 2" xfId="8672" xr:uid="{00000000-0005-0000-0000-0000A61F0000}"/>
    <cellStyle name="Normal 9 2 9 2 2 2" xfId="26402" xr:uid="{571CD256-A91A-4594-BFAE-562CEE3DE9BE}"/>
    <cellStyle name="Normal 9 2 9 2 2 3" xfId="17122" xr:uid="{311E8DD5-0869-47D4-94B1-9453CC9624E4}"/>
    <cellStyle name="Normal 9 2 9 2 3" xfId="22185" xr:uid="{3895D07B-B4AD-4142-8D82-4E7E13C67B6A}"/>
    <cellStyle name="Normal 9 2 9 2 4" xfId="12904" xr:uid="{DEF49301-E24A-4062-B829-87C902BE6EB7}"/>
    <cellStyle name="Normal 9 2 9 3" xfId="6527" xr:uid="{00000000-0005-0000-0000-0000A71F0000}"/>
    <cellStyle name="Normal 9 2 9 3 2" xfId="24257" xr:uid="{0D6B8CC3-4180-41D7-8DB2-B3D1A2A18CEC}"/>
    <cellStyle name="Normal 9 2 9 3 3" xfId="14977" xr:uid="{DFE2EE41-8A25-4E89-B484-6C59ACE58B10}"/>
    <cellStyle name="Normal 9 2 9 4" xfId="20040" xr:uid="{779D6414-C012-4FBB-A5B8-4AB0CF0339FC}"/>
    <cellStyle name="Normal 9 2 9 5" xfId="10759" xr:uid="{873DCABE-F76C-4D1F-8E17-F4BF2A44F3F7}"/>
    <cellStyle name="Normal 9 3" xfId="527" xr:uid="{00000000-0005-0000-0000-0000A81F0000}"/>
    <cellStyle name="Normal 9 3 10" xfId="4891" xr:uid="{00000000-0005-0000-0000-0000A91F0000}"/>
    <cellStyle name="Normal 9 3 10 2" xfId="22621" xr:uid="{2EE5ECD2-FE14-4C28-9866-41F9C752DE3D}"/>
    <cellStyle name="Normal 9 3 10 3" xfId="13341" xr:uid="{8E16852D-1B46-415C-9A38-F8154FB1968B}"/>
    <cellStyle name="Normal 9 3 11" xfId="18404" xr:uid="{0B06AFF1-C6FA-452F-924D-23D93C849593}"/>
    <cellStyle name="Normal 9 3 12" xfId="17570" xr:uid="{2553CB19-FF64-416D-8131-F08554318E9C}"/>
    <cellStyle name="Normal 9 3 13" xfId="9123" xr:uid="{A8D452BA-D09B-4728-9013-E30842A51DCA}"/>
    <cellStyle name="Normal 9 3 2" xfId="528" xr:uid="{00000000-0005-0000-0000-0000AA1F0000}"/>
    <cellStyle name="Normal 9 3 2 10" xfId="18405" xr:uid="{359F3834-4B77-4564-924B-C7A805E7FE0B}"/>
    <cellStyle name="Normal 9 3 2 11" xfId="17571" xr:uid="{3855A79F-8E46-4154-8D2B-32F8E34E0286}"/>
    <cellStyle name="Normal 9 3 2 12" xfId="9124" xr:uid="{7F3BCD99-EB3E-4D94-9E32-A7BF28EA1727}"/>
    <cellStyle name="Normal 9 3 2 2" xfId="529" xr:uid="{00000000-0005-0000-0000-0000AB1F0000}"/>
    <cellStyle name="Normal 9 3 2 2 10" xfId="17572" xr:uid="{4B4FC7E6-1ADF-46F2-95FE-F3FFF10A319C}"/>
    <cellStyle name="Normal 9 3 2 2 11" xfId="9125" xr:uid="{D7A53D2D-3CAC-4879-9DD4-B9F38E0FB1A4}"/>
    <cellStyle name="Normal 9 3 2 2 2" xfId="530" xr:uid="{00000000-0005-0000-0000-0000AC1F0000}"/>
    <cellStyle name="Normal 9 3 2 2 2 10" xfId="9126" xr:uid="{C26C8B58-D40A-4740-891F-2FB1524892B3}"/>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25182" xr:uid="{9B9AF94F-631C-47C9-A815-C187F503A15B}"/>
    <cellStyle name="Normal 9 3 2 2 2 2 2 2 3" xfId="15902" xr:uid="{F7D1843C-3CAD-4067-B11E-7028D5EBF929}"/>
    <cellStyle name="Normal 9 3 2 2 2 2 2 3" xfId="20965" xr:uid="{6FFA38A6-8D3F-4D7B-95F2-31CD6E4BD9AB}"/>
    <cellStyle name="Normal 9 3 2 2 2 2 2 4" xfId="11684" xr:uid="{5A64E73D-8C90-4294-B3FA-52E04BA41383}"/>
    <cellStyle name="Normal 9 3 2 2 2 2 3" xfId="5307" xr:uid="{00000000-0005-0000-0000-0000B01F0000}"/>
    <cellStyle name="Normal 9 3 2 2 2 2 3 2" xfId="23037" xr:uid="{0E57F2DA-1D5C-40D3-BEFA-EA306C5B68E7}"/>
    <cellStyle name="Normal 9 3 2 2 2 2 3 3" xfId="13757" xr:uid="{70A81AD3-E462-41F4-AEED-BE662AD6BA5B}"/>
    <cellStyle name="Normal 9 3 2 2 2 2 4" xfId="18820" xr:uid="{FE6F882D-C96A-45CC-A215-D7236077D57F}"/>
    <cellStyle name="Normal 9 3 2 2 2 2 5" xfId="17992" xr:uid="{7F47FA09-2DB2-490D-AAFE-4496E37395C2}"/>
    <cellStyle name="Normal 9 3 2 2 2 2 6" xfId="9539" xr:uid="{61D3AF32-9DD9-4904-83B2-85A70EB7C734}"/>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25595" xr:uid="{8443AFE8-E426-4C1D-ACC0-EEAB55E2057E}"/>
    <cellStyle name="Normal 9 3 2 2 2 3 2 2 3" xfId="16315" xr:uid="{385A8AB8-67D4-46B3-A7C3-C555309CE4F4}"/>
    <cellStyle name="Normal 9 3 2 2 2 3 2 3" xfId="21378" xr:uid="{18898F28-5492-4D9E-BC5E-6F8C215F8045}"/>
    <cellStyle name="Normal 9 3 2 2 2 3 2 4" xfId="12097" xr:uid="{C3F87D64-DF13-4D67-984A-9A57D37A1412}"/>
    <cellStyle name="Normal 9 3 2 2 2 3 3" xfId="5720" xr:uid="{00000000-0005-0000-0000-0000B41F0000}"/>
    <cellStyle name="Normal 9 3 2 2 2 3 3 2" xfId="23450" xr:uid="{F33993F1-708B-44EA-9A1C-41D1D6F6E38E}"/>
    <cellStyle name="Normal 9 3 2 2 2 3 3 3" xfId="14170" xr:uid="{08D1803B-B905-4F90-AF7C-E034DD2BEE1D}"/>
    <cellStyle name="Normal 9 3 2 2 2 3 4" xfId="19233" xr:uid="{63CD4B2C-0BC1-4A5D-8BE5-8A914DCFF616}"/>
    <cellStyle name="Normal 9 3 2 2 2 3 5" xfId="9952" xr:uid="{D639249F-629C-42E5-97E2-D08726FE159A}"/>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26008" xr:uid="{EDB6095E-1B87-455D-9EF7-6B33E3EECE93}"/>
    <cellStyle name="Normal 9 3 2 2 2 4 2 2 3" xfId="16728" xr:uid="{3D278832-2C9C-4A60-BCA4-302E673BF1A7}"/>
    <cellStyle name="Normal 9 3 2 2 2 4 2 3" xfId="21791" xr:uid="{18A8F646-8B96-40F1-A93A-A0A00E7D20CE}"/>
    <cellStyle name="Normal 9 3 2 2 2 4 2 4" xfId="12510" xr:uid="{1CE59359-FF88-416C-B24D-88103366FE1C}"/>
    <cellStyle name="Normal 9 3 2 2 2 4 3" xfId="6133" xr:uid="{00000000-0005-0000-0000-0000B81F0000}"/>
    <cellStyle name="Normal 9 3 2 2 2 4 3 2" xfId="23863" xr:uid="{B522DA0A-587D-4F7A-8269-15B6C70ECC47}"/>
    <cellStyle name="Normal 9 3 2 2 2 4 3 3" xfId="14583" xr:uid="{DD9AE9D1-9B59-4DD0-9379-E8A4D6A6B1A2}"/>
    <cellStyle name="Normal 9 3 2 2 2 4 4" xfId="19646" xr:uid="{4B1958C3-530C-41CD-A312-F8B976296AE8}"/>
    <cellStyle name="Normal 9 3 2 2 2 4 5" xfId="10365" xr:uid="{62B96DCB-B1E8-468A-A919-090E644A4B57}"/>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26421" xr:uid="{FB1A0A8D-DDD3-4138-B00C-466BEECB26A4}"/>
    <cellStyle name="Normal 9 3 2 2 2 5 2 2 3" xfId="17141" xr:uid="{C547376B-52BD-4517-8205-545D6163FE2A}"/>
    <cellStyle name="Normal 9 3 2 2 2 5 2 3" xfId="22204" xr:uid="{9FE45A80-B2D8-4E97-BACF-D067F968D641}"/>
    <cellStyle name="Normal 9 3 2 2 2 5 2 4" xfId="12923" xr:uid="{9E32C5A5-D69E-4F97-A944-59AA6E001810}"/>
    <cellStyle name="Normal 9 3 2 2 2 5 3" xfId="6546" xr:uid="{00000000-0005-0000-0000-0000BC1F0000}"/>
    <cellStyle name="Normal 9 3 2 2 2 5 3 2" xfId="24276" xr:uid="{DCD9F3CC-7B2E-429D-9406-90D2411C0C00}"/>
    <cellStyle name="Normal 9 3 2 2 2 5 3 3" xfId="14996" xr:uid="{0D927E57-3833-44AC-A679-BA0D0CA1426F}"/>
    <cellStyle name="Normal 9 3 2 2 2 5 4" xfId="20059" xr:uid="{FCDC657B-0CDA-4539-9FDE-01BE9931709E}"/>
    <cellStyle name="Normal 9 3 2 2 2 5 5" xfId="10778" xr:uid="{C0561C61-A06C-47FF-ABF7-3AD588F4E36A}"/>
    <cellStyle name="Normal 9 3 2 2 2 6" xfId="2676" xr:uid="{00000000-0005-0000-0000-0000BD1F0000}"/>
    <cellStyle name="Normal 9 3 2 2 2 6 2" xfId="6959" xr:uid="{00000000-0005-0000-0000-0000BE1F0000}"/>
    <cellStyle name="Normal 9 3 2 2 2 6 2 2" xfId="24689" xr:uid="{720A66D0-8CA1-422D-A45A-D1B1C8E1A194}"/>
    <cellStyle name="Normal 9 3 2 2 2 6 2 3" xfId="15409" xr:uid="{9B2D5B19-98D5-4F46-8684-2E1FE689D7E6}"/>
    <cellStyle name="Normal 9 3 2 2 2 6 3" xfId="20472" xr:uid="{0EE67FC4-469B-49A3-814D-8043880BB02B}"/>
    <cellStyle name="Normal 9 3 2 2 2 6 4" xfId="11191" xr:uid="{17BCFBCF-EA7E-4EAD-9148-BACB45673BAA}"/>
    <cellStyle name="Normal 9 3 2 2 2 7" xfId="4894" xr:uid="{00000000-0005-0000-0000-0000BF1F0000}"/>
    <cellStyle name="Normal 9 3 2 2 2 7 2" xfId="22624" xr:uid="{CD540665-B4E0-4C0E-A7C2-889FB8BC1638}"/>
    <cellStyle name="Normal 9 3 2 2 2 7 3" xfId="13344" xr:uid="{C41B6F61-A749-46D3-A01F-3BDD0CEC0BF7}"/>
    <cellStyle name="Normal 9 3 2 2 2 8" xfId="18407" xr:uid="{56482E2C-C26D-44B3-96BF-7E109AB3617A}"/>
    <cellStyle name="Normal 9 3 2 2 2 9" xfId="17573" xr:uid="{A18DF9FA-85C8-42AA-A929-26D010435F70}"/>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25181" xr:uid="{D0F8E885-C85F-4E0C-9B3E-1195F1352597}"/>
    <cellStyle name="Normal 9 3 2 2 3 2 2 3" xfId="15901" xr:uid="{8A94703C-A8AD-4E0E-B2BE-D1D4878D615C}"/>
    <cellStyle name="Normal 9 3 2 2 3 2 3" xfId="20964" xr:uid="{4B9F1DCC-F1A7-4971-8BA7-A56E909ABAD6}"/>
    <cellStyle name="Normal 9 3 2 2 3 2 4" xfId="11683" xr:uid="{CA3A7EC0-1DC0-486C-B535-6B9CC99F37A5}"/>
    <cellStyle name="Normal 9 3 2 2 3 3" xfId="5306" xr:uid="{00000000-0005-0000-0000-0000C31F0000}"/>
    <cellStyle name="Normal 9 3 2 2 3 3 2" xfId="23036" xr:uid="{FCE2C6DF-340C-4BBF-AF16-3B584063ABBF}"/>
    <cellStyle name="Normal 9 3 2 2 3 3 3" xfId="13756" xr:uid="{A847D1D0-7246-4BE1-8678-5B5D19A804DF}"/>
    <cellStyle name="Normal 9 3 2 2 3 4" xfId="18819" xr:uid="{AE33E724-485D-4B69-BF9D-02A1B8ADEC24}"/>
    <cellStyle name="Normal 9 3 2 2 3 5" xfId="17991" xr:uid="{B5958C30-ADC3-44D8-9A15-055E27C09B4A}"/>
    <cellStyle name="Normal 9 3 2 2 3 6" xfId="9538" xr:uid="{73965AD8-8C75-4602-AEB6-8E67B80423C6}"/>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25594" xr:uid="{03BED5F4-5D95-48ED-93FF-95DF1EF66936}"/>
    <cellStyle name="Normal 9 3 2 2 4 2 2 3" xfId="16314" xr:uid="{63D9A49F-4F3D-4EF9-B5AF-BEA80FDE54C1}"/>
    <cellStyle name="Normal 9 3 2 2 4 2 3" xfId="21377" xr:uid="{93F1968C-4495-431F-99EA-7562F7A065F5}"/>
    <cellStyle name="Normal 9 3 2 2 4 2 4" xfId="12096" xr:uid="{0396D552-F173-4549-BCEC-226D9AAB6B17}"/>
    <cellStyle name="Normal 9 3 2 2 4 3" xfId="5719" xr:uid="{00000000-0005-0000-0000-0000C71F0000}"/>
    <cellStyle name="Normal 9 3 2 2 4 3 2" xfId="23449" xr:uid="{1AD8DB9D-44F2-4161-8E80-C264798FEE7F}"/>
    <cellStyle name="Normal 9 3 2 2 4 3 3" xfId="14169" xr:uid="{3C00950E-7005-4E12-A9F5-C9E539E77E41}"/>
    <cellStyle name="Normal 9 3 2 2 4 4" xfId="19232" xr:uid="{3F2FA54F-A941-4CCE-A7D7-93B6F05F0A72}"/>
    <cellStyle name="Normal 9 3 2 2 4 5" xfId="9951" xr:uid="{C99BDFC2-F494-49C2-9AF0-315296D469AD}"/>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26007" xr:uid="{46D62CEE-7175-47DB-B31F-04A3FBD09CC4}"/>
    <cellStyle name="Normal 9 3 2 2 5 2 2 3" xfId="16727" xr:uid="{FF129063-37C9-41BF-BADD-A3BCC4D1E1E1}"/>
    <cellStyle name="Normal 9 3 2 2 5 2 3" xfId="21790" xr:uid="{7D26E1D8-A6B0-4124-90BA-9503D7948ED2}"/>
    <cellStyle name="Normal 9 3 2 2 5 2 4" xfId="12509" xr:uid="{5CF7B919-905B-45B1-BF48-810818459AB4}"/>
    <cellStyle name="Normal 9 3 2 2 5 3" xfId="6132" xr:uid="{00000000-0005-0000-0000-0000CB1F0000}"/>
    <cellStyle name="Normal 9 3 2 2 5 3 2" xfId="23862" xr:uid="{2FB6F386-F9B0-427A-83C2-61B947B7C952}"/>
    <cellStyle name="Normal 9 3 2 2 5 3 3" xfId="14582" xr:uid="{959C0157-CCB5-4110-87AE-4E3BEBF3483E}"/>
    <cellStyle name="Normal 9 3 2 2 5 4" xfId="19645" xr:uid="{D0DD5D7A-2571-4E4C-BA7B-0907FEB3AAAD}"/>
    <cellStyle name="Normal 9 3 2 2 5 5" xfId="10364" xr:uid="{1EE89625-9282-419E-8D8B-F5E9C4B5411C}"/>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26420" xr:uid="{5C43B9EB-D9B6-4A20-A648-6152BAE96F96}"/>
    <cellStyle name="Normal 9 3 2 2 6 2 2 3" xfId="17140" xr:uid="{06DE0D75-0F5B-44FB-AAAA-11DA70590088}"/>
    <cellStyle name="Normal 9 3 2 2 6 2 3" xfId="22203" xr:uid="{E4C8E09A-C9E7-4086-95BE-D622B9E07217}"/>
    <cellStyle name="Normal 9 3 2 2 6 2 4" xfId="12922" xr:uid="{DF6B9EEB-D18D-4067-9F67-25FFFF654DF4}"/>
    <cellStyle name="Normal 9 3 2 2 6 3" xfId="6545" xr:uid="{00000000-0005-0000-0000-0000CF1F0000}"/>
    <cellStyle name="Normal 9 3 2 2 6 3 2" xfId="24275" xr:uid="{A2DD8F20-F9FC-4460-99E8-FF4C6E6106C7}"/>
    <cellStyle name="Normal 9 3 2 2 6 3 3" xfId="14995" xr:uid="{2036A795-E116-440F-AA36-8A0EA7F1C592}"/>
    <cellStyle name="Normal 9 3 2 2 6 4" xfId="20058" xr:uid="{1E054A7C-817F-4E9A-BE9B-2313104BB38A}"/>
    <cellStyle name="Normal 9 3 2 2 6 5" xfId="10777" xr:uid="{4AA8695C-F666-4BC5-9058-936D8D80584E}"/>
    <cellStyle name="Normal 9 3 2 2 7" xfId="2675" xr:uid="{00000000-0005-0000-0000-0000D01F0000}"/>
    <cellStyle name="Normal 9 3 2 2 7 2" xfId="6958" xr:uid="{00000000-0005-0000-0000-0000D11F0000}"/>
    <cellStyle name="Normal 9 3 2 2 7 2 2" xfId="24688" xr:uid="{9E4EADE5-8EBB-4C9A-A40B-B85530927749}"/>
    <cellStyle name="Normal 9 3 2 2 7 2 3" xfId="15408" xr:uid="{FF2B952A-11BC-4F9A-9AB8-D4AD126A5D26}"/>
    <cellStyle name="Normal 9 3 2 2 7 3" xfId="20471" xr:uid="{B6C8F70C-7647-4E79-8970-FA02D9B3ED38}"/>
    <cellStyle name="Normal 9 3 2 2 7 4" xfId="11190" xr:uid="{A8C8246C-7682-4534-9B8B-B0DA60EC0AAE}"/>
    <cellStyle name="Normal 9 3 2 2 8" xfId="4893" xr:uid="{00000000-0005-0000-0000-0000D21F0000}"/>
    <cellStyle name="Normal 9 3 2 2 8 2" xfId="22623" xr:uid="{5468FB29-AC44-4648-A94A-B574D6EAD563}"/>
    <cellStyle name="Normal 9 3 2 2 8 3" xfId="13343" xr:uid="{70979F58-1A1C-4677-9097-00091FBA149A}"/>
    <cellStyle name="Normal 9 3 2 2 9" xfId="18406" xr:uid="{3702F36F-583B-4975-ADD2-11054475E08C}"/>
    <cellStyle name="Normal 9 3 2 3" xfId="531" xr:uid="{00000000-0005-0000-0000-0000D31F0000}"/>
    <cellStyle name="Normal 9 3 2 3 10" xfId="9127" xr:uid="{DDB6FC4D-DA47-4697-BD78-38FB78CCC531}"/>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25183" xr:uid="{38A57274-1541-47BE-84B1-E0161F3164E2}"/>
    <cellStyle name="Normal 9 3 2 3 2 2 2 3" xfId="15903" xr:uid="{8A1191BE-A662-49D4-9578-E6FD8BF63C20}"/>
    <cellStyle name="Normal 9 3 2 3 2 2 3" xfId="20966" xr:uid="{6083F799-E5FA-4101-B1F7-B6ED6EAD65AC}"/>
    <cellStyle name="Normal 9 3 2 3 2 2 4" xfId="11685" xr:uid="{618F50DE-206D-4911-A369-CAA55C581FE7}"/>
    <cellStyle name="Normal 9 3 2 3 2 3" xfId="5308" xr:uid="{00000000-0005-0000-0000-0000D71F0000}"/>
    <cellStyle name="Normal 9 3 2 3 2 3 2" xfId="23038" xr:uid="{2648CA06-BBBD-4F66-AE4F-1AF795830B46}"/>
    <cellStyle name="Normal 9 3 2 3 2 3 3" xfId="13758" xr:uid="{06FA63F9-3F09-4E25-B77A-2437CF0B48DF}"/>
    <cellStyle name="Normal 9 3 2 3 2 4" xfId="18821" xr:uid="{3102ACDB-7FE6-41FB-B6E8-C673E0F211AB}"/>
    <cellStyle name="Normal 9 3 2 3 2 5" xfId="17993" xr:uid="{2A8AD63E-64A7-4FA3-B60C-AEA9D93EB6A9}"/>
    <cellStyle name="Normal 9 3 2 3 2 6" xfId="9540" xr:uid="{4D2482B2-DCA7-4084-9AB6-506F0E6F07F0}"/>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25596" xr:uid="{9B1A91E9-5801-4BFD-91AC-8E649B765AE1}"/>
    <cellStyle name="Normal 9 3 2 3 3 2 2 3" xfId="16316" xr:uid="{B12440C1-6AC6-49A4-8C6A-D0768BEE4319}"/>
    <cellStyle name="Normal 9 3 2 3 3 2 3" xfId="21379" xr:uid="{34F13BA5-D124-4A5B-A531-70203DEB277E}"/>
    <cellStyle name="Normal 9 3 2 3 3 2 4" xfId="12098" xr:uid="{9BB6AEE1-5D98-43B8-978E-9AF44417E71A}"/>
    <cellStyle name="Normal 9 3 2 3 3 3" xfId="5721" xr:uid="{00000000-0005-0000-0000-0000DB1F0000}"/>
    <cellStyle name="Normal 9 3 2 3 3 3 2" xfId="23451" xr:uid="{792BF031-1EF2-44FD-9ECE-295D040F20DE}"/>
    <cellStyle name="Normal 9 3 2 3 3 3 3" xfId="14171" xr:uid="{58603906-9F4A-4111-BA6E-118CB5CFDA61}"/>
    <cellStyle name="Normal 9 3 2 3 3 4" xfId="19234" xr:uid="{28BA4698-33ED-4EEA-8E5F-A6C7DD9FFF0F}"/>
    <cellStyle name="Normal 9 3 2 3 3 5" xfId="9953" xr:uid="{C888BF3E-F38E-4281-A234-761257292109}"/>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26009" xr:uid="{1725DDE7-CC99-419F-9835-E36621691D14}"/>
    <cellStyle name="Normal 9 3 2 3 4 2 2 3" xfId="16729" xr:uid="{3CD5AE26-7AA0-4602-AAE2-407E48CE1330}"/>
    <cellStyle name="Normal 9 3 2 3 4 2 3" xfId="21792" xr:uid="{D82F96C0-6F72-4FE7-87EC-183B723B1A9D}"/>
    <cellStyle name="Normal 9 3 2 3 4 2 4" xfId="12511" xr:uid="{73F72F75-B940-4F3E-9F71-F86E85A2F114}"/>
    <cellStyle name="Normal 9 3 2 3 4 3" xfId="6134" xr:uid="{00000000-0005-0000-0000-0000DF1F0000}"/>
    <cellStyle name="Normal 9 3 2 3 4 3 2" xfId="23864" xr:uid="{4C382926-60B2-47EA-A51C-D994A8A66B42}"/>
    <cellStyle name="Normal 9 3 2 3 4 3 3" xfId="14584" xr:uid="{0CF1E46B-F249-4C96-80EA-3D30517B8017}"/>
    <cellStyle name="Normal 9 3 2 3 4 4" xfId="19647" xr:uid="{B158FC89-1894-4F46-9E5C-A53D437F6F02}"/>
    <cellStyle name="Normal 9 3 2 3 4 5" xfId="10366" xr:uid="{10D69ECE-4ECD-41A3-B637-D027E05E5658}"/>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26422" xr:uid="{6E5F80C3-938B-4B30-8BEB-D21461673648}"/>
    <cellStyle name="Normal 9 3 2 3 5 2 2 3" xfId="17142" xr:uid="{EA3A4E41-361E-4890-959E-EBBFA3863128}"/>
    <cellStyle name="Normal 9 3 2 3 5 2 3" xfId="22205" xr:uid="{21A303FC-ED0A-43BB-A701-80BF4A42AE6C}"/>
    <cellStyle name="Normal 9 3 2 3 5 2 4" xfId="12924" xr:uid="{1E1A09AB-C6F2-4D08-A289-34D14E1B330A}"/>
    <cellStyle name="Normal 9 3 2 3 5 3" xfId="6547" xr:uid="{00000000-0005-0000-0000-0000E31F0000}"/>
    <cellStyle name="Normal 9 3 2 3 5 3 2" xfId="24277" xr:uid="{3BCB3D7F-4582-453C-9C4B-DD5BB2F3BCE6}"/>
    <cellStyle name="Normal 9 3 2 3 5 3 3" xfId="14997" xr:uid="{8B7D856D-17C7-4189-908F-38BB3AF74156}"/>
    <cellStyle name="Normal 9 3 2 3 5 4" xfId="20060" xr:uid="{DE0AB0B7-A568-4FCB-9387-0295B1A76DB5}"/>
    <cellStyle name="Normal 9 3 2 3 5 5" xfId="10779" xr:uid="{49B8475F-25D7-45FE-85DC-2A3CE5CDAF9F}"/>
    <cellStyle name="Normal 9 3 2 3 6" xfId="2677" xr:uid="{00000000-0005-0000-0000-0000E41F0000}"/>
    <cellStyle name="Normal 9 3 2 3 6 2" xfId="6960" xr:uid="{00000000-0005-0000-0000-0000E51F0000}"/>
    <cellStyle name="Normal 9 3 2 3 6 2 2" xfId="24690" xr:uid="{C0F61A4B-6ED1-4AE8-821D-CA4B0A579C9F}"/>
    <cellStyle name="Normal 9 3 2 3 6 2 3" xfId="15410" xr:uid="{DD9CEE17-BE4A-4869-8DB9-548E14C00BBB}"/>
    <cellStyle name="Normal 9 3 2 3 6 3" xfId="20473" xr:uid="{BBB2B6BE-3B67-4B79-B885-DBCF0CC2DBB7}"/>
    <cellStyle name="Normal 9 3 2 3 6 4" xfId="11192" xr:uid="{D7E3EE50-6C0A-441D-A287-EA84F21ED105}"/>
    <cellStyle name="Normal 9 3 2 3 7" xfId="4895" xr:uid="{00000000-0005-0000-0000-0000E61F0000}"/>
    <cellStyle name="Normal 9 3 2 3 7 2" xfId="22625" xr:uid="{6C2E879D-5D58-461B-B1F6-598B0635FA78}"/>
    <cellStyle name="Normal 9 3 2 3 7 3" xfId="13345" xr:uid="{A1A6824E-5658-4581-9FA5-DC46901C30DF}"/>
    <cellStyle name="Normal 9 3 2 3 8" xfId="18408" xr:uid="{E5875279-A06B-4E5D-81F0-5D85CF821C44}"/>
    <cellStyle name="Normal 9 3 2 3 9" xfId="17574" xr:uid="{3DF0E89A-20AB-4545-A0EB-128EEE2CB057}"/>
    <cellStyle name="Normal 9 3 2 4" xfId="995" xr:uid="{00000000-0005-0000-0000-0000E71F0000}"/>
    <cellStyle name="Normal 9 3 2 4 2" xfId="3228" xr:uid="{00000000-0005-0000-0000-0000E81F0000}"/>
    <cellStyle name="Normal 9 3 2 4 2 2" xfId="7450" xr:uid="{00000000-0005-0000-0000-0000E91F0000}"/>
    <cellStyle name="Normal 9 3 2 4 2 2 2" xfId="25180" xr:uid="{C614C2D5-61AC-48C9-8807-179CEBE27DD6}"/>
    <cellStyle name="Normal 9 3 2 4 2 2 3" xfId="15900" xr:uid="{167BA599-7A1F-478F-9516-931AF2AA0520}"/>
    <cellStyle name="Normal 9 3 2 4 2 3" xfId="20963" xr:uid="{EBBB1861-6332-4B6E-95E8-8752BD1B0806}"/>
    <cellStyle name="Normal 9 3 2 4 2 4" xfId="11682" xr:uid="{60ED46D7-3D23-4B85-B126-F77E5D70DCDD}"/>
    <cellStyle name="Normal 9 3 2 4 3" xfId="5305" xr:uid="{00000000-0005-0000-0000-0000EA1F0000}"/>
    <cellStyle name="Normal 9 3 2 4 3 2" xfId="23035" xr:uid="{FDBDCAE1-6579-42BF-B8BD-C479C1F26389}"/>
    <cellStyle name="Normal 9 3 2 4 3 3" xfId="13755" xr:uid="{AE1FA5BC-9256-4D98-960D-4CB160A00CCF}"/>
    <cellStyle name="Normal 9 3 2 4 4" xfId="18818" xr:uid="{1E596EAE-1A20-4775-9225-FE311346E3B6}"/>
    <cellStyle name="Normal 9 3 2 4 5" xfId="17990" xr:uid="{1594142B-6A11-4149-8A9E-95101ADE2BD1}"/>
    <cellStyle name="Normal 9 3 2 4 6" xfId="9537" xr:uid="{506D311C-43B3-4884-90F8-56C670F9F3A0}"/>
    <cellStyle name="Normal 9 3 2 5" xfId="1411" xr:uid="{00000000-0005-0000-0000-0000EB1F0000}"/>
    <cellStyle name="Normal 9 3 2 5 2" xfId="3641" xr:uid="{00000000-0005-0000-0000-0000EC1F0000}"/>
    <cellStyle name="Normal 9 3 2 5 2 2" xfId="7863" xr:uid="{00000000-0005-0000-0000-0000ED1F0000}"/>
    <cellStyle name="Normal 9 3 2 5 2 2 2" xfId="25593" xr:uid="{5669BDA9-7CF4-4FD1-BB53-1E4651E99364}"/>
    <cellStyle name="Normal 9 3 2 5 2 2 3" xfId="16313" xr:uid="{9E2DBD66-9A04-4405-BC20-BFFDFB5676A0}"/>
    <cellStyle name="Normal 9 3 2 5 2 3" xfId="21376" xr:uid="{4847D015-84EB-40CB-9F5E-ED20351629C6}"/>
    <cellStyle name="Normal 9 3 2 5 2 4" xfId="12095" xr:uid="{9C79ECAD-6E16-42AF-89DA-11D80702DE27}"/>
    <cellStyle name="Normal 9 3 2 5 3" xfId="5718" xr:uid="{00000000-0005-0000-0000-0000EE1F0000}"/>
    <cellStyle name="Normal 9 3 2 5 3 2" xfId="23448" xr:uid="{C51F2F95-2365-4810-B419-6669B95C3751}"/>
    <cellStyle name="Normal 9 3 2 5 3 3" xfId="14168" xr:uid="{125C7236-FD43-4BEF-BCA2-0FCD9489B499}"/>
    <cellStyle name="Normal 9 3 2 5 4" xfId="19231" xr:uid="{6F17137E-1C01-4AE7-AFC5-A94B8A79FF23}"/>
    <cellStyle name="Normal 9 3 2 5 5" xfId="9950" xr:uid="{CC2B94FE-57CF-408E-B4C0-DF4EA4C76F62}"/>
    <cellStyle name="Normal 9 3 2 6" xfId="1824" xr:uid="{00000000-0005-0000-0000-0000EF1F0000}"/>
    <cellStyle name="Normal 9 3 2 6 2" xfId="4054" xr:uid="{00000000-0005-0000-0000-0000F01F0000}"/>
    <cellStyle name="Normal 9 3 2 6 2 2" xfId="8276" xr:uid="{00000000-0005-0000-0000-0000F11F0000}"/>
    <cellStyle name="Normal 9 3 2 6 2 2 2" xfId="26006" xr:uid="{A803C04E-AAE4-433C-B68C-242288EA640B}"/>
    <cellStyle name="Normal 9 3 2 6 2 2 3" xfId="16726" xr:uid="{4F32EA16-2FDD-4E71-8470-20194C59B417}"/>
    <cellStyle name="Normal 9 3 2 6 2 3" xfId="21789" xr:uid="{F7DBFF32-C25C-4407-9BD4-EF21B26E0E55}"/>
    <cellStyle name="Normal 9 3 2 6 2 4" xfId="12508" xr:uid="{55D92782-F447-43E6-ABA8-15D7D36D88E0}"/>
    <cellStyle name="Normal 9 3 2 6 3" xfId="6131" xr:uid="{00000000-0005-0000-0000-0000F21F0000}"/>
    <cellStyle name="Normal 9 3 2 6 3 2" xfId="23861" xr:uid="{376C79ED-62A2-4CA6-A797-D63603E3884D}"/>
    <cellStyle name="Normal 9 3 2 6 3 3" xfId="14581" xr:uid="{268B24EA-A502-446E-8B6A-92A26CE6B1BA}"/>
    <cellStyle name="Normal 9 3 2 6 4" xfId="19644" xr:uid="{3BB02882-6B70-45BE-81D3-24F178BE6A35}"/>
    <cellStyle name="Normal 9 3 2 6 5" xfId="10363" xr:uid="{952B6DAF-ACF0-4F9F-BF15-AE2121416603}"/>
    <cellStyle name="Normal 9 3 2 7" xfId="2238" xr:uid="{00000000-0005-0000-0000-0000F31F0000}"/>
    <cellStyle name="Normal 9 3 2 7 2" xfId="4467" xr:uid="{00000000-0005-0000-0000-0000F41F0000}"/>
    <cellStyle name="Normal 9 3 2 7 2 2" xfId="8689" xr:uid="{00000000-0005-0000-0000-0000F51F0000}"/>
    <cellStyle name="Normal 9 3 2 7 2 2 2" xfId="26419" xr:uid="{F847FD12-1C41-46D8-9C11-E84A5187F0E3}"/>
    <cellStyle name="Normal 9 3 2 7 2 2 3" xfId="17139" xr:uid="{CB045526-92B8-4D85-8D17-0429A19E3B2D}"/>
    <cellStyle name="Normal 9 3 2 7 2 3" xfId="22202" xr:uid="{5987FE3F-BD2E-4FD4-9240-2CCA07AAAE17}"/>
    <cellStyle name="Normal 9 3 2 7 2 4" xfId="12921" xr:uid="{67741759-6478-4996-A385-733DB9944B21}"/>
    <cellStyle name="Normal 9 3 2 7 3" xfId="6544" xr:uid="{00000000-0005-0000-0000-0000F61F0000}"/>
    <cellStyle name="Normal 9 3 2 7 3 2" xfId="24274" xr:uid="{5AE588DE-56B0-43C7-871B-7427221EEE8D}"/>
    <cellStyle name="Normal 9 3 2 7 3 3" xfId="14994" xr:uid="{C7263437-E434-4113-AE6F-7675AF7C1482}"/>
    <cellStyle name="Normal 9 3 2 7 4" xfId="20057" xr:uid="{7DB4315D-13D5-4877-BFBE-C5BD934E5427}"/>
    <cellStyle name="Normal 9 3 2 7 5" xfId="10776" xr:uid="{326A1054-BC1C-4630-9935-88F1525BF9CF}"/>
    <cellStyle name="Normal 9 3 2 8" xfId="2674" xr:uid="{00000000-0005-0000-0000-0000F71F0000}"/>
    <cellStyle name="Normal 9 3 2 8 2" xfId="6957" xr:uid="{00000000-0005-0000-0000-0000F81F0000}"/>
    <cellStyle name="Normal 9 3 2 8 2 2" xfId="24687" xr:uid="{38C9C692-04D9-4508-8783-E67B0C39690A}"/>
    <cellStyle name="Normal 9 3 2 8 2 3" xfId="15407" xr:uid="{520EC845-FA77-4EF1-BC90-A86823A8D85C}"/>
    <cellStyle name="Normal 9 3 2 8 3" xfId="20470" xr:uid="{5F7A29EF-A1B4-4CE0-A21C-1F40FBC2F958}"/>
    <cellStyle name="Normal 9 3 2 8 4" xfId="11189" xr:uid="{4A54955E-9A0D-4C8D-9C50-8E35A1B09EF3}"/>
    <cellStyle name="Normal 9 3 2 9" xfId="4892" xr:uid="{00000000-0005-0000-0000-0000F91F0000}"/>
    <cellStyle name="Normal 9 3 2 9 2" xfId="22622" xr:uid="{4F38297B-D4C9-4C3F-A441-606F90C082AC}"/>
    <cellStyle name="Normal 9 3 2 9 3" xfId="13342" xr:uid="{C9E4141D-6A25-4EA1-9915-47EDD07C4E32}"/>
    <cellStyle name="Normal 9 3 3" xfId="532" xr:uid="{00000000-0005-0000-0000-0000FA1F0000}"/>
    <cellStyle name="Normal 9 3 3 10" xfId="17575" xr:uid="{D3168E7C-B25A-46F7-965D-97F39F9C55BD}"/>
    <cellStyle name="Normal 9 3 3 11" xfId="9128" xr:uid="{D2008471-C460-48D5-BF12-E75C09B99A61}"/>
    <cellStyle name="Normal 9 3 3 2" xfId="533" xr:uid="{00000000-0005-0000-0000-0000FB1F0000}"/>
    <cellStyle name="Normal 9 3 3 2 10" xfId="9129" xr:uid="{5B901EF9-E9B5-4F55-B969-EE4CE7E24357}"/>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25185" xr:uid="{E9E116C5-02C7-48F5-8F33-DDA1AA0AD1D7}"/>
    <cellStyle name="Normal 9 3 3 2 2 2 2 3" xfId="15905" xr:uid="{48EB5FFE-AC10-4D6A-AA1D-D841B420CD6B}"/>
    <cellStyle name="Normal 9 3 3 2 2 2 3" xfId="20968" xr:uid="{0B499BD1-21EC-4863-A28A-601F4CCF42A5}"/>
    <cellStyle name="Normal 9 3 3 2 2 2 4" xfId="11687" xr:uid="{B7AD5463-68DC-47BF-A5DF-CD2A6738E8F4}"/>
    <cellStyle name="Normal 9 3 3 2 2 3" xfId="5310" xr:uid="{00000000-0005-0000-0000-0000FF1F0000}"/>
    <cellStyle name="Normal 9 3 3 2 2 3 2" xfId="23040" xr:uid="{D813399E-E7A1-4745-B096-DE0B286DF202}"/>
    <cellStyle name="Normal 9 3 3 2 2 3 3" xfId="13760" xr:uid="{114F2B57-BABF-4095-9990-9F1DC6584248}"/>
    <cellStyle name="Normal 9 3 3 2 2 4" xfId="18823" xr:uid="{C4F3C425-9C53-44EF-952D-EFC4283318A2}"/>
    <cellStyle name="Normal 9 3 3 2 2 5" xfId="17995" xr:uid="{F6B57BED-CA66-407A-BFAF-9B5E63479873}"/>
    <cellStyle name="Normal 9 3 3 2 2 6" xfId="9542" xr:uid="{D08E037A-5404-4C5B-A8F5-A34F0FB0A8F3}"/>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25598" xr:uid="{0B7B3CDD-3EE1-4AE5-807A-5D97CF79DA26}"/>
    <cellStyle name="Normal 9 3 3 2 3 2 2 3" xfId="16318" xr:uid="{A424B300-69AE-497B-A842-7BE680BA0FD4}"/>
    <cellStyle name="Normal 9 3 3 2 3 2 3" xfId="21381" xr:uid="{CD43C593-AE52-40FB-A23E-9731FEBA6264}"/>
    <cellStyle name="Normal 9 3 3 2 3 2 4" xfId="12100" xr:uid="{ADFBCD23-5020-47FA-9129-93298D308F47}"/>
    <cellStyle name="Normal 9 3 3 2 3 3" xfId="5723" xr:uid="{00000000-0005-0000-0000-000003200000}"/>
    <cellStyle name="Normal 9 3 3 2 3 3 2" xfId="23453" xr:uid="{1325BEF5-C7D8-4560-A3C0-F63D2425BC46}"/>
    <cellStyle name="Normal 9 3 3 2 3 3 3" xfId="14173" xr:uid="{9B55C226-39D9-4D5A-AD21-5844C4DD6476}"/>
    <cellStyle name="Normal 9 3 3 2 3 4" xfId="19236" xr:uid="{83FF2658-9CAF-4454-86F5-9D75BC655D96}"/>
    <cellStyle name="Normal 9 3 3 2 3 5" xfId="9955" xr:uid="{EA066D75-3146-4C49-AE3C-7E1CEF521778}"/>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26011" xr:uid="{8ED779F2-B54F-4FB7-9BDA-AD45F7DA0E53}"/>
    <cellStyle name="Normal 9 3 3 2 4 2 2 3" xfId="16731" xr:uid="{FB18B9DF-F5FF-4BD9-9168-8E6E2C04D2B2}"/>
    <cellStyle name="Normal 9 3 3 2 4 2 3" xfId="21794" xr:uid="{907894CA-599C-4DD3-A195-C447D6F2D5E8}"/>
    <cellStyle name="Normal 9 3 3 2 4 2 4" xfId="12513" xr:uid="{8FDEA562-B814-425E-B813-B648949E0CEE}"/>
    <cellStyle name="Normal 9 3 3 2 4 3" xfId="6136" xr:uid="{00000000-0005-0000-0000-000007200000}"/>
    <cellStyle name="Normal 9 3 3 2 4 3 2" xfId="23866" xr:uid="{46BC3303-D41D-4AB3-84A5-4D9E18B405FE}"/>
    <cellStyle name="Normal 9 3 3 2 4 3 3" xfId="14586" xr:uid="{D8C07CC3-16FA-4B3E-BBE2-EDB876882255}"/>
    <cellStyle name="Normal 9 3 3 2 4 4" xfId="19649" xr:uid="{45CBCBF8-875F-4375-A534-F7961F326EB6}"/>
    <cellStyle name="Normal 9 3 3 2 4 5" xfId="10368" xr:uid="{66E168C8-F916-4E09-8D0D-32E4CF92EAFC}"/>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26424" xr:uid="{0A5D63E5-BD85-4E88-B186-A1064C991397}"/>
    <cellStyle name="Normal 9 3 3 2 5 2 2 3" xfId="17144" xr:uid="{274E3CA6-BC8D-4978-8060-887BF81C2A8A}"/>
    <cellStyle name="Normal 9 3 3 2 5 2 3" xfId="22207" xr:uid="{ABD2E155-0A4B-4757-8D75-82DF9249D7C1}"/>
    <cellStyle name="Normal 9 3 3 2 5 2 4" xfId="12926" xr:uid="{58474292-B267-4DC3-BC08-D511C87A3FA2}"/>
    <cellStyle name="Normal 9 3 3 2 5 3" xfId="6549" xr:uid="{00000000-0005-0000-0000-00000B200000}"/>
    <cellStyle name="Normal 9 3 3 2 5 3 2" xfId="24279" xr:uid="{339A5E1E-29F4-4ABA-9B03-9546304B3401}"/>
    <cellStyle name="Normal 9 3 3 2 5 3 3" xfId="14999" xr:uid="{D3496398-3E93-4138-9354-C79AC80D43CA}"/>
    <cellStyle name="Normal 9 3 3 2 5 4" xfId="20062" xr:uid="{97A30949-54D3-4D54-9263-A32153C6D594}"/>
    <cellStyle name="Normal 9 3 3 2 5 5" xfId="10781" xr:uid="{FE42F6C9-BE21-4451-B68B-51269FE4CDE8}"/>
    <cellStyle name="Normal 9 3 3 2 6" xfId="2679" xr:uid="{00000000-0005-0000-0000-00000C200000}"/>
    <cellStyle name="Normal 9 3 3 2 6 2" xfId="6962" xr:uid="{00000000-0005-0000-0000-00000D200000}"/>
    <cellStyle name="Normal 9 3 3 2 6 2 2" xfId="24692" xr:uid="{C1479831-B7F4-4CD8-9834-1EB86EF4E65B}"/>
    <cellStyle name="Normal 9 3 3 2 6 2 3" xfId="15412" xr:uid="{A334CFEE-FBE6-4F66-BA37-DD3C2676D582}"/>
    <cellStyle name="Normal 9 3 3 2 6 3" xfId="20475" xr:uid="{A5315DDA-7958-446F-8FEA-FF58B2D40CF1}"/>
    <cellStyle name="Normal 9 3 3 2 6 4" xfId="11194" xr:uid="{09C200C2-68E5-41E5-B533-872B3FB5FD19}"/>
    <cellStyle name="Normal 9 3 3 2 7" xfId="4897" xr:uid="{00000000-0005-0000-0000-00000E200000}"/>
    <cellStyle name="Normal 9 3 3 2 7 2" xfId="22627" xr:uid="{D3849C22-6A7F-436B-8C84-4837AC09E0B4}"/>
    <cellStyle name="Normal 9 3 3 2 7 3" xfId="13347" xr:uid="{7B0EBD03-A34F-4CA4-B2A9-83DA4358BC05}"/>
    <cellStyle name="Normal 9 3 3 2 8" xfId="18410" xr:uid="{7B625A8C-47F0-4BF1-BB2E-C8F512B96669}"/>
    <cellStyle name="Normal 9 3 3 2 9" xfId="17576" xr:uid="{C6C6B3AB-A641-4156-82F6-E0FB2D96B1D0}"/>
    <cellStyle name="Normal 9 3 3 3" xfId="999" xr:uid="{00000000-0005-0000-0000-00000F200000}"/>
    <cellStyle name="Normal 9 3 3 3 2" xfId="3232" xr:uid="{00000000-0005-0000-0000-000010200000}"/>
    <cellStyle name="Normal 9 3 3 3 2 2" xfId="7454" xr:uid="{00000000-0005-0000-0000-000011200000}"/>
    <cellStyle name="Normal 9 3 3 3 2 2 2" xfId="25184" xr:uid="{ECE7F8A9-2C66-4855-93CD-EF845C7A09C8}"/>
    <cellStyle name="Normal 9 3 3 3 2 2 3" xfId="15904" xr:uid="{61280A9D-37A2-4DA1-8CB2-AA28D445FA32}"/>
    <cellStyle name="Normal 9 3 3 3 2 3" xfId="20967" xr:uid="{41420016-13AA-49FD-887B-5C699FAC831A}"/>
    <cellStyle name="Normal 9 3 3 3 2 4" xfId="11686" xr:uid="{367428BE-7995-468B-999B-81BF6005F7C4}"/>
    <cellStyle name="Normal 9 3 3 3 3" xfId="5309" xr:uid="{00000000-0005-0000-0000-000012200000}"/>
    <cellStyle name="Normal 9 3 3 3 3 2" xfId="23039" xr:uid="{4F5E1D43-413B-4B47-AF01-1326DA60B160}"/>
    <cellStyle name="Normal 9 3 3 3 3 3" xfId="13759" xr:uid="{319FEDF0-2AAE-4F7D-8362-D34311C3F8B3}"/>
    <cellStyle name="Normal 9 3 3 3 4" xfId="18822" xr:uid="{DF836FA0-3E0F-47BF-9EA4-D4FD01C83863}"/>
    <cellStyle name="Normal 9 3 3 3 5" xfId="17994" xr:uid="{555265B8-6789-4A70-A87E-D6B1623C8B1E}"/>
    <cellStyle name="Normal 9 3 3 3 6" xfId="9541" xr:uid="{C2C6BB9A-B39A-4A19-ADB6-77CC6C6F9147}"/>
    <cellStyle name="Normal 9 3 3 4" xfId="1415" xr:uid="{00000000-0005-0000-0000-000013200000}"/>
    <cellStyle name="Normal 9 3 3 4 2" xfId="3645" xr:uid="{00000000-0005-0000-0000-000014200000}"/>
    <cellStyle name="Normal 9 3 3 4 2 2" xfId="7867" xr:uid="{00000000-0005-0000-0000-000015200000}"/>
    <cellStyle name="Normal 9 3 3 4 2 2 2" xfId="25597" xr:uid="{849E700A-C750-4C79-961C-7A04BD446BB6}"/>
    <cellStyle name="Normal 9 3 3 4 2 2 3" xfId="16317" xr:uid="{2A4DE1AE-C805-4DB6-9BEC-77F122D229D8}"/>
    <cellStyle name="Normal 9 3 3 4 2 3" xfId="21380" xr:uid="{17682D65-30DE-4388-8B2F-D0B5A8FD1154}"/>
    <cellStyle name="Normal 9 3 3 4 2 4" xfId="12099" xr:uid="{22EC5F6B-3270-4A3B-B205-16C9BFD986EC}"/>
    <cellStyle name="Normal 9 3 3 4 3" xfId="5722" xr:uid="{00000000-0005-0000-0000-000016200000}"/>
    <cellStyle name="Normal 9 3 3 4 3 2" xfId="23452" xr:uid="{D422F024-AB9F-4B2B-92D8-4AB03A96AE67}"/>
    <cellStyle name="Normal 9 3 3 4 3 3" xfId="14172" xr:uid="{9FD19C37-2C73-474C-8549-6B7E3AF5C8C2}"/>
    <cellStyle name="Normal 9 3 3 4 4" xfId="19235" xr:uid="{474D0551-3BE4-41AE-8A32-0BD31260C41F}"/>
    <cellStyle name="Normal 9 3 3 4 5" xfId="9954" xr:uid="{B9A3A80D-C428-46AB-8DFA-078ED14267B9}"/>
    <cellStyle name="Normal 9 3 3 5" xfId="1828" xr:uid="{00000000-0005-0000-0000-000017200000}"/>
    <cellStyle name="Normal 9 3 3 5 2" xfId="4058" xr:uid="{00000000-0005-0000-0000-000018200000}"/>
    <cellStyle name="Normal 9 3 3 5 2 2" xfId="8280" xr:uid="{00000000-0005-0000-0000-000019200000}"/>
    <cellStyle name="Normal 9 3 3 5 2 2 2" xfId="26010" xr:uid="{DA34B26B-E5DB-4684-9CB0-6AE970FFB26A}"/>
    <cellStyle name="Normal 9 3 3 5 2 2 3" xfId="16730" xr:uid="{E396FB47-8C87-4422-99E3-8331B84B6C10}"/>
    <cellStyle name="Normal 9 3 3 5 2 3" xfId="21793" xr:uid="{EAE841FF-93E3-480A-BE3E-4D2964944682}"/>
    <cellStyle name="Normal 9 3 3 5 2 4" xfId="12512" xr:uid="{9609DF3F-DC82-42A4-8B8A-A89E363FDD88}"/>
    <cellStyle name="Normal 9 3 3 5 3" xfId="6135" xr:uid="{00000000-0005-0000-0000-00001A200000}"/>
    <cellStyle name="Normal 9 3 3 5 3 2" xfId="23865" xr:uid="{ABDA753A-892E-4E6B-A9BB-D4B6D1FE9108}"/>
    <cellStyle name="Normal 9 3 3 5 3 3" xfId="14585" xr:uid="{447C81F7-9413-4E27-A9C1-985F10910BC1}"/>
    <cellStyle name="Normal 9 3 3 5 4" xfId="19648" xr:uid="{F7362561-E8F1-4C80-9302-A192793E0153}"/>
    <cellStyle name="Normal 9 3 3 5 5" xfId="10367" xr:uid="{23641DBE-2CCA-4C6F-AC01-65FCCFC82E5A}"/>
    <cellStyle name="Normal 9 3 3 6" xfId="2242" xr:uid="{00000000-0005-0000-0000-00001B200000}"/>
    <cellStyle name="Normal 9 3 3 6 2" xfId="4471" xr:uid="{00000000-0005-0000-0000-00001C200000}"/>
    <cellStyle name="Normal 9 3 3 6 2 2" xfId="8693" xr:uid="{00000000-0005-0000-0000-00001D200000}"/>
    <cellStyle name="Normal 9 3 3 6 2 2 2" xfId="26423" xr:uid="{198631BC-6540-4A0D-9C10-85C3402D7A9E}"/>
    <cellStyle name="Normal 9 3 3 6 2 2 3" xfId="17143" xr:uid="{9625CAC8-6730-4C17-B5E6-8E595C8CF58E}"/>
    <cellStyle name="Normal 9 3 3 6 2 3" xfId="22206" xr:uid="{27B75589-D31A-4D5F-97C4-39C71C972BA7}"/>
    <cellStyle name="Normal 9 3 3 6 2 4" xfId="12925" xr:uid="{736E761C-B82E-4B0B-9CA6-3134A53DA152}"/>
    <cellStyle name="Normal 9 3 3 6 3" xfId="6548" xr:uid="{00000000-0005-0000-0000-00001E200000}"/>
    <cellStyle name="Normal 9 3 3 6 3 2" xfId="24278" xr:uid="{36306A69-9129-4566-B7B0-DBA3FE75A589}"/>
    <cellStyle name="Normal 9 3 3 6 3 3" xfId="14998" xr:uid="{6B2B646E-6972-4277-B682-6F59E23C9A04}"/>
    <cellStyle name="Normal 9 3 3 6 4" xfId="20061" xr:uid="{CAB97289-0459-45EA-AEBF-91586B56D187}"/>
    <cellStyle name="Normal 9 3 3 6 5" xfId="10780" xr:uid="{8FF65427-C1C8-4ACF-B9C3-D55BDD7D65CF}"/>
    <cellStyle name="Normal 9 3 3 7" xfId="2678" xr:uid="{00000000-0005-0000-0000-00001F200000}"/>
    <cellStyle name="Normal 9 3 3 7 2" xfId="6961" xr:uid="{00000000-0005-0000-0000-000020200000}"/>
    <cellStyle name="Normal 9 3 3 7 2 2" xfId="24691" xr:uid="{ADFAF2BA-9590-4F48-A68A-1E5852B848A4}"/>
    <cellStyle name="Normal 9 3 3 7 2 3" xfId="15411" xr:uid="{59066CC2-A96A-4A15-A49D-FC349C9F7076}"/>
    <cellStyle name="Normal 9 3 3 7 3" xfId="20474" xr:uid="{851D2760-EEB3-47B2-BE6C-D63D65A98C4C}"/>
    <cellStyle name="Normal 9 3 3 7 4" xfId="11193" xr:uid="{D899FBD6-513C-4ED1-A366-548CB01D47A3}"/>
    <cellStyle name="Normal 9 3 3 8" xfId="4896" xr:uid="{00000000-0005-0000-0000-000021200000}"/>
    <cellStyle name="Normal 9 3 3 8 2" xfId="22626" xr:uid="{44BEB972-301D-4132-95AB-362C700E5638}"/>
    <cellStyle name="Normal 9 3 3 8 3" xfId="13346" xr:uid="{2377452C-2796-4107-BB1D-1CAE5EEDB514}"/>
    <cellStyle name="Normal 9 3 3 9" xfId="18409" xr:uid="{ECC2081F-B5FD-45CD-9E8C-2D64E25F74EC}"/>
    <cellStyle name="Normal 9 3 4" xfId="534" xr:uid="{00000000-0005-0000-0000-000022200000}"/>
    <cellStyle name="Normal 9 3 4 10" xfId="9130" xr:uid="{E5FA4639-367A-4BCA-A23D-68697FD3FDA8}"/>
    <cellStyle name="Normal 9 3 4 2" xfId="1001" xr:uid="{00000000-0005-0000-0000-000023200000}"/>
    <cellStyle name="Normal 9 3 4 2 2" xfId="3234" xr:uid="{00000000-0005-0000-0000-000024200000}"/>
    <cellStyle name="Normal 9 3 4 2 2 2" xfId="7456" xr:uid="{00000000-0005-0000-0000-000025200000}"/>
    <cellStyle name="Normal 9 3 4 2 2 2 2" xfId="25186" xr:uid="{6185B1E3-0913-4F34-AC3A-48B3BBD1B4E2}"/>
    <cellStyle name="Normal 9 3 4 2 2 2 3" xfId="15906" xr:uid="{DB5339D0-F4BE-4BDE-AFA6-39F7437A03AC}"/>
    <cellStyle name="Normal 9 3 4 2 2 3" xfId="20969" xr:uid="{A465951C-6D7B-4920-A65F-8AC4A965404F}"/>
    <cellStyle name="Normal 9 3 4 2 2 4" xfId="11688" xr:uid="{6ECBF348-6C16-499D-8FC6-941D3B111E73}"/>
    <cellStyle name="Normal 9 3 4 2 3" xfId="5311" xr:uid="{00000000-0005-0000-0000-000026200000}"/>
    <cellStyle name="Normal 9 3 4 2 3 2" xfId="23041" xr:uid="{A30DB6B6-6C9E-48B2-AC9D-997D3EC45464}"/>
    <cellStyle name="Normal 9 3 4 2 3 3" xfId="13761" xr:uid="{E8E3A5A2-CEAF-427B-B0C5-6378A03369B4}"/>
    <cellStyle name="Normal 9 3 4 2 4" xfId="18824" xr:uid="{42FE5C49-AA50-4608-852E-BD0682083DFB}"/>
    <cellStyle name="Normal 9 3 4 2 5" xfId="17996" xr:uid="{E0C64104-38C1-474A-B976-C045D584D67C}"/>
    <cellStyle name="Normal 9 3 4 2 6" xfId="9543" xr:uid="{D8EDEE18-F551-48EE-BE26-399006C59DAC}"/>
    <cellStyle name="Normal 9 3 4 3" xfId="1417" xr:uid="{00000000-0005-0000-0000-000027200000}"/>
    <cellStyle name="Normal 9 3 4 3 2" xfId="3647" xr:uid="{00000000-0005-0000-0000-000028200000}"/>
    <cellStyle name="Normal 9 3 4 3 2 2" xfId="7869" xr:uid="{00000000-0005-0000-0000-000029200000}"/>
    <cellStyle name="Normal 9 3 4 3 2 2 2" xfId="25599" xr:uid="{EB305AEF-8868-4B8D-BE78-BF07BEFD767B}"/>
    <cellStyle name="Normal 9 3 4 3 2 2 3" xfId="16319" xr:uid="{BBB7AF71-FD50-4CD4-8FAB-351C1AF757CF}"/>
    <cellStyle name="Normal 9 3 4 3 2 3" xfId="21382" xr:uid="{B3734096-935C-4661-B746-CDB293C484D0}"/>
    <cellStyle name="Normal 9 3 4 3 2 4" xfId="12101" xr:uid="{B1698EB0-20A9-4732-97B6-D5A2CC5371D9}"/>
    <cellStyle name="Normal 9 3 4 3 3" xfId="5724" xr:uid="{00000000-0005-0000-0000-00002A200000}"/>
    <cellStyle name="Normal 9 3 4 3 3 2" xfId="23454" xr:uid="{FE36B268-05F6-4E21-A74C-68109B82876E}"/>
    <cellStyle name="Normal 9 3 4 3 3 3" xfId="14174" xr:uid="{A00D3B90-D01D-4A25-BAB6-A0037E8950C2}"/>
    <cellStyle name="Normal 9 3 4 3 4" xfId="19237" xr:uid="{2F1E8384-8DED-4A58-AA5B-367B8C0BA912}"/>
    <cellStyle name="Normal 9 3 4 3 5" xfId="9956" xr:uid="{B6D923D3-1BBA-45B8-A5BC-71108791A044}"/>
    <cellStyle name="Normal 9 3 4 4" xfId="1830" xr:uid="{00000000-0005-0000-0000-00002B200000}"/>
    <cellStyle name="Normal 9 3 4 4 2" xfId="4060" xr:uid="{00000000-0005-0000-0000-00002C200000}"/>
    <cellStyle name="Normal 9 3 4 4 2 2" xfId="8282" xr:uid="{00000000-0005-0000-0000-00002D200000}"/>
    <cellStyle name="Normal 9 3 4 4 2 2 2" xfId="26012" xr:uid="{A809E1EF-378B-41EA-B9A7-F65D2AD127C8}"/>
    <cellStyle name="Normal 9 3 4 4 2 2 3" xfId="16732" xr:uid="{3FE80863-626A-47E7-A232-0980168398F5}"/>
    <cellStyle name="Normal 9 3 4 4 2 3" xfId="21795" xr:uid="{A976D961-1393-46EC-AE54-E4AEB4AC2FEA}"/>
    <cellStyle name="Normal 9 3 4 4 2 4" xfId="12514" xr:uid="{2EA49A22-9440-4DFD-9188-56880CA3ACBA}"/>
    <cellStyle name="Normal 9 3 4 4 3" xfId="6137" xr:uid="{00000000-0005-0000-0000-00002E200000}"/>
    <cellStyle name="Normal 9 3 4 4 3 2" xfId="23867" xr:uid="{4F4E2A0E-1CD7-4FF9-A6B0-8CF06E450581}"/>
    <cellStyle name="Normal 9 3 4 4 3 3" xfId="14587" xr:uid="{421F1EFE-FC8F-4189-84E2-6B38EAAD623E}"/>
    <cellStyle name="Normal 9 3 4 4 4" xfId="19650" xr:uid="{74176D4B-ABFA-4ACE-8444-119A564F8842}"/>
    <cellStyle name="Normal 9 3 4 4 5" xfId="10369" xr:uid="{58460E73-62B1-4D03-BB2E-1E4132A882FB}"/>
    <cellStyle name="Normal 9 3 4 5" xfId="2244" xr:uid="{00000000-0005-0000-0000-00002F200000}"/>
    <cellStyle name="Normal 9 3 4 5 2" xfId="4473" xr:uid="{00000000-0005-0000-0000-000030200000}"/>
    <cellStyle name="Normal 9 3 4 5 2 2" xfId="8695" xr:uid="{00000000-0005-0000-0000-000031200000}"/>
    <cellStyle name="Normal 9 3 4 5 2 2 2" xfId="26425" xr:uid="{C0EE6773-3CBC-4F22-A55A-3766684BB8F9}"/>
    <cellStyle name="Normal 9 3 4 5 2 2 3" xfId="17145" xr:uid="{736CA208-1877-4CBD-943E-A94F8550967F}"/>
    <cellStyle name="Normal 9 3 4 5 2 3" xfId="22208" xr:uid="{C000EBBF-C335-48AA-9F9D-3DFA374F6D6D}"/>
    <cellStyle name="Normal 9 3 4 5 2 4" xfId="12927" xr:uid="{C67BBF16-E8B5-4A82-AC1A-B73FD0E34AF4}"/>
    <cellStyle name="Normal 9 3 4 5 3" xfId="6550" xr:uid="{00000000-0005-0000-0000-000032200000}"/>
    <cellStyle name="Normal 9 3 4 5 3 2" xfId="24280" xr:uid="{E06A6335-663D-4004-9B84-BAA9792F474A}"/>
    <cellStyle name="Normal 9 3 4 5 3 3" xfId="15000" xr:uid="{FB4DCB3F-CD94-491F-B40B-17DD2493F8AD}"/>
    <cellStyle name="Normal 9 3 4 5 4" xfId="20063" xr:uid="{F6DBC269-0976-4B85-984C-8BBF9BC4BD09}"/>
    <cellStyle name="Normal 9 3 4 5 5" xfId="10782" xr:uid="{6020031F-075B-41B1-AA22-16C42F09DD48}"/>
    <cellStyle name="Normal 9 3 4 6" xfId="2680" xr:uid="{00000000-0005-0000-0000-000033200000}"/>
    <cellStyle name="Normal 9 3 4 6 2" xfId="6963" xr:uid="{00000000-0005-0000-0000-000034200000}"/>
    <cellStyle name="Normal 9 3 4 6 2 2" xfId="24693" xr:uid="{C2E3D61E-6DC1-44B6-B82C-1FD5ADFE7B47}"/>
    <cellStyle name="Normal 9 3 4 6 2 3" xfId="15413" xr:uid="{11D63C82-124E-4E0A-9B0F-B0A83ED41EA2}"/>
    <cellStyle name="Normal 9 3 4 6 3" xfId="20476" xr:uid="{1DE5C637-8A9C-43AC-A0EF-CE5BCE8E35E3}"/>
    <cellStyle name="Normal 9 3 4 6 4" xfId="11195" xr:uid="{63DA20A5-6BE9-4C10-AD6D-04393C377B8A}"/>
    <cellStyle name="Normal 9 3 4 7" xfId="4898" xr:uid="{00000000-0005-0000-0000-000035200000}"/>
    <cellStyle name="Normal 9 3 4 7 2" xfId="22628" xr:uid="{D6CB02F2-6AC5-41F3-94F5-BF1DD3CB8FC6}"/>
    <cellStyle name="Normal 9 3 4 7 3" xfId="13348" xr:uid="{187686CF-74DB-463E-8980-163A37E0F9AA}"/>
    <cellStyle name="Normal 9 3 4 8" xfId="18411" xr:uid="{0222BD17-6577-4955-BC39-D6BA9090B66F}"/>
    <cellStyle name="Normal 9 3 4 9" xfId="17577" xr:uid="{C057EB80-1C18-4ECB-90CB-A2F6EDFA42FE}"/>
    <cellStyle name="Normal 9 3 5" xfId="994" xr:uid="{00000000-0005-0000-0000-000036200000}"/>
    <cellStyle name="Normal 9 3 5 2" xfId="3227" xr:uid="{00000000-0005-0000-0000-000037200000}"/>
    <cellStyle name="Normal 9 3 5 2 2" xfId="7449" xr:uid="{00000000-0005-0000-0000-000038200000}"/>
    <cellStyle name="Normal 9 3 5 2 2 2" xfId="25179" xr:uid="{3F415C27-841E-4FA0-B7CC-B1850E1BCF63}"/>
    <cellStyle name="Normal 9 3 5 2 2 3" xfId="15899" xr:uid="{A83DB900-1D79-4FC0-B818-BF8E9D82DC6D}"/>
    <cellStyle name="Normal 9 3 5 2 3" xfId="20962" xr:uid="{BD71E651-6570-416B-93E3-D676EA24AD33}"/>
    <cellStyle name="Normal 9 3 5 2 4" xfId="11681" xr:uid="{AC3DB267-E862-4F71-8CF1-C4FD90C828C7}"/>
    <cellStyle name="Normal 9 3 5 3" xfId="5304" xr:uid="{00000000-0005-0000-0000-000039200000}"/>
    <cellStyle name="Normal 9 3 5 3 2" xfId="23034" xr:uid="{1419B90B-2E6B-4C51-B851-F6E7CD5EBEEE}"/>
    <cellStyle name="Normal 9 3 5 3 3" xfId="13754" xr:uid="{55250A9F-C403-4C18-B201-7AF2438FE34E}"/>
    <cellStyle name="Normal 9 3 5 4" xfId="18817" xr:uid="{8704110C-B7F2-466D-B243-5F38F2E753FE}"/>
    <cellStyle name="Normal 9 3 5 5" xfId="17989" xr:uid="{4A505F36-6A8F-40F6-B9C2-AC2BD6F50CD3}"/>
    <cellStyle name="Normal 9 3 5 6" xfId="9536" xr:uid="{E2FAD884-B2AF-45CD-AC21-26AFE1A2CF73}"/>
    <cellStyle name="Normal 9 3 6" xfId="1410" xr:uid="{00000000-0005-0000-0000-00003A200000}"/>
    <cellStyle name="Normal 9 3 6 2" xfId="3640" xr:uid="{00000000-0005-0000-0000-00003B200000}"/>
    <cellStyle name="Normal 9 3 6 2 2" xfId="7862" xr:uid="{00000000-0005-0000-0000-00003C200000}"/>
    <cellStyle name="Normal 9 3 6 2 2 2" xfId="25592" xr:uid="{E5A77173-5953-4D37-817C-B60BB8C8817B}"/>
    <cellStyle name="Normal 9 3 6 2 2 3" xfId="16312" xr:uid="{694C504B-7A0B-44C1-A93C-E1751A8B9529}"/>
    <cellStyle name="Normal 9 3 6 2 3" xfId="21375" xr:uid="{304200D6-DF32-4C9F-8ECD-9C78523EBA4A}"/>
    <cellStyle name="Normal 9 3 6 2 4" xfId="12094" xr:uid="{6C174BD0-0DF2-4016-9D50-C7CCE70B698D}"/>
    <cellStyle name="Normal 9 3 6 3" xfId="5717" xr:uid="{00000000-0005-0000-0000-00003D200000}"/>
    <cellStyle name="Normal 9 3 6 3 2" xfId="23447" xr:uid="{09FCBD5F-D611-42FA-A99E-601DC7FCA910}"/>
    <cellStyle name="Normal 9 3 6 3 3" xfId="14167" xr:uid="{E6C42100-82FB-45E5-B08F-7D149F2D0350}"/>
    <cellStyle name="Normal 9 3 6 4" xfId="19230" xr:uid="{A50453B5-2AB8-45B5-8311-56AE5279B49A}"/>
    <cellStyle name="Normal 9 3 6 5" xfId="9949" xr:uid="{FBFEB6D5-E5C1-449C-82D4-4926690C8A37}"/>
    <cellStyle name="Normal 9 3 7" xfId="1823" xr:uid="{00000000-0005-0000-0000-00003E200000}"/>
    <cellStyle name="Normal 9 3 7 2" xfId="4053" xr:uid="{00000000-0005-0000-0000-00003F200000}"/>
    <cellStyle name="Normal 9 3 7 2 2" xfId="8275" xr:uid="{00000000-0005-0000-0000-000040200000}"/>
    <cellStyle name="Normal 9 3 7 2 2 2" xfId="26005" xr:uid="{BD595BA3-9780-43C4-A77C-7BEB4581D78C}"/>
    <cellStyle name="Normal 9 3 7 2 2 3" xfId="16725" xr:uid="{BA5D24C3-4589-48A8-94AB-A3FD73BE5EC6}"/>
    <cellStyle name="Normal 9 3 7 2 3" xfId="21788" xr:uid="{58BB088A-318B-4372-AB33-C5494813A4D9}"/>
    <cellStyle name="Normal 9 3 7 2 4" xfId="12507" xr:uid="{5EB842CB-8A0A-471E-85AB-219850BE2D73}"/>
    <cellStyle name="Normal 9 3 7 3" xfId="6130" xr:uid="{00000000-0005-0000-0000-000041200000}"/>
    <cellStyle name="Normal 9 3 7 3 2" xfId="23860" xr:uid="{ABDD1037-A3E8-4231-8FD9-6A2A8973910B}"/>
    <cellStyle name="Normal 9 3 7 3 3" xfId="14580" xr:uid="{A762B1F9-A208-428B-9C19-A2BC03532F3C}"/>
    <cellStyle name="Normal 9 3 7 4" xfId="19643" xr:uid="{7113D476-A2FA-4D2E-A3D1-A5B5954C7B6D}"/>
    <cellStyle name="Normal 9 3 7 5" xfId="10362" xr:uid="{C86D9F66-43C6-4E3B-A67B-7FC910226EF8}"/>
    <cellStyle name="Normal 9 3 8" xfId="2237" xr:uid="{00000000-0005-0000-0000-000042200000}"/>
    <cellStyle name="Normal 9 3 8 2" xfId="4466" xr:uid="{00000000-0005-0000-0000-000043200000}"/>
    <cellStyle name="Normal 9 3 8 2 2" xfId="8688" xr:uid="{00000000-0005-0000-0000-000044200000}"/>
    <cellStyle name="Normal 9 3 8 2 2 2" xfId="26418" xr:uid="{176B33BD-536D-406B-8D27-C3FC699C3952}"/>
    <cellStyle name="Normal 9 3 8 2 2 3" xfId="17138" xr:uid="{43087DA0-18E0-4873-A2E3-AB08A817DEC9}"/>
    <cellStyle name="Normal 9 3 8 2 3" xfId="22201" xr:uid="{7B487EBB-3EB3-4C2A-A985-B0D78163ED8E}"/>
    <cellStyle name="Normal 9 3 8 2 4" xfId="12920" xr:uid="{5895A89A-DDF9-45D3-8FC0-2DCA8A4C95EC}"/>
    <cellStyle name="Normal 9 3 8 3" xfId="6543" xr:uid="{00000000-0005-0000-0000-000045200000}"/>
    <cellStyle name="Normal 9 3 8 3 2" xfId="24273" xr:uid="{70D1D9C9-D34F-4891-9EF6-58ACB08F3FE0}"/>
    <cellStyle name="Normal 9 3 8 3 3" xfId="14993" xr:uid="{1541D10A-5503-4102-B624-DF9CD1689A81}"/>
    <cellStyle name="Normal 9 3 8 4" xfId="20056" xr:uid="{66749EBD-3ED2-4433-AE46-68B8726140C0}"/>
    <cellStyle name="Normal 9 3 8 5" xfId="10775" xr:uid="{EF7CD81B-F567-49C1-B946-9355EBFC4AC2}"/>
    <cellStyle name="Normal 9 3 9" xfId="2673" xr:uid="{00000000-0005-0000-0000-000046200000}"/>
    <cellStyle name="Normal 9 3 9 2" xfId="6956" xr:uid="{00000000-0005-0000-0000-000047200000}"/>
    <cellStyle name="Normal 9 3 9 2 2" xfId="24686" xr:uid="{24A33FA8-DC4B-4AB6-927A-D53E31D2C164}"/>
    <cellStyle name="Normal 9 3 9 2 3" xfId="15406" xr:uid="{D481E24C-782B-42FB-9C22-581D59B5015F}"/>
    <cellStyle name="Normal 9 3 9 3" xfId="20469" xr:uid="{7DBD1B58-0CB2-41EC-A56A-A81D5BE1CD99}"/>
    <cellStyle name="Normal 9 3 9 4" xfId="11188" xr:uid="{A4589BED-02BF-44F9-97B4-F5411D629AD8}"/>
    <cellStyle name="Normal 9 4" xfId="535" xr:uid="{00000000-0005-0000-0000-000048200000}"/>
    <cellStyle name="Normal 9 4 2" xfId="1002" xr:uid="{00000000-0005-0000-0000-000049200000}"/>
    <cellStyle name="Normal 9 5" xfId="536" xr:uid="{00000000-0005-0000-0000-00004A200000}"/>
    <cellStyle name="Normal 9 5 10" xfId="17578" xr:uid="{7588F296-D767-483F-819B-D98ABFF013A9}"/>
    <cellStyle name="Normal 9 5 11" xfId="9131" xr:uid="{8CBDD892-1013-42D2-AA23-B3F1115B63A4}"/>
    <cellStyle name="Normal 9 5 2" xfId="537" xr:uid="{00000000-0005-0000-0000-00004B200000}"/>
    <cellStyle name="Normal 9 5 2 10" xfId="9132" xr:uid="{A832B823-EAD0-42A8-AECE-6245839993EC}"/>
    <cellStyle name="Normal 9 5 2 2" xfId="1004" xr:uid="{00000000-0005-0000-0000-00004C200000}"/>
    <cellStyle name="Normal 9 5 2 2 2" xfId="3236" xr:uid="{00000000-0005-0000-0000-00004D200000}"/>
    <cellStyle name="Normal 9 5 2 2 2 2" xfId="7458" xr:uid="{00000000-0005-0000-0000-00004E200000}"/>
    <cellStyle name="Normal 9 5 2 2 2 2 2" xfId="25188" xr:uid="{920D1EFD-AECB-46D2-A65E-44B17EA9658C}"/>
    <cellStyle name="Normal 9 5 2 2 2 2 3" xfId="15908" xr:uid="{B19A50D8-1C7A-44A0-B665-410B37E432C3}"/>
    <cellStyle name="Normal 9 5 2 2 2 3" xfId="20971" xr:uid="{12199F1D-6755-42B0-A2F3-E6513ACB898B}"/>
    <cellStyle name="Normal 9 5 2 2 2 4" xfId="11690" xr:uid="{6B7E625B-FADE-4B2C-B186-44DE53D30CF3}"/>
    <cellStyle name="Normal 9 5 2 2 3" xfId="5313" xr:uid="{00000000-0005-0000-0000-00004F200000}"/>
    <cellStyle name="Normal 9 5 2 2 3 2" xfId="23043" xr:uid="{A5A53AED-770E-402D-B840-DC900D6DA4A8}"/>
    <cellStyle name="Normal 9 5 2 2 3 3" xfId="13763" xr:uid="{0C4DFAE8-AFE7-45B0-9A15-852613BE5782}"/>
    <cellStyle name="Normal 9 5 2 2 4" xfId="18826" xr:uid="{E56BDB1E-F43C-4B66-A2FF-8AF3C54C274F}"/>
    <cellStyle name="Normal 9 5 2 2 5" xfId="17998" xr:uid="{98E790ED-7F0E-4F88-9EAE-E44CB2C2779C}"/>
    <cellStyle name="Normal 9 5 2 2 6" xfId="9545" xr:uid="{B382584D-4028-42C2-8A4C-4C7B582AAC12}"/>
    <cellStyle name="Normal 9 5 2 3" xfId="1419" xr:uid="{00000000-0005-0000-0000-000050200000}"/>
    <cellStyle name="Normal 9 5 2 3 2" xfId="3649" xr:uid="{00000000-0005-0000-0000-000051200000}"/>
    <cellStyle name="Normal 9 5 2 3 2 2" xfId="7871" xr:uid="{00000000-0005-0000-0000-000052200000}"/>
    <cellStyle name="Normal 9 5 2 3 2 2 2" xfId="25601" xr:uid="{9351C642-D95C-45AD-97B0-6E1C1A8EBAF1}"/>
    <cellStyle name="Normal 9 5 2 3 2 2 3" xfId="16321" xr:uid="{2C3895E7-3B8C-4836-BBE3-8C16F89A6D8F}"/>
    <cellStyle name="Normal 9 5 2 3 2 3" xfId="21384" xr:uid="{571D522C-B8D7-4219-BEC5-2A0B25F6547C}"/>
    <cellStyle name="Normal 9 5 2 3 2 4" xfId="12103" xr:uid="{6D64976B-2703-4E0C-AA08-C2A755E08AB0}"/>
    <cellStyle name="Normal 9 5 2 3 3" xfId="5726" xr:uid="{00000000-0005-0000-0000-000053200000}"/>
    <cellStyle name="Normal 9 5 2 3 3 2" xfId="23456" xr:uid="{AAF49E3E-A013-4EC1-91D6-7780A14F5C36}"/>
    <cellStyle name="Normal 9 5 2 3 3 3" xfId="14176" xr:uid="{3C30ACD8-02E9-4D25-BCF6-7D3B7DE51CCF}"/>
    <cellStyle name="Normal 9 5 2 3 4" xfId="19239" xr:uid="{DC655D14-BCE6-48B1-86AE-49ABE42C2FDD}"/>
    <cellStyle name="Normal 9 5 2 3 5" xfId="9958" xr:uid="{BD0BBC9C-569D-467B-A60B-0CB8831575AC}"/>
    <cellStyle name="Normal 9 5 2 4" xfId="1832" xr:uid="{00000000-0005-0000-0000-000054200000}"/>
    <cellStyle name="Normal 9 5 2 4 2" xfId="4062" xr:uid="{00000000-0005-0000-0000-000055200000}"/>
    <cellStyle name="Normal 9 5 2 4 2 2" xfId="8284" xr:uid="{00000000-0005-0000-0000-000056200000}"/>
    <cellStyle name="Normal 9 5 2 4 2 2 2" xfId="26014" xr:uid="{3C373D47-B052-4D8A-AA93-B01A00A57963}"/>
    <cellStyle name="Normal 9 5 2 4 2 2 3" xfId="16734" xr:uid="{FF0A0AA8-FDB1-4F4E-936D-970B12CD4E8E}"/>
    <cellStyle name="Normal 9 5 2 4 2 3" xfId="21797" xr:uid="{9D8DAAA3-9707-4CEA-8089-6205B2364AA2}"/>
    <cellStyle name="Normal 9 5 2 4 2 4" xfId="12516" xr:uid="{C4B045A1-9F71-4993-A8EF-F48576242C44}"/>
    <cellStyle name="Normal 9 5 2 4 3" xfId="6139" xr:uid="{00000000-0005-0000-0000-000057200000}"/>
    <cellStyle name="Normal 9 5 2 4 3 2" xfId="23869" xr:uid="{5A3F3DA1-5969-411C-9072-5A0F311B56CD}"/>
    <cellStyle name="Normal 9 5 2 4 3 3" xfId="14589" xr:uid="{16892710-EA1F-436F-902B-34A50777BF3E}"/>
    <cellStyle name="Normal 9 5 2 4 4" xfId="19652" xr:uid="{DE8794BB-63DC-46BA-89F1-86148D74D2BE}"/>
    <cellStyle name="Normal 9 5 2 4 5" xfId="10371" xr:uid="{5F453B73-2C7D-4B63-8821-3752AD127B2D}"/>
    <cellStyle name="Normal 9 5 2 5" xfId="2246" xr:uid="{00000000-0005-0000-0000-000058200000}"/>
    <cellStyle name="Normal 9 5 2 5 2" xfId="4475" xr:uid="{00000000-0005-0000-0000-000059200000}"/>
    <cellStyle name="Normal 9 5 2 5 2 2" xfId="8697" xr:uid="{00000000-0005-0000-0000-00005A200000}"/>
    <cellStyle name="Normal 9 5 2 5 2 2 2" xfId="26427" xr:uid="{39FE3027-1A28-4B05-911C-F3D310F42E01}"/>
    <cellStyle name="Normal 9 5 2 5 2 2 3" xfId="17147" xr:uid="{440F5E76-33C6-4BB8-A149-1619798A1369}"/>
    <cellStyle name="Normal 9 5 2 5 2 3" xfId="22210" xr:uid="{D4C31F38-CCC5-4B1F-9F67-E986650D5BF4}"/>
    <cellStyle name="Normal 9 5 2 5 2 4" xfId="12929" xr:uid="{924A6F54-9A63-4228-A1E7-4C0A54496F3A}"/>
    <cellStyle name="Normal 9 5 2 5 3" xfId="6552" xr:uid="{00000000-0005-0000-0000-00005B200000}"/>
    <cellStyle name="Normal 9 5 2 5 3 2" xfId="24282" xr:uid="{A62EF06B-C6EC-4DA4-AC66-197E0C344F8C}"/>
    <cellStyle name="Normal 9 5 2 5 3 3" xfId="15002" xr:uid="{496BD7C7-3540-4C26-949D-5FEA533783FB}"/>
    <cellStyle name="Normal 9 5 2 5 4" xfId="20065" xr:uid="{0AB0066B-0E10-4A52-A9D3-D95FD3683C6A}"/>
    <cellStyle name="Normal 9 5 2 5 5" xfId="10784" xr:uid="{B4A64AA3-2D4E-4895-BA70-BA3B7A4E7605}"/>
    <cellStyle name="Normal 9 5 2 6" xfId="2682" xr:uid="{00000000-0005-0000-0000-00005C200000}"/>
    <cellStyle name="Normal 9 5 2 6 2" xfId="6965" xr:uid="{00000000-0005-0000-0000-00005D200000}"/>
    <cellStyle name="Normal 9 5 2 6 2 2" xfId="24695" xr:uid="{880240CE-F332-4387-8C55-70D3C905E9BA}"/>
    <cellStyle name="Normal 9 5 2 6 2 3" xfId="15415" xr:uid="{53E4EEA1-819D-4322-8782-B4770A6F9FD0}"/>
    <cellStyle name="Normal 9 5 2 6 3" xfId="20478" xr:uid="{B7B14501-4D29-430A-BB04-F9E2FC55D95A}"/>
    <cellStyle name="Normal 9 5 2 6 4" xfId="11197" xr:uid="{51AC8C1D-A100-4413-A4F9-B94C65C81F7E}"/>
    <cellStyle name="Normal 9 5 2 7" xfId="4900" xr:uid="{00000000-0005-0000-0000-00005E200000}"/>
    <cellStyle name="Normal 9 5 2 7 2" xfId="22630" xr:uid="{B2FDA968-29DD-43F7-BF8F-3F4EDDA7C9D4}"/>
    <cellStyle name="Normal 9 5 2 7 3" xfId="13350" xr:uid="{CD7A7EAC-AB3E-4617-A97F-7573362529AE}"/>
    <cellStyle name="Normal 9 5 2 8" xfId="18413" xr:uid="{F0AE324B-40E9-45C2-83F1-29EF487B83FD}"/>
    <cellStyle name="Normal 9 5 2 9" xfId="17579" xr:uid="{BBB1091A-7E4F-4C2B-9139-CF2BE7F4AD5A}"/>
    <cellStyle name="Normal 9 5 3" xfId="1003" xr:uid="{00000000-0005-0000-0000-00005F200000}"/>
    <cellStyle name="Normal 9 5 3 2" xfId="3235" xr:uid="{00000000-0005-0000-0000-000060200000}"/>
    <cellStyle name="Normal 9 5 3 2 2" xfId="7457" xr:uid="{00000000-0005-0000-0000-000061200000}"/>
    <cellStyle name="Normal 9 5 3 2 2 2" xfId="25187" xr:uid="{911E71FA-F32C-4288-94F4-FE803EF2BCC3}"/>
    <cellStyle name="Normal 9 5 3 2 2 3" xfId="15907" xr:uid="{835BE8A9-2A93-42CA-8723-1D7E8D5663B7}"/>
    <cellStyle name="Normal 9 5 3 2 3" xfId="20970" xr:uid="{F917D2B0-CF48-4F6B-8F18-65613330E5B5}"/>
    <cellStyle name="Normal 9 5 3 2 4" xfId="11689" xr:uid="{F7D119A5-F0B0-45E0-BB57-9AA92FD643AC}"/>
    <cellStyle name="Normal 9 5 3 3" xfId="5312" xr:uid="{00000000-0005-0000-0000-000062200000}"/>
    <cellStyle name="Normal 9 5 3 3 2" xfId="23042" xr:uid="{9B49F8BC-69CF-40E2-B1B1-36B5F5BA577A}"/>
    <cellStyle name="Normal 9 5 3 3 3" xfId="13762" xr:uid="{31F20D00-3FD9-4DC8-9C6B-8B1054EF38B1}"/>
    <cellStyle name="Normal 9 5 3 4" xfId="18825" xr:uid="{62A9DD48-9FC8-480D-9546-059EA42A9434}"/>
    <cellStyle name="Normal 9 5 3 5" xfId="17997" xr:uid="{DB29C77E-26C6-4751-B06D-9E3132DF8688}"/>
    <cellStyle name="Normal 9 5 3 6" xfId="9544" xr:uid="{7CBC12CE-2523-451F-971C-608985D43A15}"/>
    <cellStyle name="Normal 9 5 4" xfId="1418" xr:uid="{00000000-0005-0000-0000-000063200000}"/>
    <cellStyle name="Normal 9 5 4 2" xfId="3648" xr:uid="{00000000-0005-0000-0000-000064200000}"/>
    <cellStyle name="Normal 9 5 4 2 2" xfId="7870" xr:uid="{00000000-0005-0000-0000-000065200000}"/>
    <cellStyle name="Normal 9 5 4 2 2 2" xfId="25600" xr:uid="{8A78DE8A-02B1-4869-A36D-2415CC08E54D}"/>
    <cellStyle name="Normal 9 5 4 2 2 3" xfId="16320" xr:uid="{931AFFB0-48DA-4117-8906-062FCD56F43A}"/>
    <cellStyle name="Normal 9 5 4 2 3" xfId="21383" xr:uid="{E3639A65-1B91-4B13-890C-4B669121BA06}"/>
    <cellStyle name="Normal 9 5 4 2 4" xfId="12102" xr:uid="{AA7766D9-2BCB-45CC-A060-B332A90A1AB5}"/>
    <cellStyle name="Normal 9 5 4 3" xfId="5725" xr:uid="{00000000-0005-0000-0000-000066200000}"/>
    <cellStyle name="Normal 9 5 4 3 2" xfId="23455" xr:uid="{B5306DA5-A8F3-43C2-AD4B-2DD41B67FFFD}"/>
    <cellStyle name="Normal 9 5 4 3 3" xfId="14175" xr:uid="{2D429639-3808-4ABA-A2A0-B3A1E4129B5C}"/>
    <cellStyle name="Normal 9 5 4 4" xfId="19238" xr:uid="{AADA7EE9-4C1B-41AA-9C55-C2A491AA803D}"/>
    <cellStyle name="Normal 9 5 4 5" xfId="9957" xr:uid="{C12BD13C-8666-4D32-A3C2-F2BF10076B0D}"/>
    <cellStyle name="Normal 9 5 5" xfId="1831" xr:uid="{00000000-0005-0000-0000-000067200000}"/>
    <cellStyle name="Normal 9 5 5 2" xfId="4061" xr:uid="{00000000-0005-0000-0000-000068200000}"/>
    <cellStyle name="Normal 9 5 5 2 2" xfId="8283" xr:uid="{00000000-0005-0000-0000-000069200000}"/>
    <cellStyle name="Normal 9 5 5 2 2 2" xfId="26013" xr:uid="{C4E5E261-624E-4C46-9A96-33FE458362FC}"/>
    <cellStyle name="Normal 9 5 5 2 2 3" xfId="16733" xr:uid="{A90F1833-11CD-4E90-BF6D-60E1D1338B0C}"/>
    <cellStyle name="Normal 9 5 5 2 3" xfId="21796" xr:uid="{1CA4EF27-E3C9-4AA4-8B44-02E6BA495778}"/>
    <cellStyle name="Normal 9 5 5 2 4" xfId="12515" xr:uid="{F177D0BB-4473-42E1-9489-E6D89C0F7369}"/>
    <cellStyle name="Normal 9 5 5 3" xfId="6138" xr:uid="{00000000-0005-0000-0000-00006A200000}"/>
    <cellStyle name="Normal 9 5 5 3 2" xfId="23868" xr:uid="{585A0BA8-E805-481A-BDCA-08F842B48355}"/>
    <cellStyle name="Normal 9 5 5 3 3" xfId="14588" xr:uid="{D9F03C1A-A9ED-49A2-8A4C-95F02C3EC4B3}"/>
    <cellStyle name="Normal 9 5 5 4" xfId="19651" xr:uid="{04E1BDFC-B68A-4AD8-8F42-30E54560FC9B}"/>
    <cellStyle name="Normal 9 5 5 5" xfId="10370" xr:uid="{E736F786-5995-44D1-9E40-261904C480B0}"/>
    <cellStyle name="Normal 9 5 6" xfId="2245" xr:uid="{00000000-0005-0000-0000-00006B200000}"/>
    <cellStyle name="Normal 9 5 6 2" xfId="4474" xr:uid="{00000000-0005-0000-0000-00006C200000}"/>
    <cellStyle name="Normal 9 5 6 2 2" xfId="8696" xr:uid="{00000000-0005-0000-0000-00006D200000}"/>
    <cellStyle name="Normal 9 5 6 2 2 2" xfId="26426" xr:uid="{C76E1C4C-E198-40B5-90BE-43FE456FA0A4}"/>
    <cellStyle name="Normal 9 5 6 2 2 3" xfId="17146" xr:uid="{DA23733C-7EFB-45D9-A0A2-A2213C554AF8}"/>
    <cellStyle name="Normal 9 5 6 2 3" xfId="22209" xr:uid="{8C438A97-995C-4977-AA3E-B788902A6003}"/>
    <cellStyle name="Normal 9 5 6 2 4" xfId="12928" xr:uid="{54E637B8-6300-420E-AEA0-135BEEB44B90}"/>
    <cellStyle name="Normal 9 5 6 3" xfId="6551" xr:uid="{00000000-0005-0000-0000-00006E200000}"/>
    <cellStyle name="Normal 9 5 6 3 2" xfId="24281" xr:uid="{9F0FA75A-7C58-4356-92FB-350B589783E7}"/>
    <cellStyle name="Normal 9 5 6 3 3" xfId="15001" xr:uid="{02F3E08D-85F9-4467-B62A-B3D4FC249E67}"/>
    <cellStyle name="Normal 9 5 6 4" xfId="20064" xr:uid="{50C7D3AB-D640-4CE8-963D-7C3D44C28F7E}"/>
    <cellStyle name="Normal 9 5 6 5" xfId="10783" xr:uid="{3F317CD9-5EFF-4264-9F70-B9E4205AD2F0}"/>
    <cellStyle name="Normal 9 5 7" xfId="2681" xr:uid="{00000000-0005-0000-0000-00006F200000}"/>
    <cellStyle name="Normal 9 5 7 2" xfId="6964" xr:uid="{00000000-0005-0000-0000-000070200000}"/>
    <cellStyle name="Normal 9 5 7 2 2" xfId="24694" xr:uid="{B40D0BCD-CD8B-431B-BFD4-603E9ECE7DF8}"/>
    <cellStyle name="Normal 9 5 7 2 3" xfId="15414" xr:uid="{2A8C3F5C-2226-408A-A5DA-963F914704C8}"/>
    <cellStyle name="Normal 9 5 7 3" xfId="20477" xr:uid="{1AEC0BFA-55D5-4160-8A31-8FD05AEE3949}"/>
    <cellStyle name="Normal 9 5 7 4" xfId="11196" xr:uid="{17C75C94-6BDF-4E6F-97FF-F489F6C4B8AD}"/>
    <cellStyle name="Normal 9 5 8" xfId="4899" xr:uid="{00000000-0005-0000-0000-000071200000}"/>
    <cellStyle name="Normal 9 5 8 2" xfId="22629" xr:uid="{37752E16-D6AC-40D6-A78D-7142586415A5}"/>
    <cellStyle name="Normal 9 5 8 3" xfId="13349" xr:uid="{7D7E7441-E467-4751-9DF2-1E3147167943}"/>
    <cellStyle name="Normal 9 5 9" xfId="18412" xr:uid="{745F2EBA-6602-4B2A-9203-05986C631D51}"/>
    <cellStyle name="Normal 9 6" xfId="538" xr:uid="{00000000-0005-0000-0000-000072200000}"/>
    <cellStyle name="Normal 9 6 10" xfId="9133" xr:uid="{8DF5DE51-1014-4D1C-BF7B-B097D77310BB}"/>
    <cellStyle name="Normal 9 6 2" xfId="1005" xr:uid="{00000000-0005-0000-0000-000073200000}"/>
    <cellStyle name="Normal 9 6 2 2" xfId="3237" xr:uid="{00000000-0005-0000-0000-000074200000}"/>
    <cellStyle name="Normal 9 6 2 2 2" xfId="7459" xr:uid="{00000000-0005-0000-0000-000075200000}"/>
    <cellStyle name="Normal 9 6 2 2 2 2" xfId="25189" xr:uid="{AA0B658F-EB4D-457D-8DA4-993B69F8BE97}"/>
    <cellStyle name="Normal 9 6 2 2 2 3" xfId="15909" xr:uid="{433153D6-E797-4E2F-8F35-A14B9386DF70}"/>
    <cellStyle name="Normal 9 6 2 2 3" xfId="20972" xr:uid="{29C7D949-1AC8-44C7-9AD0-5988734874B0}"/>
    <cellStyle name="Normal 9 6 2 2 4" xfId="11691" xr:uid="{3E47A334-BFA8-46F1-ACB8-56454C6EAE4A}"/>
    <cellStyle name="Normal 9 6 2 3" xfId="5314" xr:uid="{00000000-0005-0000-0000-000076200000}"/>
    <cellStyle name="Normal 9 6 2 3 2" xfId="23044" xr:uid="{C28E9781-D679-416A-BB11-E2B42ECDB0EB}"/>
    <cellStyle name="Normal 9 6 2 3 3" xfId="13764" xr:uid="{37EE7254-9F53-492C-8760-00EB4D724F44}"/>
    <cellStyle name="Normal 9 6 2 4" xfId="18827" xr:uid="{B3C6E710-3DBD-4425-9897-C13FB57A4208}"/>
    <cellStyle name="Normal 9 6 2 5" xfId="17999" xr:uid="{56B73B0A-F9DB-4513-B30E-AAB37A1532D4}"/>
    <cellStyle name="Normal 9 6 2 6" xfId="9546" xr:uid="{445434E3-F9B6-4FF5-9B1C-EB69C648C2E5}"/>
    <cellStyle name="Normal 9 6 3" xfId="1420" xr:uid="{00000000-0005-0000-0000-000077200000}"/>
    <cellStyle name="Normal 9 6 3 2" xfId="3650" xr:uid="{00000000-0005-0000-0000-000078200000}"/>
    <cellStyle name="Normal 9 6 3 2 2" xfId="7872" xr:uid="{00000000-0005-0000-0000-000079200000}"/>
    <cellStyle name="Normal 9 6 3 2 2 2" xfId="25602" xr:uid="{B98F3CC2-D345-45ED-BD9A-921126D2AB4C}"/>
    <cellStyle name="Normal 9 6 3 2 2 3" xfId="16322" xr:uid="{EE0EFB7A-A692-4E06-9117-2A4F6B4BA9E0}"/>
    <cellStyle name="Normal 9 6 3 2 3" xfId="21385" xr:uid="{1A4BE075-743E-4AB1-9349-C01FDD630273}"/>
    <cellStyle name="Normal 9 6 3 2 4" xfId="12104" xr:uid="{00FD3DAE-D6CD-466E-9691-1818148D0388}"/>
    <cellStyle name="Normal 9 6 3 3" xfId="5727" xr:uid="{00000000-0005-0000-0000-00007A200000}"/>
    <cellStyle name="Normal 9 6 3 3 2" xfId="23457" xr:uid="{57884CA3-7787-41B6-A75C-A8AB064E9D85}"/>
    <cellStyle name="Normal 9 6 3 3 3" xfId="14177" xr:uid="{0237C4FC-E316-40F3-86E6-55AC0A415251}"/>
    <cellStyle name="Normal 9 6 3 4" xfId="19240" xr:uid="{3776E56C-F8A1-4A99-B7F6-AEBA164E5929}"/>
    <cellStyle name="Normal 9 6 3 5" xfId="9959" xr:uid="{E08C2525-2DB1-4669-B143-23497F48E4B9}"/>
    <cellStyle name="Normal 9 6 4" xfId="1833" xr:uid="{00000000-0005-0000-0000-00007B200000}"/>
    <cellStyle name="Normal 9 6 4 2" xfId="4063" xr:uid="{00000000-0005-0000-0000-00007C200000}"/>
    <cellStyle name="Normal 9 6 4 2 2" xfId="8285" xr:uid="{00000000-0005-0000-0000-00007D200000}"/>
    <cellStyle name="Normal 9 6 4 2 2 2" xfId="26015" xr:uid="{DFCAA5A0-9899-45A4-B23A-F489E87633A4}"/>
    <cellStyle name="Normal 9 6 4 2 2 3" xfId="16735" xr:uid="{798FC0D5-21C7-4C61-9E94-D4F362191992}"/>
    <cellStyle name="Normal 9 6 4 2 3" xfId="21798" xr:uid="{E98A14A9-8602-438F-9FF4-EEB03E30A807}"/>
    <cellStyle name="Normal 9 6 4 2 4" xfId="12517" xr:uid="{6D561DB7-AAEA-4861-9EB5-DDE091912C2B}"/>
    <cellStyle name="Normal 9 6 4 3" xfId="6140" xr:uid="{00000000-0005-0000-0000-00007E200000}"/>
    <cellStyle name="Normal 9 6 4 3 2" xfId="23870" xr:uid="{8A95D7DE-460D-4112-896A-20679532F9CA}"/>
    <cellStyle name="Normal 9 6 4 3 3" xfId="14590" xr:uid="{3631110A-36AA-4616-A4CC-D751DABA01E9}"/>
    <cellStyle name="Normal 9 6 4 4" xfId="19653" xr:uid="{A4879637-2D53-410D-991E-484DBE1BE1BA}"/>
    <cellStyle name="Normal 9 6 4 5" xfId="10372" xr:uid="{ED51F97B-D6E3-475C-A437-2B9544424DF4}"/>
    <cellStyle name="Normal 9 6 5" xfId="2247" xr:uid="{00000000-0005-0000-0000-00007F200000}"/>
    <cellStyle name="Normal 9 6 5 2" xfId="4476" xr:uid="{00000000-0005-0000-0000-000080200000}"/>
    <cellStyle name="Normal 9 6 5 2 2" xfId="8698" xr:uid="{00000000-0005-0000-0000-000081200000}"/>
    <cellStyle name="Normal 9 6 5 2 2 2" xfId="26428" xr:uid="{029BA783-310E-4148-9A91-D4099F19B163}"/>
    <cellStyle name="Normal 9 6 5 2 2 3" xfId="17148" xr:uid="{E6F662E6-9260-4757-960F-7C2F9A189EBC}"/>
    <cellStyle name="Normal 9 6 5 2 3" xfId="22211" xr:uid="{F622DD2D-89A7-466F-A058-CC8E91122988}"/>
    <cellStyle name="Normal 9 6 5 2 4" xfId="12930" xr:uid="{1E982781-E645-4D9C-81DB-3069567624A9}"/>
    <cellStyle name="Normal 9 6 5 3" xfId="6553" xr:uid="{00000000-0005-0000-0000-000082200000}"/>
    <cellStyle name="Normal 9 6 5 3 2" xfId="24283" xr:uid="{4FB79A1B-FCE8-4C42-8E52-F2F6A6B287BA}"/>
    <cellStyle name="Normal 9 6 5 3 3" xfId="15003" xr:uid="{1B76192A-A8C9-4B44-AC7B-1394296CAD49}"/>
    <cellStyle name="Normal 9 6 5 4" xfId="20066" xr:uid="{B8635CE9-6DE3-4F32-A9F9-A7F1C1313C37}"/>
    <cellStyle name="Normal 9 6 5 5" xfId="10785" xr:uid="{E614CE8E-423B-4729-B9FE-60EFC20D7AE0}"/>
    <cellStyle name="Normal 9 6 6" xfId="2683" xr:uid="{00000000-0005-0000-0000-000083200000}"/>
    <cellStyle name="Normal 9 6 6 2" xfId="6966" xr:uid="{00000000-0005-0000-0000-000084200000}"/>
    <cellStyle name="Normal 9 6 6 2 2" xfId="24696" xr:uid="{BC5624A3-F79A-4D12-B210-459D72F8AF99}"/>
    <cellStyle name="Normal 9 6 6 2 3" xfId="15416" xr:uid="{C4FA13CA-53F8-45CE-88BC-9735B6797E17}"/>
    <cellStyle name="Normal 9 6 6 3" xfId="20479" xr:uid="{A87BF48A-AAF8-40D7-9EB5-688A6E1698E4}"/>
    <cellStyle name="Normal 9 6 6 4" xfId="11198" xr:uid="{EAED41C4-ED52-4BEF-A629-7D8413A7AC97}"/>
    <cellStyle name="Normal 9 6 7" xfId="4901" xr:uid="{00000000-0005-0000-0000-000085200000}"/>
    <cellStyle name="Normal 9 6 7 2" xfId="22631" xr:uid="{9E10DA8B-359B-470B-BFE6-1CFB3985A42B}"/>
    <cellStyle name="Normal 9 6 7 3" xfId="13351" xr:uid="{B5892E34-B86B-4CB0-8737-BC45BF7FCBDC}"/>
    <cellStyle name="Normal 9 6 8" xfId="18414" xr:uid="{B82B27BC-1AA5-407C-A230-E9791D066888}"/>
    <cellStyle name="Normal 9 6 9" xfId="17580" xr:uid="{E8B9BB54-9EA5-4017-BACA-30BD30FAA567}"/>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24777" xr:uid="{FD10DAAA-8C4F-4E65-B2E1-2C07370F7CE6}"/>
    <cellStyle name="Note 2 2 10 2 3" xfId="15497" xr:uid="{40776042-B03B-4D40-A87C-A4806F16B450}"/>
    <cellStyle name="Note 2 2 10 3" xfId="20560" xr:uid="{AA168EEB-D0E5-487E-AA34-BEAEC7B8E9E3}"/>
    <cellStyle name="Note 2 2 10 4" xfId="11279" xr:uid="{29823A6F-6713-47ED-96EE-F82A083DCD53}"/>
    <cellStyle name="Note 2 2 11" xfId="4902" xr:uid="{00000000-0005-0000-0000-000094200000}"/>
    <cellStyle name="Note 2 2 11 2" xfId="22632" xr:uid="{48CA702C-5F3C-4CB9-AE0E-90D2948B6E46}"/>
    <cellStyle name="Note 2 2 11 3" xfId="13352" xr:uid="{9496ACC6-622D-485E-B2AC-BAB53DDA6BCF}"/>
    <cellStyle name="Note 2 2 12" xfId="18415" xr:uid="{3C39B7FC-8B29-44AB-9297-46635B07617F}"/>
    <cellStyle name="Note 2 2 13" xfId="17581" xr:uid="{FD3651EC-BEBC-482E-B08D-31289F58BFDA}"/>
    <cellStyle name="Note 2 2 14" xfId="9134" xr:uid="{EA528D79-5EFA-4E2F-81D2-51742222668F}"/>
    <cellStyle name="Note 2 2 2" xfId="546" xr:uid="{00000000-0005-0000-0000-000095200000}"/>
    <cellStyle name="Note 2 2 2 10" xfId="4903" xr:uid="{00000000-0005-0000-0000-000096200000}"/>
    <cellStyle name="Note 2 2 2 10 2" xfId="22633" xr:uid="{7D7C047B-D72E-49E6-89C9-299D9CD556AF}"/>
    <cellStyle name="Note 2 2 2 10 3" xfId="13353" xr:uid="{F77BD30D-4507-487B-8217-D482EE6CE93A}"/>
    <cellStyle name="Note 2 2 2 11" xfId="18416" xr:uid="{3A117E64-AB80-4F55-8060-7F1F561C6086}"/>
    <cellStyle name="Note 2 2 2 12" xfId="17582" xr:uid="{80B51658-3C70-4A87-B0D8-6D568D547F47}"/>
    <cellStyle name="Note 2 2 2 13" xfId="9135" xr:uid="{8129EC97-3AD4-4D4D-BF9C-8897AA53587A}"/>
    <cellStyle name="Note 2 2 2 2" xfId="547" xr:uid="{00000000-0005-0000-0000-000097200000}"/>
    <cellStyle name="Note 2 2 2 2 10" xfId="18417" xr:uid="{AA06C7FC-4FB5-461C-9BF1-0EF3C8F615BA}"/>
    <cellStyle name="Note 2 2 2 2 11" xfId="17583" xr:uid="{AFDEBE5D-ED12-4718-9C6B-27EDEDBC5FAC}"/>
    <cellStyle name="Note 2 2 2 2 12" xfId="9136" xr:uid="{FB3795C6-1F17-4F16-A52F-EAD71EFC5B27}"/>
    <cellStyle name="Note 2 2 2 2 2" xfId="1008" xr:uid="{00000000-0005-0000-0000-000098200000}"/>
    <cellStyle name="Note 2 2 2 2 2 2" xfId="3240" xr:uid="{00000000-0005-0000-0000-000099200000}"/>
    <cellStyle name="Note 2 2 2 2 2 2 2" xfId="7462" xr:uid="{00000000-0005-0000-0000-00009A200000}"/>
    <cellStyle name="Note 2 2 2 2 2 2 2 2" xfId="25192" xr:uid="{7D297D99-FDBF-40AC-A88A-1BB39AA0FA9D}"/>
    <cellStyle name="Note 2 2 2 2 2 2 2 3" xfId="15912" xr:uid="{3A2722F5-D2C9-4C43-9ACA-2E24CC41046E}"/>
    <cellStyle name="Note 2 2 2 2 2 2 3" xfId="20975" xr:uid="{F2257B70-2440-4F7B-991E-9B71138BCE44}"/>
    <cellStyle name="Note 2 2 2 2 2 2 4" xfId="11694" xr:uid="{7C0371EA-32C3-4E45-91CF-13E66C9D56D8}"/>
    <cellStyle name="Note 2 2 2 2 2 3" xfId="5317" xr:uid="{00000000-0005-0000-0000-00009B200000}"/>
    <cellStyle name="Note 2 2 2 2 2 3 2" xfId="23047" xr:uid="{110E8531-0EBD-4833-9B1B-040CDA4C82FD}"/>
    <cellStyle name="Note 2 2 2 2 2 3 3" xfId="13767" xr:uid="{1D9A4AF0-4A75-4909-A916-608D477E9F2C}"/>
    <cellStyle name="Note 2 2 2 2 2 4" xfId="18830" xr:uid="{4E06B7E1-02CC-42B9-9513-E90C9E61FD36}"/>
    <cellStyle name="Note 2 2 2 2 2 5" xfId="18002" xr:uid="{868418D0-C71E-4A64-A5E4-EDC63AE12A01}"/>
    <cellStyle name="Note 2 2 2 2 2 6" xfId="9549" xr:uid="{56983998-6E51-411C-9EB7-E00998CB4F65}"/>
    <cellStyle name="Note 2 2 2 2 3" xfId="1423" xr:uid="{00000000-0005-0000-0000-00009C200000}"/>
    <cellStyle name="Note 2 2 2 2 3 2" xfId="3653" xr:uid="{00000000-0005-0000-0000-00009D200000}"/>
    <cellStyle name="Note 2 2 2 2 3 2 2" xfId="7875" xr:uid="{00000000-0005-0000-0000-00009E200000}"/>
    <cellStyle name="Note 2 2 2 2 3 2 2 2" xfId="25605" xr:uid="{B4F87DEA-05CF-4035-A1E1-7F4EAB0D36D5}"/>
    <cellStyle name="Note 2 2 2 2 3 2 2 3" xfId="16325" xr:uid="{8CC080F2-1165-4BEF-99FE-ABB89AA4402F}"/>
    <cellStyle name="Note 2 2 2 2 3 2 3" xfId="21388" xr:uid="{8A044894-4D42-4BFE-8C9D-E9E89809F093}"/>
    <cellStyle name="Note 2 2 2 2 3 2 4" xfId="12107" xr:uid="{A357188D-3DC9-4A93-93F4-323D94AE5CFF}"/>
    <cellStyle name="Note 2 2 2 2 3 3" xfId="5730" xr:uid="{00000000-0005-0000-0000-00009F200000}"/>
    <cellStyle name="Note 2 2 2 2 3 3 2" xfId="23460" xr:uid="{78001838-AD05-4B3A-8B5E-F9429CA49D57}"/>
    <cellStyle name="Note 2 2 2 2 3 3 3" xfId="14180" xr:uid="{926536B2-A191-45EA-BD2C-C25692288DE8}"/>
    <cellStyle name="Note 2 2 2 2 3 4" xfId="19243" xr:uid="{E5C11386-C9F4-4C1E-9569-8475931984BA}"/>
    <cellStyle name="Note 2 2 2 2 3 5" xfId="9962" xr:uid="{4D8F617B-5812-439A-BEE4-7D9DA96ED0D1}"/>
    <cellStyle name="Note 2 2 2 2 4" xfId="1837" xr:uid="{00000000-0005-0000-0000-0000A0200000}"/>
    <cellStyle name="Note 2 2 2 2 4 2" xfId="4066" xr:uid="{00000000-0005-0000-0000-0000A1200000}"/>
    <cellStyle name="Note 2 2 2 2 4 2 2" xfId="8288" xr:uid="{00000000-0005-0000-0000-0000A2200000}"/>
    <cellStyle name="Note 2 2 2 2 4 2 2 2" xfId="26018" xr:uid="{256C4720-B981-4A71-97F0-602402BA72FA}"/>
    <cellStyle name="Note 2 2 2 2 4 2 2 3" xfId="16738" xr:uid="{7448DD21-D45D-4B36-BC39-378B8BB464DD}"/>
    <cellStyle name="Note 2 2 2 2 4 2 3" xfId="21801" xr:uid="{0E5B7E48-CB9C-46FC-8D37-BA374371D27E}"/>
    <cellStyle name="Note 2 2 2 2 4 2 4" xfId="12520" xr:uid="{C201A509-1FEC-4401-A8E5-107E32DC1BE9}"/>
    <cellStyle name="Note 2 2 2 2 4 3" xfId="6143" xr:uid="{00000000-0005-0000-0000-0000A3200000}"/>
    <cellStyle name="Note 2 2 2 2 4 3 2" xfId="23873" xr:uid="{7978DCD6-7255-4796-92AC-2ED3F0A80CBD}"/>
    <cellStyle name="Note 2 2 2 2 4 3 3" xfId="14593" xr:uid="{2156F9EB-38A3-494D-A710-C0F8525A6156}"/>
    <cellStyle name="Note 2 2 2 2 4 4" xfId="19656" xr:uid="{D6FF1DC4-A9E3-4A99-9FE7-B5FD7F450971}"/>
    <cellStyle name="Note 2 2 2 2 4 5" xfId="10375" xr:uid="{7CA2FEB2-A7E0-4BE9-A3B5-D3F0BBAD4765}"/>
    <cellStyle name="Note 2 2 2 2 5" xfId="2250" xr:uid="{00000000-0005-0000-0000-0000A4200000}"/>
    <cellStyle name="Note 2 2 2 2 5 2" xfId="4479" xr:uid="{00000000-0005-0000-0000-0000A5200000}"/>
    <cellStyle name="Note 2 2 2 2 5 2 2" xfId="8701" xr:uid="{00000000-0005-0000-0000-0000A6200000}"/>
    <cellStyle name="Note 2 2 2 2 5 2 2 2" xfId="26431" xr:uid="{4254574F-C0E5-4CB4-982F-4231044A3C4E}"/>
    <cellStyle name="Note 2 2 2 2 5 2 2 3" xfId="17151" xr:uid="{DDF7ABA5-09F5-410D-BF0B-135861FA1E02}"/>
    <cellStyle name="Note 2 2 2 2 5 2 3" xfId="22214" xr:uid="{256A2DE9-9A36-491A-BAA1-50883A70C14E}"/>
    <cellStyle name="Note 2 2 2 2 5 2 4" xfId="12933" xr:uid="{89F1079F-D02F-4A7E-BAFD-4A16AB2CB277}"/>
    <cellStyle name="Note 2 2 2 2 5 3" xfId="6556" xr:uid="{00000000-0005-0000-0000-0000A7200000}"/>
    <cellStyle name="Note 2 2 2 2 5 3 2" xfId="24286" xr:uid="{9D9A5256-9D01-4478-845F-7A99C6C1D3E1}"/>
    <cellStyle name="Note 2 2 2 2 5 3 3" xfId="15006" xr:uid="{EC9AE3BF-9EDB-44F0-A507-D275770E8CD9}"/>
    <cellStyle name="Note 2 2 2 2 5 4" xfId="20069" xr:uid="{A94A0A79-E017-4A82-ACAE-FC8CD1253831}"/>
    <cellStyle name="Note 2 2 2 2 5 5" xfId="10788" xr:uid="{245D4CC1-B3B7-4F23-9D82-241133FC47FC}"/>
    <cellStyle name="Note 2 2 2 2 6" xfId="2686" xr:uid="{00000000-0005-0000-0000-0000A8200000}"/>
    <cellStyle name="Note 2 2 2 2 6 2" xfId="6969" xr:uid="{00000000-0005-0000-0000-0000A9200000}"/>
    <cellStyle name="Note 2 2 2 2 6 2 2" xfId="24699" xr:uid="{2EFDE4F3-8194-4450-BB46-1CC2684F9503}"/>
    <cellStyle name="Note 2 2 2 2 6 2 3" xfId="15419" xr:uid="{D1F89309-9516-482A-B578-6D36ECAB11FF}"/>
    <cellStyle name="Note 2 2 2 2 6 3" xfId="20482" xr:uid="{622D27AC-D3CC-4529-8F79-B609FEB888C9}"/>
    <cellStyle name="Note 2 2 2 2 6 4" xfId="11201" xr:uid="{AB483794-3998-498C-B8CF-304A8961079E}"/>
    <cellStyle name="Note 2 2 2 2 7" xfId="2745" xr:uid="{00000000-0005-0000-0000-0000AA200000}"/>
    <cellStyle name="Note 2 2 2 2 8" xfId="2826" xr:uid="{00000000-0005-0000-0000-0000AB200000}"/>
    <cellStyle name="Note 2 2 2 2 8 2" xfId="7049" xr:uid="{00000000-0005-0000-0000-0000AC200000}"/>
    <cellStyle name="Note 2 2 2 2 8 2 2" xfId="24779" xr:uid="{6DF68F0B-BE05-46DF-926C-F3DA09ACBD29}"/>
    <cellStyle name="Note 2 2 2 2 8 2 3" xfId="15499" xr:uid="{EAAD9A2D-5358-42A7-93E6-F0391932DD1B}"/>
    <cellStyle name="Note 2 2 2 2 8 3" xfId="20562" xr:uid="{24DF11CB-468C-45D0-A469-AE41EBAC63F6}"/>
    <cellStyle name="Note 2 2 2 2 8 4" xfId="11281" xr:uid="{8CE80E04-B2D0-4201-8258-E1AE7623B22B}"/>
    <cellStyle name="Note 2 2 2 2 9" xfId="4904" xr:uid="{00000000-0005-0000-0000-0000AD200000}"/>
    <cellStyle name="Note 2 2 2 2 9 2" xfId="22634" xr:uid="{B60DC998-F065-44E0-9C59-59B6C1104CAD}"/>
    <cellStyle name="Note 2 2 2 2 9 3" xfId="13354" xr:uid="{6C887FE0-D79B-4CE0-9D94-38FCD813CA2D}"/>
    <cellStyle name="Note 2 2 2 3" xfId="1007" xr:uid="{00000000-0005-0000-0000-0000AE200000}"/>
    <cellStyle name="Note 2 2 2 3 2" xfId="3239" xr:uid="{00000000-0005-0000-0000-0000AF200000}"/>
    <cellStyle name="Note 2 2 2 3 2 2" xfId="7461" xr:uid="{00000000-0005-0000-0000-0000B0200000}"/>
    <cellStyle name="Note 2 2 2 3 2 2 2" xfId="25191" xr:uid="{09B1D125-1485-4DCE-BC5B-1D66F4FD20F5}"/>
    <cellStyle name="Note 2 2 2 3 2 2 3" xfId="15911" xr:uid="{596B29E4-68DF-453D-8FD9-C66410452A73}"/>
    <cellStyle name="Note 2 2 2 3 2 3" xfId="20974" xr:uid="{9F5DA0AA-F600-42F7-9852-A8D1979FEDB4}"/>
    <cellStyle name="Note 2 2 2 3 2 4" xfId="11693" xr:uid="{1BF57C94-3CE6-4B0E-9AC9-064B64E27C72}"/>
    <cellStyle name="Note 2 2 2 3 3" xfId="5316" xr:uid="{00000000-0005-0000-0000-0000B1200000}"/>
    <cellStyle name="Note 2 2 2 3 3 2" xfId="23046" xr:uid="{39CADBFD-AFD4-4FF8-92E6-97CCFFED2757}"/>
    <cellStyle name="Note 2 2 2 3 3 3" xfId="13766" xr:uid="{8B62222B-D8F6-4CC7-81CF-1E440888B12B}"/>
    <cellStyle name="Note 2 2 2 3 4" xfId="18829" xr:uid="{FA3DDCB5-7DEF-4E27-AA54-FF80A5D427B3}"/>
    <cellStyle name="Note 2 2 2 3 5" xfId="18001" xr:uid="{EF7469B7-D0B0-4783-9159-C8ED1021BBB1}"/>
    <cellStyle name="Note 2 2 2 3 6" xfId="9548" xr:uid="{FF860556-C1D5-4B55-9A3B-D920562ACB5F}"/>
    <cellStyle name="Note 2 2 2 4" xfId="1422" xr:uid="{00000000-0005-0000-0000-0000B2200000}"/>
    <cellStyle name="Note 2 2 2 4 2" xfId="3652" xr:uid="{00000000-0005-0000-0000-0000B3200000}"/>
    <cellStyle name="Note 2 2 2 4 2 2" xfId="7874" xr:uid="{00000000-0005-0000-0000-0000B4200000}"/>
    <cellStyle name="Note 2 2 2 4 2 2 2" xfId="25604" xr:uid="{AC96525D-F772-4CFB-BE9B-07C586F2DD47}"/>
    <cellStyle name="Note 2 2 2 4 2 2 3" xfId="16324" xr:uid="{2EEF949E-C269-40B5-9B0D-E2A95C355D84}"/>
    <cellStyle name="Note 2 2 2 4 2 3" xfId="21387" xr:uid="{6D0130C5-93B7-413D-A771-1E139A4791F9}"/>
    <cellStyle name="Note 2 2 2 4 2 4" xfId="12106" xr:uid="{BAC79281-6BCC-4E83-A2F7-A0FBC98A3165}"/>
    <cellStyle name="Note 2 2 2 4 3" xfId="5729" xr:uid="{00000000-0005-0000-0000-0000B5200000}"/>
    <cellStyle name="Note 2 2 2 4 3 2" xfId="23459" xr:uid="{EBA3F772-4987-4A1C-8FE0-128ED6C93381}"/>
    <cellStyle name="Note 2 2 2 4 3 3" xfId="14179" xr:uid="{C8D84D4F-A91B-46AE-9AFE-C019A1DF124C}"/>
    <cellStyle name="Note 2 2 2 4 4" xfId="19242" xr:uid="{F14F4248-DBBE-48F4-80B6-D012075357A8}"/>
    <cellStyle name="Note 2 2 2 4 5" xfId="9961" xr:uid="{16B1D128-78A7-416D-A2D9-6FBEF16724CA}"/>
    <cellStyle name="Note 2 2 2 5" xfId="1836" xr:uid="{00000000-0005-0000-0000-0000B6200000}"/>
    <cellStyle name="Note 2 2 2 5 2" xfId="4065" xr:uid="{00000000-0005-0000-0000-0000B7200000}"/>
    <cellStyle name="Note 2 2 2 5 2 2" xfId="8287" xr:uid="{00000000-0005-0000-0000-0000B8200000}"/>
    <cellStyle name="Note 2 2 2 5 2 2 2" xfId="26017" xr:uid="{58697226-0ABA-4C90-95CA-B306C7CEA161}"/>
    <cellStyle name="Note 2 2 2 5 2 2 3" xfId="16737" xr:uid="{2627FE2A-CDA2-4C84-818B-877FEE90BF35}"/>
    <cellStyle name="Note 2 2 2 5 2 3" xfId="21800" xr:uid="{795739B3-F938-4F3D-B6FE-5183CE1E13A6}"/>
    <cellStyle name="Note 2 2 2 5 2 4" xfId="12519" xr:uid="{41A075AD-8ED4-4B88-92A2-650E38E617D7}"/>
    <cellStyle name="Note 2 2 2 5 3" xfId="6142" xr:uid="{00000000-0005-0000-0000-0000B9200000}"/>
    <cellStyle name="Note 2 2 2 5 3 2" xfId="23872" xr:uid="{EAEFB9DB-47B9-4786-BA51-DD6EB48436B0}"/>
    <cellStyle name="Note 2 2 2 5 3 3" xfId="14592" xr:uid="{B610634B-4F68-41D0-848E-AA0449498007}"/>
    <cellStyle name="Note 2 2 2 5 4" xfId="19655" xr:uid="{0CAF4522-4A45-4779-B89E-B26FE0F8A98A}"/>
    <cellStyle name="Note 2 2 2 5 5" xfId="10374" xr:uid="{52086691-443D-49AB-9EDC-7C3AA9798C6B}"/>
    <cellStyle name="Note 2 2 2 6" xfId="2249" xr:uid="{00000000-0005-0000-0000-0000BA200000}"/>
    <cellStyle name="Note 2 2 2 6 2" xfId="4478" xr:uid="{00000000-0005-0000-0000-0000BB200000}"/>
    <cellStyle name="Note 2 2 2 6 2 2" xfId="8700" xr:uid="{00000000-0005-0000-0000-0000BC200000}"/>
    <cellStyle name="Note 2 2 2 6 2 2 2" xfId="26430" xr:uid="{9127E4A5-8C7C-42D0-9B20-EA768DF83B7D}"/>
    <cellStyle name="Note 2 2 2 6 2 2 3" xfId="17150" xr:uid="{897BFE87-31D6-4C01-9F72-86737F501769}"/>
    <cellStyle name="Note 2 2 2 6 2 3" xfId="22213" xr:uid="{D8217DDE-65BB-4364-A5AE-4860BEA651FF}"/>
    <cellStyle name="Note 2 2 2 6 2 4" xfId="12932" xr:uid="{1FC8C33C-7BF7-4786-8AB0-14A1A93F3287}"/>
    <cellStyle name="Note 2 2 2 6 3" xfId="6555" xr:uid="{00000000-0005-0000-0000-0000BD200000}"/>
    <cellStyle name="Note 2 2 2 6 3 2" xfId="24285" xr:uid="{69CA9EBB-E712-4D66-AEE8-D787DC3B246B}"/>
    <cellStyle name="Note 2 2 2 6 3 3" xfId="15005" xr:uid="{3924D823-5EB0-4E6F-92EE-62680FC17A64}"/>
    <cellStyle name="Note 2 2 2 6 4" xfId="20068" xr:uid="{24EC4970-6397-4DAB-8A42-4AC04F4E6984}"/>
    <cellStyle name="Note 2 2 2 6 5" xfId="10787" xr:uid="{4E00B69B-CFD1-4196-847D-4B57E30486E3}"/>
    <cellStyle name="Note 2 2 2 7" xfId="2685" xr:uid="{00000000-0005-0000-0000-0000BE200000}"/>
    <cellStyle name="Note 2 2 2 7 2" xfId="6968" xr:uid="{00000000-0005-0000-0000-0000BF200000}"/>
    <cellStyle name="Note 2 2 2 7 2 2" xfId="24698" xr:uid="{A8BD78A2-3DDB-4187-A623-435A37F9DE38}"/>
    <cellStyle name="Note 2 2 2 7 2 3" xfId="15418" xr:uid="{C5CD29D8-3CD5-45F6-AEBF-3B6574961F60}"/>
    <cellStyle name="Note 2 2 2 7 3" xfId="20481" xr:uid="{5A8D028C-24A5-4DB3-8451-B06F8378A320}"/>
    <cellStyle name="Note 2 2 2 7 4" xfId="11200" xr:uid="{4FBA4B87-E21A-421F-BE54-97CBA5FE282C}"/>
    <cellStyle name="Note 2 2 2 8" xfId="2744" xr:uid="{00000000-0005-0000-0000-0000C0200000}"/>
    <cellStyle name="Note 2 2 2 9" xfId="2825" xr:uid="{00000000-0005-0000-0000-0000C1200000}"/>
    <cellStyle name="Note 2 2 2 9 2" xfId="7048" xr:uid="{00000000-0005-0000-0000-0000C2200000}"/>
    <cellStyle name="Note 2 2 2 9 2 2" xfId="24778" xr:uid="{F90BED32-38BC-4DAA-A507-FB647C259FE5}"/>
    <cellStyle name="Note 2 2 2 9 2 3" xfId="15498" xr:uid="{C97DB462-9D98-429A-A513-3D8AFC00213E}"/>
    <cellStyle name="Note 2 2 2 9 3" xfId="20561" xr:uid="{7B50EA5C-C39B-4450-AA2F-F5B82B9CBF5F}"/>
    <cellStyle name="Note 2 2 2 9 4" xfId="11280" xr:uid="{76A3AAA6-0E2A-48DE-8D18-0042DC39A5ED}"/>
    <cellStyle name="Note 2 2 3" xfId="548" xr:uid="{00000000-0005-0000-0000-0000C3200000}"/>
    <cellStyle name="Note 2 2 3 10" xfId="18418" xr:uid="{7FE7E168-09D1-4829-AA51-8562C4E3FE05}"/>
    <cellStyle name="Note 2 2 3 11" xfId="17584" xr:uid="{960A12D7-D5D1-449D-8A55-0924ABDE0725}"/>
    <cellStyle name="Note 2 2 3 12" xfId="9137" xr:uid="{C6324654-3190-4A9F-9474-52C627A30EB1}"/>
    <cellStyle name="Note 2 2 3 2" xfId="1009" xr:uid="{00000000-0005-0000-0000-0000C4200000}"/>
    <cellStyle name="Note 2 2 3 2 2" xfId="3241" xr:uid="{00000000-0005-0000-0000-0000C5200000}"/>
    <cellStyle name="Note 2 2 3 2 2 2" xfId="7463" xr:uid="{00000000-0005-0000-0000-0000C6200000}"/>
    <cellStyle name="Note 2 2 3 2 2 2 2" xfId="25193" xr:uid="{AF7C49EA-F8FA-4691-860B-9389A0F52B1B}"/>
    <cellStyle name="Note 2 2 3 2 2 2 3" xfId="15913" xr:uid="{971F4DAF-6079-4BB5-A613-3477E05DF1E9}"/>
    <cellStyle name="Note 2 2 3 2 2 3" xfId="20976" xr:uid="{BCD1F038-2F3F-451E-982D-F4CF207AA146}"/>
    <cellStyle name="Note 2 2 3 2 2 4" xfId="11695" xr:uid="{14F3F011-38A0-4380-9931-A95D09B67F19}"/>
    <cellStyle name="Note 2 2 3 2 3" xfId="5318" xr:uid="{00000000-0005-0000-0000-0000C7200000}"/>
    <cellStyle name="Note 2 2 3 2 3 2" xfId="23048" xr:uid="{804CFC26-2D61-4E4A-A526-90EB65A22699}"/>
    <cellStyle name="Note 2 2 3 2 3 3" xfId="13768" xr:uid="{B47CAAFA-90EE-4D81-A63D-7F88DB4B3AF8}"/>
    <cellStyle name="Note 2 2 3 2 4" xfId="18831" xr:uid="{503FFCD2-E4FC-4382-919F-980DD4929E61}"/>
    <cellStyle name="Note 2 2 3 2 5" xfId="18003" xr:uid="{90A694C5-D5E4-466B-AF95-649FD5ECF5AD}"/>
    <cellStyle name="Note 2 2 3 2 6" xfId="9550" xr:uid="{3537106C-5BBE-464D-BAB2-0D10535BC214}"/>
    <cellStyle name="Note 2 2 3 3" xfId="1424" xr:uid="{00000000-0005-0000-0000-0000C8200000}"/>
    <cellStyle name="Note 2 2 3 3 2" xfId="3654" xr:uid="{00000000-0005-0000-0000-0000C9200000}"/>
    <cellStyle name="Note 2 2 3 3 2 2" xfId="7876" xr:uid="{00000000-0005-0000-0000-0000CA200000}"/>
    <cellStyle name="Note 2 2 3 3 2 2 2" xfId="25606" xr:uid="{3EB3BAE1-03B4-470A-8820-44712FF72D16}"/>
    <cellStyle name="Note 2 2 3 3 2 2 3" xfId="16326" xr:uid="{D290C450-67F0-4851-8269-3CBEF0543C1B}"/>
    <cellStyle name="Note 2 2 3 3 2 3" xfId="21389" xr:uid="{E01E3C9B-0E12-4CBF-ADC4-2659FB03E91B}"/>
    <cellStyle name="Note 2 2 3 3 2 4" xfId="12108" xr:uid="{A81A7AC5-A0F1-4D8B-A851-CB1674CCD5C0}"/>
    <cellStyle name="Note 2 2 3 3 3" xfId="5731" xr:uid="{00000000-0005-0000-0000-0000CB200000}"/>
    <cellStyle name="Note 2 2 3 3 3 2" xfId="23461" xr:uid="{9E84D38F-51CF-4259-AF0F-10CCF187DCBC}"/>
    <cellStyle name="Note 2 2 3 3 3 3" xfId="14181" xr:uid="{50FB376C-2E03-42CC-9C88-0F5309E568BD}"/>
    <cellStyle name="Note 2 2 3 3 4" xfId="19244" xr:uid="{4C3D4A8A-FA1C-4B04-8101-44EE3BF45866}"/>
    <cellStyle name="Note 2 2 3 3 5" xfId="9963" xr:uid="{825549F6-0DCF-46BA-9673-677C4302826B}"/>
    <cellStyle name="Note 2 2 3 4" xfId="1838" xr:uid="{00000000-0005-0000-0000-0000CC200000}"/>
    <cellStyle name="Note 2 2 3 4 2" xfId="4067" xr:uid="{00000000-0005-0000-0000-0000CD200000}"/>
    <cellStyle name="Note 2 2 3 4 2 2" xfId="8289" xr:uid="{00000000-0005-0000-0000-0000CE200000}"/>
    <cellStyle name="Note 2 2 3 4 2 2 2" xfId="26019" xr:uid="{8693AD9B-7720-4757-A317-7DC0BFE953F8}"/>
    <cellStyle name="Note 2 2 3 4 2 2 3" xfId="16739" xr:uid="{6ECF6F95-8A46-482A-B557-1DCD63BBBBF7}"/>
    <cellStyle name="Note 2 2 3 4 2 3" xfId="21802" xr:uid="{87084E4E-DAA9-40B5-88BD-F81728E44B2D}"/>
    <cellStyle name="Note 2 2 3 4 2 4" xfId="12521" xr:uid="{04925149-286F-4B87-8C3B-50D4C9B406AB}"/>
    <cellStyle name="Note 2 2 3 4 3" xfId="6144" xr:uid="{00000000-0005-0000-0000-0000CF200000}"/>
    <cellStyle name="Note 2 2 3 4 3 2" xfId="23874" xr:uid="{E954618A-F986-4DFD-9370-38932FCD804E}"/>
    <cellStyle name="Note 2 2 3 4 3 3" xfId="14594" xr:uid="{8BA489CA-D00B-451C-8E04-A888547DB95E}"/>
    <cellStyle name="Note 2 2 3 4 4" xfId="19657" xr:uid="{1054A4A0-E20E-4A48-9661-4BCC64DE7879}"/>
    <cellStyle name="Note 2 2 3 4 5" xfId="10376" xr:uid="{E6A7B394-5CE1-4168-A48B-F17D58BF64D6}"/>
    <cellStyle name="Note 2 2 3 5" xfId="2251" xr:uid="{00000000-0005-0000-0000-0000D0200000}"/>
    <cellStyle name="Note 2 2 3 5 2" xfId="4480" xr:uid="{00000000-0005-0000-0000-0000D1200000}"/>
    <cellStyle name="Note 2 2 3 5 2 2" xfId="8702" xr:uid="{00000000-0005-0000-0000-0000D2200000}"/>
    <cellStyle name="Note 2 2 3 5 2 2 2" xfId="26432" xr:uid="{4CAFB003-DCEC-4675-B34E-D85F6B3E6CE0}"/>
    <cellStyle name="Note 2 2 3 5 2 2 3" xfId="17152" xr:uid="{708D61BF-65C2-4181-BCA9-2D571EE9C814}"/>
    <cellStyle name="Note 2 2 3 5 2 3" xfId="22215" xr:uid="{31DA2C8B-ECA4-47C8-A782-69F40990BC41}"/>
    <cellStyle name="Note 2 2 3 5 2 4" xfId="12934" xr:uid="{64C464CF-E43F-4A75-A7B8-0873801CCE37}"/>
    <cellStyle name="Note 2 2 3 5 3" xfId="6557" xr:uid="{00000000-0005-0000-0000-0000D3200000}"/>
    <cellStyle name="Note 2 2 3 5 3 2" xfId="24287" xr:uid="{59348977-B8FD-4B2F-A02B-81782A6FE3B0}"/>
    <cellStyle name="Note 2 2 3 5 3 3" xfId="15007" xr:uid="{842DAB95-0E35-4CFE-9EE7-0E8FBDFE1C1D}"/>
    <cellStyle name="Note 2 2 3 5 4" xfId="20070" xr:uid="{638A7A3E-8368-4976-B12A-DC794B7E7613}"/>
    <cellStyle name="Note 2 2 3 5 5" xfId="10789" xr:uid="{AE414B32-9EBC-413E-9480-FF923716ED33}"/>
    <cellStyle name="Note 2 2 3 6" xfId="2687" xr:uid="{00000000-0005-0000-0000-0000D4200000}"/>
    <cellStyle name="Note 2 2 3 6 2" xfId="6970" xr:uid="{00000000-0005-0000-0000-0000D5200000}"/>
    <cellStyle name="Note 2 2 3 6 2 2" xfId="24700" xr:uid="{68C2C19D-2CEB-4C9C-812E-C663CF1378E3}"/>
    <cellStyle name="Note 2 2 3 6 2 3" xfId="15420" xr:uid="{76AD6333-B0C5-45FE-990E-6A8B82600436}"/>
    <cellStyle name="Note 2 2 3 6 3" xfId="20483" xr:uid="{7AFFE623-3DC5-4319-B51F-16F5DFBF916A}"/>
    <cellStyle name="Note 2 2 3 6 4" xfId="11202" xr:uid="{CC6941CC-4A9B-49CC-92A4-EEA2186B3A89}"/>
    <cellStyle name="Note 2 2 3 7" xfId="2746" xr:uid="{00000000-0005-0000-0000-0000D6200000}"/>
    <cellStyle name="Note 2 2 3 8" xfId="2827" xr:uid="{00000000-0005-0000-0000-0000D7200000}"/>
    <cellStyle name="Note 2 2 3 8 2" xfId="7050" xr:uid="{00000000-0005-0000-0000-0000D8200000}"/>
    <cellStyle name="Note 2 2 3 8 2 2" xfId="24780" xr:uid="{D752E1D0-CFC3-4D2A-AE7B-BDD65E9455B6}"/>
    <cellStyle name="Note 2 2 3 8 2 3" xfId="15500" xr:uid="{29001762-7248-43C2-9968-E904F883DEA7}"/>
    <cellStyle name="Note 2 2 3 8 3" xfId="20563" xr:uid="{067032FB-B3E6-4003-9D95-4791F59D8D60}"/>
    <cellStyle name="Note 2 2 3 8 4" xfId="11282" xr:uid="{F6A8F3FF-9AD1-476F-A4BA-C6E7BB1B31A9}"/>
    <cellStyle name="Note 2 2 3 9" xfId="4905" xr:uid="{00000000-0005-0000-0000-0000D9200000}"/>
    <cellStyle name="Note 2 2 3 9 2" xfId="22635" xr:uid="{47F970B3-A8C8-437E-95E3-A2A3145EFDF4}"/>
    <cellStyle name="Note 2 2 3 9 3" xfId="13355" xr:uid="{9D0E80FD-E8AB-4037-8ED7-E129C3F2EAC4}"/>
    <cellStyle name="Note 2 2 4" xfId="1006" xr:uid="{00000000-0005-0000-0000-0000DA200000}"/>
    <cellStyle name="Note 2 2 4 2" xfId="3238" xr:uid="{00000000-0005-0000-0000-0000DB200000}"/>
    <cellStyle name="Note 2 2 4 2 2" xfId="7460" xr:uid="{00000000-0005-0000-0000-0000DC200000}"/>
    <cellStyle name="Note 2 2 4 2 2 2" xfId="25190" xr:uid="{387784FA-6D6A-41D4-9BBA-2915B2C10D89}"/>
    <cellStyle name="Note 2 2 4 2 2 3" xfId="15910" xr:uid="{11BFD9D7-0A05-47D6-A1D9-806605E88767}"/>
    <cellStyle name="Note 2 2 4 2 3" xfId="20973" xr:uid="{3BA78311-A390-4EAC-B251-98C35AF663E4}"/>
    <cellStyle name="Note 2 2 4 2 4" xfId="11692" xr:uid="{0916D9AB-8279-414F-886E-149DE791F624}"/>
    <cellStyle name="Note 2 2 4 3" xfId="5315" xr:uid="{00000000-0005-0000-0000-0000DD200000}"/>
    <cellStyle name="Note 2 2 4 3 2" xfId="23045" xr:uid="{BEE7A697-DD75-468D-8210-FEBDFFE3AA04}"/>
    <cellStyle name="Note 2 2 4 3 3" xfId="13765" xr:uid="{5125BB8C-025D-4327-A2C2-4AFE9516B052}"/>
    <cellStyle name="Note 2 2 4 4" xfId="18828" xr:uid="{645AD8E1-81D2-4FA1-9D55-54D847FCBEFF}"/>
    <cellStyle name="Note 2 2 4 5" xfId="18000" xr:uid="{00DBD37D-76BD-419F-AE1E-5A5120DA7473}"/>
    <cellStyle name="Note 2 2 4 6" xfId="9547" xr:uid="{3952DAF7-4EBA-4182-BDB1-11C19D4CF986}"/>
    <cellStyle name="Note 2 2 5" xfId="1421" xr:uid="{00000000-0005-0000-0000-0000DE200000}"/>
    <cellStyle name="Note 2 2 5 2" xfId="3651" xr:uid="{00000000-0005-0000-0000-0000DF200000}"/>
    <cellStyle name="Note 2 2 5 2 2" xfId="7873" xr:uid="{00000000-0005-0000-0000-0000E0200000}"/>
    <cellStyle name="Note 2 2 5 2 2 2" xfId="25603" xr:uid="{3C44F98A-BCF2-4921-971A-08973B596507}"/>
    <cellStyle name="Note 2 2 5 2 2 3" xfId="16323" xr:uid="{9C15E12D-BA5A-4D6E-94A2-C80C4FC64BE6}"/>
    <cellStyle name="Note 2 2 5 2 3" xfId="21386" xr:uid="{804CC891-FCE2-4C49-9645-30EDD44B793C}"/>
    <cellStyle name="Note 2 2 5 2 4" xfId="12105" xr:uid="{2B2B4717-86E4-4212-B9FA-04AD4CF1DA02}"/>
    <cellStyle name="Note 2 2 5 3" xfId="5728" xr:uid="{00000000-0005-0000-0000-0000E1200000}"/>
    <cellStyle name="Note 2 2 5 3 2" xfId="23458" xr:uid="{F2F112A7-6070-4143-836B-9DAA91886344}"/>
    <cellStyle name="Note 2 2 5 3 3" xfId="14178" xr:uid="{E06B0BF8-2A2E-428C-A419-593EBC014E0D}"/>
    <cellStyle name="Note 2 2 5 4" xfId="19241" xr:uid="{82A3AD3D-6183-4BAC-A334-535F76B96642}"/>
    <cellStyle name="Note 2 2 5 5" xfId="9960" xr:uid="{6197C418-1A19-47A3-8BDF-302F06324D6B}"/>
    <cellStyle name="Note 2 2 6" xfId="1835" xr:uid="{00000000-0005-0000-0000-0000E2200000}"/>
    <cellStyle name="Note 2 2 6 2" xfId="4064" xr:uid="{00000000-0005-0000-0000-0000E3200000}"/>
    <cellStyle name="Note 2 2 6 2 2" xfId="8286" xr:uid="{00000000-0005-0000-0000-0000E4200000}"/>
    <cellStyle name="Note 2 2 6 2 2 2" xfId="26016" xr:uid="{DF3341DA-E359-44A3-80FC-DB598E4A7725}"/>
    <cellStyle name="Note 2 2 6 2 2 3" xfId="16736" xr:uid="{148EE599-3D16-47D3-A6E6-691FAB6F7DD7}"/>
    <cellStyle name="Note 2 2 6 2 3" xfId="21799" xr:uid="{8043606B-7CAC-46FC-BDA9-D5C10459DF9B}"/>
    <cellStyle name="Note 2 2 6 2 4" xfId="12518" xr:uid="{0DE2B78C-B63C-4D72-A080-0D214C357B88}"/>
    <cellStyle name="Note 2 2 6 3" xfId="6141" xr:uid="{00000000-0005-0000-0000-0000E5200000}"/>
    <cellStyle name="Note 2 2 6 3 2" xfId="23871" xr:uid="{5E8B0E10-A895-4988-B31C-7B9A6596EF6D}"/>
    <cellStyle name="Note 2 2 6 3 3" xfId="14591" xr:uid="{7E385942-BDF0-4301-9918-3E2BB3C9DF04}"/>
    <cellStyle name="Note 2 2 6 4" xfId="19654" xr:uid="{0BF7E028-F87B-4024-825C-CFC4E0011208}"/>
    <cellStyle name="Note 2 2 6 5" xfId="10373" xr:uid="{396D2BBF-C1E6-4619-A1C6-79954CAB0FC6}"/>
    <cellStyle name="Note 2 2 7" xfId="2248" xr:uid="{00000000-0005-0000-0000-0000E6200000}"/>
    <cellStyle name="Note 2 2 7 2" xfId="4477" xr:uid="{00000000-0005-0000-0000-0000E7200000}"/>
    <cellStyle name="Note 2 2 7 2 2" xfId="8699" xr:uid="{00000000-0005-0000-0000-0000E8200000}"/>
    <cellStyle name="Note 2 2 7 2 2 2" xfId="26429" xr:uid="{D1BC0970-C438-45D1-9AA1-096F0B2E5E74}"/>
    <cellStyle name="Note 2 2 7 2 2 3" xfId="17149" xr:uid="{96EEE8A4-2E46-4455-A490-EC519476B2B3}"/>
    <cellStyle name="Note 2 2 7 2 3" xfId="22212" xr:uid="{C4E51060-E1E2-43B4-8DAB-D4FB33564B89}"/>
    <cellStyle name="Note 2 2 7 2 4" xfId="12931" xr:uid="{B2FD77B1-5419-4215-AC19-0248C3D6E71D}"/>
    <cellStyle name="Note 2 2 7 3" xfId="6554" xr:uid="{00000000-0005-0000-0000-0000E9200000}"/>
    <cellStyle name="Note 2 2 7 3 2" xfId="24284" xr:uid="{B3B9F6CC-ADDA-4960-8C0F-6866D74DA7B2}"/>
    <cellStyle name="Note 2 2 7 3 3" xfId="15004" xr:uid="{3DC2E884-0F17-447E-9D28-7B01E68037E5}"/>
    <cellStyle name="Note 2 2 7 4" xfId="20067" xr:uid="{D4FCCF6F-63A3-4047-B949-D8EA6BBC8C9C}"/>
    <cellStyle name="Note 2 2 7 5" xfId="10786" xr:uid="{FFA3242C-02C9-49EA-B0E2-8CD0DFEB1FBB}"/>
    <cellStyle name="Note 2 2 8" xfId="2684" xr:uid="{00000000-0005-0000-0000-0000EA200000}"/>
    <cellStyle name="Note 2 2 8 2" xfId="6967" xr:uid="{00000000-0005-0000-0000-0000EB200000}"/>
    <cellStyle name="Note 2 2 8 2 2" xfId="24697" xr:uid="{C5EE0CC1-E3ED-4DCD-9AA3-639D5B1BAD5B}"/>
    <cellStyle name="Note 2 2 8 2 3" xfId="15417" xr:uid="{50C98AE2-4C99-4A66-B7EE-23F1A2BAC5FF}"/>
    <cellStyle name="Note 2 2 8 3" xfId="20480" xr:uid="{3E6107AE-9EB5-4A7F-8DFC-55537F79EF2B}"/>
    <cellStyle name="Note 2 2 8 4" xfId="11199" xr:uid="{416D6895-1AE9-43F4-B23F-196854F063F0}"/>
    <cellStyle name="Note 2 2 9" xfId="2743" xr:uid="{00000000-0005-0000-0000-0000EC200000}"/>
    <cellStyle name="Note 2 3" xfId="549" xr:uid="{00000000-0005-0000-0000-0000ED200000}"/>
    <cellStyle name="Note 2 3 10" xfId="4906" xr:uid="{00000000-0005-0000-0000-0000EE200000}"/>
    <cellStyle name="Note 2 3 10 2" xfId="22636" xr:uid="{6C1B7994-928E-4D64-ADFC-88AF844B6327}"/>
    <cellStyle name="Note 2 3 10 3" xfId="13356" xr:uid="{2ECDE190-B49A-4392-A2BE-573E3306BD46}"/>
    <cellStyle name="Note 2 3 11" xfId="18419" xr:uid="{B7EFD443-44F8-489F-8723-3A1B2CC28158}"/>
    <cellStyle name="Note 2 3 12" xfId="17585" xr:uid="{FD0BDEC3-EF1D-4545-9420-F4AA4F17EC57}"/>
    <cellStyle name="Note 2 3 13" xfId="9138" xr:uid="{10B80922-F469-4DB1-BD7C-D681F3F7F311}"/>
    <cellStyle name="Note 2 3 2" xfId="550" xr:uid="{00000000-0005-0000-0000-0000EF200000}"/>
    <cellStyle name="Note 2 3 2 10" xfId="18420" xr:uid="{CE4A729C-46A4-41E7-A0C7-B2E2B5571DC2}"/>
    <cellStyle name="Note 2 3 2 11" xfId="17586" xr:uid="{E7B68392-75E6-42BB-8213-AE419CDA5420}"/>
    <cellStyle name="Note 2 3 2 12" xfId="9139" xr:uid="{B17A88EA-94BE-4D3B-BF79-BC6F2E716F12}"/>
    <cellStyle name="Note 2 3 2 2" xfId="1011" xr:uid="{00000000-0005-0000-0000-0000F0200000}"/>
    <cellStyle name="Note 2 3 2 2 2" xfId="3243" xr:uid="{00000000-0005-0000-0000-0000F1200000}"/>
    <cellStyle name="Note 2 3 2 2 2 2" xfId="7465" xr:uid="{00000000-0005-0000-0000-0000F2200000}"/>
    <cellStyle name="Note 2 3 2 2 2 2 2" xfId="25195" xr:uid="{B5AB62A0-A317-4AEC-B5C9-9B0D092D2A1C}"/>
    <cellStyle name="Note 2 3 2 2 2 2 3" xfId="15915" xr:uid="{3770DFE6-1A33-494C-B180-7EB026BEFCFA}"/>
    <cellStyle name="Note 2 3 2 2 2 3" xfId="20978" xr:uid="{79B4FEDB-E1E0-4F5F-9AEA-DDAFA9C2E217}"/>
    <cellStyle name="Note 2 3 2 2 2 4" xfId="11697" xr:uid="{E26157C9-69F5-468E-9EF1-018584F8883B}"/>
    <cellStyle name="Note 2 3 2 2 3" xfId="5320" xr:uid="{00000000-0005-0000-0000-0000F3200000}"/>
    <cellStyle name="Note 2 3 2 2 3 2" xfId="23050" xr:uid="{E2A3A991-EE7D-4461-A4B9-1199BD059465}"/>
    <cellStyle name="Note 2 3 2 2 3 3" xfId="13770" xr:uid="{E4EC413F-B72F-45F9-A942-309C3E165248}"/>
    <cellStyle name="Note 2 3 2 2 4" xfId="18833" xr:uid="{269341F0-241F-46EC-943E-165656848C7B}"/>
    <cellStyle name="Note 2 3 2 2 5" xfId="18005" xr:uid="{09C531E9-E7C9-470F-8B96-C6A726C18AFF}"/>
    <cellStyle name="Note 2 3 2 2 6" xfId="9552" xr:uid="{A32AFAFB-392A-4EDF-A28D-B99C84F3ED7F}"/>
    <cellStyle name="Note 2 3 2 3" xfId="1426" xr:uid="{00000000-0005-0000-0000-0000F4200000}"/>
    <cellStyle name="Note 2 3 2 3 2" xfId="3656" xr:uid="{00000000-0005-0000-0000-0000F5200000}"/>
    <cellStyle name="Note 2 3 2 3 2 2" xfId="7878" xr:uid="{00000000-0005-0000-0000-0000F6200000}"/>
    <cellStyle name="Note 2 3 2 3 2 2 2" xfId="25608" xr:uid="{76A45244-08BB-474A-A2A9-27DDFE6370B1}"/>
    <cellStyle name="Note 2 3 2 3 2 2 3" xfId="16328" xr:uid="{2105960E-1DB1-4AA5-A799-4A497C8DB820}"/>
    <cellStyle name="Note 2 3 2 3 2 3" xfId="21391" xr:uid="{F82A3F44-F16C-474E-8A97-D0EF769EF437}"/>
    <cellStyle name="Note 2 3 2 3 2 4" xfId="12110" xr:uid="{32F11FAC-6B9A-4762-8A36-08EE87249047}"/>
    <cellStyle name="Note 2 3 2 3 3" xfId="5733" xr:uid="{00000000-0005-0000-0000-0000F7200000}"/>
    <cellStyle name="Note 2 3 2 3 3 2" xfId="23463" xr:uid="{B5A9B189-B067-4363-BD45-E7F84732ED66}"/>
    <cellStyle name="Note 2 3 2 3 3 3" xfId="14183" xr:uid="{60AA46FF-D050-4016-98B7-B6FBDD6F8F04}"/>
    <cellStyle name="Note 2 3 2 3 4" xfId="19246" xr:uid="{95A735D3-8AB5-4833-BEA0-24E9AF6F5CF8}"/>
    <cellStyle name="Note 2 3 2 3 5" xfId="9965" xr:uid="{80148262-F73A-4F4A-8B6B-7371268C8B1A}"/>
    <cellStyle name="Note 2 3 2 4" xfId="1840" xr:uid="{00000000-0005-0000-0000-0000F8200000}"/>
    <cellStyle name="Note 2 3 2 4 2" xfId="4069" xr:uid="{00000000-0005-0000-0000-0000F9200000}"/>
    <cellStyle name="Note 2 3 2 4 2 2" xfId="8291" xr:uid="{00000000-0005-0000-0000-0000FA200000}"/>
    <cellStyle name="Note 2 3 2 4 2 2 2" xfId="26021" xr:uid="{24C7810A-CE80-44EB-8B73-C2B1A83E6B72}"/>
    <cellStyle name="Note 2 3 2 4 2 2 3" xfId="16741" xr:uid="{D68E48EA-C860-45B8-BE48-DC9283D73C26}"/>
    <cellStyle name="Note 2 3 2 4 2 3" xfId="21804" xr:uid="{AEDA071F-DED8-48A0-9B91-6949A7081F9B}"/>
    <cellStyle name="Note 2 3 2 4 2 4" xfId="12523" xr:uid="{DE70C940-062E-4FDF-B411-FBB2013FCC51}"/>
    <cellStyle name="Note 2 3 2 4 3" xfId="6146" xr:uid="{00000000-0005-0000-0000-0000FB200000}"/>
    <cellStyle name="Note 2 3 2 4 3 2" xfId="23876" xr:uid="{182F9BAE-9965-4C69-9A7C-0CC353201AC2}"/>
    <cellStyle name="Note 2 3 2 4 3 3" xfId="14596" xr:uid="{E27DE337-4A88-4AD4-9C4A-A8DDD8819892}"/>
    <cellStyle name="Note 2 3 2 4 4" xfId="19659" xr:uid="{BBD8B85B-FB36-462D-8A6A-B1D41A8F19EF}"/>
    <cellStyle name="Note 2 3 2 4 5" xfId="10378" xr:uid="{5103955C-A42D-4487-8D16-12E01A5C28A0}"/>
    <cellStyle name="Note 2 3 2 5" xfId="2253" xr:uid="{00000000-0005-0000-0000-0000FC200000}"/>
    <cellStyle name="Note 2 3 2 5 2" xfId="4482" xr:uid="{00000000-0005-0000-0000-0000FD200000}"/>
    <cellStyle name="Note 2 3 2 5 2 2" xfId="8704" xr:uid="{00000000-0005-0000-0000-0000FE200000}"/>
    <cellStyle name="Note 2 3 2 5 2 2 2" xfId="26434" xr:uid="{9227B22E-D0F9-4516-A313-B78950F67CAD}"/>
    <cellStyle name="Note 2 3 2 5 2 2 3" xfId="17154" xr:uid="{BF17643D-2BE6-416A-82D9-B00F187E4482}"/>
    <cellStyle name="Note 2 3 2 5 2 3" xfId="22217" xr:uid="{AEE1E064-5A8D-4248-B629-859B2C9441F6}"/>
    <cellStyle name="Note 2 3 2 5 2 4" xfId="12936" xr:uid="{28A974B5-92E0-46FE-8920-8A6401748BF7}"/>
    <cellStyle name="Note 2 3 2 5 3" xfId="6559" xr:uid="{00000000-0005-0000-0000-0000FF200000}"/>
    <cellStyle name="Note 2 3 2 5 3 2" xfId="24289" xr:uid="{EAECDED7-F68F-48D8-94F2-F1332D616037}"/>
    <cellStyle name="Note 2 3 2 5 3 3" xfId="15009" xr:uid="{B2965D9A-3D96-4441-BF28-52AF8380D1DE}"/>
    <cellStyle name="Note 2 3 2 5 4" xfId="20072" xr:uid="{DBF691D4-C948-4EEF-969F-D2B787E595AC}"/>
    <cellStyle name="Note 2 3 2 5 5" xfId="10791" xr:uid="{A49E2147-09FF-4E35-9C6F-C892A1D02E6B}"/>
    <cellStyle name="Note 2 3 2 6" xfId="2689" xr:uid="{00000000-0005-0000-0000-000000210000}"/>
    <cellStyle name="Note 2 3 2 6 2" xfId="6972" xr:uid="{00000000-0005-0000-0000-000001210000}"/>
    <cellStyle name="Note 2 3 2 6 2 2" xfId="24702" xr:uid="{50358CAF-1D36-4E6A-805B-DE0C4E06E486}"/>
    <cellStyle name="Note 2 3 2 6 2 3" xfId="15422" xr:uid="{BF6E4EC5-7251-4F80-9F45-6DD906155B2A}"/>
    <cellStyle name="Note 2 3 2 6 3" xfId="20485" xr:uid="{C26B14C8-DA2E-464B-9F4D-B82AFF29B115}"/>
    <cellStyle name="Note 2 3 2 6 4" xfId="11204" xr:uid="{659406B3-378C-477A-AC1D-101DE6300485}"/>
    <cellStyle name="Note 2 3 2 7" xfId="2748" xr:uid="{00000000-0005-0000-0000-000002210000}"/>
    <cellStyle name="Note 2 3 2 8" xfId="2829" xr:uid="{00000000-0005-0000-0000-000003210000}"/>
    <cellStyle name="Note 2 3 2 8 2" xfId="7052" xr:uid="{00000000-0005-0000-0000-000004210000}"/>
    <cellStyle name="Note 2 3 2 8 2 2" xfId="24782" xr:uid="{DCB407B6-CB71-4CF1-AAE4-6A3AFB20661A}"/>
    <cellStyle name="Note 2 3 2 8 2 3" xfId="15502" xr:uid="{2A67A209-4CAD-4272-8EF1-E847C2585245}"/>
    <cellStyle name="Note 2 3 2 8 3" xfId="20565" xr:uid="{12E2ED59-4F35-4F5D-8A28-975BA5E53D8C}"/>
    <cellStyle name="Note 2 3 2 8 4" xfId="11284" xr:uid="{FB14DC3E-159B-42BF-B541-457DDED1840C}"/>
    <cellStyle name="Note 2 3 2 9" xfId="4907" xr:uid="{00000000-0005-0000-0000-000005210000}"/>
    <cellStyle name="Note 2 3 2 9 2" xfId="22637" xr:uid="{CB681BE9-269E-429C-AC5D-EB287D9D3BF8}"/>
    <cellStyle name="Note 2 3 2 9 3" xfId="13357" xr:uid="{5D5AFD2F-9B63-4559-85DF-7FC9D1BD76D0}"/>
    <cellStyle name="Note 2 3 3" xfId="1010" xr:uid="{00000000-0005-0000-0000-000006210000}"/>
    <cellStyle name="Note 2 3 3 2" xfId="3242" xr:uid="{00000000-0005-0000-0000-000007210000}"/>
    <cellStyle name="Note 2 3 3 2 2" xfId="7464" xr:uid="{00000000-0005-0000-0000-000008210000}"/>
    <cellStyle name="Note 2 3 3 2 2 2" xfId="25194" xr:uid="{8464797F-4F71-4F41-92B0-A6E483019B71}"/>
    <cellStyle name="Note 2 3 3 2 2 3" xfId="15914" xr:uid="{36295157-7315-43BA-8C7E-C1D7EDE1C487}"/>
    <cellStyle name="Note 2 3 3 2 3" xfId="20977" xr:uid="{72F6A3D4-053C-412B-82AB-855858227DAD}"/>
    <cellStyle name="Note 2 3 3 2 4" xfId="11696" xr:uid="{E8E52244-CD4F-422F-95B2-61093F630BD6}"/>
    <cellStyle name="Note 2 3 3 3" xfId="5319" xr:uid="{00000000-0005-0000-0000-000009210000}"/>
    <cellStyle name="Note 2 3 3 3 2" xfId="23049" xr:uid="{6D8FE510-9343-4E68-A7BA-9D3066479F33}"/>
    <cellStyle name="Note 2 3 3 3 3" xfId="13769" xr:uid="{0F841127-5E18-4A21-981E-7D26176A3709}"/>
    <cellStyle name="Note 2 3 3 4" xfId="18832" xr:uid="{6B388538-AC21-4C33-9F5F-0AD30A37B396}"/>
    <cellStyle name="Note 2 3 3 5" xfId="18004" xr:uid="{EF4A22A8-D035-42EF-BD58-B23E77EBFE9F}"/>
    <cellStyle name="Note 2 3 3 6" xfId="9551" xr:uid="{7C9766A4-3A9C-4B4A-BB7A-BD268D2163B2}"/>
    <cellStyle name="Note 2 3 4" xfId="1425" xr:uid="{00000000-0005-0000-0000-00000A210000}"/>
    <cellStyle name="Note 2 3 4 2" xfId="3655" xr:uid="{00000000-0005-0000-0000-00000B210000}"/>
    <cellStyle name="Note 2 3 4 2 2" xfId="7877" xr:uid="{00000000-0005-0000-0000-00000C210000}"/>
    <cellStyle name="Note 2 3 4 2 2 2" xfId="25607" xr:uid="{FA565476-BAEE-427F-91EA-848CB1178876}"/>
    <cellStyle name="Note 2 3 4 2 2 3" xfId="16327" xr:uid="{B5E905FA-F8B7-4988-92A9-22DD8707BE1F}"/>
    <cellStyle name="Note 2 3 4 2 3" xfId="21390" xr:uid="{54C4ADAD-82FC-4CD2-B260-743D12805034}"/>
    <cellStyle name="Note 2 3 4 2 4" xfId="12109" xr:uid="{CFD8F2B1-B191-41E3-AC3B-83BDAB9FC93A}"/>
    <cellStyle name="Note 2 3 4 3" xfId="5732" xr:uid="{00000000-0005-0000-0000-00000D210000}"/>
    <cellStyle name="Note 2 3 4 3 2" xfId="23462" xr:uid="{365B7F2A-85BB-4618-A4A9-BEE1A7655CEC}"/>
    <cellStyle name="Note 2 3 4 3 3" xfId="14182" xr:uid="{515FB46B-5966-41F6-A531-C5B9A85EDE5B}"/>
    <cellStyle name="Note 2 3 4 4" xfId="19245" xr:uid="{B3DB7E62-3D92-4237-98E0-09C523D35397}"/>
    <cellStyle name="Note 2 3 4 5" xfId="9964" xr:uid="{D96000D2-20C6-4500-9BD3-E91297518C98}"/>
    <cellStyle name="Note 2 3 5" xfId="1839" xr:uid="{00000000-0005-0000-0000-00000E210000}"/>
    <cellStyle name="Note 2 3 5 2" xfId="4068" xr:uid="{00000000-0005-0000-0000-00000F210000}"/>
    <cellStyle name="Note 2 3 5 2 2" xfId="8290" xr:uid="{00000000-0005-0000-0000-000010210000}"/>
    <cellStyle name="Note 2 3 5 2 2 2" xfId="26020" xr:uid="{40C8048F-7A04-490A-B69D-E46340E6068D}"/>
    <cellStyle name="Note 2 3 5 2 2 3" xfId="16740" xr:uid="{70218D3D-3733-4B96-8135-A2A159117288}"/>
    <cellStyle name="Note 2 3 5 2 3" xfId="21803" xr:uid="{AC47E02E-B422-48AB-9A76-48AB9872D993}"/>
    <cellStyle name="Note 2 3 5 2 4" xfId="12522" xr:uid="{C3A20A2E-0A25-43B9-A00A-6258D03F275D}"/>
    <cellStyle name="Note 2 3 5 3" xfId="6145" xr:uid="{00000000-0005-0000-0000-000011210000}"/>
    <cellStyle name="Note 2 3 5 3 2" xfId="23875" xr:uid="{7125DBEB-FD69-4944-BEDE-EE39888E46CF}"/>
    <cellStyle name="Note 2 3 5 3 3" xfId="14595" xr:uid="{EEE0201B-EBF0-4542-92DE-39F57213B053}"/>
    <cellStyle name="Note 2 3 5 4" xfId="19658" xr:uid="{67785D89-094B-4D26-8D88-5EC19FA6F383}"/>
    <cellStyle name="Note 2 3 5 5" xfId="10377" xr:uid="{93ADFACE-AB06-472D-972F-F7696461B358}"/>
    <cellStyle name="Note 2 3 6" xfId="2252" xr:uid="{00000000-0005-0000-0000-000012210000}"/>
    <cellStyle name="Note 2 3 6 2" xfId="4481" xr:uid="{00000000-0005-0000-0000-000013210000}"/>
    <cellStyle name="Note 2 3 6 2 2" xfId="8703" xr:uid="{00000000-0005-0000-0000-000014210000}"/>
    <cellStyle name="Note 2 3 6 2 2 2" xfId="26433" xr:uid="{ED073D71-E4DF-4FC5-996D-CA4FB5A5455B}"/>
    <cellStyle name="Note 2 3 6 2 2 3" xfId="17153" xr:uid="{6570B542-46E7-4970-9ACD-902B012AFAEE}"/>
    <cellStyle name="Note 2 3 6 2 3" xfId="22216" xr:uid="{0C44966B-937D-4E56-9296-DD1021046E1F}"/>
    <cellStyle name="Note 2 3 6 2 4" xfId="12935" xr:uid="{8E1E4014-7B41-4774-9073-E86EF8DA1EE9}"/>
    <cellStyle name="Note 2 3 6 3" xfId="6558" xr:uid="{00000000-0005-0000-0000-000015210000}"/>
    <cellStyle name="Note 2 3 6 3 2" xfId="24288" xr:uid="{79A4B142-295D-4A94-9667-AB55C3307007}"/>
    <cellStyle name="Note 2 3 6 3 3" xfId="15008" xr:uid="{7B4A9F29-5BB2-450E-BA91-FDF7B003C773}"/>
    <cellStyle name="Note 2 3 6 4" xfId="20071" xr:uid="{C56C616A-E6F4-425F-9E1A-EA9B32851E80}"/>
    <cellStyle name="Note 2 3 6 5" xfId="10790" xr:uid="{09BC02E0-A89B-4905-B407-2484AE6E8EF5}"/>
    <cellStyle name="Note 2 3 7" xfId="2688" xr:uid="{00000000-0005-0000-0000-000016210000}"/>
    <cellStyle name="Note 2 3 7 2" xfId="6971" xr:uid="{00000000-0005-0000-0000-000017210000}"/>
    <cellStyle name="Note 2 3 7 2 2" xfId="24701" xr:uid="{48200845-89C1-4DDF-AD11-BA8B7C7D0131}"/>
    <cellStyle name="Note 2 3 7 2 3" xfId="15421" xr:uid="{925DD801-5342-4DC2-B8D0-94A139A6BAC2}"/>
    <cellStyle name="Note 2 3 7 3" xfId="20484" xr:uid="{2704CF17-A06F-4D30-B7B5-6BAF2EED1023}"/>
    <cellStyle name="Note 2 3 7 4" xfId="11203" xr:uid="{AE0361C4-0806-4557-A7EA-4ACA706BC316}"/>
    <cellStyle name="Note 2 3 8" xfId="2747" xr:uid="{00000000-0005-0000-0000-000018210000}"/>
    <cellStyle name="Note 2 3 9" xfId="2828" xr:uid="{00000000-0005-0000-0000-000019210000}"/>
    <cellStyle name="Note 2 3 9 2" xfId="7051" xr:uid="{00000000-0005-0000-0000-00001A210000}"/>
    <cellStyle name="Note 2 3 9 2 2" xfId="24781" xr:uid="{FC775307-9823-4F4B-ACF0-36DE4A98FD52}"/>
    <cellStyle name="Note 2 3 9 2 3" xfId="15501" xr:uid="{D499BB6F-6089-4669-9E8E-67EA23F1D356}"/>
    <cellStyle name="Note 2 3 9 3" xfId="20564" xr:uid="{172372BB-B151-4926-83D0-F3A8AD9E6914}"/>
    <cellStyle name="Note 2 3 9 4" xfId="11283" xr:uid="{AAA6BDF4-5E05-4EC3-B27D-825FD0BA63F8}"/>
    <cellStyle name="Note 2 4" xfId="551" xr:uid="{00000000-0005-0000-0000-00001B210000}"/>
    <cellStyle name="Note 2 4 10" xfId="18421" xr:uid="{9FE9FC96-DF18-407E-ADFE-7A50183BEFAA}"/>
    <cellStyle name="Note 2 4 11" xfId="17587" xr:uid="{393EED90-0AE4-4AA3-AA4B-E72B96B43C43}"/>
    <cellStyle name="Note 2 4 12" xfId="9140" xr:uid="{0B7CAB44-4FA6-491E-998E-F5AA9A06BEE8}"/>
    <cellStyle name="Note 2 4 2" xfId="1012" xr:uid="{00000000-0005-0000-0000-00001C210000}"/>
    <cellStyle name="Note 2 4 2 2" xfId="3244" xr:uid="{00000000-0005-0000-0000-00001D210000}"/>
    <cellStyle name="Note 2 4 2 2 2" xfId="7466" xr:uid="{00000000-0005-0000-0000-00001E210000}"/>
    <cellStyle name="Note 2 4 2 2 2 2" xfId="25196" xr:uid="{DD14B261-1A8B-4B8F-BE9C-EC4747521F4F}"/>
    <cellStyle name="Note 2 4 2 2 2 3" xfId="15916" xr:uid="{226B6407-2B9C-4529-A7DA-FB0ECFB5D10D}"/>
    <cellStyle name="Note 2 4 2 2 3" xfId="20979" xr:uid="{5E645804-BD14-44B1-BB0D-948E3AEEB50C}"/>
    <cellStyle name="Note 2 4 2 2 4" xfId="11698" xr:uid="{6B4E2DF6-AEA5-4899-82BB-E40035F34FDF}"/>
    <cellStyle name="Note 2 4 2 3" xfId="5321" xr:uid="{00000000-0005-0000-0000-00001F210000}"/>
    <cellStyle name="Note 2 4 2 3 2" xfId="23051" xr:uid="{FC1FEB17-F163-4C82-99AD-89D8684600A3}"/>
    <cellStyle name="Note 2 4 2 3 3" xfId="13771" xr:uid="{F7CF2CCA-54D6-48D2-A35B-D05959A010E3}"/>
    <cellStyle name="Note 2 4 2 4" xfId="18834" xr:uid="{181A68E2-AD0B-4C26-AFBF-72A7EE964BD1}"/>
    <cellStyle name="Note 2 4 2 5" xfId="18006" xr:uid="{D70674DC-A989-4385-925A-7B0B7F7B1A77}"/>
    <cellStyle name="Note 2 4 2 6" xfId="9553" xr:uid="{8C3A823C-ECD9-4296-A677-F63CE2E01B10}"/>
    <cellStyle name="Note 2 4 3" xfId="1427" xr:uid="{00000000-0005-0000-0000-000020210000}"/>
    <cellStyle name="Note 2 4 3 2" xfId="3657" xr:uid="{00000000-0005-0000-0000-000021210000}"/>
    <cellStyle name="Note 2 4 3 2 2" xfId="7879" xr:uid="{00000000-0005-0000-0000-000022210000}"/>
    <cellStyle name="Note 2 4 3 2 2 2" xfId="25609" xr:uid="{8F29862F-691F-40A8-B52D-D028CD558BE6}"/>
    <cellStyle name="Note 2 4 3 2 2 3" xfId="16329" xr:uid="{4F1654DC-B519-4A19-AB78-0D2E1709F9B2}"/>
    <cellStyle name="Note 2 4 3 2 3" xfId="21392" xr:uid="{EC166EA9-0C45-4D6B-8F97-05DF91E771CE}"/>
    <cellStyle name="Note 2 4 3 2 4" xfId="12111" xr:uid="{6116DC5A-3585-473A-9E53-409EB6BC8B5D}"/>
    <cellStyle name="Note 2 4 3 3" xfId="5734" xr:uid="{00000000-0005-0000-0000-000023210000}"/>
    <cellStyle name="Note 2 4 3 3 2" xfId="23464" xr:uid="{4CE0F629-9A31-45B2-82E3-480A4773191D}"/>
    <cellStyle name="Note 2 4 3 3 3" xfId="14184" xr:uid="{99668B49-2774-4E51-B621-BA83FE6D6901}"/>
    <cellStyle name="Note 2 4 3 4" xfId="19247" xr:uid="{2703D1EF-2E21-41C8-9A0B-6A22EDFB412E}"/>
    <cellStyle name="Note 2 4 3 5" xfId="9966" xr:uid="{18AC5073-A547-49C5-96B3-58DA68A004A4}"/>
    <cellStyle name="Note 2 4 4" xfId="1841" xr:uid="{00000000-0005-0000-0000-000024210000}"/>
    <cellStyle name="Note 2 4 4 2" xfId="4070" xr:uid="{00000000-0005-0000-0000-000025210000}"/>
    <cellStyle name="Note 2 4 4 2 2" xfId="8292" xr:uid="{00000000-0005-0000-0000-000026210000}"/>
    <cellStyle name="Note 2 4 4 2 2 2" xfId="26022" xr:uid="{4BBE7681-7DEB-463E-B370-E5534A749C31}"/>
    <cellStyle name="Note 2 4 4 2 2 3" xfId="16742" xr:uid="{4ECFDB90-3701-46F2-AE4D-8F08385B698C}"/>
    <cellStyle name="Note 2 4 4 2 3" xfId="21805" xr:uid="{2888B0B7-BE71-43B2-853C-96646806222A}"/>
    <cellStyle name="Note 2 4 4 2 4" xfId="12524" xr:uid="{DE7AFB0A-2273-4E50-A0F3-2CE9FAB9E5F4}"/>
    <cellStyle name="Note 2 4 4 3" xfId="6147" xr:uid="{00000000-0005-0000-0000-000027210000}"/>
    <cellStyle name="Note 2 4 4 3 2" xfId="23877" xr:uid="{815A7D4E-F6FC-4902-AB91-89B6A03D46CC}"/>
    <cellStyle name="Note 2 4 4 3 3" xfId="14597" xr:uid="{0F706016-BED5-45B2-87D9-30054DDB7425}"/>
    <cellStyle name="Note 2 4 4 4" xfId="19660" xr:uid="{657548BC-8F65-4A99-A5D2-3A1B98F53466}"/>
    <cellStyle name="Note 2 4 4 5" xfId="10379" xr:uid="{4268163F-7CDC-4C0E-A845-2EC322D737A1}"/>
    <cellStyle name="Note 2 4 5" xfId="2254" xr:uid="{00000000-0005-0000-0000-000028210000}"/>
    <cellStyle name="Note 2 4 5 2" xfId="4483" xr:uid="{00000000-0005-0000-0000-000029210000}"/>
    <cellStyle name="Note 2 4 5 2 2" xfId="8705" xr:uid="{00000000-0005-0000-0000-00002A210000}"/>
    <cellStyle name="Note 2 4 5 2 2 2" xfId="26435" xr:uid="{7871F824-6023-4123-83C4-D755D2D6E7DD}"/>
    <cellStyle name="Note 2 4 5 2 2 3" xfId="17155" xr:uid="{F97A54D4-B6CE-4C85-BA08-571DA94AE745}"/>
    <cellStyle name="Note 2 4 5 2 3" xfId="22218" xr:uid="{28D98BB7-A415-4706-BD21-45155DF41E64}"/>
    <cellStyle name="Note 2 4 5 2 4" xfId="12937" xr:uid="{E6BB740E-1750-40C9-A852-C442D00F5EA2}"/>
    <cellStyle name="Note 2 4 5 3" xfId="6560" xr:uid="{00000000-0005-0000-0000-00002B210000}"/>
    <cellStyle name="Note 2 4 5 3 2" xfId="24290" xr:uid="{1D4B1C68-7D08-4BF1-9705-82CBDC4BE05E}"/>
    <cellStyle name="Note 2 4 5 3 3" xfId="15010" xr:uid="{16F2EF97-573F-46EE-8EED-02FC016922D8}"/>
    <cellStyle name="Note 2 4 5 4" xfId="20073" xr:uid="{3E920199-CC6D-449C-9C8E-0366E90B9B98}"/>
    <cellStyle name="Note 2 4 5 5" xfId="10792" xr:uid="{DCC6E715-1B15-4BD0-A367-E75906DED241}"/>
    <cellStyle name="Note 2 4 6" xfId="2690" xr:uid="{00000000-0005-0000-0000-00002C210000}"/>
    <cellStyle name="Note 2 4 6 2" xfId="6973" xr:uid="{00000000-0005-0000-0000-00002D210000}"/>
    <cellStyle name="Note 2 4 6 2 2" xfId="24703" xr:uid="{5B1F84CE-1180-4297-8871-5A20D74AF17B}"/>
    <cellStyle name="Note 2 4 6 2 3" xfId="15423" xr:uid="{E84032CF-0D88-48B5-A123-1085D7BAC224}"/>
    <cellStyle name="Note 2 4 6 3" xfId="20486" xr:uid="{0A14AFFC-7EB2-4451-BDEF-61C1668371DA}"/>
    <cellStyle name="Note 2 4 6 4" xfId="11205" xr:uid="{92627615-D979-47F6-8217-53A89508D4C7}"/>
    <cellStyle name="Note 2 4 7" xfId="2749" xr:uid="{00000000-0005-0000-0000-00002E210000}"/>
    <cellStyle name="Note 2 4 8" xfId="2830" xr:uid="{00000000-0005-0000-0000-00002F210000}"/>
    <cellStyle name="Note 2 4 8 2" xfId="7053" xr:uid="{00000000-0005-0000-0000-000030210000}"/>
    <cellStyle name="Note 2 4 8 2 2" xfId="24783" xr:uid="{B6FC07B8-A6FF-4275-9BA3-95B52947E29C}"/>
    <cellStyle name="Note 2 4 8 2 3" xfId="15503" xr:uid="{08612386-8D51-442B-B6E4-4630822B2F51}"/>
    <cellStyle name="Note 2 4 8 3" xfId="20566" xr:uid="{6DA96F6D-3FAD-463C-9B22-D8EB4093D408}"/>
    <cellStyle name="Note 2 4 8 4" xfId="11285" xr:uid="{A8EF0570-59A4-494D-B305-DCCB8DCA8CDE}"/>
    <cellStyle name="Note 2 4 9" xfId="4908" xr:uid="{00000000-0005-0000-0000-000031210000}"/>
    <cellStyle name="Note 2 4 9 2" xfId="22638" xr:uid="{E81F8D26-46A9-4F7E-96B6-B22B6CAE1BC1}"/>
    <cellStyle name="Note 2 4 9 3" xfId="13358" xr:uid="{B700EF42-9D7B-44DE-AF09-D48C1FC9E2BA}"/>
    <cellStyle name="Note 2 5" xfId="552" xr:uid="{00000000-0005-0000-0000-000032210000}"/>
    <cellStyle name="Note 2 5 10" xfId="18422" xr:uid="{1F7B326D-5080-42F9-8A0B-01AAC1654728}"/>
    <cellStyle name="Note 2 5 11" xfId="17588" xr:uid="{F3DD40A6-0F83-454E-8EA8-DE61A66CC0B4}"/>
    <cellStyle name="Note 2 5 12" xfId="9141" xr:uid="{52EA63A2-7C7E-40ED-8ACB-F19AFEE6C6B4}"/>
    <cellStyle name="Note 2 5 2" xfId="1013" xr:uid="{00000000-0005-0000-0000-000033210000}"/>
    <cellStyle name="Note 2 5 2 2" xfId="3245" xr:uid="{00000000-0005-0000-0000-000034210000}"/>
    <cellStyle name="Note 2 5 2 2 2" xfId="7467" xr:uid="{00000000-0005-0000-0000-000035210000}"/>
    <cellStyle name="Note 2 5 2 2 2 2" xfId="25197" xr:uid="{C1BE136A-0FF9-4D67-BCA2-9CF580405B5D}"/>
    <cellStyle name="Note 2 5 2 2 2 3" xfId="15917" xr:uid="{E9AC9A42-6D56-4B1A-AD09-BF8D474C2970}"/>
    <cellStyle name="Note 2 5 2 2 3" xfId="20980" xr:uid="{7D10BE5A-3069-4EFD-8446-EE8D016F4E2A}"/>
    <cellStyle name="Note 2 5 2 2 4" xfId="11699" xr:uid="{71E0A41F-8F7B-4F6C-96E8-ED2F3AD20599}"/>
    <cellStyle name="Note 2 5 2 3" xfId="5322" xr:uid="{00000000-0005-0000-0000-000036210000}"/>
    <cellStyle name="Note 2 5 2 3 2" xfId="23052" xr:uid="{AD0BA920-C5AE-4518-8920-EAA77D970A53}"/>
    <cellStyle name="Note 2 5 2 3 3" xfId="13772" xr:uid="{DD1BE176-F531-4755-8BD3-EB39070E18B0}"/>
    <cellStyle name="Note 2 5 2 4" xfId="18835" xr:uid="{CABB0ADD-DC9D-4A16-A6C8-C6CB5B092D30}"/>
    <cellStyle name="Note 2 5 2 5" xfId="18007" xr:uid="{9DA6B15A-7721-468C-A21D-01E9AB2A1CE5}"/>
    <cellStyle name="Note 2 5 2 6" xfId="9554" xr:uid="{648C3472-0514-4CAF-9424-91BA94C86778}"/>
    <cellStyle name="Note 2 5 3" xfId="1428" xr:uid="{00000000-0005-0000-0000-000037210000}"/>
    <cellStyle name="Note 2 5 3 2" xfId="3658" xr:uid="{00000000-0005-0000-0000-000038210000}"/>
    <cellStyle name="Note 2 5 3 2 2" xfId="7880" xr:uid="{00000000-0005-0000-0000-000039210000}"/>
    <cellStyle name="Note 2 5 3 2 2 2" xfId="25610" xr:uid="{AAD0625B-BC44-4F1C-9517-1DB17138F4EA}"/>
    <cellStyle name="Note 2 5 3 2 2 3" xfId="16330" xr:uid="{AF42524F-2D2A-4A77-828A-5BD18E4CC411}"/>
    <cellStyle name="Note 2 5 3 2 3" xfId="21393" xr:uid="{6E1ABC34-C589-45FA-BAC7-F22957137E36}"/>
    <cellStyle name="Note 2 5 3 2 4" xfId="12112" xr:uid="{259D2C7A-30F4-4069-BACB-0E0AF917DB26}"/>
    <cellStyle name="Note 2 5 3 3" xfId="5735" xr:uid="{00000000-0005-0000-0000-00003A210000}"/>
    <cellStyle name="Note 2 5 3 3 2" xfId="23465" xr:uid="{62E3501F-B575-42B8-9EF9-49A93D250CD2}"/>
    <cellStyle name="Note 2 5 3 3 3" xfId="14185" xr:uid="{097CD499-0BDB-4945-966B-77CE3E218612}"/>
    <cellStyle name="Note 2 5 3 4" xfId="19248" xr:uid="{BB7C3D71-7B4C-4A95-BA3A-B14A4DFB6A49}"/>
    <cellStyle name="Note 2 5 3 5" xfId="9967" xr:uid="{74746FB4-4428-4C15-9DA3-6772A76EBE68}"/>
    <cellStyle name="Note 2 5 4" xfId="1842" xr:uid="{00000000-0005-0000-0000-00003B210000}"/>
    <cellStyle name="Note 2 5 4 2" xfId="4071" xr:uid="{00000000-0005-0000-0000-00003C210000}"/>
    <cellStyle name="Note 2 5 4 2 2" xfId="8293" xr:uid="{00000000-0005-0000-0000-00003D210000}"/>
    <cellStyle name="Note 2 5 4 2 2 2" xfId="26023" xr:uid="{5901C39C-55C4-48C1-A1A8-D2BC3EC9F962}"/>
    <cellStyle name="Note 2 5 4 2 2 3" xfId="16743" xr:uid="{33BC02CE-5447-4C3D-9972-8BC5C5354549}"/>
    <cellStyle name="Note 2 5 4 2 3" xfId="21806" xr:uid="{013DABAC-5DF6-4DCB-9221-AC8AC699436A}"/>
    <cellStyle name="Note 2 5 4 2 4" xfId="12525" xr:uid="{039688AD-EB1A-4541-82A8-633B8800AE65}"/>
    <cellStyle name="Note 2 5 4 3" xfId="6148" xr:uid="{00000000-0005-0000-0000-00003E210000}"/>
    <cellStyle name="Note 2 5 4 3 2" xfId="23878" xr:uid="{A86502BF-562A-46A2-B086-34FB8FAEF108}"/>
    <cellStyle name="Note 2 5 4 3 3" xfId="14598" xr:uid="{2E51128D-B4FD-4EDE-8CA3-AFCFEF19A7BC}"/>
    <cellStyle name="Note 2 5 4 4" xfId="19661" xr:uid="{FC093078-4463-4EC4-A8E3-93B423CB2BEF}"/>
    <cellStyle name="Note 2 5 4 5" xfId="10380" xr:uid="{F303BF0F-6BDB-45D1-9D85-C98A24237BBD}"/>
    <cellStyle name="Note 2 5 5" xfId="2255" xr:uid="{00000000-0005-0000-0000-00003F210000}"/>
    <cellStyle name="Note 2 5 5 2" xfId="4484" xr:uid="{00000000-0005-0000-0000-000040210000}"/>
    <cellStyle name="Note 2 5 5 2 2" xfId="8706" xr:uid="{00000000-0005-0000-0000-000041210000}"/>
    <cellStyle name="Note 2 5 5 2 2 2" xfId="26436" xr:uid="{5E3AB8FC-4306-44CD-B5A1-17A8E7C63090}"/>
    <cellStyle name="Note 2 5 5 2 2 3" xfId="17156" xr:uid="{DD59320F-D04D-4C96-9E44-D1E13BB9D2BC}"/>
    <cellStyle name="Note 2 5 5 2 3" xfId="22219" xr:uid="{796F10B2-F532-418A-B155-24A04E0CF4DB}"/>
    <cellStyle name="Note 2 5 5 2 4" xfId="12938" xr:uid="{5E8742EE-69B1-47A3-86FF-AE027DEC3793}"/>
    <cellStyle name="Note 2 5 5 3" xfId="6561" xr:uid="{00000000-0005-0000-0000-000042210000}"/>
    <cellStyle name="Note 2 5 5 3 2" xfId="24291" xr:uid="{195D80CA-8BBE-475B-88AF-8DB05ACA1757}"/>
    <cellStyle name="Note 2 5 5 3 3" xfId="15011" xr:uid="{6A1AFA49-D4EE-4DA2-8327-22BB87E0B8BA}"/>
    <cellStyle name="Note 2 5 5 4" xfId="20074" xr:uid="{B1D273E8-5307-4EFC-A827-F97B99130A9E}"/>
    <cellStyle name="Note 2 5 5 5" xfId="10793" xr:uid="{0290ACE2-8173-4B0D-83CE-2906F8C15174}"/>
    <cellStyle name="Note 2 5 6" xfId="2691" xr:uid="{00000000-0005-0000-0000-000043210000}"/>
    <cellStyle name="Note 2 5 6 2" xfId="6974" xr:uid="{00000000-0005-0000-0000-000044210000}"/>
    <cellStyle name="Note 2 5 6 2 2" xfId="24704" xr:uid="{93AA5402-C0A7-41F9-9865-2B37523E7D69}"/>
    <cellStyle name="Note 2 5 6 2 3" xfId="15424" xr:uid="{252AC395-D1A9-42F1-8ECE-386D965F66BF}"/>
    <cellStyle name="Note 2 5 6 3" xfId="20487" xr:uid="{2D1F66BA-069C-4621-A0DB-BFD912C3482E}"/>
    <cellStyle name="Note 2 5 6 4" xfId="11206" xr:uid="{55C9F181-163A-437B-90B2-A7D74FAF764E}"/>
    <cellStyle name="Note 2 5 7" xfId="2750" xr:uid="{00000000-0005-0000-0000-000045210000}"/>
    <cellStyle name="Note 2 5 8" xfId="2831" xr:uid="{00000000-0005-0000-0000-000046210000}"/>
    <cellStyle name="Note 2 5 8 2" xfId="7054" xr:uid="{00000000-0005-0000-0000-000047210000}"/>
    <cellStyle name="Note 2 5 8 2 2" xfId="24784" xr:uid="{E3DD9458-32AE-42E6-BB87-BC97C5B04D93}"/>
    <cellStyle name="Note 2 5 8 2 3" xfId="15504" xr:uid="{45A3D9A1-9C56-4A4E-BCA7-2CE16620B1DB}"/>
    <cellStyle name="Note 2 5 8 3" xfId="20567" xr:uid="{7EAE86D5-7EA0-46D0-9EEC-65D370FA33BA}"/>
    <cellStyle name="Note 2 5 8 4" xfId="11286" xr:uid="{3628160F-D878-4D0A-9E80-32C22D3E6FC5}"/>
    <cellStyle name="Note 2 5 9" xfId="4909" xr:uid="{00000000-0005-0000-0000-000048210000}"/>
    <cellStyle name="Note 2 5 9 2" xfId="22639" xr:uid="{C0824674-261A-45AF-BC68-073EE60745A7}"/>
    <cellStyle name="Note 2 5 9 3" xfId="13359" xr:uid="{5CB2B8C7-A8AE-4728-9AB9-80BC1CD7B9D8}"/>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24785" xr:uid="{51C5BAAB-36BF-4327-A8F9-E9D1274504CC}"/>
    <cellStyle name="Note 3 2 10 2 3" xfId="15505" xr:uid="{40FEB25B-D4B2-46E4-BB0D-038C5CC33B9C}"/>
    <cellStyle name="Note 3 2 10 3" xfId="20568" xr:uid="{B0A57769-B6AF-40EB-99E4-9E5E1CA48BCF}"/>
    <cellStyle name="Note 3 2 10 4" xfId="11287" xr:uid="{29837DF1-EEF7-474C-9E9B-33B1EF99BD23}"/>
    <cellStyle name="Note 3 2 11" xfId="4910" xr:uid="{00000000-0005-0000-0000-00004D210000}"/>
    <cellStyle name="Note 3 2 11 2" xfId="22640" xr:uid="{27B1B452-833B-4A8C-95E7-46AFA8C4F2FE}"/>
    <cellStyle name="Note 3 2 11 3" xfId="13360" xr:uid="{2906E696-C406-40B9-81D0-7BD2DB4BBE59}"/>
    <cellStyle name="Note 3 2 12" xfId="18423" xr:uid="{F54F0080-C6FA-4A9F-B2FF-90A416F38B27}"/>
    <cellStyle name="Note 3 2 13" xfId="17589" xr:uid="{F2A10DCE-1E8B-464C-A1EC-07582F9BFFF2}"/>
    <cellStyle name="Note 3 2 14" xfId="9142" xr:uid="{CD0810FD-5C16-4538-99AF-98A90C7EAD1F}"/>
    <cellStyle name="Note 3 2 2" xfId="555" xr:uid="{00000000-0005-0000-0000-00004E210000}"/>
    <cellStyle name="Note 3 2 2 10" xfId="4911" xr:uid="{00000000-0005-0000-0000-00004F210000}"/>
    <cellStyle name="Note 3 2 2 10 2" xfId="22641" xr:uid="{337BA35F-D64C-4F68-A870-24DB60E2410C}"/>
    <cellStyle name="Note 3 2 2 10 3" xfId="13361" xr:uid="{749734E8-A279-459A-87EE-15DA8C3637D0}"/>
    <cellStyle name="Note 3 2 2 11" xfId="18424" xr:uid="{B2ACB8F8-C82A-4C48-A72A-7C3A4E364F39}"/>
    <cellStyle name="Note 3 2 2 12" xfId="17590" xr:uid="{9542E0F0-C201-42CD-9D99-DB11C97405C9}"/>
    <cellStyle name="Note 3 2 2 13" xfId="9143" xr:uid="{38A048E4-A554-4C00-9C8D-848F19023A05}"/>
    <cellStyle name="Note 3 2 2 2" xfId="556" xr:uid="{00000000-0005-0000-0000-000050210000}"/>
    <cellStyle name="Note 3 2 2 2 10" xfId="18425" xr:uid="{200DF5E0-0DB6-45CD-9E42-6EB11DF58324}"/>
    <cellStyle name="Note 3 2 2 2 11" xfId="17591" xr:uid="{D4ADB787-AC08-4D5E-A689-7D5C82E74FE2}"/>
    <cellStyle name="Note 3 2 2 2 12" xfId="9144" xr:uid="{036EDB2D-5127-49AF-9AC2-AF65767F59F7}"/>
    <cellStyle name="Note 3 2 2 2 2" xfId="1016" xr:uid="{00000000-0005-0000-0000-000051210000}"/>
    <cellStyle name="Note 3 2 2 2 2 2" xfId="3248" xr:uid="{00000000-0005-0000-0000-000052210000}"/>
    <cellStyle name="Note 3 2 2 2 2 2 2" xfId="7470" xr:uid="{00000000-0005-0000-0000-000053210000}"/>
    <cellStyle name="Note 3 2 2 2 2 2 2 2" xfId="25200" xr:uid="{8238937A-A2FB-473F-B29C-76AAA0B4A583}"/>
    <cellStyle name="Note 3 2 2 2 2 2 2 3" xfId="15920" xr:uid="{5B891E4F-B2B4-4AFA-AE9B-9DBD73476EAB}"/>
    <cellStyle name="Note 3 2 2 2 2 2 3" xfId="20983" xr:uid="{1A6AA572-CC9E-4FB1-845E-CBC4D5892352}"/>
    <cellStyle name="Note 3 2 2 2 2 2 4" xfId="11702" xr:uid="{0557855A-8E85-45B9-B36E-9AC8593ADD08}"/>
    <cellStyle name="Note 3 2 2 2 2 3" xfId="5325" xr:uid="{00000000-0005-0000-0000-000054210000}"/>
    <cellStyle name="Note 3 2 2 2 2 3 2" xfId="23055" xr:uid="{2A5C0D23-7061-492E-AAD5-E70173C5B68D}"/>
    <cellStyle name="Note 3 2 2 2 2 3 3" xfId="13775" xr:uid="{5AED1E46-AF76-48A8-8CE7-7953D4C0C4AF}"/>
    <cellStyle name="Note 3 2 2 2 2 4" xfId="18838" xr:uid="{920797BF-19E6-4DDE-A424-7BC04F6259DE}"/>
    <cellStyle name="Note 3 2 2 2 2 5" xfId="18010" xr:uid="{ABED76BF-3B87-4347-970E-96A492138E19}"/>
    <cellStyle name="Note 3 2 2 2 2 6" xfId="9557" xr:uid="{AAA1698C-FE30-4174-9B99-1CB30784D6C8}"/>
    <cellStyle name="Note 3 2 2 2 3" xfId="1431" xr:uid="{00000000-0005-0000-0000-000055210000}"/>
    <cellStyle name="Note 3 2 2 2 3 2" xfId="3661" xr:uid="{00000000-0005-0000-0000-000056210000}"/>
    <cellStyle name="Note 3 2 2 2 3 2 2" xfId="7883" xr:uid="{00000000-0005-0000-0000-000057210000}"/>
    <cellStyle name="Note 3 2 2 2 3 2 2 2" xfId="25613" xr:uid="{041023B1-1BD9-491D-AD0C-E34CDD55AD98}"/>
    <cellStyle name="Note 3 2 2 2 3 2 2 3" xfId="16333" xr:uid="{9DF63527-ABEE-45D6-954B-DFD83A0A6561}"/>
    <cellStyle name="Note 3 2 2 2 3 2 3" xfId="21396" xr:uid="{064F2E85-EDE6-41C9-8603-9A687CFA0ED3}"/>
    <cellStyle name="Note 3 2 2 2 3 2 4" xfId="12115" xr:uid="{EB020539-3B65-4C8F-909C-4E6629E53C65}"/>
    <cellStyle name="Note 3 2 2 2 3 3" xfId="5738" xr:uid="{00000000-0005-0000-0000-000058210000}"/>
    <cellStyle name="Note 3 2 2 2 3 3 2" xfId="23468" xr:uid="{B1955822-CAB3-418B-88DA-BB00B8A0622F}"/>
    <cellStyle name="Note 3 2 2 2 3 3 3" xfId="14188" xr:uid="{E83CB418-41CB-45C5-8F34-20104120C43E}"/>
    <cellStyle name="Note 3 2 2 2 3 4" xfId="19251" xr:uid="{83D054FB-9A45-467E-9DA2-A11B8594B42D}"/>
    <cellStyle name="Note 3 2 2 2 3 5" xfId="9970" xr:uid="{4152F82E-4786-4AD6-8FF6-58932D2D539B}"/>
    <cellStyle name="Note 3 2 2 2 4" xfId="1845" xr:uid="{00000000-0005-0000-0000-000059210000}"/>
    <cellStyle name="Note 3 2 2 2 4 2" xfId="4074" xr:uid="{00000000-0005-0000-0000-00005A210000}"/>
    <cellStyle name="Note 3 2 2 2 4 2 2" xfId="8296" xr:uid="{00000000-0005-0000-0000-00005B210000}"/>
    <cellStyle name="Note 3 2 2 2 4 2 2 2" xfId="26026" xr:uid="{6E99342A-4EC8-46A7-A9F6-FB85E52E7CB1}"/>
    <cellStyle name="Note 3 2 2 2 4 2 2 3" xfId="16746" xr:uid="{35A785B1-E6F3-4E6F-8E61-5ACA171ED2A0}"/>
    <cellStyle name="Note 3 2 2 2 4 2 3" xfId="21809" xr:uid="{472FB53D-EEC6-47DE-90E2-BEE895F08620}"/>
    <cellStyle name="Note 3 2 2 2 4 2 4" xfId="12528" xr:uid="{357C2347-7A41-4457-8563-63E6C0474B03}"/>
    <cellStyle name="Note 3 2 2 2 4 3" xfId="6151" xr:uid="{00000000-0005-0000-0000-00005C210000}"/>
    <cellStyle name="Note 3 2 2 2 4 3 2" xfId="23881" xr:uid="{2493CF1D-E5F2-464C-B301-C0BCBCCE09E7}"/>
    <cellStyle name="Note 3 2 2 2 4 3 3" xfId="14601" xr:uid="{8BAD10A3-45CB-44C8-BF9A-64019123FBC3}"/>
    <cellStyle name="Note 3 2 2 2 4 4" xfId="19664" xr:uid="{289CD3FC-744A-4D9E-9A97-9EC1C5D4E62C}"/>
    <cellStyle name="Note 3 2 2 2 4 5" xfId="10383" xr:uid="{02A48868-4778-4E9C-AA4D-E629FC662FAF}"/>
    <cellStyle name="Note 3 2 2 2 5" xfId="2258" xr:uid="{00000000-0005-0000-0000-00005D210000}"/>
    <cellStyle name="Note 3 2 2 2 5 2" xfId="4487" xr:uid="{00000000-0005-0000-0000-00005E210000}"/>
    <cellStyle name="Note 3 2 2 2 5 2 2" xfId="8709" xr:uid="{00000000-0005-0000-0000-00005F210000}"/>
    <cellStyle name="Note 3 2 2 2 5 2 2 2" xfId="26439" xr:uid="{A3AF4755-3349-4D96-8F23-F4B1BBEE3981}"/>
    <cellStyle name="Note 3 2 2 2 5 2 2 3" xfId="17159" xr:uid="{F293C7C6-A362-4942-9F3B-4880225FCB61}"/>
    <cellStyle name="Note 3 2 2 2 5 2 3" xfId="22222" xr:uid="{B7352A9F-7313-460A-87F6-D0772BA06DAC}"/>
    <cellStyle name="Note 3 2 2 2 5 2 4" xfId="12941" xr:uid="{D0B49B09-727D-49A1-AA9F-35687A0665F2}"/>
    <cellStyle name="Note 3 2 2 2 5 3" xfId="6564" xr:uid="{00000000-0005-0000-0000-000060210000}"/>
    <cellStyle name="Note 3 2 2 2 5 3 2" xfId="24294" xr:uid="{D71CFA0C-D72E-4134-B26A-0A30FAF1920F}"/>
    <cellStyle name="Note 3 2 2 2 5 3 3" xfId="15014" xr:uid="{B20BFB81-6482-49D9-8949-E0885FB7B716}"/>
    <cellStyle name="Note 3 2 2 2 5 4" xfId="20077" xr:uid="{AE929E80-3719-459E-8C8C-F3698A50425A}"/>
    <cellStyle name="Note 3 2 2 2 5 5" xfId="10796" xr:uid="{7DE5CE46-0FE7-4C01-B29C-219717B083E2}"/>
    <cellStyle name="Note 3 2 2 2 6" xfId="2694" xr:uid="{00000000-0005-0000-0000-000061210000}"/>
    <cellStyle name="Note 3 2 2 2 6 2" xfId="6977" xr:uid="{00000000-0005-0000-0000-000062210000}"/>
    <cellStyle name="Note 3 2 2 2 6 2 2" xfId="24707" xr:uid="{2684860E-6668-4D6C-B857-5CDDF475CBED}"/>
    <cellStyle name="Note 3 2 2 2 6 2 3" xfId="15427" xr:uid="{F329618A-C5C4-49D1-BD43-AA9B66C09506}"/>
    <cellStyle name="Note 3 2 2 2 6 3" xfId="20490" xr:uid="{1C7DE6A5-E429-4C1F-81D9-CC4771FB9E46}"/>
    <cellStyle name="Note 3 2 2 2 6 4" xfId="11209" xr:uid="{16C2A4EC-F8EF-4117-BD09-F0E6B042C13E}"/>
    <cellStyle name="Note 3 2 2 2 7" xfId="2753" xr:uid="{00000000-0005-0000-0000-000063210000}"/>
    <cellStyle name="Note 3 2 2 2 8" xfId="2834" xr:uid="{00000000-0005-0000-0000-000064210000}"/>
    <cellStyle name="Note 3 2 2 2 8 2" xfId="7057" xr:uid="{00000000-0005-0000-0000-000065210000}"/>
    <cellStyle name="Note 3 2 2 2 8 2 2" xfId="24787" xr:uid="{383952F3-3646-43C7-A1A7-D0C550DEF60E}"/>
    <cellStyle name="Note 3 2 2 2 8 2 3" xfId="15507" xr:uid="{39846DCF-84F5-4229-9208-F8E799A02AE5}"/>
    <cellStyle name="Note 3 2 2 2 8 3" xfId="20570" xr:uid="{E688E55E-B243-419F-ABCF-A0AAF13A4F04}"/>
    <cellStyle name="Note 3 2 2 2 8 4" xfId="11289" xr:uid="{306009D2-C93A-40B4-BCD3-BCC423C7E08A}"/>
    <cellStyle name="Note 3 2 2 2 9" xfId="4912" xr:uid="{00000000-0005-0000-0000-000066210000}"/>
    <cellStyle name="Note 3 2 2 2 9 2" xfId="22642" xr:uid="{4FF1C44B-5DFA-4302-B0F1-3A9097C89287}"/>
    <cellStyle name="Note 3 2 2 2 9 3" xfId="13362" xr:uid="{0EB35C15-A06D-424A-9F4D-DEC7848D43E7}"/>
    <cellStyle name="Note 3 2 2 3" xfId="1015" xr:uid="{00000000-0005-0000-0000-000067210000}"/>
    <cellStyle name="Note 3 2 2 3 2" xfId="3247" xr:uid="{00000000-0005-0000-0000-000068210000}"/>
    <cellStyle name="Note 3 2 2 3 2 2" xfId="7469" xr:uid="{00000000-0005-0000-0000-000069210000}"/>
    <cellStyle name="Note 3 2 2 3 2 2 2" xfId="25199" xr:uid="{3E9D7D70-3181-4355-A6DF-75E831AB43F2}"/>
    <cellStyle name="Note 3 2 2 3 2 2 3" xfId="15919" xr:uid="{A8172152-D5C1-4608-9C17-81D529395496}"/>
    <cellStyle name="Note 3 2 2 3 2 3" xfId="20982" xr:uid="{8668EE9F-77F3-42FC-9E7D-E476F06F50EF}"/>
    <cellStyle name="Note 3 2 2 3 2 4" xfId="11701" xr:uid="{B5C15ACC-A849-400D-968E-E137A21B1734}"/>
    <cellStyle name="Note 3 2 2 3 3" xfId="5324" xr:uid="{00000000-0005-0000-0000-00006A210000}"/>
    <cellStyle name="Note 3 2 2 3 3 2" xfId="23054" xr:uid="{B83C7F52-C001-4926-82CC-B6D7828EF87C}"/>
    <cellStyle name="Note 3 2 2 3 3 3" xfId="13774" xr:uid="{80DFCDDA-6E1A-4CA6-8A37-26C0D968D7ED}"/>
    <cellStyle name="Note 3 2 2 3 4" xfId="18837" xr:uid="{7D98E23F-CA8E-4E6E-9933-F4915D956F06}"/>
    <cellStyle name="Note 3 2 2 3 5" xfId="18009" xr:uid="{F186F67E-E341-4383-95F8-944F4DC3C8E9}"/>
    <cellStyle name="Note 3 2 2 3 6" xfId="9556" xr:uid="{A3624AD9-D88C-44C1-9951-AF6F9F935ADA}"/>
    <cellStyle name="Note 3 2 2 4" xfId="1430" xr:uid="{00000000-0005-0000-0000-00006B210000}"/>
    <cellStyle name="Note 3 2 2 4 2" xfId="3660" xr:uid="{00000000-0005-0000-0000-00006C210000}"/>
    <cellStyle name="Note 3 2 2 4 2 2" xfId="7882" xr:uid="{00000000-0005-0000-0000-00006D210000}"/>
    <cellStyle name="Note 3 2 2 4 2 2 2" xfId="25612" xr:uid="{456FCAFB-3678-453F-AC9F-A01B4DC57179}"/>
    <cellStyle name="Note 3 2 2 4 2 2 3" xfId="16332" xr:uid="{8EF108A1-024C-4420-BD22-CCFA8F45CE48}"/>
    <cellStyle name="Note 3 2 2 4 2 3" xfId="21395" xr:uid="{1DEBFAEA-D78E-4CBA-B0C3-9DBC8A543A6A}"/>
    <cellStyle name="Note 3 2 2 4 2 4" xfId="12114" xr:uid="{A3EC6C9A-D2A2-49AC-A2B9-152CA1B733CA}"/>
    <cellStyle name="Note 3 2 2 4 3" xfId="5737" xr:uid="{00000000-0005-0000-0000-00006E210000}"/>
    <cellStyle name="Note 3 2 2 4 3 2" xfId="23467" xr:uid="{66A2687D-5482-4D8E-B6CB-F92BBBDBA6E1}"/>
    <cellStyle name="Note 3 2 2 4 3 3" xfId="14187" xr:uid="{8C4485EF-D7D1-479B-86BC-A230AB71729A}"/>
    <cellStyle name="Note 3 2 2 4 4" xfId="19250" xr:uid="{B62018EC-BF32-4AF4-A82D-FC979AE42170}"/>
    <cellStyle name="Note 3 2 2 4 5" xfId="9969" xr:uid="{365449D1-10CC-4490-8208-57B5CE818FDA}"/>
    <cellStyle name="Note 3 2 2 5" xfId="1844" xr:uid="{00000000-0005-0000-0000-00006F210000}"/>
    <cellStyle name="Note 3 2 2 5 2" xfId="4073" xr:uid="{00000000-0005-0000-0000-000070210000}"/>
    <cellStyle name="Note 3 2 2 5 2 2" xfId="8295" xr:uid="{00000000-0005-0000-0000-000071210000}"/>
    <cellStyle name="Note 3 2 2 5 2 2 2" xfId="26025" xr:uid="{0499DE3B-AC3C-4537-B8CA-92619C7B0882}"/>
    <cellStyle name="Note 3 2 2 5 2 2 3" xfId="16745" xr:uid="{C86DDC00-3277-4278-A4DA-76E016A7C2FC}"/>
    <cellStyle name="Note 3 2 2 5 2 3" xfId="21808" xr:uid="{DB7A47F7-F9DD-4B64-8246-DB2E4112055C}"/>
    <cellStyle name="Note 3 2 2 5 2 4" xfId="12527" xr:uid="{D56A5699-001A-4EA0-95BE-1D9853F49916}"/>
    <cellStyle name="Note 3 2 2 5 3" xfId="6150" xr:uid="{00000000-0005-0000-0000-000072210000}"/>
    <cellStyle name="Note 3 2 2 5 3 2" xfId="23880" xr:uid="{E12BCDD8-F138-40FA-A8F1-CF5B1B869BBC}"/>
    <cellStyle name="Note 3 2 2 5 3 3" xfId="14600" xr:uid="{E2AABC67-E141-4EEC-8BA9-D92698673ED3}"/>
    <cellStyle name="Note 3 2 2 5 4" xfId="19663" xr:uid="{3BEE3671-4DFC-4BDB-B8BC-702E2FE2C3CC}"/>
    <cellStyle name="Note 3 2 2 5 5" xfId="10382" xr:uid="{87114928-5702-44C0-BA08-54652F0933F9}"/>
    <cellStyle name="Note 3 2 2 6" xfId="2257" xr:uid="{00000000-0005-0000-0000-000073210000}"/>
    <cellStyle name="Note 3 2 2 6 2" xfId="4486" xr:uid="{00000000-0005-0000-0000-000074210000}"/>
    <cellStyle name="Note 3 2 2 6 2 2" xfId="8708" xr:uid="{00000000-0005-0000-0000-000075210000}"/>
    <cellStyle name="Note 3 2 2 6 2 2 2" xfId="26438" xr:uid="{E6B30A5D-6880-4D8B-BB34-5D2B6875FB61}"/>
    <cellStyle name="Note 3 2 2 6 2 2 3" xfId="17158" xr:uid="{F6547A46-F43D-4D09-BE98-F12CC4604DB5}"/>
    <cellStyle name="Note 3 2 2 6 2 3" xfId="22221" xr:uid="{033B03BE-CDFF-4B11-89DC-B4727F73779E}"/>
    <cellStyle name="Note 3 2 2 6 2 4" xfId="12940" xr:uid="{55015921-6037-42EB-B1E4-B4BB2B686594}"/>
    <cellStyle name="Note 3 2 2 6 3" xfId="6563" xr:uid="{00000000-0005-0000-0000-000076210000}"/>
    <cellStyle name="Note 3 2 2 6 3 2" xfId="24293" xr:uid="{3FA967EC-3991-4C58-971D-42DACF2E8033}"/>
    <cellStyle name="Note 3 2 2 6 3 3" xfId="15013" xr:uid="{8AD713E0-D8D6-4058-98B4-2BEDC275EC23}"/>
    <cellStyle name="Note 3 2 2 6 4" xfId="20076" xr:uid="{E1F76879-6FA6-46CA-B6B9-A24308D57428}"/>
    <cellStyle name="Note 3 2 2 6 5" xfId="10795" xr:uid="{06850CD3-3C94-48E3-A7F2-6B3E61D1A8D6}"/>
    <cellStyle name="Note 3 2 2 7" xfId="2693" xr:uid="{00000000-0005-0000-0000-000077210000}"/>
    <cellStyle name="Note 3 2 2 7 2" xfId="6976" xr:uid="{00000000-0005-0000-0000-000078210000}"/>
    <cellStyle name="Note 3 2 2 7 2 2" xfId="24706" xr:uid="{594B74B6-753F-4324-B23E-091DD078ABDD}"/>
    <cellStyle name="Note 3 2 2 7 2 3" xfId="15426" xr:uid="{96073580-76BF-437A-A51C-A86EA3C3D638}"/>
    <cellStyle name="Note 3 2 2 7 3" xfId="20489" xr:uid="{17A3EE4F-192E-45B5-8C8B-52C4DFE6A1A6}"/>
    <cellStyle name="Note 3 2 2 7 4" xfId="11208" xr:uid="{EEA83F5D-55C4-4206-AC51-2FFBEE176881}"/>
    <cellStyle name="Note 3 2 2 8" xfId="2752" xr:uid="{00000000-0005-0000-0000-000079210000}"/>
    <cellStyle name="Note 3 2 2 9" xfId="2833" xr:uid="{00000000-0005-0000-0000-00007A210000}"/>
    <cellStyle name="Note 3 2 2 9 2" xfId="7056" xr:uid="{00000000-0005-0000-0000-00007B210000}"/>
    <cellStyle name="Note 3 2 2 9 2 2" xfId="24786" xr:uid="{CAF2FEE7-C30F-4C96-9C83-A1AE44EF7A2E}"/>
    <cellStyle name="Note 3 2 2 9 2 3" xfId="15506" xr:uid="{E8EB4A0A-A20B-48DB-9CE7-AC69474CBD11}"/>
    <cellStyle name="Note 3 2 2 9 3" xfId="20569" xr:uid="{3B8A4360-0A89-42EA-8707-852C3FED306D}"/>
    <cellStyle name="Note 3 2 2 9 4" xfId="11288" xr:uid="{ECBDE6D4-2575-436C-844E-10DB168F56AE}"/>
    <cellStyle name="Note 3 2 3" xfId="557" xr:uid="{00000000-0005-0000-0000-00007C210000}"/>
    <cellStyle name="Note 3 2 3 10" xfId="18426" xr:uid="{15B5864D-A00C-43D9-90B0-A01462D95CFE}"/>
    <cellStyle name="Note 3 2 3 11" xfId="17592" xr:uid="{EA73E08E-E4CB-4A5F-8392-C6A1BE3A9727}"/>
    <cellStyle name="Note 3 2 3 12" xfId="9145" xr:uid="{7B3F3279-D311-4525-A6BB-6A669F72F49E}"/>
    <cellStyle name="Note 3 2 3 2" xfId="1017" xr:uid="{00000000-0005-0000-0000-00007D210000}"/>
    <cellStyle name="Note 3 2 3 2 2" xfId="3249" xr:uid="{00000000-0005-0000-0000-00007E210000}"/>
    <cellStyle name="Note 3 2 3 2 2 2" xfId="7471" xr:uid="{00000000-0005-0000-0000-00007F210000}"/>
    <cellStyle name="Note 3 2 3 2 2 2 2" xfId="25201" xr:uid="{2814C94E-E116-4E01-B26F-92719CF7A655}"/>
    <cellStyle name="Note 3 2 3 2 2 2 3" xfId="15921" xr:uid="{C6357ED8-4C88-4782-8AA0-A4B4D895578D}"/>
    <cellStyle name="Note 3 2 3 2 2 3" xfId="20984" xr:uid="{E90F32E8-5E3C-4988-9E57-2DEB0CCB1F4E}"/>
    <cellStyle name="Note 3 2 3 2 2 4" xfId="11703" xr:uid="{43616195-E458-450E-87BF-E0FD4E5C9F28}"/>
    <cellStyle name="Note 3 2 3 2 3" xfId="5326" xr:uid="{00000000-0005-0000-0000-000080210000}"/>
    <cellStyle name="Note 3 2 3 2 3 2" xfId="23056" xr:uid="{D3939D5B-4D33-445A-95C7-0FB91D63146A}"/>
    <cellStyle name="Note 3 2 3 2 3 3" xfId="13776" xr:uid="{38BF2C2B-2DFA-4B14-A384-6E5AD4AE566C}"/>
    <cellStyle name="Note 3 2 3 2 4" xfId="18839" xr:uid="{71A3443E-EEFC-4A40-A075-7572BFCFAC78}"/>
    <cellStyle name="Note 3 2 3 2 5" xfId="18011" xr:uid="{C066B6D3-840F-4B89-87B7-7ED7600CF885}"/>
    <cellStyle name="Note 3 2 3 2 6" xfId="9558" xr:uid="{331FE4BA-2BA5-44A7-8C21-151239E358F8}"/>
    <cellStyle name="Note 3 2 3 3" xfId="1432" xr:uid="{00000000-0005-0000-0000-000081210000}"/>
    <cellStyle name="Note 3 2 3 3 2" xfId="3662" xr:uid="{00000000-0005-0000-0000-000082210000}"/>
    <cellStyle name="Note 3 2 3 3 2 2" xfId="7884" xr:uid="{00000000-0005-0000-0000-000083210000}"/>
    <cellStyle name="Note 3 2 3 3 2 2 2" xfId="25614" xr:uid="{143BC81E-70AD-48E4-8E51-A7099A8C0C43}"/>
    <cellStyle name="Note 3 2 3 3 2 2 3" xfId="16334" xr:uid="{AA7B2753-70F0-46D6-84CC-0B2BC5955282}"/>
    <cellStyle name="Note 3 2 3 3 2 3" xfId="21397" xr:uid="{268BDFFE-D1F6-4A2C-8832-9AA72EDF3DD8}"/>
    <cellStyle name="Note 3 2 3 3 2 4" xfId="12116" xr:uid="{3499A1DE-13F0-4611-A31F-EC9D03ED2DFE}"/>
    <cellStyle name="Note 3 2 3 3 3" xfId="5739" xr:uid="{00000000-0005-0000-0000-000084210000}"/>
    <cellStyle name="Note 3 2 3 3 3 2" xfId="23469" xr:uid="{1B9D60FF-719B-426C-9C64-26031DDEA72E}"/>
    <cellStyle name="Note 3 2 3 3 3 3" xfId="14189" xr:uid="{87A9A7CB-815F-4FBD-BD8D-BFFAFAFA0CF0}"/>
    <cellStyle name="Note 3 2 3 3 4" xfId="19252" xr:uid="{6CB7773A-DA93-434D-8520-851C717F5FCE}"/>
    <cellStyle name="Note 3 2 3 3 5" xfId="9971" xr:uid="{BA23C2D4-4ABF-46B8-88F9-3CE31B8B73FC}"/>
    <cellStyle name="Note 3 2 3 4" xfId="1846" xr:uid="{00000000-0005-0000-0000-000085210000}"/>
    <cellStyle name="Note 3 2 3 4 2" xfId="4075" xr:uid="{00000000-0005-0000-0000-000086210000}"/>
    <cellStyle name="Note 3 2 3 4 2 2" xfId="8297" xr:uid="{00000000-0005-0000-0000-000087210000}"/>
    <cellStyle name="Note 3 2 3 4 2 2 2" xfId="26027" xr:uid="{BA30DC0B-6AEC-4C49-94E7-C637E7C4D826}"/>
    <cellStyle name="Note 3 2 3 4 2 2 3" xfId="16747" xr:uid="{320E4D8E-6E96-4DBE-91B0-4CD277A6470F}"/>
    <cellStyle name="Note 3 2 3 4 2 3" xfId="21810" xr:uid="{B5DB8590-2612-4556-A0D9-483809680464}"/>
    <cellStyle name="Note 3 2 3 4 2 4" xfId="12529" xr:uid="{A507A4A7-53A8-4339-A0FE-D1B8B3301648}"/>
    <cellStyle name="Note 3 2 3 4 3" xfId="6152" xr:uid="{00000000-0005-0000-0000-000088210000}"/>
    <cellStyle name="Note 3 2 3 4 3 2" xfId="23882" xr:uid="{A62E17E6-A412-49A1-8AED-D08FBA4ED248}"/>
    <cellStyle name="Note 3 2 3 4 3 3" xfId="14602" xr:uid="{A21B765A-6E2A-49F6-9C4E-AC1AAC41118A}"/>
    <cellStyle name="Note 3 2 3 4 4" xfId="19665" xr:uid="{ED70EFE4-3908-4EDC-95E0-43A075E1E21A}"/>
    <cellStyle name="Note 3 2 3 4 5" xfId="10384" xr:uid="{8E5D2D67-4B13-4108-A41F-B7108DDD1882}"/>
    <cellStyle name="Note 3 2 3 5" xfId="2259" xr:uid="{00000000-0005-0000-0000-000089210000}"/>
    <cellStyle name="Note 3 2 3 5 2" xfId="4488" xr:uid="{00000000-0005-0000-0000-00008A210000}"/>
    <cellStyle name="Note 3 2 3 5 2 2" xfId="8710" xr:uid="{00000000-0005-0000-0000-00008B210000}"/>
    <cellStyle name="Note 3 2 3 5 2 2 2" xfId="26440" xr:uid="{D9398BB1-AE77-4063-A500-E10140A53664}"/>
    <cellStyle name="Note 3 2 3 5 2 2 3" xfId="17160" xr:uid="{5CC06201-B0FE-4B24-9ED3-07C1C1689FC3}"/>
    <cellStyle name="Note 3 2 3 5 2 3" xfId="22223" xr:uid="{D2AECE6B-FF69-4DF7-97F0-B946B2D5C535}"/>
    <cellStyle name="Note 3 2 3 5 2 4" xfId="12942" xr:uid="{B66D170B-8E9E-4FAB-B47C-F7C5522E8154}"/>
    <cellStyle name="Note 3 2 3 5 3" xfId="6565" xr:uid="{00000000-0005-0000-0000-00008C210000}"/>
    <cellStyle name="Note 3 2 3 5 3 2" xfId="24295" xr:uid="{DEE1A9B0-E76C-4A90-AFD3-77D345560DCA}"/>
    <cellStyle name="Note 3 2 3 5 3 3" xfId="15015" xr:uid="{4B54C988-376A-41F5-822F-1708AFD846D7}"/>
    <cellStyle name="Note 3 2 3 5 4" xfId="20078" xr:uid="{66AA3A4B-416C-488B-8AB0-3058858C9195}"/>
    <cellStyle name="Note 3 2 3 5 5" xfId="10797" xr:uid="{F739017C-DB41-4855-95F4-E88CE4BF6422}"/>
    <cellStyle name="Note 3 2 3 6" xfId="2695" xr:uid="{00000000-0005-0000-0000-00008D210000}"/>
    <cellStyle name="Note 3 2 3 6 2" xfId="6978" xr:uid="{00000000-0005-0000-0000-00008E210000}"/>
    <cellStyle name="Note 3 2 3 6 2 2" xfId="24708" xr:uid="{82715333-3595-4DDF-B1B0-6898E2846DC5}"/>
    <cellStyle name="Note 3 2 3 6 2 3" xfId="15428" xr:uid="{183BAE88-9D8E-413C-93D4-9807ACAE5ACE}"/>
    <cellStyle name="Note 3 2 3 6 3" xfId="20491" xr:uid="{DABF5010-D801-4A21-A4EA-8791500FCD62}"/>
    <cellStyle name="Note 3 2 3 6 4" xfId="11210" xr:uid="{5D923BFA-95F4-440D-8285-C4E15F5DCFDA}"/>
    <cellStyle name="Note 3 2 3 7" xfId="2754" xr:uid="{00000000-0005-0000-0000-00008F210000}"/>
    <cellStyle name="Note 3 2 3 8" xfId="2835" xr:uid="{00000000-0005-0000-0000-000090210000}"/>
    <cellStyle name="Note 3 2 3 8 2" xfId="7058" xr:uid="{00000000-0005-0000-0000-000091210000}"/>
    <cellStyle name="Note 3 2 3 8 2 2" xfId="24788" xr:uid="{45CDD900-3B09-4C6F-AD1B-636F3496FB83}"/>
    <cellStyle name="Note 3 2 3 8 2 3" xfId="15508" xr:uid="{2A65EDB3-4F94-4819-9F98-9B300C25B7B8}"/>
    <cellStyle name="Note 3 2 3 8 3" xfId="20571" xr:uid="{90D45C74-F540-47B0-9795-809D8FD79DA4}"/>
    <cellStyle name="Note 3 2 3 8 4" xfId="11290" xr:uid="{98B3AA93-CB70-4450-AD96-5077FDC827CD}"/>
    <cellStyle name="Note 3 2 3 9" xfId="4913" xr:uid="{00000000-0005-0000-0000-000092210000}"/>
    <cellStyle name="Note 3 2 3 9 2" xfId="22643" xr:uid="{F9FD8CB6-7DE5-4CFE-9818-168B01C23A29}"/>
    <cellStyle name="Note 3 2 3 9 3" xfId="13363" xr:uid="{37EC8D1C-6715-4B40-9C1A-26BE224DF036}"/>
    <cellStyle name="Note 3 2 4" xfId="1014" xr:uid="{00000000-0005-0000-0000-000093210000}"/>
    <cellStyle name="Note 3 2 4 2" xfId="3246" xr:uid="{00000000-0005-0000-0000-000094210000}"/>
    <cellStyle name="Note 3 2 4 2 2" xfId="7468" xr:uid="{00000000-0005-0000-0000-000095210000}"/>
    <cellStyle name="Note 3 2 4 2 2 2" xfId="25198" xr:uid="{925D8A21-777D-4DAF-BA9B-9E18CEF31EE9}"/>
    <cellStyle name="Note 3 2 4 2 2 3" xfId="15918" xr:uid="{CC5C459A-A78B-4CDD-971D-4B741BEAABAC}"/>
    <cellStyle name="Note 3 2 4 2 3" xfId="20981" xr:uid="{56C8A305-4052-4D73-9172-EEEFFB1B8822}"/>
    <cellStyle name="Note 3 2 4 2 4" xfId="11700" xr:uid="{339D1207-3B23-4E58-B80C-2F8AF1277E1D}"/>
    <cellStyle name="Note 3 2 4 3" xfId="5323" xr:uid="{00000000-0005-0000-0000-000096210000}"/>
    <cellStyle name="Note 3 2 4 3 2" xfId="23053" xr:uid="{73FBE61E-AD25-482D-B90D-1B878695F146}"/>
    <cellStyle name="Note 3 2 4 3 3" xfId="13773" xr:uid="{E3C8B6C0-6CB7-49FA-AD13-912179E948DF}"/>
    <cellStyle name="Note 3 2 4 4" xfId="18836" xr:uid="{51EE7198-5E6D-474A-A02B-309706BE84A1}"/>
    <cellStyle name="Note 3 2 4 5" xfId="18008" xr:uid="{5FF07A10-3537-490A-88BD-62BBB250719E}"/>
    <cellStyle name="Note 3 2 4 6" xfId="9555" xr:uid="{246FE5D1-CDF6-45E3-B5B9-AEB188174E04}"/>
    <cellStyle name="Note 3 2 5" xfId="1429" xr:uid="{00000000-0005-0000-0000-000097210000}"/>
    <cellStyle name="Note 3 2 5 2" xfId="3659" xr:uid="{00000000-0005-0000-0000-000098210000}"/>
    <cellStyle name="Note 3 2 5 2 2" xfId="7881" xr:uid="{00000000-0005-0000-0000-000099210000}"/>
    <cellStyle name="Note 3 2 5 2 2 2" xfId="25611" xr:uid="{38E8CF4C-F4DB-4E6C-B070-DD1064E344AC}"/>
    <cellStyle name="Note 3 2 5 2 2 3" xfId="16331" xr:uid="{4CA3C4BB-BBE5-4494-9991-F77BA5A250CF}"/>
    <cellStyle name="Note 3 2 5 2 3" xfId="21394" xr:uid="{0974ABDF-61B2-4B52-BFE1-6CE00242DB65}"/>
    <cellStyle name="Note 3 2 5 2 4" xfId="12113" xr:uid="{103C3747-C0F9-408A-8A61-A225D08E7946}"/>
    <cellStyle name="Note 3 2 5 3" xfId="5736" xr:uid="{00000000-0005-0000-0000-00009A210000}"/>
    <cellStyle name="Note 3 2 5 3 2" xfId="23466" xr:uid="{D7E95509-B327-46C9-9E39-099C269958DE}"/>
    <cellStyle name="Note 3 2 5 3 3" xfId="14186" xr:uid="{FDBC2255-3A53-4352-BDC2-546FDB6C0163}"/>
    <cellStyle name="Note 3 2 5 4" xfId="19249" xr:uid="{1CE34D61-E922-4517-A61F-58B6214FDD10}"/>
    <cellStyle name="Note 3 2 5 5" xfId="9968" xr:uid="{C55DA1F9-757F-4CA1-9973-37041F52D248}"/>
    <cellStyle name="Note 3 2 6" xfId="1843" xr:uid="{00000000-0005-0000-0000-00009B210000}"/>
    <cellStyle name="Note 3 2 6 2" xfId="4072" xr:uid="{00000000-0005-0000-0000-00009C210000}"/>
    <cellStyle name="Note 3 2 6 2 2" xfId="8294" xr:uid="{00000000-0005-0000-0000-00009D210000}"/>
    <cellStyle name="Note 3 2 6 2 2 2" xfId="26024" xr:uid="{07E9A3DF-0544-4E79-A62A-245182C84B0A}"/>
    <cellStyle name="Note 3 2 6 2 2 3" xfId="16744" xr:uid="{6F7995C3-4310-4B89-AD0D-C0B65DB39931}"/>
    <cellStyle name="Note 3 2 6 2 3" xfId="21807" xr:uid="{61C98B30-B487-461C-9D2C-87CE8FBAEC1C}"/>
    <cellStyle name="Note 3 2 6 2 4" xfId="12526" xr:uid="{AA571EC8-A36F-4A32-9643-E10498064139}"/>
    <cellStyle name="Note 3 2 6 3" xfId="6149" xr:uid="{00000000-0005-0000-0000-00009E210000}"/>
    <cellStyle name="Note 3 2 6 3 2" xfId="23879" xr:uid="{5240B1C1-EE67-4849-84B9-9D6B96023B81}"/>
    <cellStyle name="Note 3 2 6 3 3" xfId="14599" xr:uid="{42AE19FD-1462-42B0-8743-2C2200FAB53B}"/>
    <cellStyle name="Note 3 2 6 4" xfId="19662" xr:uid="{B6036EA9-1540-4584-9A02-3FA891C4C847}"/>
    <cellStyle name="Note 3 2 6 5" xfId="10381" xr:uid="{F8A3DBFF-BC63-4D5D-80E0-8D37DD506000}"/>
    <cellStyle name="Note 3 2 7" xfId="2256" xr:uid="{00000000-0005-0000-0000-00009F210000}"/>
    <cellStyle name="Note 3 2 7 2" xfId="4485" xr:uid="{00000000-0005-0000-0000-0000A0210000}"/>
    <cellStyle name="Note 3 2 7 2 2" xfId="8707" xr:uid="{00000000-0005-0000-0000-0000A1210000}"/>
    <cellStyle name="Note 3 2 7 2 2 2" xfId="26437" xr:uid="{2D2E1F1B-CFE8-4A59-AA05-9989E4B8C728}"/>
    <cellStyle name="Note 3 2 7 2 2 3" xfId="17157" xr:uid="{0646569F-A457-4E43-8463-58BD59936FB2}"/>
    <cellStyle name="Note 3 2 7 2 3" xfId="22220" xr:uid="{C2597F62-FCFD-474F-BD61-70ED0808A973}"/>
    <cellStyle name="Note 3 2 7 2 4" xfId="12939" xr:uid="{7FBB7C9B-5CDA-4202-B483-713DEEAB4FF2}"/>
    <cellStyle name="Note 3 2 7 3" xfId="6562" xr:uid="{00000000-0005-0000-0000-0000A2210000}"/>
    <cellStyle name="Note 3 2 7 3 2" xfId="24292" xr:uid="{EE89E62F-CE56-4CA3-8F5C-1A5B743B8305}"/>
    <cellStyle name="Note 3 2 7 3 3" xfId="15012" xr:uid="{5204F69B-88C5-4858-A953-23E642E5A168}"/>
    <cellStyle name="Note 3 2 7 4" xfId="20075" xr:uid="{0BC4E737-67AD-413B-A8BA-C6647A451729}"/>
    <cellStyle name="Note 3 2 7 5" xfId="10794" xr:uid="{47E9D4A5-28A8-413F-9AA3-BAD3864AF49C}"/>
    <cellStyle name="Note 3 2 8" xfId="2692" xr:uid="{00000000-0005-0000-0000-0000A3210000}"/>
    <cellStyle name="Note 3 2 8 2" xfId="6975" xr:uid="{00000000-0005-0000-0000-0000A4210000}"/>
    <cellStyle name="Note 3 2 8 2 2" xfId="24705" xr:uid="{134C366A-97CF-49E2-B7D9-9047C941CBF0}"/>
    <cellStyle name="Note 3 2 8 2 3" xfId="15425" xr:uid="{916E39B2-E632-4A5A-B449-0255279FB07D}"/>
    <cellStyle name="Note 3 2 8 3" xfId="20488" xr:uid="{2FA72D0B-8E52-44B1-87F5-2E5CB91407D4}"/>
    <cellStyle name="Note 3 2 8 4" xfId="11207" xr:uid="{8F520CFB-257B-429D-94BB-F76E8565BBD3}"/>
    <cellStyle name="Note 3 2 9" xfId="2751" xr:uid="{00000000-0005-0000-0000-0000A5210000}"/>
    <cellStyle name="Note 3 3" xfId="558" xr:uid="{00000000-0005-0000-0000-0000A6210000}"/>
    <cellStyle name="Note 3 3 10" xfId="4914" xr:uid="{00000000-0005-0000-0000-0000A7210000}"/>
    <cellStyle name="Note 3 3 10 2" xfId="22644" xr:uid="{2157EBC2-84B8-4090-9835-7872CDD06065}"/>
    <cellStyle name="Note 3 3 10 3" xfId="13364" xr:uid="{01FFFD79-2528-4C18-91D7-650A28326195}"/>
    <cellStyle name="Note 3 3 11" xfId="18427" xr:uid="{AC001083-094A-455F-B374-1972765396C3}"/>
    <cellStyle name="Note 3 3 12" xfId="17593" xr:uid="{DE9EF401-CF2D-41E8-87F4-2EC8D8BFC6A9}"/>
    <cellStyle name="Note 3 3 13" xfId="9146" xr:uid="{783F970F-B9C6-496A-B5ED-B1A79427B00A}"/>
    <cellStyle name="Note 3 3 2" xfId="559" xr:uid="{00000000-0005-0000-0000-0000A8210000}"/>
    <cellStyle name="Note 3 3 2 10" xfId="18428" xr:uid="{E7C04E60-D1C3-4344-BE18-A027EFFC4D02}"/>
    <cellStyle name="Note 3 3 2 11" xfId="17594" xr:uid="{FBA5E654-7C3D-42E5-851D-597EFF248142}"/>
    <cellStyle name="Note 3 3 2 12" xfId="9147" xr:uid="{00FDF6BD-0BF6-41D3-920A-8626D82E2D51}"/>
    <cellStyle name="Note 3 3 2 2" xfId="1019" xr:uid="{00000000-0005-0000-0000-0000A9210000}"/>
    <cellStyle name="Note 3 3 2 2 2" xfId="3251" xr:uid="{00000000-0005-0000-0000-0000AA210000}"/>
    <cellStyle name="Note 3 3 2 2 2 2" xfId="7473" xr:uid="{00000000-0005-0000-0000-0000AB210000}"/>
    <cellStyle name="Note 3 3 2 2 2 2 2" xfId="25203" xr:uid="{DD24CF47-73EA-4E25-A9B5-81AE300EBDC9}"/>
    <cellStyle name="Note 3 3 2 2 2 2 3" xfId="15923" xr:uid="{F513E56B-BAFB-48C4-9C95-2A60D8BB87BB}"/>
    <cellStyle name="Note 3 3 2 2 2 3" xfId="20986" xr:uid="{9C8AB0C9-2787-4B38-A03E-30D52FCF6986}"/>
    <cellStyle name="Note 3 3 2 2 2 4" xfId="11705" xr:uid="{440C744C-ADB3-4E44-933D-AC01499E6E51}"/>
    <cellStyle name="Note 3 3 2 2 3" xfId="5328" xr:uid="{00000000-0005-0000-0000-0000AC210000}"/>
    <cellStyle name="Note 3 3 2 2 3 2" xfId="23058" xr:uid="{E46EE1E2-ED79-40FC-9623-F433D84B5B20}"/>
    <cellStyle name="Note 3 3 2 2 3 3" xfId="13778" xr:uid="{5B86CFC8-6CE4-4648-814D-CEF0985EDBFB}"/>
    <cellStyle name="Note 3 3 2 2 4" xfId="18841" xr:uid="{186B763B-EC3E-4294-B3C5-8E8622D079F9}"/>
    <cellStyle name="Note 3 3 2 2 5" xfId="18013" xr:uid="{96D1CE3B-7B8D-46FD-97A2-4855EAF4287D}"/>
    <cellStyle name="Note 3 3 2 2 6" xfId="9560" xr:uid="{4D19CC43-DB09-42EC-A35E-DA0DE14B6EF4}"/>
    <cellStyle name="Note 3 3 2 3" xfId="1434" xr:uid="{00000000-0005-0000-0000-0000AD210000}"/>
    <cellStyle name="Note 3 3 2 3 2" xfId="3664" xr:uid="{00000000-0005-0000-0000-0000AE210000}"/>
    <cellStyle name="Note 3 3 2 3 2 2" xfId="7886" xr:uid="{00000000-0005-0000-0000-0000AF210000}"/>
    <cellStyle name="Note 3 3 2 3 2 2 2" xfId="25616" xr:uid="{19E2BC7F-E836-43CF-A888-EB5E2656D376}"/>
    <cellStyle name="Note 3 3 2 3 2 2 3" xfId="16336" xr:uid="{42889AA5-813F-485E-9536-28F72415DA3E}"/>
    <cellStyle name="Note 3 3 2 3 2 3" xfId="21399" xr:uid="{BE804260-3E9A-43B9-9B9E-F5C9A893B80A}"/>
    <cellStyle name="Note 3 3 2 3 2 4" xfId="12118" xr:uid="{81AB3F35-AA2E-4FD4-B647-734C183A77BB}"/>
    <cellStyle name="Note 3 3 2 3 3" xfId="5741" xr:uid="{00000000-0005-0000-0000-0000B0210000}"/>
    <cellStyle name="Note 3 3 2 3 3 2" xfId="23471" xr:uid="{74A4B640-F6DF-4A37-B231-B493BB028E7A}"/>
    <cellStyle name="Note 3 3 2 3 3 3" xfId="14191" xr:uid="{36970BBE-1A78-4C0D-8D83-869EE334A11C}"/>
    <cellStyle name="Note 3 3 2 3 4" xfId="19254" xr:uid="{5EB99756-DDDC-4DB3-BF6A-609291A5BF05}"/>
    <cellStyle name="Note 3 3 2 3 5" xfId="9973" xr:uid="{C3A5ECAF-A99A-46E1-81AD-4C5302B59C86}"/>
    <cellStyle name="Note 3 3 2 4" xfId="1848" xr:uid="{00000000-0005-0000-0000-0000B1210000}"/>
    <cellStyle name="Note 3 3 2 4 2" xfId="4077" xr:uid="{00000000-0005-0000-0000-0000B2210000}"/>
    <cellStyle name="Note 3 3 2 4 2 2" xfId="8299" xr:uid="{00000000-0005-0000-0000-0000B3210000}"/>
    <cellStyle name="Note 3 3 2 4 2 2 2" xfId="26029" xr:uid="{187C6AC3-CD84-41F2-93DB-F9A80C6BB9AA}"/>
    <cellStyle name="Note 3 3 2 4 2 2 3" xfId="16749" xr:uid="{83EC899D-36FA-4CD8-A27B-2B12053A397C}"/>
    <cellStyle name="Note 3 3 2 4 2 3" xfId="21812" xr:uid="{6AB5280E-CD52-49CE-B395-DA9E1B3D821F}"/>
    <cellStyle name="Note 3 3 2 4 2 4" xfId="12531" xr:uid="{F82D8E42-FBCF-477A-AFBE-444366DB7FE7}"/>
    <cellStyle name="Note 3 3 2 4 3" xfId="6154" xr:uid="{00000000-0005-0000-0000-0000B4210000}"/>
    <cellStyle name="Note 3 3 2 4 3 2" xfId="23884" xr:uid="{DA603AB8-649D-4818-BF4C-B25664FD932F}"/>
    <cellStyle name="Note 3 3 2 4 3 3" xfId="14604" xr:uid="{9F4B6D3D-7721-4052-B6C4-FDB046E5EC33}"/>
    <cellStyle name="Note 3 3 2 4 4" xfId="19667" xr:uid="{DB92BD46-A505-4816-B4BA-F225D73A9E34}"/>
    <cellStyle name="Note 3 3 2 4 5" xfId="10386" xr:uid="{0D0C02A1-7160-46DF-8714-79C13FC27790}"/>
    <cellStyle name="Note 3 3 2 5" xfId="2261" xr:uid="{00000000-0005-0000-0000-0000B5210000}"/>
    <cellStyle name="Note 3 3 2 5 2" xfId="4490" xr:uid="{00000000-0005-0000-0000-0000B6210000}"/>
    <cellStyle name="Note 3 3 2 5 2 2" xfId="8712" xr:uid="{00000000-0005-0000-0000-0000B7210000}"/>
    <cellStyle name="Note 3 3 2 5 2 2 2" xfId="26442" xr:uid="{1E232C01-0C22-4107-9D47-F459C19BAE72}"/>
    <cellStyle name="Note 3 3 2 5 2 2 3" xfId="17162" xr:uid="{02391219-B645-4132-8B4D-79A31492D6D0}"/>
    <cellStyle name="Note 3 3 2 5 2 3" xfId="22225" xr:uid="{9793BE00-02C0-4A7C-B187-A85923BCAFCD}"/>
    <cellStyle name="Note 3 3 2 5 2 4" xfId="12944" xr:uid="{BA60BF35-70E7-4E97-9783-4BFD1B641931}"/>
    <cellStyle name="Note 3 3 2 5 3" xfId="6567" xr:uid="{00000000-0005-0000-0000-0000B8210000}"/>
    <cellStyle name="Note 3 3 2 5 3 2" xfId="24297" xr:uid="{9EAB009B-9040-4B9D-B031-F011477003B6}"/>
    <cellStyle name="Note 3 3 2 5 3 3" xfId="15017" xr:uid="{942A3679-27C8-428A-8F52-929D81695045}"/>
    <cellStyle name="Note 3 3 2 5 4" xfId="20080" xr:uid="{2C7879C0-AB74-4EFF-8AE4-CA596FB38719}"/>
    <cellStyle name="Note 3 3 2 5 5" xfId="10799" xr:uid="{0EAEA865-EA43-47CE-B539-1591A762C070}"/>
    <cellStyle name="Note 3 3 2 6" xfId="2697" xr:uid="{00000000-0005-0000-0000-0000B9210000}"/>
    <cellStyle name="Note 3 3 2 6 2" xfId="6980" xr:uid="{00000000-0005-0000-0000-0000BA210000}"/>
    <cellStyle name="Note 3 3 2 6 2 2" xfId="24710" xr:uid="{50811BCA-31E0-4A1D-B4D7-A27423F448C2}"/>
    <cellStyle name="Note 3 3 2 6 2 3" xfId="15430" xr:uid="{0AD48245-0FF3-4186-A11E-F57E4FD6E868}"/>
    <cellStyle name="Note 3 3 2 6 3" xfId="20493" xr:uid="{F896C07E-3093-4377-A519-E58BCEBF3DFA}"/>
    <cellStyle name="Note 3 3 2 6 4" xfId="11212" xr:uid="{D26BB2BD-0B7A-4D64-8FBC-6C33D796A366}"/>
    <cellStyle name="Note 3 3 2 7" xfId="2756" xr:uid="{00000000-0005-0000-0000-0000BB210000}"/>
    <cellStyle name="Note 3 3 2 8" xfId="2837" xr:uid="{00000000-0005-0000-0000-0000BC210000}"/>
    <cellStyle name="Note 3 3 2 8 2" xfId="7060" xr:uid="{00000000-0005-0000-0000-0000BD210000}"/>
    <cellStyle name="Note 3 3 2 8 2 2" xfId="24790" xr:uid="{E56C5694-2154-4315-A2D3-BA74EAA192F2}"/>
    <cellStyle name="Note 3 3 2 8 2 3" xfId="15510" xr:uid="{72CB6B47-9321-40B0-AF2B-D1E72B60F7F0}"/>
    <cellStyle name="Note 3 3 2 8 3" xfId="20573" xr:uid="{864EE12D-0BBA-45C1-88BF-6ED65412EBA3}"/>
    <cellStyle name="Note 3 3 2 8 4" xfId="11292" xr:uid="{5C0B3126-F7BE-4091-9AEE-FAB9E69A3FEC}"/>
    <cellStyle name="Note 3 3 2 9" xfId="4915" xr:uid="{00000000-0005-0000-0000-0000BE210000}"/>
    <cellStyle name="Note 3 3 2 9 2" xfId="22645" xr:uid="{A36BB653-CFFF-48ED-906E-876ADBF4FAB5}"/>
    <cellStyle name="Note 3 3 2 9 3" xfId="13365" xr:uid="{96083061-45DE-4860-BEA5-58034E9F4284}"/>
    <cellStyle name="Note 3 3 3" xfId="1018" xr:uid="{00000000-0005-0000-0000-0000BF210000}"/>
    <cellStyle name="Note 3 3 3 2" xfId="3250" xr:uid="{00000000-0005-0000-0000-0000C0210000}"/>
    <cellStyle name="Note 3 3 3 2 2" xfId="7472" xr:uid="{00000000-0005-0000-0000-0000C1210000}"/>
    <cellStyle name="Note 3 3 3 2 2 2" xfId="25202" xr:uid="{5A84FA0C-F152-4520-A12E-420E8B6983AB}"/>
    <cellStyle name="Note 3 3 3 2 2 3" xfId="15922" xr:uid="{443E4E8B-6A6C-4C18-9493-54FEEDA1F115}"/>
    <cellStyle name="Note 3 3 3 2 3" xfId="20985" xr:uid="{74B4D603-E964-4765-97E0-E0D06618D3AE}"/>
    <cellStyle name="Note 3 3 3 2 4" xfId="11704" xr:uid="{2DAA6D3A-A931-4457-9549-023935A12D3C}"/>
    <cellStyle name="Note 3 3 3 3" xfId="5327" xr:uid="{00000000-0005-0000-0000-0000C2210000}"/>
    <cellStyle name="Note 3 3 3 3 2" xfId="23057" xr:uid="{A8637B83-27DC-44B2-9A0E-7F2B0C77BA52}"/>
    <cellStyle name="Note 3 3 3 3 3" xfId="13777" xr:uid="{86820ACE-B267-4296-B3E1-250BC36C5B2B}"/>
    <cellStyle name="Note 3 3 3 4" xfId="18840" xr:uid="{1BDB68A0-F4DA-4F1F-8D85-02159C7AD13F}"/>
    <cellStyle name="Note 3 3 3 5" xfId="18012" xr:uid="{AB8CD3BA-1FC2-4580-AE45-F7FD23046E83}"/>
    <cellStyle name="Note 3 3 3 6" xfId="9559" xr:uid="{6C231C3C-15C5-4526-AB07-0A27933E8F14}"/>
    <cellStyle name="Note 3 3 4" xfId="1433" xr:uid="{00000000-0005-0000-0000-0000C3210000}"/>
    <cellStyle name="Note 3 3 4 2" xfId="3663" xr:uid="{00000000-0005-0000-0000-0000C4210000}"/>
    <cellStyle name="Note 3 3 4 2 2" xfId="7885" xr:uid="{00000000-0005-0000-0000-0000C5210000}"/>
    <cellStyle name="Note 3 3 4 2 2 2" xfId="25615" xr:uid="{6B7FC546-F7F1-47E4-8394-A6FC90783218}"/>
    <cellStyle name="Note 3 3 4 2 2 3" xfId="16335" xr:uid="{6AB3DF6B-00A6-43A1-ADA3-F411E396CD4E}"/>
    <cellStyle name="Note 3 3 4 2 3" xfId="21398" xr:uid="{C6B39E23-DBAA-468E-9419-B2380217582C}"/>
    <cellStyle name="Note 3 3 4 2 4" xfId="12117" xr:uid="{2C51E12D-B306-4F88-85EC-AC65246AA408}"/>
    <cellStyle name="Note 3 3 4 3" xfId="5740" xr:uid="{00000000-0005-0000-0000-0000C6210000}"/>
    <cellStyle name="Note 3 3 4 3 2" xfId="23470" xr:uid="{86F202D1-0E6D-4303-B2CE-E69A034A27A6}"/>
    <cellStyle name="Note 3 3 4 3 3" xfId="14190" xr:uid="{ACB54778-0C13-462C-A8F3-75AACEA86E5C}"/>
    <cellStyle name="Note 3 3 4 4" xfId="19253" xr:uid="{1ACBE621-B3ED-46E5-B053-459C9B2E3D18}"/>
    <cellStyle name="Note 3 3 4 5" xfId="9972" xr:uid="{A9FF51D7-1FBD-41FE-A550-B3FD73A1EE09}"/>
    <cellStyle name="Note 3 3 5" xfId="1847" xr:uid="{00000000-0005-0000-0000-0000C7210000}"/>
    <cellStyle name="Note 3 3 5 2" xfId="4076" xr:uid="{00000000-0005-0000-0000-0000C8210000}"/>
    <cellStyle name="Note 3 3 5 2 2" xfId="8298" xr:uid="{00000000-0005-0000-0000-0000C9210000}"/>
    <cellStyle name="Note 3 3 5 2 2 2" xfId="26028" xr:uid="{6F0D835D-3937-4E27-8EC6-C632626AB745}"/>
    <cellStyle name="Note 3 3 5 2 2 3" xfId="16748" xr:uid="{CE9B84BA-960D-4F0A-918A-7096B5197579}"/>
    <cellStyle name="Note 3 3 5 2 3" xfId="21811" xr:uid="{7589D686-AA7B-425C-B98D-7082B55BF291}"/>
    <cellStyle name="Note 3 3 5 2 4" xfId="12530" xr:uid="{A7972CA0-F872-414D-9121-F2510C166021}"/>
    <cellStyle name="Note 3 3 5 3" xfId="6153" xr:uid="{00000000-0005-0000-0000-0000CA210000}"/>
    <cellStyle name="Note 3 3 5 3 2" xfId="23883" xr:uid="{A12C00F0-1636-4977-8913-41A8D98B6A1A}"/>
    <cellStyle name="Note 3 3 5 3 3" xfId="14603" xr:uid="{F16BB280-2988-4C7F-8593-C5331F013804}"/>
    <cellStyle name="Note 3 3 5 4" xfId="19666" xr:uid="{D2A71475-6459-4A65-A882-0AEE3F28C8B4}"/>
    <cellStyle name="Note 3 3 5 5" xfId="10385" xr:uid="{A4D97387-46A8-4CE7-A6F5-11EAF2ABB7C4}"/>
    <cellStyle name="Note 3 3 6" xfId="2260" xr:uid="{00000000-0005-0000-0000-0000CB210000}"/>
    <cellStyle name="Note 3 3 6 2" xfId="4489" xr:uid="{00000000-0005-0000-0000-0000CC210000}"/>
    <cellStyle name="Note 3 3 6 2 2" xfId="8711" xr:uid="{00000000-0005-0000-0000-0000CD210000}"/>
    <cellStyle name="Note 3 3 6 2 2 2" xfId="26441" xr:uid="{D6D9FD4F-0EE6-422A-9E56-D264BCD309A4}"/>
    <cellStyle name="Note 3 3 6 2 2 3" xfId="17161" xr:uid="{A773C6D0-2F49-4B66-8681-8134815A8B00}"/>
    <cellStyle name="Note 3 3 6 2 3" xfId="22224" xr:uid="{C25DAD5B-FD92-47A3-B0B8-0C88E776AC95}"/>
    <cellStyle name="Note 3 3 6 2 4" xfId="12943" xr:uid="{680BBF45-6DEA-44FD-96EE-DF101F20478A}"/>
    <cellStyle name="Note 3 3 6 3" xfId="6566" xr:uid="{00000000-0005-0000-0000-0000CE210000}"/>
    <cellStyle name="Note 3 3 6 3 2" xfId="24296" xr:uid="{26DA4DB6-C922-4C05-B6E2-BAAB243EA372}"/>
    <cellStyle name="Note 3 3 6 3 3" xfId="15016" xr:uid="{5820DA76-4F06-487C-A3F7-5A018C7AB9E0}"/>
    <cellStyle name="Note 3 3 6 4" xfId="20079" xr:uid="{51D77047-61D5-4043-9FCC-846D179112C7}"/>
    <cellStyle name="Note 3 3 6 5" xfId="10798" xr:uid="{90B86B61-323A-4E3D-863C-9AAC9CF0A349}"/>
    <cellStyle name="Note 3 3 7" xfId="2696" xr:uid="{00000000-0005-0000-0000-0000CF210000}"/>
    <cellStyle name="Note 3 3 7 2" xfId="6979" xr:uid="{00000000-0005-0000-0000-0000D0210000}"/>
    <cellStyle name="Note 3 3 7 2 2" xfId="24709" xr:uid="{51ECC244-8F65-4631-94F5-189675628405}"/>
    <cellStyle name="Note 3 3 7 2 3" xfId="15429" xr:uid="{7018A022-5BEC-4DA2-A11E-283FF1474081}"/>
    <cellStyle name="Note 3 3 7 3" xfId="20492" xr:uid="{9A9445C4-FC47-40C5-A923-A290B1AD93C3}"/>
    <cellStyle name="Note 3 3 7 4" xfId="11211" xr:uid="{240014B9-B3C6-41F2-BAE0-AF0F35B20045}"/>
    <cellStyle name="Note 3 3 8" xfId="2755" xr:uid="{00000000-0005-0000-0000-0000D1210000}"/>
    <cellStyle name="Note 3 3 9" xfId="2836" xr:uid="{00000000-0005-0000-0000-0000D2210000}"/>
    <cellStyle name="Note 3 3 9 2" xfId="7059" xr:uid="{00000000-0005-0000-0000-0000D3210000}"/>
    <cellStyle name="Note 3 3 9 2 2" xfId="24789" xr:uid="{2EB91E34-89AE-43B1-83CE-77919BEC4304}"/>
    <cellStyle name="Note 3 3 9 2 3" xfId="15509" xr:uid="{C4F4F44B-CFA2-46C5-A4A2-03F967C57E98}"/>
    <cellStyle name="Note 3 3 9 3" xfId="20572" xr:uid="{F9AECBBF-AEEF-4E45-87E9-F13AA982BF95}"/>
    <cellStyle name="Note 3 3 9 4" xfId="11291" xr:uid="{4F785EAC-6787-4001-9CC1-1E3B7C3492C3}"/>
    <cellStyle name="Note 3 4" xfId="560" xr:uid="{00000000-0005-0000-0000-0000D4210000}"/>
    <cellStyle name="Note 3 4 10" xfId="18429" xr:uid="{F974CCA1-7D41-43A2-AD6F-367B05E1A7E6}"/>
    <cellStyle name="Note 3 4 11" xfId="17595" xr:uid="{30A81C6B-C563-4409-8970-C1AD8BFB2B29}"/>
    <cellStyle name="Note 3 4 12" xfId="9148" xr:uid="{CC9AC2CB-7050-4AC4-8940-1FB9B5EE31C6}"/>
    <cellStyle name="Note 3 4 2" xfId="1020" xr:uid="{00000000-0005-0000-0000-0000D5210000}"/>
    <cellStyle name="Note 3 4 2 2" xfId="3252" xr:uid="{00000000-0005-0000-0000-0000D6210000}"/>
    <cellStyle name="Note 3 4 2 2 2" xfId="7474" xr:uid="{00000000-0005-0000-0000-0000D7210000}"/>
    <cellStyle name="Note 3 4 2 2 2 2" xfId="25204" xr:uid="{F2746791-2F35-4058-B987-817BDDED22DF}"/>
    <cellStyle name="Note 3 4 2 2 2 3" xfId="15924" xr:uid="{7F045ED6-294B-46B6-9141-FD52F5CA7B8A}"/>
    <cellStyle name="Note 3 4 2 2 3" xfId="20987" xr:uid="{DF2DAF2E-D21F-452C-8596-4C5596FF5043}"/>
    <cellStyle name="Note 3 4 2 2 4" xfId="11706" xr:uid="{CF2EBDD3-8CE6-46A2-9062-5DBF340E3592}"/>
    <cellStyle name="Note 3 4 2 3" xfId="5329" xr:uid="{00000000-0005-0000-0000-0000D8210000}"/>
    <cellStyle name="Note 3 4 2 3 2" xfId="23059" xr:uid="{6B330197-A700-4C0A-A5F3-DF41F15AB4BD}"/>
    <cellStyle name="Note 3 4 2 3 3" xfId="13779" xr:uid="{A08EA211-9C32-4FA1-B23F-74BCA566D49D}"/>
    <cellStyle name="Note 3 4 2 4" xfId="18842" xr:uid="{A848A8AD-68E6-4C55-A755-8C063E68CE4A}"/>
    <cellStyle name="Note 3 4 2 5" xfId="18014" xr:uid="{45CF463B-082D-426F-92D4-EA22B194EC24}"/>
    <cellStyle name="Note 3 4 2 6" xfId="9561" xr:uid="{67440B6C-C962-4D6F-A919-538B1817D693}"/>
    <cellStyle name="Note 3 4 3" xfId="1435" xr:uid="{00000000-0005-0000-0000-0000D9210000}"/>
    <cellStyle name="Note 3 4 3 2" xfId="3665" xr:uid="{00000000-0005-0000-0000-0000DA210000}"/>
    <cellStyle name="Note 3 4 3 2 2" xfId="7887" xr:uid="{00000000-0005-0000-0000-0000DB210000}"/>
    <cellStyle name="Note 3 4 3 2 2 2" xfId="25617" xr:uid="{56448FD5-E762-4B3F-9B32-92020223A278}"/>
    <cellStyle name="Note 3 4 3 2 2 3" xfId="16337" xr:uid="{39DD22B9-85FA-420D-BDA1-625159676B6C}"/>
    <cellStyle name="Note 3 4 3 2 3" xfId="21400" xr:uid="{AB563EF4-D9AA-467D-89E9-71CDB1F32A31}"/>
    <cellStyle name="Note 3 4 3 2 4" xfId="12119" xr:uid="{49262D83-3883-486A-A826-54BFDF080934}"/>
    <cellStyle name="Note 3 4 3 3" xfId="5742" xr:uid="{00000000-0005-0000-0000-0000DC210000}"/>
    <cellStyle name="Note 3 4 3 3 2" xfId="23472" xr:uid="{1F011727-A0C4-49F7-A519-FEA360FC7600}"/>
    <cellStyle name="Note 3 4 3 3 3" xfId="14192" xr:uid="{32A043A7-0280-41E5-98D2-23620B1156C9}"/>
    <cellStyle name="Note 3 4 3 4" xfId="19255" xr:uid="{D7E3C49A-8E07-4498-8BAF-D5EFBC53AE90}"/>
    <cellStyle name="Note 3 4 3 5" xfId="9974" xr:uid="{E5AF2F0F-7AF6-4159-AB29-99DDE6431771}"/>
    <cellStyle name="Note 3 4 4" xfId="1849" xr:uid="{00000000-0005-0000-0000-0000DD210000}"/>
    <cellStyle name="Note 3 4 4 2" xfId="4078" xr:uid="{00000000-0005-0000-0000-0000DE210000}"/>
    <cellStyle name="Note 3 4 4 2 2" xfId="8300" xr:uid="{00000000-0005-0000-0000-0000DF210000}"/>
    <cellStyle name="Note 3 4 4 2 2 2" xfId="26030" xr:uid="{39AAB525-F5EE-4695-BBD1-5E1EDA438ABD}"/>
    <cellStyle name="Note 3 4 4 2 2 3" xfId="16750" xr:uid="{BE38B93D-E300-4329-839E-88AD896BDCBA}"/>
    <cellStyle name="Note 3 4 4 2 3" xfId="21813" xr:uid="{479123AB-0ADE-4A21-923B-046FB530E902}"/>
    <cellStyle name="Note 3 4 4 2 4" xfId="12532" xr:uid="{0619D85F-90F1-4EED-AF59-4EFDA7AAF374}"/>
    <cellStyle name="Note 3 4 4 3" xfId="6155" xr:uid="{00000000-0005-0000-0000-0000E0210000}"/>
    <cellStyle name="Note 3 4 4 3 2" xfId="23885" xr:uid="{5B2A0708-5CBF-4BEE-BFF3-8A1E401F9395}"/>
    <cellStyle name="Note 3 4 4 3 3" xfId="14605" xr:uid="{A7A185CE-2E4D-4D11-ADD3-41158B38CA0D}"/>
    <cellStyle name="Note 3 4 4 4" xfId="19668" xr:uid="{6645A90E-E116-4F6B-94DC-BB974E254096}"/>
    <cellStyle name="Note 3 4 4 5" xfId="10387" xr:uid="{DA4FC178-6627-4A6F-9324-67AE56D211DE}"/>
    <cellStyle name="Note 3 4 5" xfId="2262" xr:uid="{00000000-0005-0000-0000-0000E1210000}"/>
    <cellStyle name="Note 3 4 5 2" xfId="4491" xr:uid="{00000000-0005-0000-0000-0000E2210000}"/>
    <cellStyle name="Note 3 4 5 2 2" xfId="8713" xr:uid="{00000000-0005-0000-0000-0000E3210000}"/>
    <cellStyle name="Note 3 4 5 2 2 2" xfId="26443" xr:uid="{FAF44635-FB74-49BF-BDD4-476ECB454CC5}"/>
    <cellStyle name="Note 3 4 5 2 2 3" xfId="17163" xr:uid="{DB1BAED3-6E9F-4BC0-A25E-F72389CCAD83}"/>
    <cellStyle name="Note 3 4 5 2 3" xfId="22226" xr:uid="{FD19DFD1-1D84-4D56-8E01-558CFCFBCFCC}"/>
    <cellStyle name="Note 3 4 5 2 4" xfId="12945" xr:uid="{0B49448C-CAD0-445E-934C-47E283483F27}"/>
    <cellStyle name="Note 3 4 5 3" xfId="6568" xr:uid="{00000000-0005-0000-0000-0000E4210000}"/>
    <cellStyle name="Note 3 4 5 3 2" xfId="24298" xr:uid="{962BBA61-3C31-47A6-AE46-293C73236D46}"/>
    <cellStyle name="Note 3 4 5 3 3" xfId="15018" xr:uid="{D36923B7-78EA-4A20-9396-F831F34E9A10}"/>
    <cellStyle name="Note 3 4 5 4" xfId="20081" xr:uid="{99436A63-7DAD-44E3-8D9E-C4423D66985D}"/>
    <cellStyle name="Note 3 4 5 5" xfId="10800" xr:uid="{1E63B0E3-4A40-4FC7-B428-1D33E0FD2615}"/>
    <cellStyle name="Note 3 4 6" xfId="2698" xr:uid="{00000000-0005-0000-0000-0000E5210000}"/>
    <cellStyle name="Note 3 4 6 2" xfId="6981" xr:uid="{00000000-0005-0000-0000-0000E6210000}"/>
    <cellStyle name="Note 3 4 6 2 2" xfId="24711" xr:uid="{B342C470-9FD0-43D0-8A27-9ADA7B72ADC6}"/>
    <cellStyle name="Note 3 4 6 2 3" xfId="15431" xr:uid="{BA1584DD-8B20-4CAD-9F91-160E4C9EECF3}"/>
    <cellStyle name="Note 3 4 6 3" xfId="20494" xr:uid="{8B26BD33-516C-4D5C-B51A-77D1E78C76DA}"/>
    <cellStyle name="Note 3 4 6 4" xfId="11213" xr:uid="{38DE3AAF-2627-4587-9CB7-B0182B7CE704}"/>
    <cellStyle name="Note 3 4 7" xfId="2757" xr:uid="{00000000-0005-0000-0000-0000E7210000}"/>
    <cellStyle name="Note 3 4 8" xfId="2838" xr:uid="{00000000-0005-0000-0000-0000E8210000}"/>
    <cellStyle name="Note 3 4 8 2" xfId="7061" xr:uid="{00000000-0005-0000-0000-0000E9210000}"/>
    <cellStyle name="Note 3 4 8 2 2" xfId="24791" xr:uid="{774DD3CC-DC73-4D6A-9A3E-ABA85EA3172B}"/>
    <cellStyle name="Note 3 4 8 2 3" xfId="15511" xr:uid="{8EA08F54-6EFA-4B6C-BF67-C5F03B90DEED}"/>
    <cellStyle name="Note 3 4 8 3" xfId="20574" xr:uid="{39EEA9E1-0821-42D8-86E6-1030A9F7C339}"/>
    <cellStyle name="Note 3 4 8 4" xfId="11293" xr:uid="{0A34FDA7-D5D0-4652-8A53-E3C91AA696E9}"/>
    <cellStyle name="Note 3 4 9" xfId="4916" xr:uid="{00000000-0005-0000-0000-0000EA210000}"/>
    <cellStyle name="Note 3 4 9 2" xfId="22646" xr:uid="{A2186C09-A428-4B58-A1E7-38AA803708EA}"/>
    <cellStyle name="Note 3 4 9 3" xfId="13366" xr:uid="{0F0BA857-2BBD-4544-9526-A53B47504550}"/>
    <cellStyle name="Note 3 5" xfId="561" xr:uid="{00000000-0005-0000-0000-0000EB210000}"/>
    <cellStyle name="Note 3 5 10" xfId="18430" xr:uid="{2C67F31E-1582-400F-BC6C-F55DA94E3A84}"/>
    <cellStyle name="Note 3 5 11" xfId="17596" xr:uid="{3DE13442-9CAD-46A2-A8AB-67F86E80DDC6}"/>
    <cellStyle name="Note 3 5 12" xfId="9149" xr:uid="{6BAB2F0C-A82E-4FA7-BCFB-58C1EA751B51}"/>
    <cellStyle name="Note 3 5 2" xfId="1021" xr:uid="{00000000-0005-0000-0000-0000EC210000}"/>
    <cellStyle name="Note 3 5 2 2" xfId="3253" xr:uid="{00000000-0005-0000-0000-0000ED210000}"/>
    <cellStyle name="Note 3 5 2 2 2" xfId="7475" xr:uid="{00000000-0005-0000-0000-0000EE210000}"/>
    <cellStyle name="Note 3 5 2 2 2 2" xfId="25205" xr:uid="{7440A3E2-DC7B-4BD2-8BBA-C5C1AEDE8719}"/>
    <cellStyle name="Note 3 5 2 2 2 3" xfId="15925" xr:uid="{E4414D02-6BAD-4168-88C1-F9DF710D6E6F}"/>
    <cellStyle name="Note 3 5 2 2 3" xfId="20988" xr:uid="{6F5FE4E3-DF60-42A1-ADFC-D630CF99003F}"/>
    <cellStyle name="Note 3 5 2 2 4" xfId="11707" xr:uid="{E9806BF4-9914-4695-A0A6-E5A2ED2D6FF6}"/>
    <cellStyle name="Note 3 5 2 3" xfId="5330" xr:uid="{00000000-0005-0000-0000-0000EF210000}"/>
    <cellStyle name="Note 3 5 2 3 2" xfId="23060" xr:uid="{EA7F4C89-F897-4541-86CB-A9D6F3F95402}"/>
    <cellStyle name="Note 3 5 2 3 3" xfId="13780" xr:uid="{8800163F-B3FA-4DC5-8F05-BEDC020121F8}"/>
    <cellStyle name="Note 3 5 2 4" xfId="18843" xr:uid="{7112C799-7662-45EA-8F99-A9F53593318A}"/>
    <cellStyle name="Note 3 5 2 5" xfId="18015" xr:uid="{7DB250B7-DABB-45C5-A8AC-93FB4EB6F290}"/>
    <cellStyle name="Note 3 5 2 6" xfId="9562" xr:uid="{C7377163-B130-46DB-A824-1E7E4F2F55DD}"/>
    <cellStyle name="Note 3 5 3" xfId="1436" xr:uid="{00000000-0005-0000-0000-0000F0210000}"/>
    <cellStyle name="Note 3 5 3 2" xfId="3666" xr:uid="{00000000-0005-0000-0000-0000F1210000}"/>
    <cellStyle name="Note 3 5 3 2 2" xfId="7888" xr:uid="{00000000-0005-0000-0000-0000F2210000}"/>
    <cellStyle name="Note 3 5 3 2 2 2" xfId="25618" xr:uid="{31D1B492-090B-48D3-879A-A17C19A95D69}"/>
    <cellStyle name="Note 3 5 3 2 2 3" xfId="16338" xr:uid="{DB1F14F3-C37C-4DE0-A1A5-18B1FC5E3A35}"/>
    <cellStyle name="Note 3 5 3 2 3" xfId="21401" xr:uid="{BCF589C5-0724-45AE-865B-636C74528418}"/>
    <cellStyle name="Note 3 5 3 2 4" xfId="12120" xr:uid="{28AA0B9E-31FD-421E-A01E-6A94FF92F66D}"/>
    <cellStyle name="Note 3 5 3 3" xfId="5743" xr:uid="{00000000-0005-0000-0000-0000F3210000}"/>
    <cellStyle name="Note 3 5 3 3 2" xfId="23473" xr:uid="{CC9DB1D1-21BC-43A2-8339-0D8BFF9A8F5F}"/>
    <cellStyle name="Note 3 5 3 3 3" xfId="14193" xr:uid="{CD1B3FA5-22D9-4B82-B995-91588F9CEE69}"/>
    <cellStyle name="Note 3 5 3 4" xfId="19256" xr:uid="{C56D27D6-A0BA-4AD3-A43C-B97AD1FF7792}"/>
    <cellStyle name="Note 3 5 3 5" xfId="9975" xr:uid="{03776D3F-3443-465B-A6A5-87D46424927E}"/>
    <cellStyle name="Note 3 5 4" xfId="1850" xr:uid="{00000000-0005-0000-0000-0000F4210000}"/>
    <cellStyle name="Note 3 5 4 2" xfId="4079" xr:uid="{00000000-0005-0000-0000-0000F5210000}"/>
    <cellStyle name="Note 3 5 4 2 2" xfId="8301" xr:uid="{00000000-0005-0000-0000-0000F6210000}"/>
    <cellStyle name="Note 3 5 4 2 2 2" xfId="26031" xr:uid="{E5A14DF6-23D8-4D05-8D42-2A2B444DEF44}"/>
    <cellStyle name="Note 3 5 4 2 2 3" xfId="16751" xr:uid="{831F5DC0-79E5-473C-A38F-194F09DD0D91}"/>
    <cellStyle name="Note 3 5 4 2 3" xfId="21814" xr:uid="{C1917AC1-5801-447B-8CA8-85B6094DFD89}"/>
    <cellStyle name="Note 3 5 4 2 4" xfId="12533" xr:uid="{47A3FA7C-B180-47EE-A395-1D1837DE1F11}"/>
    <cellStyle name="Note 3 5 4 3" xfId="6156" xr:uid="{00000000-0005-0000-0000-0000F7210000}"/>
    <cellStyle name="Note 3 5 4 3 2" xfId="23886" xr:uid="{059D2120-A292-422E-82A3-7E1565E12EDB}"/>
    <cellStyle name="Note 3 5 4 3 3" xfId="14606" xr:uid="{DA3148F4-DBFB-43E0-887F-7BC1BA160DA1}"/>
    <cellStyle name="Note 3 5 4 4" xfId="19669" xr:uid="{2CBBBA8C-E769-4852-9D81-F3F1D8E0A3F1}"/>
    <cellStyle name="Note 3 5 4 5" xfId="10388" xr:uid="{7BC1A0F2-9A6D-44CF-BC53-FB7EAF8A7E75}"/>
    <cellStyle name="Note 3 5 5" xfId="2263" xr:uid="{00000000-0005-0000-0000-0000F8210000}"/>
    <cellStyle name="Note 3 5 5 2" xfId="4492" xr:uid="{00000000-0005-0000-0000-0000F9210000}"/>
    <cellStyle name="Note 3 5 5 2 2" xfId="8714" xr:uid="{00000000-0005-0000-0000-0000FA210000}"/>
    <cellStyle name="Note 3 5 5 2 2 2" xfId="26444" xr:uid="{A1A757BE-6C63-4A34-A91E-ADB53189D880}"/>
    <cellStyle name="Note 3 5 5 2 2 3" xfId="17164" xr:uid="{A270E1F2-03BB-4C3B-BD37-258FC8B79AE3}"/>
    <cellStyle name="Note 3 5 5 2 3" xfId="22227" xr:uid="{8A4F2828-C8EA-48C7-A202-BAC12C02C20A}"/>
    <cellStyle name="Note 3 5 5 2 4" xfId="12946" xr:uid="{DD440B41-603C-4D01-932E-6CEB75683C6F}"/>
    <cellStyle name="Note 3 5 5 3" xfId="6569" xr:uid="{00000000-0005-0000-0000-0000FB210000}"/>
    <cellStyle name="Note 3 5 5 3 2" xfId="24299" xr:uid="{91752C79-79AD-41AA-A3D3-7B9872DF2852}"/>
    <cellStyle name="Note 3 5 5 3 3" xfId="15019" xr:uid="{CEB744DD-8D20-40C8-B74D-3D6A79C6C45A}"/>
    <cellStyle name="Note 3 5 5 4" xfId="20082" xr:uid="{41276415-5B57-4B6D-8C9F-CCBF33723DE9}"/>
    <cellStyle name="Note 3 5 5 5" xfId="10801" xr:uid="{FAA53292-B022-4E7B-8DF9-4C5C21D07965}"/>
    <cellStyle name="Note 3 5 6" xfId="2699" xr:uid="{00000000-0005-0000-0000-0000FC210000}"/>
    <cellStyle name="Note 3 5 6 2" xfId="6982" xr:uid="{00000000-0005-0000-0000-0000FD210000}"/>
    <cellStyle name="Note 3 5 6 2 2" xfId="24712" xr:uid="{197C5676-DD43-4BB6-ADDA-FF628ED5EEAA}"/>
    <cellStyle name="Note 3 5 6 2 3" xfId="15432" xr:uid="{90ABA602-0D63-4E9B-A7C9-22FE86B9B9C5}"/>
    <cellStyle name="Note 3 5 6 3" xfId="20495" xr:uid="{D5695846-30B8-4422-8BEE-9D333054382C}"/>
    <cellStyle name="Note 3 5 6 4" xfId="11214" xr:uid="{163E2E0A-64E3-439C-8B27-3796ED9B17AD}"/>
    <cellStyle name="Note 3 5 7" xfId="2758" xr:uid="{00000000-0005-0000-0000-0000FE210000}"/>
    <cellStyle name="Note 3 5 8" xfId="2839" xr:uid="{00000000-0005-0000-0000-0000FF210000}"/>
    <cellStyle name="Note 3 5 8 2" xfId="7062" xr:uid="{00000000-0005-0000-0000-000000220000}"/>
    <cellStyle name="Note 3 5 8 2 2" xfId="24792" xr:uid="{7172250E-1FB9-43F3-935E-BFF5EC42B1CF}"/>
    <cellStyle name="Note 3 5 8 2 3" xfId="15512" xr:uid="{10D6162D-CB25-4B50-9105-781E77A89C81}"/>
    <cellStyle name="Note 3 5 8 3" xfId="20575" xr:uid="{79F70030-C454-4AFB-8FC9-2FA8D9A8A757}"/>
    <cellStyle name="Note 3 5 8 4" xfId="11294" xr:uid="{C24DFEF2-3E1B-41BA-AD5F-6C15990C0492}"/>
    <cellStyle name="Note 3 5 9" xfId="4917" xr:uid="{00000000-0005-0000-0000-000001220000}"/>
    <cellStyle name="Note 3 5 9 2" xfId="22647" xr:uid="{D27E05D2-9D72-4795-90B3-0F94E2493323}"/>
    <cellStyle name="Note 3 5 9 3" xfId="13367" xr:uid="{053F39D5-1DA4-4963-A27A-FCA6A157023A}"/>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22230" xr:uid="{2C55B3AA-252E-4F70-89A7-68FB664990E8}"/>
    <cellStyle name="Percent 3 3" xfId="17600" xr:uid="{C2702812-A73A-43BE-8887-D2EB598BA87E}"/>
    <cellStyle name="Percent 3 4" xfId="12950" xr:uid="{F5CB0555-2FC2-4013-8EA1-8E7859B3B18A}"/>
    <cellStyle name="Percent 4" xfId="4502" xr:uid="{00000000-0005-0000-0000-000007220000}"/>
    <cellStyle name="Percent 4 2" xfId="8717" xr:uid="{00000000-0005-0000-0000-000008220000}"/>
    <cellStyle name="Percent 4 2 2" xfId="26447" xr:uid="{11C2D797-EBCF-4AC3-9EF6-FC720083AFA0}"/>
    <cellStyle name="Percent 4 2 3" xfId="17167" xr:uid="{8A8632FF-A61A-48F1-8BCE-60276008D867}"/>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26463" xr:uid="{E29183BC-FA48-401A-9CB3-B88D2C483D60}"/>
    <cellStyle name="Percent 4 3 2 2 2 2 3" xfId="17183" xr:uid="{29EBC7EE-3FB5-47B5-8F43-21DD66EDD725}"/>
    <cellStyle name="Percent 4 3 2 2 2 3" xfId="26460" xr:uid="{72FD99C1-B921-4151-B944-1F6667B07A36}"/>
    <cellStyle name="Percent 4 3 2 2 2 4" xfId="17180" xr:uid="{2DB48588-17B3-4DBE-A7A5-22CDB52F868A}"/>
    <cellStyle name="Percent 4 3 2 2 3" xfId="26456" xr:uid="{AAA7CEB2-1157-4351-9310-9053F6FE79B3}"/>
    <cellStyle name="Percent 4 3 2 2 4" xfId="17176" xr:uid="{76E624BE-37F0-44B1-BC90-81C36592A967}"/>
    <cellStyle name="Percent 4 3 2 3" xfId="26453" xr:uid="{F4326F1D-3A15-4DDA-B938-8B11CD74CA5B}"/>
    <cellStyle name="Percent 4 3 2 4" xfId="17173" xr:uid="{AA59323F-69B7-47EA-8FB0-7ADBE888F225}"/>
    <cellStyle name="Percent 4 3 3" xfId="26450" xr:uid="{E11F44D8-7341-48B7-9FAD-BCE06C21AADB}"/>
    <cellStyle name="Percent 4 3 4" xfId="17170" xr:uid="{36017D1C-8254-4566-9950-3FC6BB81AD22}"/>
    <cellStyle name="Percent 4 4" xfId="22233" xr:uid="{9B978117-15F6-416E-8926-8B12CB004C2E}"/>
    <cellStyle name="Percent 4 5" xfId="12953" xr:uid="{7FDA138D-1555-4C4F-AD30-89D62C1392C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M:\Danco\ID2\A3108815-C4F0-433C-9B1A-4C97292995EF\0\21684000-21684999\21684033\L\L\Mountain%20View%20-%202025%202nd%20Round%204%25%20-%20Application%20(ID%2021684033).xlsx" TargetMode="External"/><Relationship Id="rId1" Type="http://schemas.openxmlformats.org/officeDocument/2006/relationships/externalLinkPath" Target="/Danco/ID2/A3108815-C4F0-433C-9B1A-4C97292995EF/0/21684000-21684999/21684033/L/L/Mountain%20View%20-%202025%202nd%20Round%204%25%20-%20Application%20(ID%202168403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
      <sheetName val="Instructions-Electronic Submit"/>
      <sheetName val="Application Checklist"/>
      <sheetName val="Application"/>
      <sheetName val="Sources and Uses Budget"/>
      <sheetName val="Sources and Basis Breakdown"/>
      <sheetName val="CalHFA Addendum"/>
      <sheetName val="Basis &amp; Credits"/>
      <sheetName val="Points System"/>
      <sheetName val="Tie Breaker"/>
      <sheetName val="Subsidy Contract Calculation"/>
      <sheetName val="15 Year Pro Forma"/>
      <sheetName val="Post-award Instructions"/>
      <sheetName val="Post-award Project Cost Changes"/>
    </sheetNames>
    <sheetDataSet>
      <sheetData sheetId="0"/>
      <sheetData sheetId="1"/>
      <sheetData sheetId="2"/>
      <sheetData sheetId="3">
        <row r="557">
          <cell r="AM557">
            <v>8000000</v>
          </cell>
        </row>
        <row r="558">
          <cell r="AM558">
            <v>7900000</v>
          </cell>
        </row>
      </sheetData>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551</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0" t="s">
        <v>2035</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0" t="s">
        <v>2036</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0" t="s">
        <v>2604</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1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2603</v>
      </c>
      <c r="E18" s="441"/>
      <c r="G18" s="441"/>
      <c r="H18" s="441"/>
      <c r="I18" s="441"/>
      <c r="J18" s="1273" t="s">
        <v>2602</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0" t="s">
        <v>2037</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1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0" t="s">
        <v>2038</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2518</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2142</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2045</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2046</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15" customHeight="1">
      <c r="A40" s="4"/>
      <c r="B40"/>
      <c r="C40" s="2"/>
      <c r="D40" s="4"/>
      <c r="E40" s="4" t="s">
        <v>654</v>
      </c>
      <c r="F40" s="1260" t="s">
        <v>1165</v>
      </c>
    </row>
    <row r="41" spans="1:38" s="1260"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6" t="s">
        <v>1247</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688</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0" t="s">
        <v>2040</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0" t="s">
        <v>1167</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15" customHeight="1">
      <c r="A67" s="4"/>
      <c r="C67" s="2"/>
      <c r="D67" s="4"/>
      <c r="E67" s="4"/>
      <c r="F67" t="s">
        <v>510</v>
      </c>
      <c r="G67" s="1260" t="s">
        <v>1168</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0" t="s">
        <v>1169</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510</v>
      </c>
      <c r="G72" s="1260" t="s">
        <v>1170</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1171</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1172</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63" t="s">
        <v>1173</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1174</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0" t="s">
        <v>1175</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1176</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2042</v>
      </c>
      <c r="F138" s="2"/>
      <c r="G138" s="2"/>
      <c r="H138" s="2"/>
    </row>
    <row r="139" spans="4:37">
      <c r="E139" t="s">
        <v>112</v>
      </c>
      <c r="F139" t="s">
        <v>52</v>
      </c>
    </row>
    <row r="140" spans="4:37">
      <c r="E140" t="s">
        <v>113</v>
      </c>
      <c r="F140" t="s">
        <v>467</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0" t="s">
        <v>1177</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0" t="s">
        <v>1156</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1238</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1237</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8" t="s">
        <v>1227</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1259</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1270</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9" workbookViewId="0">
      <selection activeCell="I10" sqref="I10"/>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69" t="s">
        <v>1586</v>
      </c>
      <c r="B1" s="2669"/>
      <c r="C1" s="2669"/>
      <c r="D1" s="2669"/>
      <c r="E1" s="2669"/>
      <c r="F1" s="2669"/>
      <c r="G1" s="2669"/>
      <c r="H1" s="2669"/>
      <c r="I1" s="2669"/>
      <c r="J1" s="2669"/>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30759432</v>
      </c>
      <c r="I3" s="1105"/>
    </row>
    <row r="4" spans="1:13" s="1051" customFormat="1" ht="20.100000000000001" customHeight="1">
      <c r="B4" s="1094"/>
      <c r="D4" s="1108"/>
      <c r="F4" s="1092" t="s">
        <v>1992</v>
      </c>
      <c r="G4" s="1091" t="s">
        <v>1991</v>
      </c>
      <c r="H4" s="1093">
        <f>I18</f>
        <v>30758195.836764708</v>
      </c>
      <c r="I4" s="1095"/>
      <c r="K4" s="1055"/>
    </row>
    <row r="5" spans="1:13" s="1051" customFormat="1" ht="20.100000000000001" customHeight="1" thickBot="1">
      <c r="B5" s="1096"/>
      <c r="C5" s="1097"/>
      <c r="D5" s="1109"/>
      <c r="E5" s="1098"/>
      <c r="F5" s="1109" t="s">
        <v>1942</v>
      </c>
      <c r="G5" s="1110"/>
      <c r="H5" s="1106">
        <f>IFERROR(H3/H4,0)</f>
        <v>1.0000401897185989</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2" t="s">
        <v>1940</v>
      </c>
      <c r="C8" s="2673"/>
      <c r="D8" s="2673"/>
      <c r="E8" s="2674"/>
      <c r="G8" s="2649" t="s">
        <v>1941</v>
      </c>
      <c r="H8" s="2650"/>
      <c r="I8" s="2651"/>
      <c r="K8" s="1057"/>
    </row>
    <row r="9" spans="1:13" ht="15" customHeight="1">
      <c r="A9" s="1046"/>
      <c r="B9" s="2670" t="s">
        <v>1974</v>
      </c>
      <c r="C9" s="2670"/>
      <c r="D9" s="2670"/>
      <c r="E9" s="1059">
        <f>G33</f>
        <v>4637500</v>
      </c>
      <c r="G9" s="2662" t="s">
        <v>1972</v>
      </c>
      <c r="H9" s="2662"/>
      <c r="I9" s="1060">
        <f>SUMIF(Application!M554:M565,"Loan, Tax-Exempt",Application!AM554:AM565)</f>
        <v>23780680</v>
      </c>
      <c r="K9" s="1061"/>
      <c r="M9" s="1062"/>
    </row>
    <row r="10" spans="1:13" ht="15" customHeight="1" thickBot="1">
      <c r="A10" s="1046"/>
      <c r="B10" s="2670" t="s">
        <v>1975</v>
      </c>
      <c r="C10" s="2670"/>
      <c r="D10" s="2670"/>
      <c r="E10" s="1060">
        <f>G47</f>
        <v>18909432</v>
      </c>
      <c r="G10" s="2676" t="s">
        <v>1943</v>
      </c>
      <c r="H10" s="2676"/>
      <c r="I10" s="1140">
        <f>'Basis &amp; Credits'!AB78</f>
        <v>13631654</v>
      </c>
      <c r="M10" s="1062"/>
    </row>
    <row r="11" spans="1:13" ht="15" customHeight="1">
      <c r="A11" s="1046"/>
      <c r="B11" s="2663" t="s">
        <v>2263</v>
      </c>
      <c r="C11" s="2664"/>
      <c r="D11" s="2665"/>
      <c r="E11" s="1060">
        <f>SUM(E12,E13)</f>
        <v>720000</v>
      </c>
      <c r="G11" s="2661" t="s">
        <v>1983</v>
      </c>
      <c r="H11" s="2661"/>
      <c r="I11" s="1139">
        <f>I9+I10</f>
        <v>37412334</v>
      </c>
      <c r="M11" s="1062"/>
    </row>
    <row r="12" spans="1:13" ht="15" customHeight="1">
      <c r="A12" s="1063"/>
      <c r="B12" s="2671" t="s">
        <v>2265</v>
      </c>
      <c r="C12" s="2671"/>
      <c r="D12" s="2671"/>
      <c r="E12" s="1165">
        <f>G56</f>
        <v>240000</v>
      </c>
      <c r="M12" s="1062"/>
    </row>
    <row r="13" spans="1:13" ht="15" customHeight="1">
      <c r="A13" s="1049"/>
      <c r="B13" s="2671" t="s">
        <v>2266</v>
      </c>
      <c r="C13" s="2671"/>
      <c r="D13" s="2671"/>
      <c r="E13" s="1165">
        <f>G65</f>
        <v>480000</v>
      </c>
      <c r="G13" s="2649" t="s">
        <v>2006</v>
      </c>
      <c r="H13" s="2650"/>
      <c r="I13" s="2651"/>
      <c r="M13" s="1062"/>
    </row>
    <row r="14" spans="1:13" ht="15" customHeight="1">
      <c r="A14" s="1049"/>
      <c r="B14" s="2663" t="s">
        <v>2264</v>
      </c>
      <c r="C14" s="2664"/>
      <c r="D14" s="2665"/>
      <c r="E14" s="1167">
        <f>MAX(E15,E16)+E17</f>
        <v>6492500</v>
      </c>
      <c r="G14" s="2662" t="s">
        <v>139</v>
      </c>
      <c r="H14" s="2662"/>
      <c r="I14" s="1064">
        <f>15%*(AND(G120="Yes",G122&lt;&gt;""))</f>
        <v>0</v>
      </c>
      <c r="M14" s="1062"/>
    </row>
    <row r="15" spans="1:13" ht="15" customHeight="1">
      <c r="A15" s="1049"/>
      <c r="B15" s="2646" t="s">
        <v>2270</v>
      </c>
      <c r="C15" s="2647"/>
      <c r="D15" s="2648"/>
      <c r="E15" s="1165">
        <f>G80</f>
        <v>2782500</v>
      </c>
      <c r="G15" s="1137" t="s">
        <v>1984</v>
      </c>
      <c r="H15" s="1137"/>
      <c r="I15" s="1064">
        <f>IF(Application!AJ1032&gt;0,10%,IF(Application!AJ1036&gt;0,5%,0))</f>
        <v>0.05</v>
      </c>
      <c r="M15" s="1062"/>
    </row>
    <row r="16" spans="1:13" ht="15" customHeight="1">
      <c r="A16" s="1049"/>
      <c r="B16" s="2646" t="s">
        <v>2269</v>
      </c>
      <c r="C16" s="2647"/>
      <c r="D16" s="2648"/>
      <c r="E16" s="1165">
        <f>G90</f>
        <v>0</v>
      </c>
      <c r="G16" s="2662" t="s">
        <v>1985</v>
      </c>
      <c r="H16" s="2662"/>
      <c r="I16" s="1064">
        <f>G132</f>
        <v>0.127859477124183</v>
      </c>
    </row>
    <row r="17" spans="1:21" ht="15" customHeight="1" thickBot="1">
      <c r="A17" s="1049"/>
      <c r="B17" s="2646" t="s">
        <v>2268</v>
      </c>
      <c r="C17" s="2647"/>
      <c r="D17" s="2648"/>
      <c r="E17" s="1165">
        <f>G115</f>
        <v>3710000</v>
      </c>
      <c r="G17" s="2662" t="s">
        <v>2278</v>
      </c>
      <c r="H17" s="2662"/>
      <c r="I17" s="1064">
        <f>IF(AND(G139="Yes",OR(G136,G137)),IF(G143&gt;15%,15%,G143),0)</f>
        <v>0</v>
      </c>
    </row>
    <row r="18" spans="1:21" ht="15" customHeight="1">
      <c r="A18" s="1046"/>
      <c r="B18" s="2675" t="s">
        <v>1939</v>
      </c>
      <c r="C18" s="2675"/>
      <c r="D18" s="2675"/>
      <c r="E18" s="1111">
        <f>SUM(E9:E11,E14)</f>
        <v>30759432</v>
      </c>
      <c r="G18" s="1138" t="s">
        <v>1973</v>
      </c>
      <c r="H18" s="1138"/>
      <c r="I18" s="1112">
        <f>I11-((I11*I14)+(I11*I15)+(I11*I16)+(I11*I17))</f>
        <v>30758195.836764708</v>
      </c>
      <c r="M18" s="1065">
        <f>SUM(Cdlac[Quantity])</f>
        <v>78</v>
      </c>
      <c r="O18" s="1084" t="s">
        <v>583</v>
      </c>
      <c r="P18" s="1044">
        <f>MATCH(Application!T189,Application!CB160:CB217,0)</f>
        <v>43</v>
      </c>
      <c r="T18" s="1065">
        <f>SUM(Cdlac[Population])</f>
        <v>24</v>
      </c>
    </row>
    <row r="19" spans="1:21" ht="15" customHeight="1">
      <c r="A19" s="1046"/>
      <c r="B19" s="1046"/>
      <c r="C19" s="1046"/>
      <c r="D19" s="1046"/>
      <c r="E19" s="1046"/>
      <c r="L19" s="1044" t="s">
        <v>1935</v>
      </c>
      <c r="M19" s="1044" t="s">
        <v>1934</v>
      </c>
      <c r="N19" s="1044" t="s">
        <v>1946</v>
      </c>
      <c r="O19" s="1044" t="s">
        <v>1947</v>
      </c>
      <c r="P19" s="1044" t="s">
        <v>1936</v>
      </c>
      <c r="Q19" s="1044" t="s">
        <v>2261</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2</v>
      </c>
      <c r="N20" s="1071">
        <f>Application!AC718</f>
        <v>0.3</v>
      </c>
      <c r="O20" s="1071">
        <f>IF(Cdlac[[#This Row],[Quantity]]&gt;0,IF(Cdlac[[#This Row],[Federal]],30%,IF(AND(OR(NOT($G$38),$G$38=""),$G$43),40%,Cdlac[[#This Row],[iAMI]])),"")</f>
        <v>0.3</v>
      </c>
      <c r="P20" s="1065" cm="1">
        <f t="array" ref="P20">IF(Cdlac[[#This Row],[Quantity]]&gt;0,INDEX(TcacRents,$P$18,Cdlac[[#This Row],[Bedrooms]]+1)*Cdlac[[#This Row],[AMI]],"")</f>
        <v>1054.8</v>
      </c>
      <c r="Q20" s="1164"/>
      <c r="R20" s="1065" cm="1">
        <f t="array" ref="R20">IF(Cdlac[[#This Row],[Quantity]]&gt;0,INDEX(HudFmrs,$P$18,Cdlac[[#This Row],[Bedrooms]]+1),"")</f>
        <v>2608</v>
      </c>
      <c r="S20" s="1065">
        <f>IF(Cdlac[[#This Row],[Quantity]]&gt;0,MAX(0,Cdlac[[#This Row],[Fair Market Rent]]-IF(AND($G$37,$G$38,$G$38&lt;&gt;"",NOT(Cdlac[[#This Row],[Federal]]),Cdlac[[#This Row],[Preservation Rent]]&lt;&gt;""),Cdlac[[#This Row],[Preservation Rent]],Cdlac[[#This Row],[Restricted Rent]])),"")</f>
        <v>1553.2</v>
      </c>
      <c r="T20" s="1044">
        <f>IF(Cdlac[[#This Row],[Quantity]]&gt;0,AND(Application!AK718&lt;&gt;"N/A",Application!AK718&lt;&gt;"")*Cdlac[[#This Row],[Quantity]],"")</f>
        <v>2</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1</v>
      </c>
      <c r="N21" s="1071">
        <f>Application!AC719</f>
        <v>0.5</v>
      </c>
      <c r="O21" s="1071">
        <f>IF(Cdlac[[#This Row],[Quantity]]&gt;0,IF(Cdlac[[#This Row],[Federal]],30%,IF(AND(OR(NOT($G$38),$G$38=""),$G$43),40%,Cdlac[[#This Row],[iAMI]])),"")</f>
        <v>0.5</v>
      </c>
      <c r="P21" s="1065" cm="1">
        <f t="array" ref="P21">IF(Cdlac[[#This Row],[Quantity]]&gt;0,INDEX(TcacRents,$P$18,Cdlac[[#This Row],[Bedrooms]]+1)*Cdlac[[#This Row],[AMI]],"")</f>
        <v>1758</v>
      </c>
      <c r="Q21" s="1164"/>
      <c r="R21" s="1065" cm="1">
        <f t="array" ref="R21">IF(Cdlac[[#This Row],[Quantity]]&gt;0,INDEX(HudFmrs,$P$18,Cdlac[[#This Row],[Bedrooms]]+1),"")</f>
        <v>2608</v>
      </c>
      <c r="S21" s="1065">
        <f>IF(Cdlac[[#This Row],[Quantity]]&gt;0,MAX(0,Cdlac[[#This Row],[Fair Market Rent]]-IF(AND($G$37,$G$38,$G$38&lt;&gt;"",NOT(Cdlac[[#This Row],[Federal]]),Cdlac[[#This Row],[Preservation Rent]]&lt;&gt;""),Cdlac[[#This Row],[Preservation Rent]],Cdlac[[#This Row],[Restricted Rent]])),"")</f>
        <v>850</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3" t="s">
        <v>1987</v>
      </c>
      <c r="D22" s="2653" t="s">
        <v>1988</v>
      </c>
      <c r="E22" s="2653" t="s">
        <v>1989</v>
      </c>
      <c r="F22" s="2653" t="s">
        <v>2609</v>
      </c>
      <c r="G22" s="2653" t="s">
        <v>1986</v>
      </c>
      <c r="H22" s="1070"/>
      <c r="I22" s="1069"/>
      <c r="L22" s="1044">
        <f>IFERROR(MIN(4,MATCH(Application!B720,UnitSizes,0)-1),"")</f>
        <v>0</v>
      </c>
      <c r="M22" s="1065">
        <f>Application!G720</f>
        <v>2</v>
      </c>
      <c r="N22" s="1071">
        <f>Application!AC720</f>
        <v>0.6</v>
      </c>
      <c r="O22" s="1071">
        <f>IF(Cdlac[[#This Row],[Quantity]]&gt;0,IF(Cdlac[[#This Row],[Federal]],30%,IF(AND(OR(NOT($G$38),$G$38=""),$G$43),40%,Cdlac[[#This Row],[iAMI]])),"")</f>
        <v>0.6</v>
      </c>
      <c r="P22" s="1065" cm="1">
        <f t="array" ref="P22">IF(Cdlac[[#This Row],[Quantity]]&gt;0,INDEX(TcacRents,$P$18,Cdlac[[#This Row],[Bedrooms]]+1)*Cdlac[[#This Row],[AMI]],"")</f>
        <v>2109.6</v>
      </c>
      <c r="Q22" s="1164"/>
      <c r="R22" s="1065" cm="1">
        <f t="array" ref="R22">IF(Cdlac[[#This Row],[Quantity]]&gt;0,INDEX(HudFmrs,$P$18,Cdlac[[#This Row],[Bedrooms]]+1),"")</f>
        <v>2608</v>
      </c>
      <c r="S22" s="1065">
        <f>IF(Cdlac[[#This Row],[Quantity]]&gt;0,MAX(0,Cdlac[[#This Row],[Fair Market Rent]]-IF(AND($G$37,$G$38,$G$38&lt;&gt;"",NOT(Cdlac[[#This Row],[Federal]]),Cdlac[[#This Row],[Preservation Rent]]&lt;&gt;""),Cdlac[[#This Row],[Preservation Rent]],Cdlac[[#This Row],[Restricted Rent]])),"")</f>
        <v>498.40000000000009</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4"/>
      <c r="D23" s="2654"/>
      <c r="E23" s="2654"/>
      <c r="F23" s="2654"/>
      <c r="G23" s="2654"/>
      <c r="H23" s="1070"/>
      <c r="I23" s="1069"/>
      <c r="L23" s="1044">
        <f>IFERROR(MIN(4,MATCH(Application!B721,UnitSizes,0)-1),"")</f>
        <v>1</v>
      </c>
      <c r="M23" s="1065">
        <f>Application!G721</f>
        <v>4</v>
      </c>
      <c r="N23" s="1071">
        <f>Application!AC721</f>
        <v>0.3</v>
      </c>
      <c r="O23" s="1071">
        <f>IF(Cdlac[[#This Row],[Quantity]]&gt;0,IF(Cdlac[[#This Row],[Federal]],30%,IF(AND(OR(NOT($G$38),$G$38=""),$G$43),40%,Cdlac[[#This Row],[iAMI]])),"")</f>
        <v>0.3</v>
      </c>
      <c r="P23" s="1065" cm="1">
        <f t="array" ref="P23">IF(Cdlac[[#This Row],[Quantity]]&gt;0,INDEX(TcacRents,$P$18,Cdlac[[#This Row],[Bedrooms]]+1)*Cdlac[[#This Row],[AMI]],"")</f>
        <v>1130.3999999999999</v>
      </c>
      <c r="Q23" s="1164"/>
      <c r="R23" s="1065" cm="1">
        <f t="array" ref="R23">IF(Cdlac[[#This Row],[Quantity]]&gt;0,INDEX(HudFmrs,$P$18,Cdlac[[#This Row],[Bedrooms]]+1),"")</f>
        <v>2975</v>
      </c>
      <c r="S23" s="1065">
        <f>IF(Cdlac[[#This Row],[Quantity]]&gt;0,MAX(0,Cdlac[[#This Row],[Fair Market Rent]]-IF(AND($G$37,$G$38,$G$38&lt;&gt;"",NOT(Cdlac[[#This Row],[Federal]]),Cdlac[[#This Row],[Preservation Rent]]&lt;&gt;""),Cdlac[[#This Row],[Preservation Rent]],Cdlac[[#This Row],[Restricted Rent]])),"")</f>
        <v>1844.6000000000001</v>
      </c>
      <c r="T23" s="1044">
        <f>IF(Cdlac[[#This Row],[Quantity]]&gt;0,AND(Application!AK721&lt;&gt;"N/A",Application!AK721&lt;&gt;"")*Cdlac[[#This Row],[Quantity]],"")</f>
        <v>4</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5</v>
      </c>
      <c r="F24" s="1072">
        <f>E24</f>
        <v>5</v>
      </c>
      <c r="G24" s="1072">
        <f>D24*F24</f>
        <v>4.5</v>
      </c>
      <c r="L24" s="1044">
        <f>IFERROR(MIN(4,MATCH(Application!B722,UnitSizes,0)-1),"")</f>
        <v>1</v>
      </c>
      <c r="M24" s="1065">
        <f>Application!G722</f>
        <v>6</v>
      </c>
      <c r="N24" s="1071">
        <f>Application!AC722</f>
        <v>0.3</v>
      </c>
      <c r="O24" s="1071">
        <f>IF(Cdlac[[#This Row],[Quantity]]&gt;0,IF(Cdlac[[#This Row],[Federal]],30%,IF(AND(OR(NOT($G$38),$G$38=""),$G$43),40%,Cdlac[[#This Row],[iAMI]])),"")</f>
        <v>0.3</v>
      </c>
      <c r="P24" s="1065" cm="1">
        <f t="array" ref="P24">IF(Cdlac[[#This Row],[Quantity]]&gt;0,INDEX(TcacRents,$P$18,Cdlac[[#This Row],[Bedrooms]]+1)*Cdlac[[#This Row],[AMI]],"")</f>
        <v>1130.3999999999999</v>
      </c>
      <c r="Q24" s="1164"/>
      <c r="R24" s="1065" cm="1">
        <f t="array" ref="R24">IF(Cdlac[[#This Row],[Quantity]]&gt;0,INDEX(HudFmrs,$P$18,Cdlac[[#This Row],[Bedrooms]]+1),"")</f>
        <v>2975</v>
      </c>
      <c r="S24" s="1065">
        <f>IF(Cdlac[[#This Row],[Quantity]]&gt;0,MAX(0,Cdlac[[#This Row],[Fair Market Rent]]-IF(AND($G$37,$G$38,$G$38&lt;&gt;"",NOT(Cdlac[[#This Row],[Federal]]),Cdlac[[#This Row],[Preservation Rent]]&lt;&gt;""),Cdlac[[#This Row],[Preservation Rent]],Cdlac[[#This Row],[Restricted Rent]])),"")</f>
        <v>1844.6000000000001</v>
      </c>
      <c r="T24" s="1044">
        <f>IF(Cdlac[[#This Row],[Quantity]]&gt;0,AND(Application!AK722&lt;&gt;"N/A",Application!AK722&lt;&gt;"")*Cdlac[[#This Row],[Quantity]],"")</f>
        <v>6</v>
      </c>
      <c r="U24" s="1044" t="b">
        <f>AND('Subsidy Contract Calculation'!F8&gt;0,OR('Subsidy Contract Calculation'!C8="Federal",'Subsidy Contract Calculation'!C8="Local - Approved by ED"),Cdlac[[#This Row],[Quantity]]&gt;0)</f>
        <v>1</v>
      </c>
    </row>
    <row r="25" spans="1:21" ht="15" customHeight="1">
      <c r="C25" s="1072">
        <v>1</v>
      </c>
      <c r="D25" s="1073">
        <v>1</v>
      </c>
      <c r="E25" s="1072">
        <f>SUMIFS(Cdlac[Quantity],Cdlac[Bedrooms],C25)</f>
        <v>32</v>
      </c>
      <c r="F25" s="1072">
        <f>E25</f>
        <v>32</v>
      </c>
      <c r="G25" s="1072">
        <f>D25*F25</f>
        <v>32</v>
      </c>
      <c r="L25" s="1044">
        <f>IFERROR(MIN(4,MATCH(Application!B723,UnitSizes,0)-1),"")</f>
        <v>1</v>
      </c>
      <c r="M25" s="1065">
        <f>Application!G723</f>
        <v>3</v>
      </c>
      <c r="N25" s="1071">
        <f>Application!AC723</f>
        <v>0.5</v>
      </c>
      <c r="O25" s="1071">
        <f>IF(Cdlac[[#This Row],[Quantity]]&gt;0,IF(Cdlac[[#This Row],[Federal]],30%,IF(AND(OR(NOT($G$38),$G$38=""),$G$43),40%,Cdlac[[#This Row],[iAMI]])),"")</f>
        <v>0.5</v>
      </c>
      <c r="P25" s="1065" cm="1">
        <f t="array" ref="P25">IF(Cdlac[[#This Row],[Quantity]]&gt;0,INDEX(TcacRents,$P$18,Cdlac[[#This Row],[Bedrooms]]+1)*Cdlac[[#This Row],[AMI]],"")</f>
        <v>1884</v>
      </c>
      <c r="Q25" s="1164"/>
      <c r="R25" s="1065" cm="1">
        <f t="array" ref="R25">IF(Cdlac[[#This Row],[Quantity]]&gt;0,INDEX(HudFmrs,$P$18,Cdlac[[#This Row],[Bedrooms]]+1),"")</f>
        <v>2975</v>
      </c>
      <c r="S25" s="1065">
        <f>IF(Cdlac[[#This Row],[Quantity]]&gt;0,MAX(0,Cdlac[[#This Row],[Fair Market Rent]]-IF(AND($G$37,$G$38,$G$38&lt;&gt;"",NOT(Cdlac[[#This Row],[Federal]]),Cdlac[[#This Row],[Preservation Rent]]&lt;&gt;""),Cdlac[[#This Row],[Preservation Rent]],Cdlac[[#This Row],[Restricted Rent]])),"")</f>
        <v>1091</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21</v>
      </c>
      <c r="F26" s="1075">
        <f>SUM(E26:E28)-SUM(F27:F28)</f>
        <v>21</v>
      </c>
      <c r="G26" s="1072">
        <f>D26*F26</f>
        <v>26.25</v>
      </c>
      <c r="H26" s="1074"/>
      <c r="I26" s="1074"/>
      <c r="L26" s="1044">
        <f>IFERROR(MIN(4,MATCH(Application!B724,UnitSizes,0)-1),"")</f>
        <v>1</v>
      </c>
      <c r="M26" s="1065">
        <f>Application!G724</f>
        <v>19</v>
      </c>
      <c r="N26" s="1071">
        <f>Application!AC724</f>
        <v>0.6</v>
      </c>
      <c r="O26" s="1071">
        <f>IF(Cdlac[[#This Row],[Quantity]]&gt;0,IF(Cdlac[[#This Row],[Federal]],30%,IF(AND(OR(NOT($G$38),$G$38=""),$G$43),40%,Cdlac[[#This Row],[iAMI]])),"")</f>
        <v>0.6</v>
      </c>
      <c r="P26" s="1065" cm="1">
        <f t="array" ref="P26">IF(Cdlac[[#This Row],[Quantity]]&gt;0,INDEX(TcacRents,$P$18,Cdlac[[#This Row],[Bedrooms]]+1)*Cdlac[[#This Row],[AMI]],"")</f>
        <v>2260.7999999999997</v>
      </c>
      <c r="Q26" s="1164"/>
      <c r="R26" s="1065" cm="1">
        <f t="array" ref="R26">IF(Cdlac[[#This Row],[Quantity]]&gt;0,INDEX(HudFmrs,$P$18,Cdlac[[#This Row],[Bedrooms]]+1),"")</f>
        <v>2975</v>
      </c>
      <c r="S26" s="1065">
        <f>IF(Cdlac[[#This Row],[Quantity]]&gt;0,MAX(0,Cdlac[[#This Row],[Fair Market Rent]]-IF(AND($G$37,$G$38,$G$38&lt;&gt;"",NOT(Cdlac[[#This Row],[Federal]]),Cdlac[[#This Row],[Preservation Rent]]&lt;&gt;""),Cdlac[[#This Row],[Preservation Rent]],Cdlac[[#This Row],[Restricted Rent]])),"")</f>
        <v>714.20000000000027</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20</v>
      </c>
      <c r="F27" s="1075">
        <f>MIN(E27,ROUNDDOWN(E29*30%,0))</f>
        <v>20</v>
      </c>
      <c r="G27" s="1072">
        <f>D27*F27</f>
        <v>30</v>
      </c>
      <c r="H27" s="1074"/>
      <c r="I27" s="1074"/>
      <c r="L27" s="1044">
        <f>IFERROR(MIN(4,MATCH(Application!B725,UnitSizes,0)-1),"")</f>
        <v>2</v>
      </c>
      <c r="M27" s="1065">
        <f>Application!G725</f>
        <v>5</v>
      </c>
      <c r="N27" s="1071">
        <f>Application!AC725</f>
        <v>0.3</v>
      </c>
      <c r="O27" s="1071">
        <f>IF(Cdlac[[#This Row],[Quantity]]&gt;0,IF(Cdlac[[#This Row],[Federal]],30%,IF(AND(OR(NOT($G$38),$G$38=""),$G$43),40%,Cdlac[[#This Row],[iAMI]])),"")</f>
        <v>0.3</v>
      </c>
      <c r="P27" s="1065" cm="1">
        <f t="array" ref="P27">IF(Cdlac[[#This Row],[Quantity]]&gt;0,INDEX(TcacRents,$P$18,Cdlac[[#This Row],[Bedrooms]]+1)*Cdlac[[#This Row],[AMI]],"")</f>
        <v>1356.6</v>
      </c>
      <c r="Q27" s="1164"/>
      <c r="R27" s="1065" cm="1">
        <f t="array" ref="R27">IF(Cdlac[[#This Row],[Quantity]]&gt;0,INDEX(HudFmrs,$P$18,Cdlac[[#This Row],[Bedrooms]]+1),"")</f>
        <v>3446</v>
      </c>
      <c r="S27" s="1065">
        <f>IF(Cdlac[[#This Row],[Quantity]]&gt;0,MAX(0,Cdlac[[#This Row],[Fair Market Rent]]-IF(AND($G$37,$G$38,$G$38&lt;&gt;"",NOT(Cdlac[[#This Row],[Federal]]),Cdlac[[#This Row],[Preservation Rent]]&lt;&gt;""),Cdlac[[#This Row],[Preservation Rent]],Cdlac[[#This Row],[Restricted Rent]])),"")</f>
        <v>2089.4</v>
      </c>
      <c r="T27" s="1044">
        <f>IF(Cdlac[[#This Row],[Quantity]]&gt;0,AND(Application!AK725&lt;&gt;"N/A",Application!AK725&lt;&gt;"")*Cdlac[[#This Row],[Quantity]],"")</f>
        <v>5</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2</v>
      </c>
      <c r="M28" s="1065">
        <f>Application!G726</f>
        <v>6</v>
      </c>
      <c r="N28" s="1071">
        <f>Application!AC726</f>
        <v>0.3</v>
      </c>
      <c r="O28" s="1071">
        <f>IF(Cdlac[[#This Row],[Quantity]]&gt;0,IF(Cdlac[[#This Row],[Federal]],30%,IF(AND(OR(NOT($G$38),$G$38=""),$G$43),40%,Cdlac[[#This Row],[iAMI]])),"")</f>
        <v>0.3</v>
      </c>
      <c r="P28" s="1065" cm="1">
        <f t="array" ref="P28">IF(Cdlac[[#This Row],[Quantity]]&gt;0,INDEX(TcacRents,$P$18,Cdlac[[#This Row],[Bedrooms]]+1)*Cdlac[[#This Row],[AMI]],"")</f>
        <v>1356.6</v>
      </c>
      <c r="Q28" s="1164"/>
      <c r="R28" s="1065" cm="1">
        <f t="array" ref="R28">IF(Cdlac[[#This Row],[Quantity]]&gt;0,INDEX(HudFmrs,$P$18,Cdlac[[#This Row],[Bedrooms]]+1),"")</f>
        <v>3446</v>
      </c>
      <c r="S28" s="1065">
        <f>IF(Cdlac[[#This Row],[Quantity]]&gt;0,MAX(0,Cdlac[[#This Row],[Fair Market Rent]]-IF(AND($G$37,$G$38,$G$38&lt;&gt;"",NOT(Cdlac[[#This Row],[Federal]]),Cdlac[[#This Row],[Preservation Rent]]&lt;&gt;""),Cdlac[[#This Row],[Preservation Rent]],Cdlac[[#This Row],[Restricted Rent]])),"")</f>
        <v>2089.4</v>
      </c>
      <c r="T28" s="1044">
        <f>IF(Cdlac[[#This Row],[Quantity]]&gt;0,AND(Application!AK726&lt;&gt;"N/A",Application!AK726&lt;&gt;"")*Cdlac[[#This Row],[Quantity]],"")</f>
        <v>6</v>
      </c>
      <c r="U28" s="1044" t="b">
        <f>AND('Subsidy Contract Calculation'!F12&gt;0,OR('Subsidy Contract Calculation'!C12="Federal",'Subsidy Contract Calculation'!C12="Local - Approved by ED"),Cdlac[[#This Row],[Quantity]]&gt;0)</f>
        <v>1</v>
      </c>
    </row>
    <row r="29" spans="1:21" ht="15" customHeight="1">
      <c r="A29" s="1074"/>
      <c r="C29" s="2655" t="s">
        <v>1587</v>
      </c>
      <c r="D29" s="2656"/>
      <c r="E29" s="1089">
        <f>SUM(E24:E28)</f>
        <v>78</v>
      </c>
      <c r="F29" s="1089">
        <f>SUM(F24:F28)</f>
        <v>78</v>
      </c>
      <c r="G29" s="1090">
        <f>SUMPRODUCT(D24:D28,F24:F28)</f>
        <v>92.75</v>
      </c>
      <c r="H29" s="1074"/>
      <c r="I29" s="1074"/>
      <c r="L29" s="1044">
        <f>IFERROR(MIN(4,MATCH(Application!B727,UnitSizes,0)-1),"")</f>
        <v>2</v>
      </c>
      <c r="M29" s="1065">
        <f>Application!G727</f>
        <v>3</v>
      </c>
      <c r="N29" s="1071">
        <f>Application!AC727</f>
        <v>0.5</v>
      </c>
      <c r="O29" s="1071">
        <f>IF(Cdlac[[#This Row],[Quantity]]&gt;0,IF(Cdlac[[#This Row],[Federal]],30%,IF(AND(OR(NOT($G$38),$G$38=""),$G$43),40%,Cdlac[[#This Row],[iAMI]])),"")</f>
        <v>0.5</v>
      </c>
      <c r="P29" s="1065" cm="1">
        <f t="array" ref="P29">IF(Cdlac[[#This Row],[Quantity]]&gt;0,INDEX(TcacRents,$P$18,Cdlac[[#This Row],[Bedrooms]]+1)*Cdlac[[#This Row],[AMI]],"")</f>
        <v>2261</v>
      </c>
      <c r="Q29" s="1164"/>
      <c r="R29" s="1065" cm="1">
        <f t="array" ref="R29">IF(Cdlac[[#This Row],[Quantity]]&gt;0,INDEX(HudFmrs,$P$18,Cdlac[[#This Row],[Bedrooms]]+1),"")</f>
        <v>3446</v>
      </c>
      <c r="S29" s="1065">
        <f>IF(Cdlac[[#This Row],[Quantity]]&gt;0,MAX(0,Cdlac[[#This Row],[Fair Market Rent]]-IF(AND($G$37,$G$38,$G$38&lt;&gt;"",NOT(Cdlac[[#This Row],[Federal]]),Cdlac[[#This Row],[Preservation Rent]]&lt;&gt;""),Cdlac[[#This Row],[Preservation Rent]],Cdlac[[#This Row],[Restricted Rent]])),"")</f>
        <v>1185</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2</v>
      </c>
      <c r="M30" s="1065">
        <f>Application!G728</f>
        <v>7</v>
      </c>
      <c r="N30" s="1071">
        <f>Application!AC728</f>
        <v>0.6</v>
      </c>
      <c r="O30" s="1071">
        <f>IF(Cdlac[[#This Row],[Quantity]]&gt;0,IF(Cdlac[[#This Row],[Federal]],30%,IF(AND(OR(NOT($G$38),$G$38=""),$G$43),40%,Cdlac[[#This Row],[iAMI]])),"")</f>
        <v>0.6</v>
      </c>
      <c r="P30" s="1065" cm="1">
        <f t="array" ref="P30">IF(Cdlac[[#This Row],[Quantity]]&gt;0,INDEX(TcacRents,$P$18,Cdlac[[#This Row],[Bedrooms]]+1)*Cdlac[[#This Row],[AMI]],"")</f>
        <v>2713.2</v>
      </c>
      <c r="Q30" s="1164"/>
      <c r="R30" s="1065" cm="1">
        <f t="array" ref="R30">IF(Cdlac[[#This Row],[Quantity]]&gt;0,INDEX(HudFmrs,$P$18,Cdlac[[#This Row],[Bedrooms]]+1),"")</f>
        <v>3446</v>
      </c>
      <c r="S30" s="1065">
        <f>IF(Cdlac[[#This Row],[Quantity]]&gt;0,MAX(0,Cdlac[[#This Row],[Fair Market Rent]]-IF(AND($G$37,$G$38,$G$38&lt;&gt;"",NOT(Cdlac[[#This Row],[Federal]]),Cdlac[[#This Row],[Preservation Rent]]&lt;&gt;""),Cdlac[[#This Row],[Preservation Rent]],Cdlac[[#This Row],[Restricted Rent]])),"")</f>
        <v>732.80000000000018</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92.75</v>
      </c>
      <c r="H31" s="1074"/>
      <c r="I31" s="1074"/>
      <c r="L31" s="1044">
        <f>IFERROR(MIN(4,MATCH(Application!B729,UnitSizes,0)-1),"")</f>
        <v>3</v>
      </c>
      <c r="M31" s="1065">
        <f>Application!G729</f>
        <v>1</v>
      </c>
      <c r="N31" s="1071">
        <f>Application!AC729</f>
        <v>0.3</v>
      </c>
      <c r="O31" s="1071">
        <f>IF(Cdlac[[#This Row],[Quantity]]&gt;0,IF(Cdlac[[#This Row],[Federal]],30%,IF(AND(OR(NOT($G$38),$G$38=""),$G$43),40%,Cdlac[[#This Row],[iAMI]])),"")</f>
        <v>0.3</v>
      </c>
      <c r="P31" s="1065" cm="1">
        <f t="array" ref="P31">IF(Cdlac[[#This Row],[Quantity]]&gt;0,INDEX(TcacRents,$P$18,Cdlac[[#This Row],[Bedrooms]]+1)*Cdlac[[#This Row],[AMI]],"")</f>
        <v>1566.6</v>
      </c>
      <c r="Q31" s="1164"/>
      <c r="R31" s="1065" cm="1">
        <f t="array" ref="R31">IF(Cdlac[[#This Row],[Quantity]]&gt;0,INDEX(HudFmrs,$P$18,Cdlac[[#This Row],[Bedrooms]]+1),"")</f>
        <v>4477</v>
      </c>
      <c r="S31" s="1065">
        <f>IF(Cdlac[[#This Row],[Quantity]]&gt;0,MAX(0,Cdlac[[#This Row],[Fair Market Rent]]-IF(AND($G$37,$G$38,$G$38&lt;&gt;"",NOT(Cdlac[[#This Row],[Federal]]),Cdlac[[#This Row],[Preservation Rent]]&lt;&gt;""),Cdlac[[#This Row],[Preservation Rent]],Cdlac[[#This Row],[Restricted Rent]])),"")</f>
        <v>2910.4</v>
      </c>
      <c r="T31" s="1044">
        <f>IF(Cdlac[[#This Row],[Quantity]]&gt;0,AND(Application!AK729&lt;&gt;"N/A",Application!AK729&lt;&gt;"")*Cdlac[[#This Row],[Quantity]],"")</f>
        <v>1</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f>IFERROR(MIN(4,MATCH(Application!B730,UnitSizes,0)-1),"")</f>
        <v>3</v>
      </c>
      <c r="M32" s="1065">
        <f>Application!G730</f>
        <v>9</v>
      </c>
      <c r="N32" s="1071">
        <f>Application!AC730</f>
        <v>0.5</v>
      </c>
      <c r="O32" s="1071">
        <f>IF(Cdlac[[#This Row],[Quantity]]&gt;0,IF(Cdlac[[#This Row],[Federal]],30%,IF(AND(OR(NOT($G$38),$G$38=""),$G$43),40%,Cdlac[[#This Row],[iAMI]])),"")</f>
        <v>0.5</v>
      </c>
      <c r="P32" s="1065" cm="1">
        <f t="array" ref="P32">IF(Cdlac[[#This Row],[Quantity]]&gt;0,INDEX(TcacRents,$P$18,Cdlac[[#This Row],[Bedrooms]]+1)*Cdlac[[#This Row],[AMI]],"")</f>
        <v>2611</v>
      </c>
      <c r="Q32" s="1164"/>
      <c r="R32" s="1065" cm="1">
        <f t="array" ref="R32">IF(Cdlac[[#This Row],[Quantity]]&gt;0,INDEX(HudFmrs,$P$18,Cdlac[[#This Row],[Bedrooms]]+1),"")</f>
        <v>4477</v>
      </c>
      <c r="S32" s="1065">
        <f>IF(Cdlac[[#This Row],[Quantity]]&gt;0,MAX(0,Cdlac[[#This Row],[Fair Market Rent]]-IF(AND($G$37,$G$38,$G$38&lt;&gt;"",NOT(Cdlac[[#This Row],[Federal]]),Cdlac[[#This Row],[Preservation Rent]]&lt;&gt;""),Cdlac[[#This Row],[Preservation Rent]],Cdlac[[#This Row],[Restricted Rent]])),"")</f>
        <v>1866</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4637500</v>
      </c>
      <c r="H33" s="1074"/>
      <c r="I33" s="1074"/>
      <c r="L33" s="1044">
        <f>IFERROR(MIN(4,MATCH(Application!B731,UnitSizes,0)-1),"")</f>
        <v>3</v>
      </c>
      <c r="M33" s="1065">
        <f>Application!G731</f>
        <v>10</v>
      </c>
      <c r="N33" s="1071">
        <f>Application!AC731</f>
        <v>0.6</v>
      </c>
      <c r="O33" s="1071">
        <f>IF(Cdlac[[#This Row],[Quantity]]&gt;0,IF(Cdlac[[#This Row],[Federal]],30%,IF(AND(OR(NOT($G$38),$G$38=""),$G$43),40%,Cdlac[[#This Row],[iAMI]])),"")</f>
        <v>0.6</v>
      </c>
      <c r="P33" s="1065" cm="1">
        <f t="array" ref="P33">IF(Cdlac[[#This Row],[Quantity]]&gt;0,INDEX(TcacRents,$P$18,Cdlac[[#This Row],[Bedrooms]]+1)*Cdlac[[#This Row],[AMI]],"")</f>
        <v>3133.2</v>
      </c>
      <c r="Q33" s="1164"/>
      <c r="R33" s="1065" cm="1">
        <f t="array" ref="R33">IF(Cdlac[[#This Row],[Quantity]]&gt;0,INDEX(HudFmrs,$P$18,Cdlac[[#This Row],[Bedrooms]]+1),"")</f>
        <v>4477</v>
      </c>
      <c r="S33" s="1065">
        <f>IF(Cdlac[[#This Row],[Quantity]]&gt;0,MAX(0,Cdlac[[#This Row],[Fair Market Rent]]-IF(AND($G$37,$G$38,$G$38&lt;&gt;"",NOT(Cdlac[[#This Row],[Federal]]),Cdlac[[#This Row],[Preservation Rent]]&lt;&gt;""),Cdlac[[#This Row],[Preservation Rent]],Cdlac[[#This Row],[Restricted Rent]])),"")</f>
        <v>1343.8000000000002</v>
      </c>
      <c r="T33" s="1044">
        <f>IF(Cdlac[[#This Row],[Quantity]]&gt;0,AND(Application!AK731&lt;&gt;"N/A",Application!AK731&lt;&gt;"")*Cdlac[[#This Row],[Quantity]],"")</f>
        <v>0</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8" t="str">
        <f>IF(AND(G37,G38,G38&lt;&gt;""),"Enter the average rent charged for each unit type over the last three years, as documented with rent rolls or property audits, in cells Q20:Q44","")</f>
        <v/>
      </c>
      <c r="D39" s="2658"/>
      <c r="E39" s="2658"/>
      <c r="F39" s="2658"/>
      <c r="G39" s="2658"/>
      <c r="H39" s="2658"/>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8"/>
      <c r="D40" s="2658"/>
      <c r="E40" s="2658"/>
      <c r="F40" s="2658"/>
      <c r="G40" s="2658"/>
      <c r="H40" s="2658"/>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8"/>
      <c r="D41" s="2658"/>
      <c r="E41" s="2658"/>
      <c r="F41" s="2658"/>
      <c r="G41" s="2658"/>
      <c r="H41" s="2658"/>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0.52121212121212124</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105052.40000000001</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18909432</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24</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39</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24</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240000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24</v>
      </c>
    </row>
    <row r="61" spans="2:21" ht="15" customHeight="1">
      <c r="E61" s="1117" t="s">
        <v>1995</v>
      </c>
      <c r="G61" s="1079">
        <f>ROUNDDOWN(E29*50%,0)</f>
        <v>39</v>
      </c>
    </row>
    <row r="62" spans="2:21" ht="15" customHeight="1">
      <c r="E62" s="1117"/>
      <c r="G62" s="1079"/>
    </row>
    <row r="63" spans="2:21" ht="15" customHeight="1">
      <c r="E63" s="1117" t="s">
        <v>1955</v>
      </c>
      <c r="G63" s="1114">
        <f>MIN(G60:G61)</f>
        <v>24</v>
      </c>
    </row>
    <row r="64" spans="2:21" ht="15" customHeight="1">
      <c r="E64" s="1117" t="s">
        <v>1945</v>
      </c>
      <c r="F64" s="1113" t="s">
        <v>1993</v>
      </c>
      <c r="G64" s="1124">
        <v>20000</v>
      </c>
    </row>
    <row r="65" spans="2:14" ht="15" customHeight="1">
      <c r="E65" s="1118" t="s">
        <v>1977</v>
      </c>
      <c r="F65" s="1046"/>
      <c r="G65" s="1123">
        <f>G63*G64</f>
        <v>480000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546</v>
      </c>
    </row>
    <row r="70" spans="2:14" ht="15" customHeight="1">
      <c r="C70" s="1077" t="s">
        <v>1982</v>
      </c>
      <c r="G70" s="1081" t="str">
        <f>IF(Application!D211="Large Family","Yes","No")</f>
        <v>Yes</v>
      </c>
    </row>
    <row r="71" spans="2:14" ht="15" customHeight="1" thickBot="1">
      <c r="C71" s="1077" t="s">
        <v>1968</v>
      </c>
      <c r="G71" s="1043"/>
    </row>
    <row r="72" spans="2:14" ht="15" customHeight="1">
      <c r="C72" s="1077" t="s">
        <v>1969</v>
      </c>
      <c r="G72" s="1044" t="str">
        <f>Application!T193</f>
        <v>Highest Resource</v>
      </c>
      <c r="L72" s="2666" t="s">
        <v>1970</v>
      </c>
      <c r="M72" s="2667"/>
      <c r="N72" s="1131">
        <v>30000</v>
      </c>
    </row>
    <row r="73" spans="2:14" ht="15" customHeight="1">
      <c r="C73" s="2668" t="s">
        <v>2262</v>
      </c>
      <c r="D73" s="2668"/>
      <c r="E73" s="2668"/>
      <c r="F73" s="2668"/>
      <c r="G73" s="1043"/>
      <c r="L73" s="2677" t="s">
        <v>1938</v>
      </c>
      <c r="M73" s="2678"/>
      <c r="N73" s="1132">
        <v>20000</v>
      </c>
    </row>
    <row r="74" spans="2:14" ht="15" customHeight="1" thickBot="1">
      <c r="C74" s="2668"/>
      <c r="D74" s="2668"/>
      <c r="E74" s="2668"/>
      <c r="F74" s="2668"/>
      <c r="L74" s="2679" t="s">
        <v>1971</v>
      </c>
      <c r="M74" s="2680"/>
      <c r="N74" s="1133">
        <v>10000</v>
      </c>
    </row>
    <row r="75" spans="2:14" ht="15" customHeight="1">
      <c r="C75" s="1077"/>
    </row>
    <row r="76" spans="2:14" ht="15" customHeight="1">
      <c r="E76" s="1084" t="s">
        <v>2000</v>
      </c>
      <c r="G76" s="1079" t="b">
        <f>OR(AND(COUNTIFS(G70:G71,"Yes")&gt;=1,G69="Yes"),G73="Yes")</f>
        <v>1</v>
      </c>
    </row>
    <row r="77" spans="2:14" ht="15" customHeight="1">
      <c r="E77" s="1084"/>
      <c r="G77" s="1079"/>
    </row>
    <row r="78" spans="2:14" ht="15" customHeight="1">
      <c r="E78" s="1084" t="s">
        <v>1945</v>
      </c>
      <c r="G78" s="1078">
        <f>IFERROR(IF($G$73="Yes",30000,INDEX(N72:N74,MATCH(LEFT(G72,17),L72:L74,0))),0)</f>
        <v>30000</v>
      </c>
    </row>
    <row r="79" spans="2:14" ht="15" customHeight="1">
      <c r="E79" s="1084" t="str">
        <f>E96</f>
        <v>Bedroom-Adjusted Low-Income Units</v>
      </c>
      <c r="F79" s="1113" t="s">
        <v>1993</v>
      </c>
      <c r="G79" s="1114">
        <f>G29</f>
        <v>92.75</v>
      </c>
    </row>
    <row r="80" spans="2:14" ht="15" customHeight="1">
      <c r="D80" s="1046"/>
      <c r="E80" s="1118" t="s">
        <v>2267</v>
      </c>
      <c r="F80" s="1046"/>
      <c r="G80" s="1123">
        <f>G79*G78*G76</f>
        <v>2782500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92.75</v>
      </c>
    </row>
    <row r="89" spans="2:9" ht="15" customHeight="1">
      <c r="E89" s="1084" t="s">
        <v>1945</v>
      </c>
      <c r="F89" s="1113" t="s">
        <v>1993</v>
      </c>
      <c r="G89" s="1050">
        <v>20000</v>
      </c>
    </row>
    <row r="90" spans="2:9" ht="15" customHeight="1">
      <c r="E90" s="1118" t="s">
        <v>2271</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92.75</v>
      </c>
    </row>
    <row r="97" spans="2:14" ht="15" customHeight="1">
      <c r="E97" s="1118" t="s">
        <v>1962</v>
      </c>
      <c r="F97" s="1046"/>
      <c r="G97" s="1123">
        <f>G94*G95*G96</f>
        <v>2597000</v>
      </c>
      <c r="L97" s="1127" t="str">
        <f>'Points System'!H638</f>
        <v>N/A</v>
      </c>
      <c r="M97" s="2685" t="s">
        <v>1406</v>
      </c>
      <c r="N97" s="2686"/>
    </row>
    <row r="98" spans="2:14" ht="15" customHeight="1">
      <c r="C98" s="1077"/>
      <c r="G98" s="1114"/>
      <c r="L98" s="1128" t="str">
        <f>'Points System'!H650</f>
        <v>N/A</v>
      </c>
      <c r="M98" s="2681" t="s">
        <v>1957</v>
      </c>
      <c r="N98" s="2682"/>
    </row>
    <row r="99" spans="2:14" ht="15" customHeight="1">
      <c r="E99" s="1084" t="s">
        <v>1998</v>
      </c>
      <c r="G99" s="1126">
        <f>COUNTIFS(L97:L104,"(i)")</f>
        <v>3</v>
      </c>
      <c r="L99" s="1128" t="str">
        <f>'Points System'!H685</f>
        <v>(i)</v>
      </c>
      <c r="M99" s="2681" t="s">
        <v>1958</v>
      </c>
      <c r="N99" s="2682"/>
    </row>
    <row r="100" spans="2:14" ht="15" customHeight="1">
      <c r="E100" s="1084" t="s">
        <v>1945</v>
      </c>
      <c r="F100" s="1113" t="s">
        <v>1993</v>
      </c>
      <c r="G100" s="1124">
        <v>4000</v>
      </c>
      <c r="L100" s="1128" t="str">
        <f>IF(OR('Points System'!H709="(ii)",'Points System'!H709="(i)"),"(i)","N/A")</f>
        <v>(i)</v>
      </c>
      <c r="M100" s="2681" t="s">
        <v>1959</v>
      </c>
      <c r="N100" s="2682"/>
    </row>
    <row r="101" spans="2:14" ht="15" customHeight="1">
      <c r="E101" s="1118" t="s">
        <v>1963</v>
      </c>
      <c r="F101" s="1046"/>
      <c r="G101" s="1123">
        <f>G96*G99*G100</f>
        <v>1113000</v>
      </c>
      <c r="L101" s="1129" t="str">
        <f>'Points System'!H723</f>
        <v>N/A</v>
      </c>
      <c r="M101" s="2681" t="s">
        <v>1432</v>
      </c>
      <c r="N101" s="2682"/>
    </row>
    <row r="102" spans="2:14" ht="15" customHeight="1">
      <c r="L102" s="1128" t="str">
        <f>'Points System'!H735</f>
        <v>N/A</v>
      </c>
      <c r="M102" s="2681" t="s">
        <v>1960</v>
      </c>
      <c r="N102" s="2682"/>
    </row>
    <row r="103" spans="2:14" ht="15" customHeight="1">
      <c r="C103" s="1080" t="s">
        <v>1965</v>
      </c>
      <c r="L103" s="1128" t="str">
        <f>'Points System'!H751</f>
        <v>(i)</v>
      </c>
      <c r="M103" s="2681" t="s">
        <v>1961</v>
      </c>
      <c r="N103" s="2682"/>
    </row>
    <row r="104" spans="2:14" ht="15" customHeight="1" thickBot="1">
      <c r="C104" s="1077" t="s">
        <v>1966</v>
      </c>
      <c r="G104" s="1043"/>
      <c r="L104" s="1130" t="str">
        <f>'Points System'!H763</f>
        <v>(ii)</v>
      </c>
      <c r="M104" s="2683" t="s">
        <v>1435</v>
      </c>
      <c r="N104" s="2684"/>
    </row>
    <row r="105" spans="2:14" ht="15" customHeight="1">
      <c r="C105" s="1077" t="s">
        <v>1967</v>
      </c>
      <c r="G105" s="1043"/>
    </row>
    <row r="106" spans="2:14" ht="15" customHeight="1">
      <c r="C106" s="1077" t="s">
        <v>2140</v>
      </c>
      <c r="G106" s="1043"/>
    </row>
    <row r="107" spans="2:14" ht="15" customHeight="1">
      <c r="C107" s="1077" t="s">
        <v>2141</v>
      </c>
      <c r="G107" s="1043"/>
    </row>
    <row r="108" spans="2:14" ht="15" customHeight="1"/>
    <row r="109" spans="2:14" ht="15" customHeight="1">
      <c r="B109" s="1078"/>
      <c r="C109" s="1077"/>
      <c r="E109" s="1084" t="s">
        <v>2000</v>
      </c>
      <c r="G109" s="1079" t="b">
        <f>COUNTIFS(G104:G107,"Yes")&gt;=1</f>
        <v>0</v>
      </c>
    </row>
    <row r="110" spans="2:14" ht="15" customHeight="1">
      <c r="E110" s="1077"/>
    </row>
    <row r="111" spans="2:14" ht="15" customHeight="1">
      <c r="E111" s="1084" t="s">
        <v>1997</v>
      </c>
      <c r="F111" s="1113" t="s">
        <v>1993</v>
      </c>
      <c r="G111" s="1114">
        <f>G29</f>
        <v>92.75</v>
      </c>
    </row>
    <row r="112" spans="2:14" ht="15" customHeight="1">
      <c r="E112" s="1084" t="s">
        <v>1945</v>
      </c>
      <c r="F112" s="1113" t="s">
        <v>1993</v>
      </c>
      <c r="G112" s="1124">
        <v>25000</v>
      </c>
    </row>
    <row r="113" spans="2:9" ht="15" customHeight="1">
      <c r="E113" s="1118" t="s">
        <v>1964</v>
      </c>
      <c r="F113" s="1046"/>
      <c r="G113" s="1123">
        <f>G109*G112*G96</f>
        <v>0</v>
      </c>
    </row>
    <row r="114" spans="2:9" ht="15" customHeight="1">
      <c r="C114" s="1077"/>
      <c r="E114" s="1077"/>
    </row>
    <row r="115" spans="2:9" ht="15" customHeight="1">
      <c r="E115" s="1118" t="s">
        <v>2272</v>
      </c>
      <c r="G115" s="1123">
        <f>G113+G101+G97</f>
        <v>3710000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7" t="s">
        <v>2227</v>
      </c>
      <c r="D119" s="2657"/>
      <c r="E119" s="2657"/>
      <c r="F119" s="2657"/>
    </row>
    <row r="120" spans="2:9" ht="15" customHeight="1">
      <c r="C120" s="2657"/>
      <c r="D120" s="2657"/>
      <c r="E120" s="2657"/>
      <c r="F120" s="2657"/>
      <c r="G120" s="1043"/>
    </row>
    <row r="121" spans="2:9" ht="15" customHeight="1"/>
    <row r="122" spans="2:9" ht="15" customHeight="1">
      <c r="C122" s="1044" t="s">
        <v>2229</v>
      </c>
      <c r="G122" s="2659"/>
      <c r="H122" s="2659"/>
    </row>
    <row r="123" spans="2:9" ht="15" customHeight="1">
      <c r="G123" s="2659"/>
      <c r="H123" s="2659"/>
    </row>
    <row r="124" spans="2:9" ht="15" customHeight="1">
      <c r="G124" s="2660"/>
      <c r="H124" s="2660"/>
    </row>
    <row r="125" spans="2:9" ht="15" customHeight="1">
      <c r="G125" s="1160"/>
      <c r="H125" s="1160"/>
    </row>
    <row r="126" spans="2:9" ht="15" customHeight="1">
      <c r="B126" s="1066" t="s">
        <v>2002</v>
      </c>
      <c r="C126" s="1067"/>
      <c r="D126" s="1067"/>
      <c r="E126" s="1067"/>
      <c r="F126" s="1067"/>
      <c r="G126" s="1067"/>
      <c r="H126" s="1067"/>
      <c r="I126" s="1068"/>
    </row>
    <row r="128" spans="2:9">
      <c r="E128" s="1084" t="s">
        <v>583</v>
      </c>
      <c r="G128" s="1044" t="str">
        <f>IF(Application!T189="","",Application!T189)</f>
        <v>Santa Clara</v>
      </c>
    </row>
    <row r="129" spans="2:9">
      <c r="E129" s="1084"/>
      <c r="G129" s="1078"/>
    </row>
    <row r="130" spans="2:9">
      <c r="E130" s="1084" t="str">
        <f>"2-Bedroom "&amp;G128&amp;" County Basis Limit"</f>
        <v>2-Bedroom Santa Clara County Basis Limit</v>
      </c>
      <c r="G130" s="1078">
        <f>Application!R988</f>
        <v>740000</v>
      </c>
    </row>
    <row r="131" spans="2:9">
      <c r="E131" s="1084" t="s">
        <v>2001</v>
      </c>
      <c r="G131" s="1078">
        <f>MEDIAN((Application!CU160:CU217))</f>
        <v>489600</v>
      </c>
    </row>
    <row r="132" spans="2:9" ht="15">
      <c r="D132" s="1046"/>
      <c r="E132" s="1118" t="s">
        <v>2003</v>
      </c>
      <c r="F132" s="1134"/>
      <c r="G132" s="1135">
        <f>((G130-G131)/G131)*0.25</f>
        <v>0.127859477124183</v>
      </c>
      <c r="H132" s="1042"/>
      <c r="I132" s="1042"/>
    </row>
    <row r="133" spans="2:9">
      <c r="D133" s="1045"/>
      <c r="E133" s="1045"/>
    </row>
    <row r="134" spans="2:9" ht="15">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0</v>
      </c>
    </row>
    <row r="138" spans="2:9">
      <c r="C138" s="2652" t="s">
        <v>2275</v>
      </c>
      <c r="D138" s="2652"/>
      <c r="E138" s="2652"/>
      <c r="F138" s="2652"/>
    </row>
    <row r="139" spans="2:9">
      <c r="B139" s="1045"/>
      <c r="C139" s="2652"/>
      <c r="D139" s="2652"/>
      <c r="E139" s="2652"/>
      <c r="F139" s="2652"/>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3567102</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5"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F13" sqref="F13"/>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7" t="s">
        <v>910</v>
      </c>
      <c r="B1" s="2687"/>
      <c r="C1" s="2687"/>
      <c r="D1" s="2687"/>
      <c r="E1" s="2687"/>
      <c r="F1" s="2687"/>
      <c r="G1" s="2687"/>
      <c r="H1" s="2687"/>
      <c r="I1" s="2687"/>
      <c r="J1" s="2687"/>
      <c r="K1" s="204"/>
      <c r="L1" s="204"/>
    </row>
    <row r="2" spans="1:12">
      <c r="A2" s="210"/>
      <c r="B2" s="210"/>
      <c r="C2" s="210"/>
      <c r="D2" s="210"/>
      <c r="E2" s="210"/>
      <c r="F2" s="210"/>
      <c r="G2" s="210"/>
      <c r="H2" s="210"/>
      <c r="I2" s="210"/>
      <c r="J2" s="210"/>
    </row>
    <row r="3" spans="1:12" ht="100.5">
      <c r="A3" s="426" t="s">
        <v>911</v>
      </c>
      <c r="B3" s="426" t="s">
        <v>2254</v>
      </c>
      <c r="C3" s="426" t="s">
        <v>2255</v>
      </c>
      <c r="D3" s="1146" t="s">
        <v>2256</v>
      </c>
      <c r="E3" s="204"/>
      <c r="F3" s="1146" t="s">
        <v>912</v>
      </c>
      <c r="G3" s="426" t="s">
        <v>913</v>
      </c>
      <c r="H3" s="427"/>
      <c r="I3" s="426" t="s">
        <v>914</v>
      </c>
      <c r="J3" s="426" t="s">
        <v>915</v>
      </c>
      <c r="K3" s="204"/>
      <c r="L3" s="305"/>
    </row>
    <row r="4" spans="1:12">
      <c r="A4" s="428" t="str">
        <f>Application!B718</f>
        <v>SRO/Studio</v>
      </c>
      <c r="B4" s="1082">
        <f>Application!G718</f>
        <v>2</v>
      </c>
      <c r="C4" s="1162"/>
      <c r="D4" s="428">
        <f>Application!O718</f>
        <v>988</v>
      </c>
      <c r="E4" s="429"/>
      <c r="F4" s="1083"/>
      <c r="G4" s="428">
        <f>F4*B4</f>
        <v>0</v>
      </c>
      <c r="H4" s="429"/>
      <c r="I4" s="428" t="str">
        <f t="shared" ref="I4:I27" si="0">IF(F4=0,"",(F4-D4))</f>
        <v/>
      </c>
      <c r="J4" s="428" t="str">
        <f t="shared" ref="J4:J27" si="1">IF(F4=0,"",(I4*B4))</f>
        <v/>
      </c>
      <c r="K4" s="204"/>
      <c r="L4" s="305"/>
    </row>
    <row r="5" spans="1:12">
      <c r="A5" s="428" t="str">
        <f>Application!B719</f>
        <v>SRO/Studio</v>
      </c>
      <c r="B5" s="1082">
        <f>Application!G719</f>
        <v>1</v>
      </c>
      <c r="C5" s="1162"/>
      <c r="D5" s="428">
        <f>Application!O719</f>
        <v>1691</v>
      </c>
      <c r="E5" s="429"/>
      <c r="F5" s="1083"/>
      <c r="G5" s="428">
        <f t="shared" ref="G5:G38" si="2">F5*B5</f>
        <v>0</v>
      </c>
      <c r="H5" s="429"/>
      <c r="I5" s="428" t="str">
        <f t="shared" si="0"/>
        <v/>
      </c>
      <c r="J5" s="428" t="str">
        <f t="shared" si="1"/>
        <v/>
      </c>
      <c r="K5" s="204"/>
      <c r="L5" s="305"/>
    </row>
    <row r="6" spans="1:12">
      <c r="A6" s="428" t="str">
        <f>Application!B720</f>
        <v>SRO/Studio</v>
      </c>
      <c r="B6" s="1082">
        <f>Application!G720</f>
        <v>2</v>
      </c>
      <c r="C6" s="1162"/>
      <c r="D6" s="428">
        <f>Application!O720</f>
        <v>2043</v>
      </c>
      <c r="E6" s="429"/>
      <c r="F6" s="1083"/>
      <c r="G6" s="428">
        <f t="shared" si="2"/>
        <v>0</v>
      </c>
      <c r="H6" s="429"/>
      <c r="I6" s="428" t="str">
        <f t="shared" si="0"/>
        <v/>
      </c>
      <c r="J6" s="428" t="str">
        <f t="shared" si="1"/>
        <v/>
      </c>
      <c r="K6" s="204"/>
      <c r="L6" s="305"/>
    </row>
    <row r="7" spans="1:12">
      <c r="A7" s="428" t="str">
        <f>Application!B721</f>
        <v>1 Bedroom</v>
      </c>
      <c r="B7" s="1082">
        <f>Application!G721</f>
        <v>4</v>
      </c>
      <c r="C7" s="1162"/>
      <c r="D7" s="428">
        <f>Application!O721</f>
        <v>1051</v>
      </c>
      <c r="E7" s="429"/>
      <c r="F7" s="1083"/>
      <c r="G7" s="428">
        <f t="shared" si="2"/>
        <v>0</v>
      </c>
      <c r="H7" s="429"/>
      <c r="I7" s="428" t="str">
        <f t="shared" si="0"/>
        <v/>
      </c>
      <c r="J7" s="428" t="str">
        <f t="shared" si="1"/>
        <v/>
      </c>
      <c r="K7" s="204"/>
      <c r="L7" s="305"/>
    </row>
    <row r="8" spans="1:12">
      <c r="A8" s="428" t="str">
        <f>Application!B722</f>
        <v>1 Bedroom</v>
      </c>
      <c r="B8" s="1082">
        <f>Application!G722</f>
        <v>6</v>
      </c>
      <c r="C8" s="1162" t="s">
        <v>385</v>
      </c>
      <c r="D8" s="428">
        <f>Application!O722</f>
        <v>1051</v>
      </c>
      <c r="E8" s="429"/>
      <c r="F8" s="1083">
        <v>3280</v>
      </c>
      <c r="G8" s="428">
        <f t="shared" si="2"/>
        <v>19680</v>
      </c>
      <c r="H8" s="429"/>
      <c r="I8" s="428">
        <f t="shared" si="0"/>
        <v>2229</v>
      </c>
      <c r="J8" s="428">
        <f t="shared" si="1"/>
        <v>13374</v>
      </c>
      <c r="K8" s="204"/>
      <c r="L8" s="305"/>
    </row>
    <row r="9" spans="1:12">
      <c r="A9" s="428" t="str">
        <f>Application!B723</f>
        <v>1 Bedroom</v>
      </c>
      <c r="B9" s="1082">
        <f>Application!G723</f>
        <v>3</v>
      </c>
      <c r="C9" s="1162"/>
      <c r="D9" s="428">
        <f>Application!O723</f>
        <v>1805</v>
      </c>
      <c r="E9" s="429"/>
      <c r="F9" s="1083"/>
      <c r="G9" s="428">
        <f t="shared" si="2"/>
        <v>0</v>
      </c>
      <c r="H9" s="429"/>
      <c r="I9" s="428" t="str">
        <f t="shared" si="0"/>
        <v/>
      </c>
      <c r="J9" s="428" t="str">
        <f t="shared" si="1"/>
        <v/>
      </c>
      <c r="K9" s="204"/>
      <c r="L9" s="305"/>
    </row>
    <row r="10" spans="1:12">
      <c r="A10" s="428" t="str">
        <f>Application!B724</f>
        <v>1 Bedroom</v>
      </c>
      <c r="B10" s="1082">
        <f>Application!G724</f>
        <v>19</v>
      </c>
      <c r="C10" s="1162"/>
      <c r="D10" s="428">
        <f>Application!O724</f>
        <v>2182</v>
      </c>
      <c r="E10" s="429"/>
      <c r="F10" s="1083"/>
      <c r="G10" s="428">
        <f t="shared" si="2"/>
        <v>0</v>
      </c>
      <c r="H10" s="429"/>
      <c r="I10" s="428" t="str">
        <f t="shared" si="0"/>
        <v/>
      </c>
      <c r="J10" s="428" t="str">
        <f t="shared" si="1"/>
        <v/>
      </c>
      <c r="K10" s="204"/>
      <c r="L10" s="305"/>
    </row>
    <row r="11" spans="1:12">
      <c r="A11" s="428" t="str">
        <f>Application!B725</f>
        <v>2 Bedrooms</v>
      </c>
      <c r="B11" s="1082">
        <f>Application!G725</f>
        <v>5</v>
      </c>
      <c r="C11" s="1162"/>
      <c r="D11" s="428">
        <f>Application!O725</f>
        <v>1250</v>
      </c>
      <c r="E11" s="429"/>
      <c r="F11" s="1083"/>
      <c r="G11" s="428">
        <f t="shared" si="2"/>
        <v>0</v>
      </c>
      <c r="H11" s="429"/>
      <c r="I11" s="428" t="str">
        <f t="shared" si="0"/>
        <v/>
      </c>
      <c r="J11" s="428" t="str">
        <f t="shared" si="1"/>
        <v/>
      </c>
      <c r="K11" s="204"/>
      <c r="L11" s="305"/>
    </row>
    <row r="12" spans="1:12">
      <c r="A12" s="428" t="str">
        <f>Application!B726</f>
        <v>2 Bedrooms</v>
      </c>
      <c r="B12" s="1082">
        <f>Application!G726</f>
        <v>6</v>
      </c>
      <c r="C12" s="1162" t="s">
        <v>385</v>
      </c>
      <c r="D12" s="428">
        <f>Application!O726</f>
        <v>1250</v>
      </c>
      <c r="E12" s="429"/>
      <c r="F12" s="1083">
        <v>3831</v>
      </c>
      <c r="G12" s="428">
        <f t="shared" si="2"/>
        <v>22986</v>
      </c>
      <c r="H12" s="429"/>
      <c r="I12" s="428">
        <f t="shared" si="0"/>
        <v>2581</v>
      </c>
      <c r="J12" s="428">
        <f t="shared" si="1"/>
        <v>15486</v>
      </c>
      <c r="K12" s="204"/>
      <c r="L12" s="305"/>
    </row>
    <row r="13" spans="1:12">
      <c r="A13" s="428" t="str">
        <f>Application!B727</f>
        <v>2 Bedrooms</v>
      </c>
      <c r="B13" s="1082">
        <f>Application!G727</f>
        <v>3</v>
      </c>
      <c r="C13" s="1162"/>
      <c r="D13" s="428">
        <f>Application!O727</f>
        <v>2155</v>
      </c>
      <c r="E13" s="429"/>
      <c r="F13" s="1083"/>
      <c r="G13" s="428">
        <f t="shared" si="2"/>
        <v>0</v>
      </c>
      <c r="H13" s="429"/>
      <c r="I13" s="428" t="str">
        <f t="shared" si="0"/>
        <v/>
      </c>
      <c r="J13" s="428" t="str">
        <f t="shared" si="1"/>
        <v/>
      </c>
      <c r="K13" s="204"/>
      <c r="L13" s="305"/>
    </row>
    <row r="14" spans="1:12">
      <c r="A14" s="428" t="str">
        <f>Application!B728</f>
        <v>2 Bedrooms</v>
      </c>
      <c r="B14" s="1082">
        <f>Application!G728</f>
        <v>7</v>
      </c>
      <c r="C14" s="1162"/>
      <c r="D14" s="428">
        <f>Application!O728</f>
        <v>2607</v>
      </c>
      <c r="E14" s="429"/>
      <c r="F14" s="1083"/>
      <c r="G14" s="428">
        <f t="shared" si="2"/>
        <v>0</v>
      </c>
      <c r="H14" s="429"/>
      <c r="I14" s="428" t="str">
        <f t="shared" si="0"/>
        <v/>
      </c>
      <c r="J14" s="428" t="str">
        <f t="shared" si="1"/>
        <v/>
      </c>
      <c r="K14" s="204"/>
      <c r="L14" s="305"/>
    </row>
    <row r="15" spans="1:12">
      <c r="A15" s="428" t="str">
        <f>Application!B729</f>
        <v>3 Bedrooms</v>
      </c>
      <c r="B15" s="1082">
        <f>Application!G729</f>
        <v>1</v>
      </c>
      <c r="C15" s="1162"/>
      <c r="D15" s="428">
        <f>Application!O729</f>
        <v>1432</v>
      </c>
      <c r="E15" s="429"/>
      <c r="F15" s="1083"/>
      <c r="G15" s="428">
        <f t="shared" si="2"/>
        <v>0</v>
      </c>
      <c r="H15" s="429"/>
      <c r="I15" s="428" t="str">
        <f t="shared" si="0"/>
        <v/>
      </c>
      <c r="J15" s="428" t="str">
        <f t="shared" si="1"/>
        <v/>
      </c>
      <c r="K15" s="204"/>
      <c r="L15" s="305"/>
    </row>
    <row r="16" spans="1:12">
      <c r="A16" s="428" t="str">
        <f>Application!B730</f>
        <v>3 Bedrooms</v>
      </c>
      <c r="B16" s="1082">
        <f>Application!G730</f>
        <v>9</v>
      </c>
      <c r="C16" s="1162"/>
      <c r="D16" s="428">
        <f>Application!O730</f>
        <v>2476</v>
      </c>
      <c r="E16" s="429"/>
      <c r="F16" s="1083"/>
      <c r="G16" s="428">
        <f t="shared" si="2"/>
        <v>0</v>
      </c>
      <c r="H16" s="429"/>
      <c r="I16" s="428" t="str">
        <f t="shared" si="0"/>
        <v/>
      </c>
      <c r="J16" s="428" t="str">
        <f t="shared" si="1"/>
        <v/>
      </c>
      <c r="K16" s="204"/>
      <c r="L16" s="305"/>
    </row>
    <row r="17" spans="1:12">
      <c r="A17" s="428" t="str">
        <f>Application!B731</f>
        <v>3 Bedrooms</v>
      </c>
      <c r="B17" s="1082">
        <f>Application!G731</f>
        <v>10</v>
      </c>
      <c r="C17" s="1162"/>
      <c r="D17" s="428">
        <f>Application!O731</f>
        <v>2999</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157306</v>
      </c>
      <c r="E40" s="429"/>
      <c r="F40" s="429"/>
      <c r="G40" s="432">
        <f>SUM(G4:G38)*12</f>
        <v>511992</v>
      </c>
      <c r="H40" s="433"/>
      <c r="I40" s="431"/>
      <c r="J40" s="432">
        <f>SUM(J4:J38)*12</f>
        <v>346320</v>
      </c>
      <c r="K40" s="204"/>
      <c r="L40" s="306"/>
    </row>
    <row r="41" spans="1:12" ht="15">
      <c r="A41" s="430"/>
      <c r="B41" s="431"/>
      <c r="C41" s="431"/>
      <c r="D41" s="433"/>
      <c r="E41" s="429"/>
      <c r="F41" s="429"/>
      <c r="G41" s="433"/>
      <c r="H41" s="433"/>
      <c r="I41" s="431"/>
      <c r="J41" s="433"/>
      <c r="K41" s="204"/>
      <c r="L41" s="306"/>
    </row>
    <row r="42" spans="1:12">
      <c r="A42" s="304" t="s">
        <v>2257</v>
      </c>
    </row>
    <row r="43" spans="1:12">
      <c r="A43" s="2688" t="s">
        <v>2496</v>
      </c>
      <c r="B43" s="2688"/>
      <c r="C43" s="2688"/>
      <c r="D43" s="2688"/>
      <c r="E43" s="2688"/>
      <c r="F43" s="2688"/>
      <c r="G43" s="2688"/>
      <c r="H43" s="2688"/>
      <c r="I43" s="2688"/>
      <c r="J43" s="2688"/>
    </row>
    <row r="44" spans="1:12">
      <c r="A44" s="2688"/>
      <c r="B44" s="2688"/>
      <c r="C44" s="2688"/>
      <c r="D44" s="2688"/>
      <c r="E44" s="2688"/>
      <c r="F44" s="2688"/>
      <c r="G44" s="2688"/>
      <c r="H44" s="2688"/>
      <c r="I44" s="2688"/>
      <c r="J44" s="2688"/>
    </row>
    <row r="45" spans="1:12">
      <c r="A45" s="2688" t="s">
        <v>2258</v>
      </c>
      <c r="B45" s="2688"/>
      <c r="C45" s="2688"/>
      <c r="D45" s="2688"/>
      <c r="E45" s="2688"/>
      <c r="F45" s="2688"/>
      <c r="G45" s="2688"/>
      <c r="H45" s="2688"/>
      <c r="I45" s="2688"/>
      <c r="J45" s="2688"/>
    </row>
    <row r="46" spans="1:12">
      <c r="A46" s="2688"/>
      <c r="B46" s="2688"/>
      <c r="C46" s="2688"/>
      <c r="D46" s="2688"/>
      <c r="E46" s="2688"/>
      <c r="F46" s="2688"/>
      <c r="G46" s="2688"/>
      <c r="H46" s="2688"/>
      <c r="I46" s="2688"/>
      <c r="J46" s="2688"/>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5" workbookViewId="0">
      <selection activeCell="E60" sqref="E60:AG60"/>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2094</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1887672</v>
      </c>
      <c r="G4" s="219">
        <f>E4*$C$4</f>
        <v>1934863.7999999998</v>
      </c>
      <c r="I4" s="219">
        <f>G4*$C$4</f>
        <v>1983235.3949999996</v>
      </c>
      <c r="K4" s="219">
        <f>I4*$C$4</f>
        <v>2032816.2798749993</v>
      </c>
      <c r="M4" s="219">
        <f>K4*$C$4</f>
        <v>2083636.6868718741</v>
      </c>
      <c r="O4" s="219">
        <f>M4*$C$4</f>
        <v>2135727.6040436709</v>
      </c>
      <c r="Q4" s="219">
        <f>O4*$C$4</f>
        <v>2189120.7941447627</v>
      </c>
      <c r="S4" s="219">
        <f>Q4*$C$4</f>
        <v>2243848.8139983816</v>
      </c>
      <c r="U4" s="219">
        <f>S4*$C$4</f>
        <v>2299945.0343483412</v>
      </c>
      <c r="W4" s="219">
        <f>U4*$C$4</f>
        <v>2357443.6602070495</v>
      </c>
      <c r="Y4" s="219">
        <f>W4*$C$4</f>
        <v>2416379.7517122254</v>
      </c>
      <c r="AA4" s="219">
        <f>Y4*$C$4</f>
        <v>2476789.2455050307</v>
      </c>
      <c r="AC4" s="219">
        <f>AA4*$C$4</f>
        <v>2538708.9766426561</v>
      </c>
      <c r="AE4" s="219">
        <f>AC4*$C$4</f>
        <v>2602176.7010587221</v>
      </c>
      <c r="AG4" s="219">
        <f>AE4*$C$4</f>
        <v>2667231.1185851898</v>
      </c>
    </row>
    <row r="5" spans="1:34" s="210" customFormat="1" ht="14.25">
      <c r="B5" s="210" t="s">
        <v>839</v>
      </c>
      <c r="C5" s="238">
        <f>IF(Application!$D$211="Special Needs",(((0.1*Application!$T$212)+(0.05*(1-Application!$T$212)))),0.05)</f>
        <v>0.05</v>
      </c>
      <c r="E5" s="221">
        <f>-E4*$C$5</f>
        <v>-94383.6</v>
      </c>
      <c r="F5" s="221"/>
      <c r="G5" s="221">
        <f>-G4*$C$5</f>
        <v>-96743.19</v>
      </c>
      <c r="H5" s="221"/>
      <c r="I5" s="221">
        <f>-I4*$C$5</f>
        <v>-99161.769749999978</v>
      </c>
      <c r="J5" s="221"/>
      <c r="K5" s="221">
        <f>-K4*$C$5</f>
        <v>-101640.81399374997</v>
      </c>
      <c r="L5" s="221"/>
      <c r="M5" s="221">
        <f>-M4*$C$5</f>
        <v>-104181.83434359371</v>
      </c>
      <c r="N5" s="221"/>
      <c r="O5" s="221">
        <f>-O4*$C$5</f>
        <v>-106786.38020218356</v>
      </c>
      <c r="P5" s="221"/>
      <c r="Q5" s="221">
        <f>-Q4*$C$5</f>
        <v>-109456.03970723815</v>
      </c>
      <c r="R5" s="221"/>
      <c r="S5" s="221">
        <f>-S4*$C$5</f>
        <v>-112192.44069991908</v>
      </c>
      <c r="T5" s="221"/>
      <c r="U5" s="221">
        <f>-U4*$C$5</f>
        <v>-114997.25171741706</v>
      </c>
      <c r="V5" s="221"/>
      <c r="W5" s="221">
        <f>-W4*$C$5</f>
        <v>-117872.18301035248</v>
      </c>
      <c r="X5" s="221"/>
      <c r="Y5" s="221">
        <f>-Y4*$C$5</f>
        <v>-120818.98758561128</v>
      </c>
      <c r="Z5" s="221"/>
      <c r="AA5" s="221">
        <f>-AA4*$C$5</f>
        <v>-123839.46227525154</v>
      </c>
      <c r="AB5" s="221"/>
      <c r="AC5" s="221">
        <f>-AC4*$C$5</f>
        <v>-126935.44883213281</v>
      </c>
      <c r="AD5" s="221"/>
      <c r="AE5" s="221">
        <f>-AE4*$C$5</f>
        <v>-130108.83505293611</v>
      </c>
      <c r="AF5" s="221"/>
      <c r="AG5" s="221">
        <f>-AG4*$C$5</f>
        <v>-133361.55592925948</v>
      </c>
    </row>
    <row r="6" spans="1:34" s="210" customFormat="1" ht="14.25">
      <c r="A6" s="210" t="s">
        <v>837</v>
      </c>
      <c r="C6" s="237">
        <v>1.0249999999999999</v>
      </c>
      <c r="E6" s="222">
        <f>Application!Z809</f>
        <v>346320</v>
      </c>
      <c r="F6" s="222"/>
      <c r="G6" s="222">
        <f>E6*$C$6</f>
        <v>354977.99999999994</v>
      </c>
      <c r="H6" s="222"/>
      <c r="I6" s="222">
        <f>G6*$C$6</f>
        <v>363852.4499999999</v>
      </c>
      <c r="J6" s="222"/>
      <c r="K6" s="222">
        <f>I6*$C$6</f>
        <v>372948.76124999986</v>
      </c>
      <c r="L6" s="222"/>
      <c r="M6" s="222">
        <f>K6*$C$6</f>
        <v>382272.48028124985</v>
      </c>
      <c r="N6" s="222"/>
      <c r="O6" s="222">
        <f>M6*$C$6</f>
        <v>391829.29228828108</v>
      </c>
      <c r="P6" s="222"/>
      <c r="Q6" s="222">
        <f>O6*$C$6</f>
        <v>401625.0245954881</v>
      </c>
      <c r="R6" s="222"/>
      <c r="S6" s="222">
        <f>Q6*$C$6</f>
        <v>411665.65021037526</v>
      </c>
      <c r="T6" s="222"/>
      <c r="U6" s="222">
        <f>S6*$C$6</f>
        <v>421957.2914656346</v>
      </c>
      <c r="V6" s="222"/>
      <c r="W6" s="222">
        <f>U6*$C$6</f>
        <v>432506.2237522754</v>
      </c>
      <c r="X6" s="222"/>
      <c r="Y6" s="222">
        <f>W6*$C$6</f>
        <v>443318.87934608222</v>
      </c>
      <c r="Z6" s="222"/>
      <c r="AA6" s="222">
        <f>Y6*$C$6</f>
        <v>454401.85132973426</v>
      </c>
      <c r="AB6" s="222"/>
      <c r="AC6" s="222">
        <f>AA6*$C$6</f>
        <v>465761.8976129776</v>
      </c>
      <c r="AD6" s="222"/>
      <c r="AE6" s="222">
        <f>AC6*$C$6</f>
        <v>477405.94505330198</v>
      </c>
      <c r="AF6" s="222"/>
      <c r="AG6" s="222">
        <f>AE6*$C$6</f>
        <v>489341.0936796345</v>
      </c>
    </row>
    <row r="7" spans="1:34" s="210" customFormat="1" ht="14.25">
      <c r="B7" s="210" t="s">
        <v>839</v>
      </c>
      <c r="C7" s="238">
        <f>IF(Application!$D$211="Special Needs",(((0.1*Application!$T$212)+(0.05*(1-Application!$T$212)))),0.05)</f>
        <v>0.05</v>
      </c>
      <c r="E7" s="221">
        <f>-E6*$C$7</f>
        <v>-17316</v>
      </c>
      <c r="F7" s="221"/>
      <c r="G7" s="221">
        <f>-G6*$C$7</f>
        <v>-17748.899999999998</v>
      </c>
      <c r="H7" s="221"/>
      <c r="I7" s="221">
        <f>-I6*$C$7</f>
        <v>-18192.622499999994</v>
      </c>
      <c r="J7" s="221"/>
      <c r="K7" s="221">
        <f>-K6*$C$7</f>
        <v>-18647.438062499994</v>
      </c>
      <c r="L7" s="221"/>
      <c r="M7" s="221">
        <f>-M6*$C$7</f>
        <v>-19113.624014062494</v>
      </c>
      <c r="N7" s="221"/>
      <c r="O7" s="221">
        <f>-O6*$C$7</f>
        <v>-19591.464614414053</v>
      </c>
      <c r="P7" s="221"/>
      <c r="Q7" s="221">
        <f>-Q6*$C$7</f>
        <v>-20081.251229774407</v>
      </c>
      <c r="R7" s="221"/>
      <c r="S7" s="221">
        <f>-S6*$C$7</f>
        <v>-20583.282510518766</v>
      </c>
      <c r="T7" s="221"/>
      <c r="U7" s="221">
        <f>-U6*$C$7</f>
        <v>-21097.864573281731</v>
      </c>
      <c r="V7" s="221"/>
      <c r="W7" s="221">
        <f>-W6*$C$7</f>
        <v>-21625.31118761377</v>
      </c>
      <c r="X7" s="221"/>
      <c r="Y7" s="221">
        <f>-Y6*$C$7</f>
        <v>-22165.943967304112</v>
      </c>
      <c r="Z7" s="221"/>
      <c r="AA7" s="221">
        <f>-AA6*$C$7</f>
        <v>-22720.092566486714</v>
      </c>
      <c r="AB7" s="221"/>
      <c r="AC7" s="221">
        <f>-AC6*$C$7</f>
        <v>-23288.094880648881</v>
      </c>
      <c r="AD7" s="221"/>
      <c r="AE7" s="221">
        <f>-AE6*$C$7</f>
        <v>-23870.297252665099</v>
      </c>
      <c r="AF7" s="221"/>
      <c r="AG7" s="221">
        <f>-AG6*$C$7</f>
        <v>-24467.054683981725</v>
      </c>
    </row>
    <row r="8" spans="1:34" s="210" customFormat="1" ht="14.25">
      <c r="A8" s="210" t="s">
        <v>288</v>
      </c>
      <c r="C8" s="237">
        <v>1.0249999999999999</v>
      </c>
      <c r="E8" s="222">
        <f>Application!Z817</f>
        <v>12008</v>
      </c>
      <c r="F8" s="222"/>
      <c r="G8" s="222">
        <f>E8*$C$8</f>
        <v>12308.199999999999</v>
      </c>
      <c r="H8" s="222"/>
      <c r="I8" s="222">
        <f>G8*$C$8</f>
        <v>12615.904999999997</v>
      </c>
      <c r="J8" s="222"/>
      <c r="K8" s="222">
        <f>I8*$C$8</f>
        <v>12931.302624999997</v>
      </c>
      <c r="L8" s="222"/>
      <c r="M8" s="222">
        <f>K8*$C$8</f>
        <v>13254.585190624995</v>
      </c>
      <c r="N8" s="222"/>
      <c r="O8" s="222">
        <f>M8*$C$8</f>
        <v>13585.949820390619</v>
      </c>
      <c r="P8" s="222"/>
      <c r="Q8" s="222">
        <f>O8*$C$8</f>
        <v>13925.598565900384</v>
      </c>
      <c r="R8" s="222"/>
      <c r="S8" s="222">
        <f>Q8*$C$8</f>
        <v>14273.738530047893</v>
      </c>
      <c r="T8" s="222"/>
      <c r="U8" s="222">
        <f>S8*$C$8</f>
        <v>14630.581993299089</v>
      </c>
      <c r="V8" s="222"/>
      <c r="W8" s="222">
        <f>U8*$C$8</f>
        <v>14996.346543131565</v>
      </c>
      <c r="X8" s="222"/>
      <c r="Y8" s="222">
        <f>W8*$C$8</f>
        <v>15371.255206709853</v>
      </c>
      <c r="Z8" s="222"/>
      <c r="AA8" s="222">
        <f>Y8*$C$8</f>
        <v>15755.536586877599</v>
      </c>
      <c r="AB8" s="222"/>
      <c r="AC8" s="222">
        <f>AA8*$C$8</f>
        <v>16149.425001549538</v>
      </c>
      <c r="AD8" s="222"/>
      <c r="AE8" s="222">
        <f>AC8*$C$8</f>
        <v>16553.160626588277</v>
      </c>
      <c r="AF8" s="222"/>
      <c r="AG8" s="222">
        <f>AE8*$C$8</f>
        <v>16966.989642252982</v>
      </c>
    </row>
    <row r="9" spans="1:34" s="210" customFormat="1" ht="14.25">
      <c r="B9" s="210" t="s">
        <v>839</v>
      </c>
      <c r="C9" s="238">
        <f>IF(Application!$D$211="Special Needs",(((0.1*Application!$T$212)+(0.05*(1-Application!$T$212)))),0.05)</f>
        <v>0.05</v>
      </c>
      <c r="E9" s="221">
        <f>-E8*$C$9</f>
        <v>-600.4</v>
      </c>
      <c r="F9" s="221"/>
      <c r="G9" s="221">
        <f>-G8*$C$9</f>
        <v>-615.41</v>
      </c>
      <c r="H9" s="221"/>
      <c r="I9" s="221">
        <f>-I8*$C$9</f>
        <v>-630.7952499999999</v>
      </c>
      <c r="J9" s="221"/>
      <c r="K9" s="221">
        <f>-K8*$C$9</f>
        <v>-646.56513124999992</v>
      </c>
      <c r="L9" s="221"/>
      <c r="M9" s="221">
        <f>-M8*$C$9</f>
        <v>-662.7292595312498</v>
      </c>
      <c r="N9" s="221"/>
      <c r="O9" s="221">
        <f>-O8*$C$9</f>
        <v>-679.29749101953098</v>
      </c>
      <c r="P9" s="221"/>
      <c r="Q9" s="221">
        <f>-Q8*$C$9</f>
        <v>-696.2799282950192</v>
      </c>
      <c r="R9" s="221"/>
      <c r="S9" s="221">
        <f>-S8*$C$9</f>
        <v>-713.68692650239473</v>
      </c>
      <c r="T9" s="221"/>
      <c r="U9" s="221">
        <f>-U8*$C$9</f>
        <v>-731.52909966495451</v>
      </c>
      <c r="V9" s="221"/>
      <c r="W9" s="221">
        <f>-W8*$C$9</f>
        <v>-749.81732715657836</v>
      </c>
      <c r="X9" s="221"/>
      <c r="Y9" s="221">
        <f>-Y8*$C$9</f>
        <v>-768.56276033549273</v>
      </c>
      <c r="Z9" s="221"/>
      <c r="AA9" s="221">
        <f>-AA8*$C$9</f>
        <v>-787.77682934387997</v>
      </c>
      <c r="AB9" s="221"/>
      <c r="AC9" s="221">
        <f>-AC8*$C$9</f>
        <v>-807.47125007747695</v>
      </c>
      <c r="AD9" s="221"/>
      <c r="AE9" s="221">
        <f>-AE8*$C$9</f>
        <v>-827.65803132941392</v>
      </c>
      <c r="AF9" s="221"/>
      <c r="AG9" s="221">
        <f>-AG8*$C$9</f>
        <v>-848.34948211264918</v>
      </c>
    </row>
    <row r="10" spans="1:34" s="210" customFormat="1" ht="14.2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2133700</v>
      </c>
      <c r="G11" s="223">
        <f>SUM(G4:G10)</f>
        <v>2187042.5</v>
      </c>
      <c r="I11" s="223">
        <f>SUM(I4:I10)</f>
        <v>2241718.5624999991</v>
      </c>
      <c r="K11" s="223">
        <f>SUM(K4:K10)</f>
        <v>2297761.5265624993</v>
      </c>
      <c r="M11" s="223">
        <f>SUM(M4:M10)</f>
        <v>2355205.5647265613</v>
      </c>
      <c r="O11" s="223">
        <f>SUM(O4:O10)</f>
        <v>2414085.7038447252</v>
      </c>
      <c r="Q11" s="223">
        <f>SUM(Q4:Q10)</f>
        <v>2474437.8464408438</v>
      </c>
      <c r="S11" s="223">
        <f>SUM(S4:S10)</f>
        <v>2536298.7926018648</v>
      </c>
      <c r="U11" s="223">
        <f>SUM(U4:U10)</f>
        <v>2599706.2624169108</v>
      </c>
      <c r="W11" s="223">
        <f>SUM(W4:W10)</f>
        <v>2664698.9189773337</v>
      </c>
      <c r="Y11" s="223">
        <f>SUM(Y4:Y10)</f>
        <v>2731316.3919517668</v>
      </c>
      <c r="AA11" s="223">
        <f>SUM(AA4:AA10)</f>
        <v>2799599.3017505598</v>
      </c>
      <c r="AC11" s="223">
        <f>SUM(AC4:AC10)</f>
        <v>2869589.284294324</v>
      </c>
      <c r="AE11" s="223">
        <f>SUM(AE4:AE10)</f>
        <v>2941329.0164016811</v>
      </c>
      <c r="AG11" s="223">
        <f>SUM(AG4:AG10)</f>
        <v>3014862.2418117234</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40000</v>
      </c>
      <c r="G15" s="219">
        <f>E15*$C$14</f>
        <v>41400</v>
      </c>
      <c r="I15" s="219">
        <f>G15*$C$14</f>
        <v>42849</v>
      </c>
      <c r="K15" s="219">
        <f>I15*$C$14</f>
        <v>44348.714999999997</v>
      </c>
      <c r="M15" s="219">
        <f>K15*$C$14</f>
        <v>45900.920024999992</v>
      </c>
      <c r="O15" s="219">
        <f>M15*$C$14</f>
        <v>47507.452225874986</v>
      </c>
      <c r="Q15" s="219">
        <f>O15*$C$14</f>
        <v>49170.213053780608</v>
      </c>
      <c r="S15" s="219">
        <f>Q15*$C$14</f>
        <v>50891.170510662923</v>
      </c>
      <c r="U15" s="219">
        <f>S15*$C$14</f>
        <v>52672.361478536121</v>
      </c>
      <c r="W15" s="219">
        <f>U15*$C$14</f>
        <v>54515.894130284883</v>
      </c>
      <c r="Y15" s="219">
        <f>W15*$C$14</f>
        <v>56423.95042484485</v>
      </c>
      <c r="AA15" s="219">
        <f>Y15*$C$14</f>
        <v>58398.788689714413</v>
      </c>
      <c r="AC15" s="219">
        <f>AA15*$C$14</f>
        <v>60442.746293854412</v>
      </c>
      <c r="AE15" s="219">
        <f>AC15*$C$14</f>
        <v>62558.242414139313</v>
      </c>
      <c r="AG15" s="219">
        <f>AE15*$C$14</f>
        <v>64747.780898634184</v>
      </c>
    </row>
    <row r="16" spans="1:34" s="210" customFormat="1" ht="14.25">
      <c r="A16" s="210" t="s">
        <v>344</v>
      </c>
      <c r="C16" s="233"/>
      <c r="E16" s="222">
        <f>Application!W849</f>
        <v>128022</v>
      </c>
      <c r="F16" s="222"/>
      <c r="G16" s="222">
        <f t="shared" ref="G16:AG21" si="0">E16*$C$14</f>
        <v>132502.76999999999</v>
      </c>
      <c r="H16" s="222"/>
      <c r="I16" s="222">
        <f t="shared" si="0"/>
        <v>137140.36694999997</v>
      </c>
      <c r="J16" s="222"/>
      <c r="K16" s="222">
        <f t="shared" si="0"/>
        <v>141940.27979324997</v>
      </c>
      <c r="L16" s="222"/>
      <c r="M16" s="222">
        <f t="shared" si="0"/>
        <v>146908.1895860137</v>
      </c>
      <c r="N16" s="222"/>
      <c r="O16" s="222">
        <f t="shared" si="0"/>
        <v>152049.97622152418</v>
      </c>
      <c r="P16" s="222"/>
      <c r="Q16" s="222">
        <f t="shared" si="0"/>
        <v>157371.7253892775</v>
      </c>
      <c r="R16" s="222"/>
      <c r="S16" s="222">
        <f t="shared" si="0"/>
        <v>162879.73577790221</v>
      </c>
      <c r="T16" s="222"/>
      <c r="U16" s="222">
        <f t="shared" si="0"/>
        <v>168580.52653012879</v>
      </c>
      <c r="V16" s="222"/>
      <c r="W16" s="222">
        <f t="shared" si="0"/>
        <v>174480.84495868327</v>
      </c>
      <c r="X16" s="222"/>
      <c r="Y16" s="222">
        <f t="shared" si="0"/>
        <v>180587.67453223717</v>
      </c>
      <c r="Z16" s="222"/>
      <c r="AA16" s="222">
        <f t="shared" si="0"/>
        <v>186908.24314086547</v>
      </c>
      <c r="AB16" s="222"/>
      <c r="AC16" s="222">
        <f t="shared" si="0"/>
        <v>193450.03165079575</v>
      </c>
      <c r="AD16" s="222"/>
      <c r="AE16" s="222">
        <f t="shared" si="0"/>
        <v>200220.78275857359</v>
      </c>
      <c r="AF16" s="222"/>
      <c r="AG16" s="222">
        <f t="shared" si="0"/>
        <v>207228.51015512366</v>
      </c>
    </row>
    <row r="17" spans="1:33" s="210" customFormat="1" ht="14.25">
      <c r="A17" s="210" t="s">
        <v>562</v>
      </c>
      <c r="C17" s="233"/>
      <c r="E17" s="222">
        <f>Application!W855</f>
        <v>110000</v>
      </c>
      <c r="F17" s="222"/>
      <c r="G17" s="222">
        <f t="shared" si="0"/>
        <v>113849.99999999999</v>
      </c>
      <c r="H17" s="222"/>
      <c r="I17" s="222">
        <f t="shared" si="0"/>
        <v>117834.74999999997</v>
      </c>
      <c r="J17" s="222"/>
      <c r="K17" s="222">
        <f t="shared" si="0"/>
        <v>121958.96624999995</v>
      </c>
      <c r="L17" s="222"/>
      <c r="M17" s="222">
        <f t="shared" si="0"/>
        <v>126227.53006874994</v>
      </c>
      <c r="N17" s="222"/>
      <c r="O17" s="222">
        <f t="shared" si="0"/>
        <v>130645.49362115617</v>
      </c>
      <c r="P17" s="222"/>
      <c r="Q17" s="222">
        <f t="shared" si="0"/>
        <v>135218.08589789664</v>
      </c>
      <c r="R17" s="222"/>
      <c r="S17" s="222">
        <f t="shared" si="0"/>
        <v>139950.718904323</v>
      </c>
      <c r="T17" s="222"/>
      <c r="U17" s="222">
        <f t="shared" si="0"/>
        <v>144848.99406597429</v>
      </c>
      <c r="V17" s="222"/>
      <c r="W17" s="222">
        <f t="shared" si="0"/>
        <v>149918.70885828338</v>
      </c>
      <c r="X17" s="222"/>
      <c r="Y17" s="222">
        <f t="shared" si="0"/>
        <v>155165.86366832329</v>
      </c>
      <c r="Z17" s="222"/>
      <c r="AA17" s="222">
        <f t="shared" si="0"/>
        <v>160596.6688967146</v>
      </c>
      <c r="AB17" s="222"/>
      <c r="AC17" s="222">
        <f t="shared" si="0"/>
        <v>166217.55230809961</v>
      </c>
      <c r="AD17" s="222"/>
      <c r="AE17" s="222">
        <f t="shared" si="0"/>
        <v>172035.16663888309</v>
      </c>
      <c r="AF17" s="222"/>
      <c r="AG17" s="222">
        <f t="shared" si="0"/>
        <v>178056.39747124398</v>
      </c>
    </row>
    <row r="18" spans="1:33" s="210" customFormat="1" ht="14.25">
      <c r="A18" s="210" t="s">
        <v>843</v>
      </c>
      <c r="C18" s="233"/>
      <c r="E18" s="222">
        <f>Application!W862</f>
        <v>80000</v>
      </c>
      <c r="F18" s="222"/>
      <c r="G18" s="222">
        <f t="shared" si="0"/>
        <v>82800</v>
      </c>
      <c r="H18" s="222"/>
      <c r="I18" s="222">
        <f t="shared" si="0"/>
        <v>85698</v>
      </c>
      <c r="J18" s="222"/>
      <c r="K18" s="222">
        <f t="shared" si="0"/>
        <v>88697.43</v>
      </c>
      <c r="L18" s="222"/>
      <c r="M18" s="222">
        <f t="shared" si="0"/>
        <v>91801.840049999984</v>
      </c>
      <c r="N18" s="222"/>
      <c r="O18" s="222">
        <f t="shared" si="0"/>
        <v>95014.904451749971</v>
      </c>
      <c r="P18" s="222"/>
      <c r="Q18" s="222">
        <f t="shared" si="0"/>
        <v>98340.426107561216</v>
      </c>
      <c r="R18" s="222"/>
      <c r="S18" s="222">
        <f t="shared" si="0"/>
        <v>101782.34102132585</v>
      </c>
      <c r="T18" s="222"/>
      <c r="U18" s="222">
        <f t="shared" si="0"/>
        <v>105344.72295707224</v>
      </c>
      <c r="V18" s="222"/>
      <c r="W18" s="222">
        <f t="shared" si="0"/>
        <v>109031.78826056977</v>
      </c>
      <c r="X18" s="222"/>
      <c r="Y18" s="222">
        <f t="shared" si="0"/>
        <v>112847.9008496897</v>
      </c>
      <c r="Z18" s="222"/>
      <c r="AA18" s="222">
        <f t="shared" si="0"/>
        <v>116797.57737942883</v>
      </c>
      <c r="AB18" s="222"/>
      <c r="AC18" s="222">
        <f t="shared" si="0"/>
        <v>120885.49258770882</v>
      </c>
      <c r="AD18" s="222"/>
      <c r="AE18" s="222">
        <f t="shared" si="0"/>
        <v>125116.48482827863</v>
      </c>
      <c r="AF18" s="222"/>
      <c r="AG18" s="222">
        <f t="shared" si="0"/>
        <v>129495.56179726837</v>
      </c>
    </row>
    <row r="19" spans="1:33" s="210" customFormat="1" ht="14.25">
      <c r="A19" s="210" t="s">
        <v>155</v>
      </c>
      <c r="C19" s="233"/>
      <c r="E19" s="222">
        <f>Application!W863</f>
        <v>118500</v>
      </c>
      <c r="F19" s="222"/>
      <c r="G19" s="222">
        <f t="shared" si="0"/>
        <v>122647.49999999999</v>
      </c>
      <c r="H19" s="222"/>
      <c r="I19" s="222">
        <f t="shared" si="0"/>
        <v>126940.16249999998</v>
      </c>
      <c r="J19" s="222"/>
      <c r="K19" s="222">
        <f t="shared" si="0"/>
        <v>131383.06818749997</v>
      </c>
      <c r="L19" s="222"/>
      <c r="M19" s="222">
        <f t="shared" si="0"/>
        <v>135981.47557406247</v>
      </c>
      <c r="N19" s="222"/>
      <c r="O19" s="222">
        <f t="shared" si="0"/>
        <v>140740.82721915466</v>
      </c>
      <c r="P19" s="222"/>
      <c r="Q19" s="222">
        <f t="shared" si="0"/>
        <v>145666.75617182505</v>
      </c>
      <c r="R19" s="222"/>
      <c r="S19" s="222">
        <f t="shared" si="0"/>
        <v>150765.09263783891</v>
      </c>
      <c r="T19" s="222"/>
      <c r="U19" s="222">
        <f t="shared" si="0"/>
        <v>156041.87088016327</v>
      </c>
      <c r="V19" s="222"/>
      <c r="W19" s="222">
        <f t="shared" si="0"/>
        <v>161503.33636096897</v>
      </c>
      <c r="X19" s="222"/>
      <c r="Y19" s="222">
        <f t="shared" si="0"/>
        <v>167155.95313360286</v>
      </c>
      <c r="Z19" s="222"/>
      <c r="AA19" s="222">
        <f t="shared" si="0"/>
        <v>173006.41149327895</v>
      </c>
      <c r="AB19" s="222"/>
      <c r="AC19" s="222">
        <f t="shared" si="0"/>
        <v>179061.6358955437</v>
      </c>
      <c r="AD19" s="222"/>
      <c r="AE19" s="222">
        <f t="shared" si="0"/>
        <v>185328.79315188772</v>
      </c>
      <c r="AF19" s="222"/>
      <c r="AG19" s="222">
        <f t="shared" si="0"/>
        <v>191815.30091220376</v>
      </c>
    </row>
    <row r="20" spans="1:33" s="210" customFormat="1" ht="14.25">
      <c r="A20" s="210" t="s">
        <v>390</v>
      </c>
      <c r="C20" s="233"/>
      <c r="E20" s="222">
        <f>Application!W872</f>
        <v>64212</v>
      </c>
      <c r="F20" s="222"/>
      <c r="G20" s="222">
        <f t="shared" si="0"/>
        <v>66459.42</v>
      </c>
      <c r="H20" s="222"/>
      <c r="I20" s="222">
        <f t="shared" si="0"/>
        <v>68785.499699999986</v>
      </c>
      <c r="J20" s="222"/>
      <c r="K20" s="222">
        <f t="shared" si="0"/>
        <v>71192.992189499986</v>
      </c>
      <c r="L20" s="222"/>
      <c r="M20" s="222">
        <f t="shared" si="0"/>
        <v>73684.746916132484</v>
      </c>
      <c r="N20" s="222"/>
      <c r="O20" s="222">
        <f t="shared" si="0"/>
        <v>76263.713058197114</v>
      </c>
      <c r="P20" s="222"/>
      <c r="Q20" s="222">
        <f t="shared" si="0"/>
        <v>78932.943015234006</v>
      </c>
      <c r="R20" s="222"/>
      <c r="S20" s="222">
        <f t="shared" si="0"/>
        <v>81695.596020767189</v>
      </c>
      <c r="T20" s="222"/>
      <c r="U20" s="222">
        <f t="shared" si="0"/>
        <v>84554.941881494029</v>
      </c>
      <c r="V20" s="222"/>
      <c r="W20" s="222">
        <f t="shared" si="0"/>
        <v>87514.364847346311</v>
      </c>
      <c r="X20" s="222"/>
      <c r="Y20" s="222">
        <f t="shared" si="0"/>
        <v>90577.36761700343</v>
      </c>
      <c r="Z20" s="222"/>
      <c r="AA20" s="222">
        <f t="shared" si="0"/>
        <v>93747.575483598543</v>
      </c>
      <c r="AB20" s="222"/>
      <c r="AC20" s="222">
        <f t="shared" si="0"/>
        <v>97028.740625524486</v>
      </c>
      <c r="AD20" s="222"/>
      <c r="AE20" s="222">
        <f t="shared" si="0"/>
        <v>100424.74654741783</v>
      </c>
      <c r="AF20" s="222"/>
      <c r="AG20" s="222">
        <f t="shared" si="0"/>
        <v>103939.61267657745</v>
      </c>
    </row>
    <row r="21" spans="1:33" s="210" customFormat="1" ht="14.25">
      <c r="A21" s="226" t="s">
        <v>963</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844</v>
      </c>
      <c r="C22" s="233"/>
      <c r="E22" s="223">
        <f>SUM(E15:E21)</f>
        <v>540734</v>
      </c>
      <c r="G22" s="223">
        <f>SUM(G15:G21)</f>
        <v>559659.68999999994</v>
      </c>
      <c r="I22" s="223">
        <f>SUM(I15:I21)</f>
        <v>579247.77914999984</v>
      </c>
      <c r="K22" s="223">
        <f>SUM(K15:K21)</f>
        <v>599521.45142024988</v>
      </c>
      <c r="M22" s="223">
        <f>SUM(M15:M21)</f>
        <v>620504.70221995865</v>
      </c>
      <c r="O22" s="223">
        <f>SUM(O15:O21)</f>
        <v>642222.36679765722</v>
      </c>
      <c r="Q22" s="223">
        <f>SUM(Q15:Q21)</f>
        <v>664700.1496355749</v>
      </c>
      <c r="S22" s="223">
        <f>SUM(S15:S21)</f>
        <v>687964.65487282013</v>
      </c>
      <c r="U22" s="223">
        <f>SUM(U15:U21)</f>
        <v>712043.4177933688</v>
      </c>
      <c r="W22" s="223">
        <f>SUM(W15:W21)</f>
        <v>736964.93741613661</v>
      </c>
      <c r="Y22" s="223">
        <f>SUM(Y15:Y21)</f>
        <v>762758.71022570133</v>
      </c>
      <c r="AA22" s="223">
        <f>SUM(AA15:AA21)</f>
        <v>789455.26508360077</v>
      </c>
      <c r="AC22" s="223">
        <f>SUM(AC15:AC21)</f>
        <v>817086.19936152687</v>
      </c>
      <c r="AE22" s="223">
        <f>SUM(AE15:AE21)</f>
        <v>845684.21633918025</v>
      </c>
      <c r="AG22" s="223">
        <f>SUM(AG15:AG21)</f>
        <v>875283.16391105135</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65000</v>
      </c>
      <c r="F27" s="222"/>
      <c r="G27" s="222">
        <f>E27*$C$27</f>
        <v>67275</v>
      </c>
      <c r="H27" s="222"/>
      <c r="I27" s="222">
        <f>G27*$C$27</f>
        <v>69629.625</v>
      </c>
      <c r="J27" s="222"/>
      <c r="K27" s="222">
        <f>I27*$C$27</f>
        <v>72066.661874999991</v>
      </c>
      <c r="L27" s="222"/>
      <c r="M27" s="222">
        <f>K27*$C$27</f>
        <v>74588.995040624985</v>
      </c>
      <c r="N27" s="222"/>
      <c r="O27" s="222">
        <f>M27*$C$27</f>
        <v>77199.609867046849</v>
      </c>
      <c r="P27" s="222"/>
      <c r="Q27" s="222">
        <f>O27*$C$27</f>
        <v>79901.596212393488</v>
      </c>
      <c r="R27" s="222"/>
      <c r="S27" s="222">
        <f>Q27*$C$27</f>
        <v>82698.152079827254</v>
      </c>
      <c r="T27" s="222"/>
      <c r="U27" s="222">
        <f>S27*$C$27</f>
        <v>85592.587402621197</v>
      </c>
      <c r="V27" s="222"/>
      <c r="W27" s="222">
        <f>U27*$C$27</f>
        <v>88588.32796171293</v>
      </c>
      <c r="X27" s="222"/>
      <c r="Y27" s="222">
        <f>W27*$C$27</f>
        <v>91688.919440372876</v>
      </c>
      <c r="Z27" s="222"/>
      <c r="AA27" s="222">
        <f>Y27*$C$27</f>
        <v>94898.031620785914</v>
      </c>
      <c r="AB27" s="222"/>
      <c r="AC27" s="222">
        <f>AA27*$C$27</f>
        <v>98219.462727513412</v>
      </c>
      <c r="AD27" s="222"/>
      <c r="AE27" s="222">
        <f>AC27*$C$27</f>
        <v>101657.14392297638</v>
      </c>
      <c r="AF27" s="222"/>
      <c r="AG27" s="222">
        <f>AE27*$C$27</f>
        <v>105215.14396028055</v>
      </c>
    </row>
    <row r="28" spans="1:33" s="210" customFormat="1" ht="14.25">
      <c r="A28" s="210" t="s">
        <v>847</v>
      </c>
      <c r="C28" s="237"/>
      <c r="E28" s="222">
        <f>Application!AC889</f>
        <v>23700</v>
      </c>
      <c r="F28" s="222"/>
      <c r="G28" s="222">
        <f>$E$28</f>
        <v>23700</v>
      </c>
      <c r="H28" s="222"/>
      <c r="I28" s="222">
        <f>$E$28</f>
        <v>23700</v>
      </c>
      <c r="J28" s="222"/>
      <c r="K28" s="222">
        <f>$E$28</f>
        <v>23700</v>
      </c>
      <c r="L28" s="222"/>
      <c r="M28" s="222">
        <f>$E$28</f>
        <v>23700</v>
      </c>
      <c r="N28" s="222"/>
      <c r="O28" s="222">
        <f>$E$28</f>
        <v>23700</v>
      </c>
      <c r="P28" s="222"/>
      <c r="Q28" s="222">
        <f>$E$28</f>
        <v>23700</v>
      </c>
      <c r="R28" s="222"/>
      <c r="S28" s="222">
        <f>$E$28</f>
        <v>23700</v>
      </c>
      <c r="T28" s="222"/>
      <c r="U28" s="222">
        <f>$E$28</f>
        <v>23700</v>
      </c>
      <c r="V28" s="222"/>
      <c r="W28" s="222">
        <f>$E$28</f>
        <v>23700</v>
      </c>
      <c r="X28" s="222"/>
      <c r="Y28" s="222">
        <f>$E$28</f>
        <v>23700</v>
      </c>
      <c r="Z28" s="222"/>
      <c r="AA28" s="222">
        <f>$E$28</f>
        <v>23700</v>
      </c>
      <c r="AB28" s="222"/>
      <c r="AC28" s="222">
        <f>$E$28</f>
        <v>23700</v>
      </c>
      <c r="AD28" s="222"/>
      <c r="AE28" s="222">
        <f>$E$28</f>
        <v>23700</v>
      </c>
      <c r="AF28" s="222"/>
      <c r="AG28" s="222">
        <f>$E$28</f>
        <v>23700</v>
      </c>
    </row>
    <row r="29" spans="1:33" s="210" customFormat="1" ht="14.25">
      <c r="A29" s="210" t="s">
        <v>1681</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845</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629434</v>
      </c>
      <c r="G35" s="223">
        <f>SUM(G22:G33)</f>
        <v>650634.68999999994</v>
      </c>
      <c r="I35" s="223">
        <f>SUM(I22:I33)</f>
        <v>672577.40414999984</v>
      </c>
      <c r="K35" s="223">
        <f>SUM(K22:K33)</f>
        <v>695288.11329524987</v>
      </c>
      <c r="M35" s="223">
        <f>SUM(M22:M33)</f>
        <v>718793.69726058363</v>
      </c>
      <c r="O35" s="223">
        <f>SUM(O22:O33)</f>
        <v>743121.97666470404</v>
      </c>
      <c r="Q35" s="223">
        <f>SUM(Q22:Q33)</f>
        <v>768301.74584796838</v>
      </c>
      <c r="S35" s="223">
        <f>SUM(S22:S33)</f>
        <v>794362.8069526474</v>
      </c>
      <c r="U35" s="223">
        <f>SUM(U22:U33)</f>
        <v>821336.00519598997</v>
      </c>
      <c r="W35" s="223">
        <f>SUM(W22:W33)</f>
        <v>849253.26537784957</v>
      </c>
      <c r="Y35" s="223">
        <f>SUM(Y22:Y33)</f>
        <v>878147.62966607418</v>
      </c>
      <c r="AA35" s="223">
        <f>SUM(AA22:AA33)</f>
        <v>908053.29670438671</v>
      </c>
      <c r="AC35" s="223">
        <f>SUM(AC22:AC33)</f>
        <v>939005.66208904027</v>
      </c>
      <c r="AE35" s="223">
        <f>SUM(AE22:AE33)</f>
        <v>971041.36026215658</v>
      </c>
      <c r="AG35" s="223">
        <f>SUM(AG22:AG33)</f>
        <v>1004198.3078713319</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1504266</v>
      </c>
      <c r="G37" s="223">
        <f>G11-G35</f>
        <v>1536407.81</v>
      </c>
      <c r="I37" s="223">
        <f>I11-I35</f>
        <v>1569141.1583499992</v>
      </c>
      <c r="K37" s="223">
        <f>K11-K35</f>
        <v>1602473.4132672495</v>
      </c>
      <c r="M37" s="223">
        <f>M11-M35</f>
        <v>1636411.8674659776</v>
      </c>
      <c r="O37" s="223">
        <f>O11-O35</f>
        <v>1670963.7271800211</v>
      </c>
      <c r="Q37" s="223">
        <f>Q11-Q35</f>
        <v>1706136.1005928754</v>
      </c>
      <c r="S37" s="223">
        <f>S11-S35</f>
        <v>1741935.9856492174</v>
      </c>
      <c r="U37" s="223">
        <f>U11-U35</f>
        <v>1778370.2572209209</v>
      </c>
      <c r="W37" s="223">
        <f>W11-W35</f>
        <v>1815445.6535994841</v>
      </c>
      <c r="Y37" s="223">
        <f>Y11-Y35</f>
        <v>1853168.7622856926</v>
      </c>
      <c r="AA37" s="223">
        <f>AA11-AA35</f>
        <v>1891546.005046173</v>
      </c>
      <c r="AC37" s="223">
        <f>AC11-AC35</f>
        <v>1930583.6222052837</v>
      </c>
      <c r="AE37" s="223">
        <f>AE11-AE35</f>
        <v>1970287.6561395247</v>
      </c>
      <c r="AG37" s="223">
        <f>AG11-AG35</f>
        <v>2010663.9339403915</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 Bank Perm Loan</v>
      </c>
      <c r="B40" s="226"/>
      <c r="C40" s="220"/>
      <c r="E40" s="222">
        <f>Application!AF627</f>
        <v>1308057</v>
      </c>
      <c r="F40" s="222"/>
      <c r="G40" s="222">
        <f>$E$40</f>
        <v>1308057</v>
      </c>
      <c r="H40" s="222"/>
      <c r="I40" s="222">
        <f>$E$40</f>
        <v>1308057</v>
      </c>
      <c r="J40" s="222"/>
      <c r="K40" s="222">
        <f>$E$40</f>
        <v>1308057</v>
      </c>
      <c r="L40" s="222"/>
      <c r="M40" s="222">
        <f>$E$40</f>
        <v>1308057</v>
      </c>
      <c r="N40" s="222"/>
      <c r="O40" s="222">
        <f>$E$40</f>
        <v>1308057</v>
      </c>
      <c r="P40" s="222"/>
      <c r="Q40" s="222">
        <f>$E$40</f>
        <v>1308057</v>
      </c>
      <c r="R40" s="222"/>
      <c r="S40" s="222">
        <f>$E$40</f>
        <v>1308057</v>
      </c>
      <c r="T40" s="222"/>
      <c r="U40" s="222">
        <f>$E$40</f>
        <v>1308057</v>
      </c>
      <c r="V40" s="222"/>
      <c r="W40" s="222">
        <f>$E$40</f>
        <v>1308057</v>
      </c>
      <c r="X40" s="222"/>
      <c r="Y40" s="222">
        <f>$E$40</f>
        <v>1308057</v>
      </c>
      <c r="Z40" s="222"/>
      <c r="AA40" s="222">
        <f>$E$40</f>
        <v>1308057</v>
      </c>
      <c r="AB40" s="222"/>
      <c r="AC40" s="222">
        <f>$E$40</f>
        <v>1308057</v>
      </c>
      <c r="AD40" s="222"/>
      <c r="AE40" s="222">
        <f>$E$40</f>
        <v>1308057</v>
      </c>
      <c r="AF40" s="222"/>
      <c r="AG40" s="222">
        <f>$E$40</f>
        <v>1308057</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1308057</v>
      </c>
      <c r="G43" s="223">
        <f>SUM(G40:G42)</f>
        <v>1308057</v>
      </c>
      <c r="I43" s="223">
        <f>SUM(I40:I42)</f>
        <v>1308057</v>
      </c>
      <c r="K43" s="223">
        <f>SUM(K40:K42)</f>
        <v>1308057</v>
      </c>
      <c r="M43" s="223">
        <f>SUM(M40:M42)</f>
        <v>1308057</v>
      </c>
      <c r="O43" s="223">
        <f>SUM(O40:O42)</f>
        <v>1308057</v>
      </c>
      <c r="Q43" s="223">
        <f>SUM(Q40:Q42)</f>
        <v>1308057</v>
      </c>
      <c r="S43" s="223">
        <f>SUM(S40:S42)</f>
        <v>1308057</v>
      </c>
      <c r="U43" s="223">
        <f>SUM(U40:U42)</f>
        <v>1308057</v>
      </c>
      <c r="W43" s="223">
        <f>SUM(W40:W42)</f>
        <v>1308057</v>
      </c>
      <c r="Y43" s="223">
        <f>SUM(Y40:Y42)</f>
        <v>1308057</v>
      </c>
      <c r="AA43" s="223">
        <f>SUM(AA40:AA42)</f>
        <v>1308057</v>
      </c>
      <c r="AC43" s="223">
        <f>SUM(AC40:AC42)</f>
        <v>1308057</v>
      </c>
      <c r="AE43" s="223">
        <f>SUM(AE40:AE42)</f>
        <v>1308057</v>
      </c>
      <c r="AG43" s="223">
        <f>SUM(AG40:AG42)</f>
        <v>1308057</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196209</v>
      </c>
      <c r="G45" s="223">
        <f>G37-G43</f>
        <v>228350.81000000006</v>
      </c>
      <c r="I45" s="223">
        <f>I37-I43</f>
        <v>261084.15834999923</v>
      </c>
      <c r="K45" s="223">
        <f>K37-K43</f>
        <v>294416.41326724947</v>
      </c>
      <c r="M45" s="223">
        <f>M37-M43</f>
        <v>328354.86746597756</v>
      </c>
      <c r="O45" s="223">
        <f>O37-O43</f>
        <v>362906.72718002112</v>
      </c>
      <c r="Q45" s="223">
        <f>Q37-Q43</f>
        <v>398079.10059287539</v>
      </c>
      <c r="S45" s="223">
        <f>S37-S43</f>
        <v>433878.98564921739</v>
      </c>
      <c r="U45" s="223">
        <f>U37-U43</f>
        <v>470313.25722092087</v>
      </c>
      <c r="W45" s="223">
        <f>W37-W43</f>
        <v>507388.65359948413</v>
      </c>
      <c r="Y45" s="223">
        <f>Y37-Y43</f>
        <v>545111.76228569262</v>
      </c>
      <c r="AA45" s="223">
        <f>AA37-AA43</f>
        <v>583489.005046173</v>
      </c>
      <c r="AC45" s="223">
        <f>AC37-AC43</f>
        <v>622526.62220528373</v>
      </c>
      <c r="AE45" s="223">
        <f>AE37-AE43</f>
        <v>662230.65613952465</v>
      </c>
      <c r="AG45" s="223">
        <f>AG37-AG43</f>
        <v>702606.93394039152</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8.7359305431878892E-2</v>
      </c>
      <c r="G47" s="227">
        <f>G45/(G4+G6+G8)</f>
        <v>9.919023955867344E-2</v>
      </c>
      <c r="I47" s="227">
        <f>I45/(I4+I6+I8)</f>
        <v>0.11064276960614201</v>
      </c>
      <c r="K47" s="227">
        <f>K45/(K4+K6+K8)</f>
        <v>0.121725248408314</v>
      </c>
      <c r="M47" s="227">
        <f>M45/(M4+M6+M8)</f>
        <v>0.13244581652000917</v>
      </c>
      <c r="O47" s="227">
        <f>O45/(O4+O6+O8)</f>
        <v>0.14281240731095238</v>
      </c>
      <c r="Q47" s="227">
        <f>Q45/(Q4+Q6+Q8)</f>
        <v>0.15283275193482324</v>
      </c>
      <c r="S47" s="227">
        <f>S45/(S4+S6+S8)</f>
        <v>0.16251438417628866</v>
      </c>
      <c r="U47" s="227">
        <f>U45/(U4+U6+U8)</f>
        <v>0.17186464517898775</v>
      </c>
      <c r="W47" s="227">
        <f>W45/(W4+W6+W8)</f>
        <v>0.18089068805735875</v>
      </c>
      <c r="Y47" s="227">
        <f>Y45/(Y4+Y6+Y8)</f>
        <v>0.18959948239513699</v>
      </c>
      <c r="AA47" s="227">
        <f>AA45/(AA4+AA6+AA8)</f>
        <v>0.19799781863327987</v>
      </c>
      <c r="AC47" s="227">
        <f>AC45/(AC4+AC6+AC8)</f>
        <v>0.20609231235000722</v>
      </c>
      <c r="AE47" s="227">
        <f>AE45/(AE4+AE6+AE8)</f>
        <v>0.21388940843557536</v>
      </c>
      <c r="AG47" s="227">
        <f>AG45/(AG4+AG6+AG8)</f>
        <v>0.22139538516435323</v>
      </c>
    </row>
    <row r="48" spans="1:33" s="227" customFormat="1" ht="14.25">
      <c r="A48" s="227" t="s">
        <v>853</v>
      </c>
      <c r="C48" s="220"/>
      <c r="E48" s="227">
        <f>E45/E43</f>
        <v>0.15000034402170548</v>
      </c>
      <c r="G48" s="227">
        <f>G45/G43</f>
        <v>0.17457252245123878</v>
      </c>
      <c r="I48" s="227">
        <f>I45/I43</f>
        <v>0.19959692761859707</v>
      </c>
      <c r="K48" s="227">
        <f>K45/K43</f>
        <v>0.22507919247192551</v>
      </c>
      <c r="M48" s="227">
        <f>M45/M43</f>
        <v>0.25102489223785934</v>
      </c>
      <c r="O48" s="227">
        <f>O45/O43</f>
        <v>0.27743953602940935</v>
      </c>
      <c r="Q48" s="227">
        <f>Q45/Q43</f>
        <v>0.30432855800081754</v>
      </c>
      <c r="S48" s="227">
        <f>S45/S43</f>
        <v>0.33169730802955633</v>
      </c>
      <c r="U48" s="227">
        <f>U45/U43</f>
        <v>0.35955104190484122</v>
      </c>
      <c r="W48" s="227">
        <f>W45/W43</f>
        <v>0.38789491100119039</v>
      </c>
      <c r="Y48" s="227">
        <f>Y45/Y43</f>
        <v>0.4167339514147263</v>
      </c>
      <c r="AA48" s="227">
        <f>AA45/AA43</f>
        <v>0.44607307253902007</v>
      </c>
      <c r="AC48" s="227">
        <f>AC45/AC43</f>
        <v>0.4759170450563574</v>
      </c>
      <c r="AE48" s="227">
        <f>AE45/AE43</f>
        <v>0.50627048831933519</v>
      </c>
      <c r="AG48" s="227">
        <f>AG45/AG43</f>
        <v>0.53713785709674078</v>
      </c>
    </row>
    <row r="49" spans="1:34" s="228" customFormat="1" ht="14.25">
      <c r="A49" s="228" t="s">
        <v>851</v>
      </c>
      <c r="C49" s="229"/>
      <c r="E49" s="228">
        <f>E37/E43</f>
        <v>1.1500003440217055</v>
      </c>
      <c r="G49" s="228">
        <f>G37/G43</f>
        <v>1.1745725224512389</v>
      </c>
      <c r="I49" s="228">
        <f>I37/I43</f>
        <v>1.1995969276185972</v>
      </c>
      <c r="K49" s="228">
        <f>K37/K43</f>
        <v>1.2250791924719255</v>
      </c>
      <c r="M49" s="228">
        <f>M37/M43</f>
        <v>1.2510248922378593</v>
      </c>
      <c r="O49" s="228">
        <f>O37/O43</f>
        <v>1.2774395360294093</v>
      </c>
      <c r="Q49" s="228">
        <f>Q37/Q43</f>
        <v>1.3043285580008175</v>
      </c>
      <c r="S49" s="228">
        <f>S37/S43</f>
        <v>1.3316973080295564</v>
      </c>
      <c r="U49" s="228">
        <f>U37/U43</f>
        <v>1.3595510419048411</v>
      </c>
      <c r="W49" s="228">
        <f>W37/W43</f>
        <v>1.3878949110011904</v>
      </c>
      <c r="Y49" s="228">
        <f>Y37/Y43</f>
        <v>1.4167339514147264</v>
      </c>
      <c r="AA49" s="228">
        <f>AA37/AA43</f>
        <v>1.4460730725390201</v>
      </c>
      <c r="AC49" s="228">
        <f>AC37/AC43</f>
        <v>1.4759170450563575</v>
      </c>
      <c r="AE49" s="228">
        <f>AE37/AE43</f>
        <v>1.5062704883193352</v>
      </c>
      <c r="AG49" s="228">
        <f>AG37/AG43</f>
        <v>1.5371378570967409</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1" t="s">
        <v>1185</v>
      </c>
      <c r="B52" s="2691"/>
      <c r="C52" s="2691"/>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f>+Application!AO628</f>
        <v>5980348</v>
      </c>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196209</v>
      </c>
      <c r="G60" s="962">
        <f>G45-G58</f>
        <v>228350.81000000006</v>
      </c>
      <c r="I60" s="962">
        <f>I45-I58</f>
        <v>261084.15834999923</v>
      </c>
      <c r="K60" s="962">
        <f>K45-K58</f>
        <v>294416.41326724947</v>
      </c>
      <c r="M60" s="962">
        <f>M45-M58</f>
        <v>328354.86746597756</v>
      </c>
      <c r="O60" s="962">
        <f>O45-O58</f>
        <v>362906.72718002112</v>
      </c>
      <c r="Q60" s="962">
        <f>Q45-Q58</f>
        <v>398079.10059287539</v>
      </c>
      <c r="S60" s="962">
        <f>S45-S58</f>
        <v>433878.98564921739</v>
      </c>
      <c r="U60" s="962">
        <f>U45-U58</f>
        <v>470313.25722092087</v>
      </c>
      <c r="W60" s="962">
        <f>W45-W58</f>
        <v>507388.65359948413</v>
      </c>
      <c r="Y60" s="962">
        <f>Y45-Y58</f>
        <v>545111.76228569262</v>
      </c>
      <c r="AA60" s="962">
        <f>AA45-AA58</f>
        <v>583489.005046173</v>
      </c>
      <c r="AC60" s="962">
        <f>AC45-AC58</f>
        <v>622526.62220528373</v>
      </c>
      <c r="AE60" s="962">
        <f>AE45-AE58</f>
        <v>662230.65613952465</v>
      </c>
      <c r="AG60" s="962">
        <f>AG45-AG58</f>
        <v>702606.93394039152</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1</v>
      </c>
      <c r="E62" s="964">
        <f>E60*$C$62</f>
        <v>196209</v>
      </c>
      <c r="G62" s="962">
        <f>G60*$C$62</f>
        <v>228350.81000000006</v>
      </c>
      <c r="I62" s="962">
        <f>I60*$C$62</f>
        <v>261084.15834999923</v>
      </c>
      <c r="K62" s="962">
        <f>K60*$C$62</f>
        <v>294416.41326724947</v>
      </c>
      <c r="M62" s="962">
        <f>M60*$C$62</f>
        <v>328354.86746597756</v>
      </c>
      <c r="O62" s="962">
        <f>O60*$C$62</f>
        <v>362906.72718002112</v>
      </c>
      <c r="Q62" s="962">
        <f>Q60*$C$62</f>
        <v>398079.10059287539</v>
      </c>
      <c r="S62" s="962">
        <f>S60*$C$62</f>
        <v>433878.98564921739</v>
      </c>
      <c r="U62" s="962">
        <f>U60*$C$62</f>
        <v>470313.25722092087</v>
      </c>
      <c r="W62" s="962">
        <f>W60*$C$62</f>
        <v>507388.65359948413</v>
      </c>
      <c r="Y62" s="962">
        <f>Y60*$C$62</f>
        <v>545111.76228569262</v>
      </c>
      <c r="AA62" s="962">
        <f>AA60*$C$62</f>
        <v>583489.005046173</v>
      </c>
      <c r="AC62" s="962">
        <f>AC60*$C$62</f>
        <v>622526.62220528373</v>
      </c>
      <c r="AE62" s="962">
        <f>AE60*$C$62</f>
        <v>662230.65613952465</v>
      </c>
      <c r="AG62" s="962">
        <f>+C59-SUM(E62:AE63)</f>
        <v>86007.980997581035</v>
      </c>
    </row>
    <row r="63" spans="1:34" s="962" customFormat="1">
      <c r="A63" s="2691" t="s">
        <v>1185</v>
      </c>
      <c r="B63" s="2691"/>
      <c r="C63" s="2691"/>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2727</v>
      </c>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+AG60-AG62</f>
        <v>616598.95294281049</v>
      </c>
    </row>
    <row r="67" spans="1:34" s="960" customFormat="1">
      <c r="A67" s="965" t="s">
        <v>2728</v>
      </c>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616598.95294281049</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89" t="s">
        <v>1722</v>
      </c>
      <c r="B77" s="2690"/>
      <c r="C77" s="2690"/>
      <c r="D77" s="2690"/>
      <c r="E77" s="2690"/>
      <c r="F77" s="2690"/>
      <c r="G77" s="2690"/>
      <c r="H77" s="2690"/>
      <c r="I77" s="2690"/>
      <c r="J77" s="2690"/>
      <c r="K77" s="2690"/>
      <c r="L77" s="2690"/>
      <c r="M77" s="2690"/>
      <c r="N77" s="2690"/>
      <c r="O77" s="2690"/>
      <c r="P77" s="2690"/>
      <c r="Q77" s="2690"/>
      <c r="R77" s="2690"/>
      <c r="S77" s="2690"/>
      <c r="T77" s="2690"/>
      <c r="U77" s="2690"/>
      <c r="V77" s="2690"/>
      <c r="W77" s="2690"/>
      <c r="X77" s="2690"/>
      <c r="Y77" s="2690"/>
      <c r="Z77" s="2690"/>
      <c r="AA77" s="2690"/>
      <c r="AB77" s="2690"/>
      <c r="AC77" s="2690"/>
      <c r="AD77" s="2690"/>
      <c r="AE77" s="2690"/>
      <c r="AF77" s="2690"/>
      <c r="AG77" s="269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11000000</v>
      </c>
      <c r="C5" s="266">
        <f>'Sources and Uses Budget'!$C4</f>
        <v>11000000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11000000</v>
      </c>
      <c r="C9" s="270">
        <f>SUM(C5:C8)</f>
        <v>11000000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0</v>
      </c>
      <c r="C12" s="270">
        <f>SUM(C10:C11)</f>
        <v>0</v>
      </c>
      <c r="D12" s="270">
        <f t="shared" si="0"/>
        <v>0</v>
      </c>
      <c r="E12" s="268"/>
      <c r="F12" s="267"/>
    </row>
    <row r="13" spans="1:6" s="352" customFormat="1">
      <c r="A13" s="365" t="s">
        <v>84</v>
      </c>
      <c r="B13" s="270">
        <f>SUM(B9+B12)</f>
        <v>11000000</v>
      </c>
      <c r="C13" s="270">
        <f>SUM(C9+C12)</f>
        <v>11000000</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7832081</v>
      </c>
      <c r="C30" s="266">
        <f>'Sources and Uses Budget'!$C29</f>
        <v>7832081</v>
      </c>
      <c r="D30" s="270">
        <f t="shared" si="0"/>
        <v>0</v>
      </c>
      <c r="E30" s="268"/>
      <c r="F30" s="267"/>
    </row>
    <row r="31" spans="1:6" s="352" customFormat="1">
      <c r="A31" s="145" t="s">
        <v>600</v>
      </c>
      <c r="B31" s="266">
        <f>'Sources and Uses Budget'!$C30</f>
        <v>35126372</v>
      </c>
      <c r="C31" s="266">
        <f>'Sources and Uses Budget'!$C30</f>
        <v>35126372</v>
      </c>
      <c r="D31" s="270">
        <f t="shared" si="0"/>
        <v>0</v>
      </c>
      <c r="E31" s="268"/>
      <c r="F31" s="267"/>
    </row>
    <row r="32" spans="1:6" s="352" customFormat="1">
      <c r="A32" s="145" t="s">
        <v>601</v>
      </c>
      <c r="B32" s="266">
        <f>'Sources and Uses Budget'!$C31</f>
        <v>2577507</v>
      </c>
      <c r="C32" s="266">
        <f>'Sources and Uses Budget'!$C31</f>
        <v>2577507</v>
      </c>
      <c r="D32" s="270">
        <f t="shared" si="0"/>
        <v>0</v>
      </c>
      <c r="E32" s="268"/>
      <c r="F32" s="267"/>
    </row>
    <row r="33" spans="1:6" s="352" customFormat="1">
      <c r="A33" s="145" t="s">
        <v>137</v>
      </c>
      <c r="B33" s="266">
        <f>'Sources and Uses Budget'!$C32</f>
        <v>910719</v>
      </c>
      <c r="C33" s="266">
        <f>'Sources and Uses Budget'!$C32</f>
        <v>910719</v>
      </c>
      <c r="D33" s="270">
        <f t="shared" si="0"/>
        <v>0</v>
      </c>
      <c r="E33" s="268"/>
      <c r="F33" s="267"/>
    </row>
    <row r="34" spans="1:6" s="352" customFormat="1">
      <c r="A34" s="145" t="s">
        <v>138</v>
      </c>
      <c r="B34" s="266">
        <f>'Sources and Uses Budget'!$C33</f>
        <v>2732158</v>
      </c>
      <c r="C34" s="266">
        <f>'Sources and Uses Budget'!$C33</f>
        <v>2732158</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1475365</v>
      </c>
      <c r="C36" s="266">
        <f>'Sources and Uses Budget'!$C35</f>
        <v>1475365</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50654202</v>
      </c>
      <c r="C39" s="270">
        <f>SUM(C30:C38)</f>
        <v>50654202</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1528818</v>
      </c>
      <c r="C41" s="266">
        <f>'Sources and Uses Budget'!$C40</f>
        <v>1528818</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1528818</v>
      </c>
      <c r="C43" s="270">
        <f>SUM(C41:C42)</f>
        <v>1528818</v>
      </c>
      <c r="D43" s="270">
        <f t="shared" si="0"/>
        <v>0</v>
      </c>
      <c r="E43" s="268"/>
      <c r="F43" s="267"/>
    </row>
    <row r="44" spans="1:6" s="352" customFormat="1">
      <c r="A44" s="271" t="s">
        <v>148</v>
      </c>
      <c r="B44" s="266">
        <f>'Sources and Uses Budget'!$C43</f>
        <v>500000</v>
      </c>
      <c r="C44" s="266">
        <f>'Sources and Uses Budget'!$C43</f>
        <v>500000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2924789</v>
      </c>
      <c r="C46" s="266">
        <f>'Sources and Uses Budget'!$C45</f>
        <v>2924789</v>
      </c>
      <c r="D46" s="270">
        <f t="shared" si="0"/>
        <v>0</v>
      </c>
      <c r="E46" s="268"/>
      <c r="F46" s="267"/>
    </row>
    <row r="47" spans="1:6" s="352" customFormat="1">
      <c r="A47" s="145" t="s">
        <v>151</v>
      </c>
      <c r="B47" s="266">
        <f>'Sources and Uses Budget'!$C46</f>
        <v>529444</v>
      </c>
      <c r="C47" s="266">
        <f>'Sources and Uses Budget'!$C46</f>
        <v>529444</v>
      </c>
      <c r="D47" s="270">
        <f t="shared" si="0"/>
        <v>0</v>
      </c>
      <c r="E47" s="268"/>
      <c r="F47" s="267"/>
    </row>
    <row r="48" spans="1:6" s="352" customFormat="1" ht="12" customHeight="1">
      <c r="A48" s="186" t="s">
        <v>152</v>
      </c>
      <c r="B48" s="266">
        <f>'Sources and Uses Budget'!$C47</f>
        <v>35000</v>
      </c>
      <c r="C48" s="266">
        <f>'Sources and Uses Budget'!$C47</f>
        <v>35000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223975</v>
      </c>
      <c r="C50" s="266">
        <f>'Sources and Uses Budget'!$C49</f>
        <v>223975</v>
      </c>
      <c r="D50" s="270">
        <f t="shared" si="0"/>
        <v>0</v>
      </c>
      <c r="E50" s="268"/>
      <c r="F50" s="267"/>
    </row>
    <row r="51" spans="1:6" s="352" customFormat="1">
      <c r="A51" s="145" t="s">
        <v>156</v>
      </c>
      <c r="B51" s="266">
        <f>'Sources and Uses Budget'!$C50</f>
        <v>40000</v>
      </c>
      <c r="C51" s="266">
        <f>'Sources and Uses Budget'!$C50</f>
        <v>40000</v>
      </c>
      <c r="D51" s="270">
        <f t="shared" si="0"/>
        <v>0</v>
      </c>
      <c r="E51" s="268"/>
      <c r="F51" s="267"/>
    </row>
    <row r="52" spans="1:6" s="352" customFormat="1">
      <c r="A52" s="283" t="s">
        <v>154</v>
      </c>
      <c r="B52" s="266">
        <f>'Sources and Uses Budget'!$C51</f>
        <v>220000</v>
      </c>
      <c r="C52" s="266">
        <f>'Sources and Uses Budget'!$C51</f>
        <v>220000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Inspection Fees</v>
      </c>
      <c r="B54" s="266">
        <f>'Sources and Uses Budget'!$C53</f>
        <v>20000</v>
      </c>
      <c r="C54" s="266">
        <f>'Sources and Uses Budget'!$C53</f>
        <v>20000</v>
      </c>
      <c r="D54" s="270">
        <f t="shared" si="0"/>
        <v>0</v>
      </c>
      <c r="E54" s="268"/>
      <c r="F54" s="267"/>
    </row>
    <row r="55" spans="1:6" s="353" customFormat="1">
      <c r="A55" s="271" t="s">
        <v>157</v>
      </c>
      <c r="B55" s="273">
        <f>SUM(B46:B54)</f>
        <v>3993208</v>
      </c>
      <c r="C55" s="273">
        <f>SUM(C46:C54)</f>
        <v>3993208</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10000</v>
      </c>
      <c r="C58" s="266">
        <f>'Sources and Uses Budget'!$C57</f>
        <v>10000</v>
      </c>
      <c r="D58" s="270">
        <f t="shared" si="0"/>
        <v>0</v>
      </c>
      <c r="E58" s="268"/>
      <c r="F58" s="267"/>
    </row>
    <row r="59" spans="1:6" s="352" customFormat="1">
      <c r="A59" s="269" t="s">
        <v>156</v>
      </c>
      <c r="B59" s="266">
        <f>'Sources and Uses Budget'!$C58</f>
        <v>5000</v>
      </c>
      <c r="C59" s="266">
        <f>'Sources and Uses Budget'!$C58</f>
        <v>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15000</v>
      </c>
      <c r="C63" s="270">
        <f>SUM(C57:C62)</f>
        <v>15000</v>
      </c>
      <c r="D63" s="270">
        <f t="shared" si="0"/>
        <v>0</v>
      </c>
      <c r="E63" s="268"/>
      <c r="F63" s="267"/>
    </row>
    <row r="64" spans="1:6" s="352" customFormat="1">
      <c r="A64" s="274" t="s">
        <v>302</v>
      </c>
      <c r="B64" s="270">
        <f>SUM(B9+B12+B14+B15+B17+B26+B28+B39+B43+B44+B55+B63)</f>
        <v>67691228</v>
      </c>
      <c r="C64" s="270">
        <f>SUM(C9+C12+C14+C15+C17+C26+C28+C39+C43+C44+C55+C63)</f>
        <v>67691228</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95000</v>
      </c>
      <c r="C66" s="266">
        <f>'Sources and Uses Budget'!$C65</f>
        <v>95000</v>
      </c>
      <c r="D66" s="270">
        <f t="shared" si="0"/>
        <v>0</v>
      </c>
      <c r="E66" s="268"/>
      <c r="F66" s="267"/>
    </row>
    <row r="67" spans="1:6" s="352" customFormat="1" ht="24">
      <c r="A67" s="283" t="s">
        <v>1642</v>
      </c>
      <c r="B67" s="266">
        <f>'Sources and Uses Budget'!$C66</f>
        <v>0</v>
      </c>
      <c r="C67" s="266">
        <f>'Sources and Uses Budget'!$C66</f>
        <v>0</v>
      </c>
      <c r="D67" s="270"/>
      <c r="E67" s="268"/>
      <c r="F67" s="267"/>
    </row>
    <row r="68" spans="1:6" s="352" customFormat="1" ht="24">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 xml:space="preserve">Borrower's Attorney </v>
      </c>
      <c r="B70" s="266">
        <f>'Sources and Uses Budget'!$C69</f>
        <v>75000</v>
      </c>
      <c r="C70" s="266">
        <f>'Sources and Uses Budget'!$C69</f>
        <v>75000</v>
      </c>
      <c r="D70" s="270">
        <f t="shared" si="0"/>
        <v>0</v>
      </c>
      <c r="E70" s="268"/>
      <c r="F70" s="267"/>
    </row>
    <row r="71" spans="1:6" s="352" customFormat="1">
      <c r="A71" s="149" t="s">
        <v>1646</v>
      </c>
      <c r="B71" s="270">
        <f>SUM(B66:B70)</f>
        <v>170000</v>
      </c>
      <c r="C71" s="270">
        <f>SUM(C66:C70)</f>
        <v>170000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484373</v>
      </c>
      <c r="C76" s="266">
        <f>'Sources and Uses Budget'!$C75</f>
        <v>484373</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484373</v>
      </c>
      <c r="C78" s="270">
        <f>SUM(C73:C77)</f>
        <v>484373</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2532710</v>
      </c>
      <c r="C80" s="266">
        <f>'Sources and Uses Budget'!$C79</f>
        <v>2532710</v>
      </c>
      <c r="D80" s="270">
        <f t="shared" si="1"/>
        <v>0</v>
      </c>
      <c r="E80" s="268"/>
      <c r="F80" s="267"/>
    </row>
    <row r="81" spans="1:6" s="352" customFormat="1">
      <c r="A81" s="510" t="s">
        <v>58</v>
      </c>
      <c r="B81" s="266">
        <f>'Sources and Uses Budget'!$C80</f>
        <v>290548</v>
      </c>
      <c r="C81" s="266">
        <f>'Sources and Uses Budget'!$C80</f>
        <v>290548</v>
      </c>
      <c r="D81" s="270">
        <f>C81-B81</f>
        <v>0</v>
      </c>
      <c r="E81" s="268"/>
      <c r="F81" s="267"/>
    </row>
    <row r="82" spans="1:6" s="352" customFormat="1">
      <c r="A82" s="271" t="s">
        <v>1210</v>
      </c>
      <c r="B82" s="270">
        <f>SUM(B80:B81)</f>
        <v>2823258</v>
      </c>
      <c r="C82" s="270">
        <f>SUM(C80:C81)</f>
        <v>2823258</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210825</v>
      </c>
      <c r="C84" s="266">
        <f>'Sources and Uses Budget'!$C83</f>
        <v>210825</v>
      </c>
      <c r="D84" s="270">
        <f t="shared" si="1"/>
        <v>0</v>
      </c>
      <c r="E84" s="268"/>
      <c r="F84" s="267"/>
    </row>
    <row r="85" spans="1:6" s="352" customFormat="1">
      <c r="A85" s="269" t="s">
        <v>768</v>
      </c>
      <c r="B85" s="266">
        <f>'Sources and Uses Budget'!$C84</f>
        <v>7000</v>
      </c>
      <c r="C85" s="266">
        <f>'Sources and Uses Budget'!$C84</f>
        <v>7000</v>
      </c>
      <c r="D85" s="270">
        <f t="shared" si="1"/>
        <v>0</v>
      </c>
      <c r="E85" s="268"/>
      <c r="F85" s="267"/>
    </row>
    <row r="86" spans="1:6" s="352" customFormat="1">
      <c r="A86" s="269" t="s">
        <v>769</v>
      </c>
      <c r="B86" s="266">
        <f>'Sources and Uses Budget'!$C85</f>
        <v>978148</v>
      </c>
      <c r="C86" s="266">
        <f>'Sources and Uses Budget'!$C85</f>
        <v>978148</v>
      </c>
      <c r="D86" s="270">
        <f t="shared" si="1"/>
        <v>0</v>
      </c>
      <c r="E86" s="268"/>
      <c r="F86" s="267"/>
    </row>
    <row r="87" spans="1:6" s="352" customFormat="1">
      <c r="A87" s="269" t="s">
        <v>770</v>
      </c>
      <c r="B87" s="266">
        <f>'Sources and Uses Budget'!$C86</f>
        <v>1139135</v>
      </c>
      <c r="C87" s="266">
        <f>'Sources and Uses Budget'!$C86</f>
        <v>1139135</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20000</v>
      </c>
      <c r="C89" s="266">
        <f>'Sources and Uses Budget'!$C88</f>
        <v>20000</v>
      </c>
      <c r="D89" s="270">
        <f t="shared" si="1"/>
        <v>0</v>
      </c>
      <c r="E89" s="268"/>
      <c r="F89" s="267"/>
    </row>
    <row r="90" spans="1:6" s="352" customFormat="1">
      <c r="A90" s="269" t="s">
        <v>773</v>
      </c>
      <c r="B90" s="266">
        <f>'Sources and Uses Budget'!$C89</f>
        <v>110000</v>
      </c>
      <c r="C90" s="266">
        <f>'Sources and Uses Budget'!$C89</f>
        <v>110000</v>
      </c>
      <c r="D90" s="270">
        <f t="shared" si="1"/>
        <v>0</v>
      </c>
      <c r="E90" s="268"/>
      <c r="F90" s="267"/>
    </row>
    <row r="91" spans="1:6" s="352" customFormat="1">
      <c r="A91" s="269" t="s">
        <v>774</v>
      </c>
      <c r="B91" s="266">
        <f>'Sources and Uses Budget'!$C90</f>
        <v>10000</v>
      </c>
      <c r="C91" s="266">
        <f>'Sources and Uses Budget'!$C90</f>
        <v>10000</v>
      </c>
      <c r="D91" s="270">
        <f t="shared" si="1"/>
        <v>0</v>
      </c>
      <c r="E91" s="268"/>
      <c r="F91" s="267"/>
    </row>
    <row r="92" spans="1:6" s="352" customFormat="1">
      <c r="A92" s="269" t="s">
        <v>372</v>
      </c>
      <c r="B92" s="266">
        <f>'Sources and Uses Budget'!$C91</f>
        <v>45000</v>
      </c>
      <c r="C92" s="266">
        <f>'Sources and Uses Budget'!$C91</f>
        <v>45000</v>
      </c>
      <c r="D92" s="270">
        <f t="shared" si="1"/>
        <v>0</v>
      </c>
      <c r="E92" s="268"/>
      <c r="F92" s="267"/>
    </row>
    <row r="93" spans="1:6" s="352" customFormat="1">
      <c r="A93" s="510" t="s">
        <v>1212</v>
      </c>
      <c r="B93" s="266">
        <f>'Sources and Uses Budget'!$C92</f>
        <v>7500</v>
      </c>
      <c r="C93" s="266">
        <f>'Sources and Uses Budget'!$C92</f>
        <v>7500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2527608</v>
      </c>
      <c r="C97" s="270">
        <f>SUM(C84:C96)</f>
        <v>2527608</v>
      </c>
      <c r="D97" s="270">
        <f t="shared" si="1"/>
        <v>0</v>
      </c>
      <c r="E97" s="268"/>
      <c r="F97" s="267"/>
    </row>
    <row r="98" spans="1:6" s="352" customFormat="1">
      <c r="A98" s="271" t="s">
        <v>776</v>
      </c>
      <c r="B98" s="270">
        <f>SUM(B64+B71+B78+B82+B97)</f>
        <v>73696467</v>
      </c>
      <c r="C98" s="270">
        <f>SUM(C64+C71+C78+C82+C97)</f>
        <v>73696467</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9260050</v>
      </c>
      <c r="C100" s="266">
        <f>'Sources and Uses Budget'!$C99</f>
        <v>9260050</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9260050</v>
      </c>
      <c r="C105" s="270">
        <f>SUM(C100:C104)</f>
        <v>9260050</v>
      </c>
      <c r="D105" s="270">
        <f t="shared" si="1"/>
        <v>0</v>
      </c>
      <c r="E105" s="268"/>
      <c r="F105" s="267"/>
    </row>
    <row r="106" spans="1:6" s="352" customFormat="1">
      <c r="A106" s="271" t="s">
        <v>781</v>
      </c>
      <c r="B106" s="273">
        <f>SUM(B98+B105)</f>
        <v>82956517</v>
      </c>
      <c r="C106" s="273">
        <f>SUM(C98+C105)</f>
        <v>82956517</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1869</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2.75"/>
    <row r="4" spans="1:10" ht="12.75" customHeight="1">
      <c r="A4" s="1276" t="s">
        <v>2047</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0" t="s">
        <v>1874</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1870</v>
      </c>
      <c r="B71" s="1277"/>
      <c r="C71" s="1277"/>
      <c r="D71" s="1277"/>
      <c r="E71" s="1277"/>
      <c r="F71" s="1277"/>
      <c r="G71" s="1277"/>
      <c r="H71" s="1277"/>
      <c r="I71" s="1277"/>
    </row>
    <row r="72" spans="1:9" ht="12.75">
      <c r="A72" s="1267" t="s">
        <v>2045</v>
      </c>
      <c r="B72" s="1267"/>
      <c r="C72" s="1267"/>
      <c r="D72" s="1267"/>
      <c r="E72" s="1267"/>
    </row>
    <row r="73" spans="1:9" ht="12.75">
      <c r="A73" s="1267" t="s">
        <v>2046</v>
      </c>
      <c r="B73" s="1267"/>
      <c r="C73" s="1267"/>
      <c r="D73" s="1267"/>
      <c r="E73" s="1267"/>
    </row>
    <row r="74" spans="1:9" ht="12.75">
      <c r="A74" s="1267" t="s">
        <v>1871</v>
      </c>
      <c r="B74" s="1267"/>
      <c r="C74" s="1267"/>
      <c r="D74" s="1267"/>
      <c r="E74" s="1267"/>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281" t="s">
        <v>2458</v>
      </c>
      <c r="B2" s="1281"/>
      <c r="C2" s="1281"/>
      <c r="D2" s="1281"/>
      <c r="E2" s="1281"/>
      <c r="F2" s="1281"/>
      <c r="G2" s="1281"/>
      <c r="H2" s="1281"/>
      <c r="I2" s="1281"/>
    </row>
    <row r="3" spans="1:13">
      <c r="A3" s="1282" t="s">
        <v>2219</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2218</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1102</v>
      </c>
      <c r="B9" s="1286"/>
      <c r="C9" s="1286"/>
      <c r="D9" s="1286"/>
      <c r="E9" s="1286"/>
      <c r="F9" s="1286"/>
      <c r="G9" s="1286"/>
      <c r="H9" s="1028"/>
      <c r="I9" s="1029"/>
    </row>
    <row r="10" spans="1:13">
      <c r="A10" s="482"/>
      <c r="B10" s="482"/>
      <c r="E10" s="404"/>
    </row>
    <row r="11" spans="1:13" ht="13.7" customHeight="1">
      <c r="C11" s="482"/>
      <c r="D11" s="1305" t="s">
        <v>1101</v>
      </c>
      <c r="E11" s="1305"/>
      <c r="F11" s="1305"/>
    </row>
    <row r="12" spans="1:13">
      <c r="C12" s="482"/>
      <c r="D12" s="1305"/>
      <c r="E12" s="1305"/>
      <c r="F12" s="1305"/>
    </row>
    <row r="13" spans="1:13">
      <c r="A13" s="483"/>
      <c r="B13" s="483"/>
      <c r="C13" s="483"/>
      <c r="D13" s="1284" t="s">
        <v>1091</v>
      </c>
      <c r="E13" s="1284"/>
      <c r="F13" s="1284"/>
      <c r="M13" s="96"/>
    </row>
    <row r="14" spans="1:13">
      <c r="A14" s="483"/>
      <c r="B14" s="483"/>
      <c r="C14" s="483"/>
      <c r="D14" s="476"/>
      <c r="L14" s="312"/>
    </row>
    <row r="15" spans="1:13" ht="14.25">
      <c r="A15" s="484"/>
      <c r="B15" s="485" t="s">
        <v>307</v>
      </c>
      <c r="C15" s="483"/>
      <c r="D15" s="1283" t="s">
        <v>1922</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1920</v>
      </c>
      <c r="F18" s="445"/>
      <c r="I18" s="490"/>
    </row>
    <row r="19" spans="1:9">
      <c r="A19" s="483"/>
      <c r="B19" s="483"/>
      <c r="C19" s="483"/>
      <c r="I19" s="490"/>
    </row>
    <row r="20" spans="1:9" ht="14.25">
      <c r="A20" s="484"/>
      <c r="B20" s="485" t="s">
        <v>307</v>
      </c>
      <c r="D20" s="1283" t="s">
        <v>1923</v>
      </c>
      <c r="E20" s="1283"/>
      <c r="F20" s="1283"/>
      <c r="I20" s="490"/>
    </row>
    <row r="21" spans="1:9" ht="14.25">
      <c r="A21" s="484"/>
      <c r="D21" s="1283"/>
      <c r="E21" s="1283"/>
      <c r="F21" s="1283"/>
      <c r="I21" s="490"/>
    </row>
    <row r="22" spans="1:9" ht="14.25">
      <c r="A22" s="484"/>
      <c r="D22" s="392"/>
      <c r="E22" s="96" t="s">
        <v>1919</v>
      </c>
      <c r="F22" s="392"/>
      <c r="I22" s="490"/>
    </row>
    <row r="23" spans="1:9" ht="14.25">
      <c r="A23" s="484"/>
      <c r="B23" s="484"/>
      <c r="D23" s="446"/>
      <c r="I23" s="490"/>
    </row>
    <row r="24" spans="1:9" ht="14.25">
      <c r="A24" s="484"/>
      <c r="B24" s="485" t="s">
        <v>307</v>
      </c>
      <c r="D24" s="1283" t="s">
        <v>1092</v>
      </c>
      <c r="E24" s="1283"/>
      <c r="F24" s="1283"/>
      <c r="I24" s="490"/>
    </row>
    <row r="25" spans="1:9" ht="14.25">
      <c r="A25" s="484"/>
      <c r="B25" s="484"/>
      <c r="D25" s="1283"/>
      <c r="E25" s="1283"/>
      <c r="F25" s="1283"/>
      <c r="I25" s="490"/>
    </row>
    <row r="26" spans="1:9">
      <c r="I26" s="490"/>
    </row>
    <row r="27" spans="1:9" ht="14.25">
      <c r="A27" s="484"/>
      <c r="B27" s="485" t="s">
        <v>307</v>
      </c>
      <c r="D27" s="1283" t="s">
        <v>2048</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307</v>
      </c>
      <c r="D33" s="1283" t="s">
        <v>2049</v>
      </c>
      <c r="E33" s="1283"/>
      <c r="F33" s="1283"/>
      <c r="I33" s="490"/>
    </row>
    <row r="34" spans="1:9">
      <c r="D34" s="1283"/>
      <c r="E34" s="1283"/>
      <c r="F34" s="1283"/>
      <c r="I34" s="490"/>
    </row>
    <row r="35" spans="1:9" ht="14.25">
      <c r="A35" s="484"/>
      <c r="B35" s="484"/>
      <c r="D35" s="447"/>
      <c r="I35" s="490"/>
    </row>
    <row r="36" spans="1:9" ht="14.45" customHeight="1">
      <c r="A36" s="484"/>
      <c r="B36" s="485" t="s">
        <v>307</v>
      </c>
      <c r="D36" s="1283" t="s">
        <v>1215</v>
      </c>
      <c r="E36" s="1283"/>
      <c r="F36" s="1283"/>
      <c r="I36" s="490"/>
    </row>
    <row r="37" spans="1:9" ht="14.25">
      <c r="A37" s="484"/>
      <c r="B37" s="484"/>
      <c r="D37" s="1283"/>
      <c r="E37" s="1283"/>
      <c r="F37" s="1283"/>
      <c r="I37" s="490"/>
    </row>
    <row r="38" spans="1:9" ht="14.25">
      <c r="A38" s="484"/>
      <c r="B38" s="484"/>
      <c r="D38" s="1283"/>
      <c r="E38" s="1283"/>
      <c r="F38" s="1283"/>
      <c r="I38" s="490"/>
    </row>
    <row r="39" spans="1:9" ht="14.25">
      <c r="A39" s="484"/>
      <c r="B39" s="484"/>
      <c r="D39" s="1283"/>
      <c r="E39" s="1283"/>
      <c r="F39" s="1283"/>
      <c r="I39" s="490"/>
    </row>
    <row r="40" spans="1:9" ht="14.25">
      <c r="A40" s="484"/>
      <c r="B40" s="484"/>
      <c r="I40" s="490"/>
    </row>
    <row r="41" spans="1:9" ht="14.25">
      <c r="A41" s="484"/>
      <c r="B41" s="485" t="s">
        <v>307</v>
      </c>
      <c r="D41" s="1283" t="s">
        <v>1093</v>
      </c>
      <c r="E41" s="1283"/>
      <c r="F41" s="1283"/>
      <c r="I41" s="490"/>
    </row>
    <row r="42" spans="1:9" ht="14.25">
      <c r="A42" s="484"/>
      <c r="B42" s="484"/>
      <c r="D42" s="1283"/>
      <c r="E42" s="1283"/>
      <c r="F42" s="1283"/>
      <c r="I42" s="490"/>
    </row>
    <row r="43" spans="1:9" ht="14.25">
      <c r="A43" s="484"/>
      <c r="B43" s="484"/>
      <c r="D43" s="1283"/>
      <c r="E43" s="1283"/>
      <c r="F43" s="1283"/>
      <c r="I43" s="490"/>
    </row>
    <row r="44" spans="1:9" ht="14.25">
      <c r="A44" s="484"/>
      <c r="B44" s="484"/>
      <c r="D44" s="1283"/>
      <c r="E44" s="1283"/>
      <c r="F44" s="1283"/>
      <c r="I44" s="490"/>
    </row>
    <row r="45" spans="1:9" ht="14.25">
      <c r="A45" s="484"/>
      <c r="B45" s="484"/>
      <c r="D45" s="1283"/>
      <c r="E45" s="1283"/>
      <c r="F45" s="1283"/>
      <c r="I45" s="490"/>
    </row>
    <row r="46" spans="1:9" ht="14.25">
      <c r="A46" s="484"/>
      <c r="B46" s="484"/>
      <c r="D46" s="445"/>
      <c r="E46" s="445"/>
      <c r="F46" s="445"/>
      <c r="I46" s="490"/>
    </row>
    <row r="47" spans="1:9" ht="14.25">
      <c r="A47" s="484"/>
      <c r="B47" s="485" t="s">
        <v>307</v>
      </c>
      <c r="D47" s="1283" t="s">
        <v>1094</v>
      </c>
      <c r="E47" s="1283"/>
      <c r="F47" s="1283"/>
      <c r="I47" s="490"/>
    </row>
    <row r="48" spans="1:9" ht="14.25">
      <c r="A48" s="484"/>
      <c r="B48" s="484"/>
      <c r="D48" s="1283"/>
      <c r="E48" s="1283"/>
      <c r="F48" s="1283"/>
      <c r="I48" s="490"/>
    </row>
    <row r="49" spans="1:9" ht="14.25">
      <c r="A49" s="484"/>
      <c r="B49" s="484"/>
      <c r="D49" s="1283"/>
      <c r="E49" s="1283"/>
      <c r="F49" s="1283"/>
      <c r="I49" s="490"/>
    </row>
    <row r="50" spans="1:9" ht="23.25" customHeight="1">
      <c r="A50" s="484"/>
      <c r="B50" s="484"/>
      <c r="D50" s="1283"/>
      <c r="E50" s="1283"/>
      <c r="F50" s="1283"/>
      <c r="I50" s="490"/>
    </row>
    <row r="51" spans="1:9" ht="14.25">
      <c r="A51" s="484"/>
      <c r="B51" s="484"/>
      <c r="D51" s="446"/>
      <c r="I51" s="490"/>
    </row>
    <row r="52" spans="1:9" ht="14.45" customHeight="1">
      <c r="A52" s="484"/>
      <c r="B52" s="485" t="s">
        <v>307</v>
      </c>
      <c r="D52" s="1283" t="s">
        <v>1095</v>
      </c>
      <c r="E52" s="1283"/>
      <c r="F52" s="1283"/>
      <c r="I52" s="490"/>
    </row>
    <row r="53" spans="1:9" ht="14.25">
      <c r="A53" s="484"/>
      <c r="B53" s="484"/>
      <c r="D53" s="1283"/>
      <c r="E53" s="1283"/>
      <c r="F53" s="1283"/>
      <c r="I53" s="490"/>
    </row>
    <row r="54" spans="1:9" ht="14.25">
      <c r="A54" s="484"/>
      <c r="B54" s="484"/>
      <c r="D54" s="1283"/>
      <c r="E54" s="1283"/>
      <c r="F54" s="1283"/>
      <c r="I54" s="490"/>
    </row>
    <row r="55" spans="1:9" ht="14.25">
      <c r="A55" s="484"/>
      <c r="B55" s="484"/>
      <c r="I55" s="490"/>
    </row>
    <row r="56" spans="1:9" ht="14.25">
      <c r="A56" s="484"/>
      <c r="B56" s="485" t="s">
        <v>307</v>
      </c>
      <c r="D56" s="1307" t="s">
        <v>1096</v>
      </c>
      <c r="E56" s="1307"/>
      <c r="F56" s="1307"/>
      <c r="I56" s="490"/>
    </row>
    <row r="57" spans="1:9" ht="14.25">
      <c r="A57" s="484"/>
      <c r="B57" s="484"/>
      <c r="D57" s="1307"/>
      <c r="E57" s="1307"/>
      <c r="F57" s="1307"/>
      <c r="I57" s="490"/>
    </row>
    <row r="58" spans="1:9" ht="14.25">
      <c r="A58" s="484"/>
      <c r="B58" s="484"/>
      <c r="D58" s="392" t="s">
        <v>1921</v>
      </c>
      <c r="E58" s="445"/>
      <c r="F58" s="445"/>
      <c r="I58" s="490"/>
    </row>
    <row r="59" spans="1:9" ht="14.25">
      <c r="A59" s="484"/>
      <c r="B59" s="484"/>
      <c r="D59" s="445"/>
      <c r="E59" s="312" t="s">
        <v>1920</v>
      </c>
      <c r="F59" s="445"/>
      <c r="I59" s="490"/>
    </row>
    <row r="60" spans="1:9">
      <c r="D60" s="447"/>
      <c r="I60" s="490"/>
    </row>
    <row r="61" spans="1:9" ht="14.25">
      <c r="A61" s="484"/>
      <c r="B61" s="485" t="s">
        <v>307</v>
      </c>
      <c r="D61" s="1283" t="s">
        <v>1097</v>
      </c>
      <c r="E61" s="1283"/>
      <c r="F61" s="1283"/>
      <c r="I61" s="490"/>
    </row>
    <row r="62" spans="1:9">
      <c r="D62" s="1283"/>
      <c r="E62" s="1283"/>
      <c r="F62" s="1283"/>
      <c r="I62" s="490"/>
    </row>
    <row r="63" spans="1:9">
      <c r="D63" s="1283"/>
      <c r="E63" s="1283"/>
      <c r="F63" s="1283"/>
      <c r="I63" s="490"/>
    </row>
    <row r="64" spans="1:9">
      <c r="I64" s="490"/>
    </row>
    <row r="65" spans="1:9" ht="14.25">
      <c r="A65" s="484"/>
      <c r="B65" s="485" t="s">
        <v>307</v>
      </c>
      <c r="D65" s="1283" t="s">
        <v>1098</v>
      </c>
      <c r="E65" s="1283"/>
      <c r="F65" s="1283"/>
      <c r="I65" s="490"/>
    </row>
    <row r="66" spans="1:9">
      <c r="D66" s="1283"/>
      <c r="E66" s="1283"/>
      <c r="F66" s="1283"/>
      <c r="I66" s="490"/>
    </row>
    <row r="67" spans="1:9">
      <c r="I67" s="490"/>
    </row>
    <row r="68" spans="1:9" ht="14.25">
      <c r="A68" s="484"/>
      <c r="B68" s="485" t="s">
        <v>307</v>
      </c>
      <c r="D68" s="1283" t="s">
        <v>1099</v>
      </c>
      <c r="E68" s="1283"/>
      <c r="F68" s="1283"/>
      <c r="I68" s="490"/>
    </row>
    <row r="69" spans="1:9">
      <c r="D69" s="1283"/>
      <c r="E69" s="1283"/>
      <c r="F69" s="1283"/>
      <c r="I69" s="490"/>
    </row>
    <row r="70" spans="1:9">
      <c r="D70" s="1283"/>
      <c r="E70" s="1283"/>
      <c r="F70" s="1283"/>
      <c r="I70" s="490"/>
    </row>
    <row r="71" spans="1:9">
      <c r="I71" s="490"/>
    </row>
    <row r="72" spans="1:9" ht="14.25">
      <c r="A72" s="484"/>
      <c r="B72" s="485" t="s">
        <v>307</v>
      </c>
      <c r="D72" s="1283" t="s">
        <v>1100</v>
      </c>
      <c r="E72" s="1283"/>
      <c r="F72" s="1283"/>
      <c r="I72" s="490"/>
    </row>
    <row r="73" spans="1:9">
      <c r="D73" s="1283"/>
      <c r="E73" s="1283"/>
      <c r="F73" s="1283"/>
      <c r="I73" s="490"/>
    </row>
    <row r="74" spans="1:9" ht="14.25">
      <c r="A74" s="484"/>
      <c r="B74" s="484"/>
      <c r="D74" s="446"/>
      <c r="I74" s="490"/>
    </row>
    <row r="75" spans="1:9">
      <c r="A75" s="1286" t="s">
        <v>1045</v>
      </c>
      <c r="B75" s="1286"/>
      <c r="C75" s="1286"/>
      <c r="D75" s="1286"/>
      <c r="E75" s="1286"/>
      <c r="F75" s="1286"/>
      <c r="G75" s="1286"/>
      <c r="H75" s="1028"/>
      <c r="I75" s="1153"/>
    </row>
    <row r="76" spans="1:9">
      <c r="I76" s="490"/>
    </row>
    <row r="77" spans="1:9">
      <c r="C77" s="486"/>
      <c r="D77" s="1285" t="s">
        <v>1103</v>
      </c>
      <c r="E77" s="1285"/>
      <c r="F77" s="1285"/>
      <c r="I77" s="490"/>
    </row>
    <row r="78" spans="1:9">
      <c r="A78" s="446"/>
      <c r="B78" s="446"/>
      <c r="D78" s="1283" t="s">
        <v>1118</v>
      </c>
      <c r="E78" s="1283"/>
      <c r="F78" s="1283"/>
      <c r="I78" s="490"/>
    </row>
    <row r="79" spans="1:9">
      <c r="A79" s="446"/>
      <c r="B79" s="446"/>
      <c r="I79" s="490"/>
    </row>
    <row r="80" spans="1:9" ht="13.7" customHeight="1">
      <c r="A80" s="484"/>
      <c r="B80" s="485" t="s">
        <v>307</v>
      </c>
      <c r="D80" s="1283" t="s">
        <v>1246</v>
      </c>
      <c r="E80" s="1283"/>
      <c r="F80" s="1283"/>
      <c r="I80" s="490"/>
    </row>
    <row r="81" spans="1:9" ht="14.25">
      <c r="A81" s="484"/>
      <c r="B81" s="484"/>
      <c r="D81" s="1283"/>
      <c r="E81" s="1283"/>
      <c r="F81" s="1283"/>
      <c r="I81" s="490"/>
    </row>
    <row r="82" spans="1:9" ht="14.25">
      <c r="A82" s="484"/>
      <c r="B82" s="484"/>
      <c r="D82" s="1283"/>
      <c r="E82" s="1283"/>
      <c r="F82" s="1283"/>
      <c r="I82" s="490"/>
    </row>
    <row r="83" spans="1:9" ht="14.25">
      <c r="A83" s="484"/>
      <c r="B83" s="484"/>
      <c r="D83" s="1283"/>
      <c r="E83" s="1283"/>
      <c r="F83" s="1283"/>
      <c r="I83" s="490"/>
    </row>
    <row r="84" spans="1:9" ht="14.25">
      <c r="A84" s="484"/>
      <c r="B84" s="484"/>
      <c r="D84" s="1283"/>
      <c r="E84" s="1283"/>
      <c r="F84" s="1283"/>
      <c r="I84" s="490"/>
    </row>
    <row r="85" spans="1:9" ht="14.25">
      <c r="A85" s="484"/>
      <c r="B85" s="484"/>
      <c r="D85" s="1283"/>
      <c r="E85" s="1283"/>
      <c r="F85" s="1283"/>
      <c r="I85" s="490"/>
    </row>
    <row r="86" spans="1:9" ht="14.25">
      <c r="A86" s="484"/>
      <c r="B86" s="484"/>
      <c r="D86" s="1283"/>
      <c r="E86" s="1283"/>
      <c r="F86" s="1283"/>
      <c r="I86" s="490"/>
    </row>
    <row r="87" spans="1:9" ht="14.25">
      <c r="A87" s="484"/>
      <c r="B87" s="484"/>
      <c r="D87" s="1283"/>
      <c r="E87" s="1283"/>
      <c r="F87" s="1283"/>
      <c r="I87" s="490"/>
    </row>
    <row r="88" spans="1:9" ht="14.25">
      <c r="A88" s="484"/>
      <c r="B88" s="484"/>
      <c r="D88" s="385"/>
      <c r="E88" s="385"/>
      <c r="F88" s="385"/>
      <c r="I88" s="490"/>
    </row>
    <row r="89" spans="1:9" ht="15" customHeight="1">
      <c r="A89" s="484"/>
      <c r="B89" s="485" t="s">
        <v>307</v>
      </c>
      <c r="D89" s="1283" t="s">
        <v>1743</v>
      </c>
      <c r="E89" s="1283"/>
      <c r="F89" s="1283"/>
      <c r="I89" s="490"/>
    </row>
    <row r="90" spans="1:9" ht="14.25">
      <c r="A90" s="484"/>
      <c r="B90" s="484"/>
      <c r="D90" s="1283"/>
      <c r="E90" s="1283"/>
      <c r="F90" s="1283"/>
      <c r="I90" s="490"/>
    </row>
    <row r="91" spans="1:9" ht="14.25">
      <c r="A91" s="484"/>
      <c r="B91" s="484"/>
      <c r="D91" s="445"/>
      <c r="E91" s="445"/>
      <c r="F91" s="445"/>
      <c r="I91" s="490"/>
    </row>
    <row r="92" spans="1:9" ht="14.25">
      <c r="A92" s="484"/>
      <c r="B92" s="485" t="s">
        <v>307</v>
      </c>
      <c r="D92" s="1283" t="s">
        <v>1746</v>
      </c>
      <c r="E92" s="1283"/>
      <c r="F92" s="1283"/>
      <c r="I92" s="490"/>
    </row>
    <row r="93" spans="1:9" ht="14.25">
      <c r="A93" s="484"/>
      <c r="B93" s="484"/>
      <c r="D93" s="1283"/>
      <c r="E93" s="1283"/>
      <c r="F93" s="1283"/>
      <c r="I93" s="490"/>
    </row>
    <row r="94" spans="1:9" ht="14.25">
      <c r="A94" s="484"/>
      <c r="B94" s="484"/>
      <c r="D94" s="1283"/>
      <c r="E94" s="1283"/>
      <c r="F94" s="1283"/>
      <c r="I94" s="490"/>
    </row>
    <row r="95" spans="1:9" ht="14.25">
      <c r="A95" s="484"/>
      <c r="B95" s="484"/>
      <c r="D95" s="445"/>
      <c r="E95" s="445"/>
      <c r="F95" s="445"/>
      <c r="I95" s="490"/>
    </row>
    <row r="96" spans="1:9" ht="14.25">
      <c r="A96" s="484"/>
      <c r="B96" s="485" t="s">
        <v>307</v>
      </c>
      <c r="D96" s="1283" t="s">
        <v>1745</v>
      </c>
      <c r="E96" s="1283"/>
      <c r="F96" s="1283"/>
      <c r="I96" s="490"/>
    </row>
    <row r="97" spans="1:9" s="987" customFormat="1" ht="14.25">
      <c r="A97" s="985"/>
      <c r="B97" s="985"/>
      <c r="C97" s="986"/>
      <c r="D97" s="1283"/>
      <c r="E97" s="1283"/>
      <c r="F97" s="1283"/>
      <c r="I97" s="1154"/>
    </row>
    <row r="98" spans="1:9" ht="14.25">
      <c r="A98" s="484"/>
      <c r="B98" s="484"/>
      <c r="D98" s="392"/>
      <c r="E98" s="312" t="s">
        <v>1924</v>
      </c>
      <c r="F98" s="445"/>
      <c r="I98" s="490"/>
    </row>
    <row r="99" spans="1:9" ht="14.25">
      <c r="A99" s="484"/>
      <c r="B99" s="484"/>
      <c r="D99" s="385"/>
      <c r="E99" s="385"/>
      <c r="F99" s="385"/>
      <c r="I99" s="490"/>
    </row>
    <row r="100" spans="1:9" ht="14.25">
      <c r="A100" s="484"/>
      <c r="B100" s="485" t="s">
        <v>307</v>
      </c>
      <c r="D100" s="1283" t="s">
        <v>1744</v>
      </c>
      <c r="E100" s="1283"/>
      <c r="F100" s="1283"/>
      <c r="I100" s="490"/>
    </row>
    <row r="101" spans="1:9" ht="14.25">
      <c r="A101" s="484"/>
      <c r="B101" s="484"/>
      <c r="D101" s="1283"/>
      <c r="E101" s="1283"/>
      <c r="F101" s="1283"/>
      <c r="I101" s="490"/>
    </row>
    <row r="102" spans="1:9" ht="14.25">
      <c r="A102" s="484"/>
      <c r="B102" s="484"/>
      <c r="D102" s="445"/>
      <c r="E102" s="445"/>
      <c r="F102" s="445"/>
      <c r="I102" s="490"/>
    </row>
    <row r="103" spans="1:9" ht="14.45" customHeight="1">
      <c r="A103" s="484"/>
      <c r="B103" s="485" t="s">
        <v>307</v>
      </c>
      <c r="D103" s="1283" t="s">
        <v>1195</v>
      </c>
      <c r="E103" s="1283"/>
      <c r="F103" s="1283"/>
      <c r="I103" s="490"/>
    </row>
    <row r="104" spans="1:9" ht="14.25">
      <c r="A104" s="484"/>
      <c r="B104" s="484"/>
      <c r="D104" s="1283"/>
      <c r="E104" s="1283"/>
      <c r="F104" s="1283"/>
      <c r="I104" s="490"/>
    </row>
    <row r="105" spans="1:9" ht="14.25">
      <c r="A105" s="484"/>
      <c r="B105" s="484"/>
      <c r="D105" s="1283"/>
      <c r="E105" s="1283"/>
      <c r="F105" s="1283"/>
      <c r="I105" s="490"/>
    </row>
    <row r="106" spans="1:9" ht="14.25">
      <c r="A106" s="484"/>
      <c r="B106" s="484"/>
      <c r="D106" s="1283"/>
      <c r="E106" s="1283"/>
      <c r="F106" s="1283"/>
      <c r="I106" s="490"/>
    </row>
    <row r="107" spans="1:9" ht="14.25">
      <c r="A107" s="484"/>
      <c r="B107" s="484"/>
      <c r="D107" s="1283"/>
      <c r="E107" s="1283"/>
      <c r="F107" s="1283"/>
      <c r="I107" s="490"/>
    </row>
    <row r="108" spans="1:9" ht="14.25">
      <c r="A108" s="484"/>
      <c r="B108" s="484"/>
      <c r="D108" s="1283"/>
      <c r="E108" s="1283"/>
      <c r="F108" s="1283"/>
      <c r="I108" s="490"/>
    </row>
    <row r="109" spans="1:9" ht="14.25">
      <c r="A109" s="484"/>
      <c r="B109" s="484"/>
      <c r="D109" s="1283"/>
      <c r="E109" s="1283"/>
      <c r="F109" s="1283"/>
      <c r="I109" s="490"/>
    </row>
    <row r="110" spans="1:9" ht="14.25">
      <c r="A110" s="484"/>
      <c r="B110" s="484"/>
      <c r="D110" s="1283"/>
      <c r="E110" s="1283"/>
      <c r="F110" s="1283"/>
      <c r="I110" s="490"/>
    </row>
    <row r="111" spans="1:9" ht="14.25">
      <c r="A111" s="484"/>
      <c r="B111" s="484"/>
      <c r="D111" s="1283"/>
      <c r="E111" s="1283"/>
      <c r="F111" s="1283"/>
      <c r="I111" s="490"/>
    </row>
    <row r="112" spans="1:9" ht="14.25">
      <c r="A112" s="484"/>
      <c r="B112" s="484"/>
      <c r="D112" s="1283"/>
      <c r="E112" s="1283"/>
      <c r="F112" s="1283"/>
      <c r="I112" s="490"/>
    </row>
    <row r="113" spans="1:9" ht="14.25">
      <c r="A113" s="484"/>
      <c r="B113" s="484"/>
      <c r="D113" s="1283"/>
      <c r="E113" s="1283"/>
      <c r="F113" s="1283"/>
      <c r="I113" s="490"/>
    </row>
    <row r="114" spans="1:9" ht="14.25">
      <c r="A114" s="484"/>
      <c r="B114" s="484"/>
      <c r="D114" s="1283"/>
      <c r="E114" s="1283"/>
      <c r="F114" s="1283"/>
      <c r="I114" s="490"/>
    </row>
    <row r="115" spans="1:9" ht="14.25">
      <c r="A115" s="484"/>
      <c r="B115" s="484"/>
      <c r="D115" s="1283"/>
      <c r="E115" s="1283"/>
      <c r="F115" s="1283"/>
      <c r="I115" s="490"/>
    </row>
    <row r="116" spans="1:9" ht="14.25">
      <c r="A116" s="484"/>
      <c r="B116" s="484"/>
      <c r="D116" s="1283"/>
      <c r="E116" s="1283"/>
      <c r="F116" s="1283"/>
      <c r="I116" s="490"/>
    </row>
    <row r="117" spans="1:9" ht="14.25">
      <c r="A117" s="484"/>
      <c r="B117" s="484"/>
      <c r="D117" s="1283"/>
      <c r="E117" s="1283"/>
      <c r="F117" s="1283"/>
      <c r="I117" s="490"/>
    </row>
    <row r="118" spans="1:9" ht="14.25">
      <c r="A118" s="484"/>
      <c r="B118" s="484"/>
      <c r="D118" s="524"/>
      <c r="E118" s="524"/>
      <c r="F118" s="524"/>
      <c r="I118" s="490"/>
    </row>
    <row r="119" spans="1:9" ht="14.25" customHeight="1">
      <c r="A119" s="484"/>
      <c r="B119" s="485" t="s">
        <v>307</v>
      </c>
      <c r="D119" s="1303" t="s">
        <v>1104</v>
      </c>
      <c r="E119" s="1303"/>
      <c r="F119" s="1303"/>
      <c r="I119" s="490"/>
    </row>
    <row r="120" spans="1:9" ht="14.25">
      <c r="A120" s="484"/>
      <c r="B120" s="484"/>
      <c r="D120" s="1303"/>
      <c r="E120" s="1303"/>
      <c r="F120" s="1303"/>
      <c r="I120" s="490"/>
    </row>
    <row r="121" spans="1:9" ht="14.25">
      <c r="A121" s="484"/>
      <c r="B121" s="484"/>
      <c r="D121" s="1303"/>
      <c r="E121" s="1303"/>
      <c r="F121" s="1303"/>
      <c r="I121" s="490"/>
    </row>
    <row r="122" spans="1:9" ht="14.25">
      <c r="A122" s="484"/>
      <c r="B122" s="484"/>
      <c r="D122" s="1303"/>
      <c r="E122" s="1303"/>
      <c r="F122" s="1303"/>
      <c r="I122" s="490"/>
    </row>
    <row r="123" spans="1:9" ht="14.25">
      <c r="A123" s="484"/>
      <c r="B123" s="484"/>
      <c r="D123" s="1303"/>
      <c r="E123" s="1303"/>
      <c r="F123" s="1303"/>
      <c r="I123" s="490"/>
    </row>
    <row r="124" spans="1:9" ht="14.25">
      <c r="A124" s="484"/>
      <c r="B124" s="484"/>
      <c r="D124" s="1303"/>
      <c r="E124" s="1303"/>
      <c r="F124" s="1303"/>
      <c r="I124" s="490"/>
    </row>
    <row r="125" spans="1:9" ht="14.25">
      <c r="A125" s="484"/>
      <c r="B125" s="484"/>
      <c r="D125" s="1303"/>
      <c r="E125" s="1303"/>
      <c r="F125" s="1303"/>
      <c r="I125" s="490"/>
    </row>
    <row r="126" spans="1:9" ht="14.25">
      <c r="A126" s="484"/>
      <c r="B126" s="484"/>
      <c r="D126" s="1303"/>
      <c r="E126" s="1303"/>
      <c r="F126" s="1303"/>
      <c r="I126" s="490"/>
    </row>
    <row r="127" spans="1:9">
      <c r="C127" s="402"/>
      <c r="D127" s="525"/>
      <c r="E127" s="525"/>
      <c r="F127" s="525"/>
      <c r="I127" s="490"/>
    </row>
    <row r="128" spans="1:9" ht="14.25">
      <c r="A128" s="484"/>
      <c r="B128" s="485" t="s">
        <v>307</v>
      </c>
      <c r="C128" s="402"/>
      <c r="D128" s="1303" t="s">
        <v>2050</v>
      </c>
      <c r="E128" s="1303"/>
      <c r="F128" s="1303"/>
      <c r="I128" s="490"/>
    </row>
    <row r="129" spans="1:9" ht="14.25">
      <c r="A129" s="484"/>
      <c r="B129" s="484"/>
      <c r="C129" s="402"/>
      <c r="D129" s="1303"/>
      <c r="E129" s="1303"/>
      <c r="F129" s="1303"/>
      <c r="I129" s="490"/>
    </row>
    <row r="130" spans="1:9">
      <c r="I130" s="490"/>
    </row>
    <row r="131" spans="1:9" ht="14.25">
      <c r="A131" s="484"/>
      <c r="B131" s="485" t="s">
        <v>307</v>
      </c>
      <c r="D131" s="1283" t="s">
        <v>1105</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ht="14.25">
      <c r="A137" s="484"/>
      <c r="B137" s="485" t="s">
        <v>307</v>
      </c>
      <c r="D137" s="1283" t="s">
        <v>1106</v>
      </c>
      <c r="E137" s="1283"/>
      <c r="F137" s="1283"/>
      <c r="I137" s="490"/>
    </row>
    <row r="138" spans="1:9" s="417" customFormat="1" ht="13.7" customHeight="1">
      <c r="A138" s="488"/>
      <c r="B138" s="488"/>
      <c r="C138" s="488"/>
      <c r="D138" s="1283"/>
      <c r="E138" s="1283"/>
      <c r="F138" s="1283"/>
      <c r="I138" s="1155"/>
    </row>
    <row r="139" spans="1:9" ht="13.7" customHeight="1">
      <c r="D139" s="1283"/>
      <c r="E139" s="1283"/>
      <c r="F139" s="1283"/>
      <c r="I139" s="490"/>
    </row>
    <row r="140" spans="1:9" ht="13.7" customHeight="1">
      <c r="D140" s="1283"/>
      <c r="E140" s="1283"/>
      <c r="F140" s="1283"/>
      <c r="I140" s="490"/>
    </row>
    <row r="141" spans="1:9" ht="13.7" customHeight="1">
      <c r="D141" s="1283"/>
      <c r="E141" s="1283"/>
      <c r="F141" s="1283"/>
      <c r="I141" s="490"/>
    </row>
    <row r="142" spans="1:9" ht="13.7" customHeight="1">
      <c r="A142" s="489"/>
      <c r="B142" s="489"/>
      <c r="D142" s="1283"/>
      <c r="E142" s="1283"/>
      <c r="F142" s="1283"/>
      <c r="I142" s="490"/>
    </row>
    <row r="143" spans="1:9" ht="13.7" customHeight="1">
      <c r="D143" s="1283"/>
      <c r="E143" s="1283"/>
      <c r="F143" s="1283"/>
      <c r="I143" s="490"/>
    </row>
    <row r="144" spans="1:9" ht="13.7" customHeight="1">
      <c r="D144" s="1283"/>
      <c r="E144" s="1283"/>
      <c r="F144" s="1283"/>
      <c r="I144" s="490"/>
    </row>
    <row r="145" spans="2:9" ht="13.7" customHeight="1">
      <c r="D145" s="1283"/>
      <c r="E145" s="1283"/>
      <c r="F145" s="1283"/>
      <c r="I145" s="490"/>
    </row>
    <row r="146" spans="2:9" ht="13.7" customHeight="1">
      <c r="D146" s="1283"/>
      <c r="E146" s="1283"/>
      <c r="F146" s="1283"/>
      <c r="I146" s="490"/>
    </row>
    <row r="147" spans="2:9" ht="13.7" customHeight="1">
      <c r="D147" s="1283"/>
      <c r="E147" s="1283"/>
      <c r="F147" s="1283"/>
      <c r="I147" s="490"/>
    </row>
    <row r="148" spans="2:9" ht="13.7" customHeight="1">
      <c r="D148" s="1283"/>
      <c r="E148" s="1283"/>
      <c r="F148" s="1283"/>
      <c r="I148" s="490"/>
    </row>
    <row r="149" spans="2:9" ht="13.7" customHeight="1">
      <c r="D149" s="1283"/>
      <c r="E149" s="1283"/>
      <c r="F149" s="1283"/>
      <c r="I149" s="490"/>
    </row>
    <row r="150" spans="2:9" ht="13.7" customHeight="1">
      <c r="D150" s="476"/>
      <c r="E150" s="446"/>
      <c r="F150" s="446"/>
      <c r="I150" s="490"/>
    </row>
    <row r="151" spans="2:9" ht="13.7" customHeight="1">
      <c r="B151" s="485" t="s">
        <v>307</v>
      </c>
      <c r="D151" s="1283" t="s">
        <v>1178</v>
      </c>
      <c r="E151" s="1283"/>
      <c r="F151" s="1283"/>
      <c r="I151" s="490"/>
    </row>
    <row r="152" spans="2:9" ht="13.7" customHeight="1">
      <c r="D152" s="1283"/>
      <c r="E152" s="1283"/>
      <c r="F152" s="1283"/>
      <c r="I152" s="490"/>
    </row>
    <row r="153" spans="2:9" ht="13.7" customHeight="1">
      <c r="D153" s="1283"/>
      <c r="E153" s="1283"/>
      <c r="F153" s="1283"/>
      <c r="I153" s="490"/>
    </row>
    <row r="154" spans="2:9" ht="13.7" customHeight="1">
      <c r="D154" s="1283"/>
      <c r="E154" s="1283"/>
      <c r="F154" s="1283"/>
      <c r="I154" s="490"/>
    </row>
    <row r="155" spans="2:9" ht="13.7" customHeight="1">
      <c r="D155" s="1283"/>
      <c r="E155" s="1283"/>
      <c r="F155" s="1283"/>
      <c r="I155" s="490"/>
    </row>
    <row r="156" spans="2:9" ht="13.7" customHeight="1">
      <c r="D156" s="1283"/>
      <c r="E156" s="1283"/>
      <c r="F156" s="1283"/>
      <c r="I156" s="490"/>
    </row>
    <row r="157" spans="2:9" ht="13.7" customHeight="1">
      <c r="D157" s="1283"/>
      <c r="E157" s="1283"/>
      <c r="F157" s="1283"/>
      <c r="I157" s="490"/>
    </row>
    <row r="158" spans="2:9" ht="13.7" customHeight="1">
      <c r="D158" s="1283"/>
      <c r="E158" s="1283"/>
      <c r="F158" s="1283"/>
      <c r="I158" s="490"/>
    </row>
    <row r="159" spans="2:9" ht="13.7" customHeight="1">
      <c r="D159" s="1283"/>
      <c r="E159" s="1283"/>
      <c r="F159" s="1283"/>
      <c r="I159" s="490"/>
    </row>
    <row r="160" spans="2:9" ht="13.7" customHeight="1">
      <c r="D160" s="1283"/>
      <c r="E160" s="1283"/>
      <c r="F160" s="1283"/>
      <c r="I160" s="490"/>
    </row>
    <row r="161" spans="1:9" ht="13.7" customHeight="1">
      <c r="D161" s="1283"/>
      <c r="E161" s="1283"/>
      <c r="F161" s="1283"/>
      <c r="I161" s="490"/>
    </row>
    <row r="162" spans="1:9" ht="13.7" customHeight="1">
      <c r="D162" s="1283"/>
      <c r="E162" s="1283"/>
      <c r="F162" s="1283"/>
      <c r="I162" s="490"/>
    </row>
    <row r="163" spans="1:9" ht="13.7" customHeight="1">
      <c r="D163" s="1283"/>
      <c r="E163" s="1283"/>
      <c r="F163" s="1283"/>
      <c r="I163" s="490"/>
    </row>
    <row r="164" spans="1:9" ht="13.7" customHeight="1">
      <c r="D164" s="1283"/>
      <c r="E164" s="1283"/>
      <c r="F164" s="1283"/>
      <c r="I164" s="490"/>
    </row>
    <row r="165" spans="1:9" ht="13.7" customHeight="1">
      <c r="D165" s="1283"/>
      <c r="E165" s="1283"/>
      <c r="F165" s="1283"/>
      <c r="I165" s="490"/>
    </row>
    <row r="166" spans="1:9" ht="13.7" customHeight="1">
      <c r="D166" s="1283"/>
      <c r="E166" s="1283"/>
      <c r="F166" s="1283"/>
      <c r="I166" s="490"/>
    </row>
    <row r="167" spans="1:9" ht="13.7" customHeight="1">
      <c r="D167" s="1283"/>
      <c r="E167" s="1283"/>
      <c r="F167" s="1283"/>
      <c r="I167" s="490"/>
    </row>
    <row r="168" spans="1:9" ht="13.7" customHeight="1">
      <c r="D168" s="1283"/>
      <c r="E168" s="1283"/>
      <c r="F168" s="1283"/>
      <c r="I168" s="490"/>
    </row>
    <row r="169" spans="1:9" ht="13.7" customHeight="1">
      <c r="D169" s="1304" t="s">
        <v>2073</v>
      </c>
      <c r="E169" s="1304"/>
      <c r="F169" s="1304"/>
      <c r="G169" s="507"/>
      <c r="I169" s="490"/>
    </row>
    <row r="170" spans="1:9" ht="13.7" customHeight="1">
      <c r="D170" s="1295"/>
      <c r="E170" s="1295"/>
      <c r="F170" s="1295"/>
      <c r="G170" s="1295"/>
      <c r="I170" s="490"/>
    </row>
    <row r="171" spans="1:9" ht="14.45" customHeight="1">
      <c r="A171" s="489"/>
      <c r="B171" s="485" t="s">
        <v>307</v>
      </c>
      <c r="C171" s="476"/>
      <c r="D171" s="1263" t="s">
        <v>2213</v>
      </c>
      <c r="E171" s="1263"/>
      <c r="F171" s="1263"/>
      <c r="G171" s="476"/>
      <c r="I171" s="490"/>
    </row>
    <row r="172" spans="1:9" ht="14.45" customHeight="1">
      <c r="A172" s="489"/>
      <c r="B172" s="489"/>
      <c r="C172" s="476"/>
      <c r="D172" s="1263"/>
      <c r="E172" s="1263"/>
      <c r="F172" s="1263"/>
      <c r="G172" s="476"/>
      <c r="I172" s="490"/>
    </row>
    <row r="173" spans="1:9" ht="14.45" customHeight="1">
      <c r="A173" s="489"/>
      <c r="B173" s="489"/>
      <c r="C173" s="476"/>
      <c r="D173" s="1263"/>
      <c r="E173" s="1263"/>
      <c r="F173" s="1263"/>
      <c r="G173" s="476"/>
      <c r="I173" s="490"/>
    </row>
    <row r="174" spans="1:9" ht="14.45" customHeight="1">
      <c r="A174" s="489"/>
      <c r="B174" s="489"/>
      <c r="C174" s="476"/>
      <c r="D174" s="1263"/>
      <c r="E174" s="1263"/>
      <c r="F174" s="1263"/>
      <c r="G174" s="476"/>
      <c r="I174" s="490"/>
    </row>
    <row r="175" spans="1:9" ht="13.7" customHeight="1">
      <c r="A175" s="489"/>
      <c r="B175" s="489"/>
      <c r="C175" s="476"/>
      <c r="D175" s="1263"/>
      <c r="E175" s="1263"/>
      <c r="F175" s="1263"/>
      <c r="G175" s="476"/>
      <c r="I175" s="490"/>
    </row>
    <row r="176" spans="1:9" ht="13.7" customHeight="1">
      <c r="A176" s="489"/>
      <c r="B176" s="489"/>
      <c r="C176" s="476"/>
      <c r="D176" s="476"/>
      <c r="E176" s="476"/>
      <c r="F176" s="476"/>
      <c r="G176" s="476"/>
      <c r="I176" s="490"/>
    </row>
    <row r="177" spans="1:9" ht="13.7" customHeight="1">
      <c r="A177" s="489"/>
      <c r="B177" s="485" t="s">
        <v>307</v>
      </c>
      <c r="C177" s="476"/>
      <c r="D177" s="1263" t="s">
        <v>1107</v>
      </c>
      <c r="E177" s="1263"/>
      <c r="F177" s="1263"/>
      <c r="G177" s="476"/>
      <c r="I177" s="490"/>
    </row>
    <row r="178" spans="1:9" ht="13.7" customHeight="1">
      <c r="A178" s="489"/>
      <c r="B178" s="489"/>
      <c r="C178" s="476"/>
      <c r="D178" s="1263"/>
      <c r="E178" s="1263"/>
      <c r="F178" s="1263"/>
      <c r="G178" s="476"/>
      <c r="I178" s="490"/>
    </row>
    <row r="179" spans="1:9" ht="13.7" customHeight="1">
      <c r="A179" s="489"/>
      <c r="B179" s="489"/>
      <c r="C179" s="476"/>
      <c r="D179" s="1263"/>
      <c r="E179" s="1263"/>
      <c r="F179" s="1263"/>
      <c r="G179" s="476"/>
      <c r="I179" s="490"/>
    </row>
    <row r="180" spans="1:9" ht="13.7" customHeight="1">
      <c r="A180" s="489"/>
      <c r="B180" s="489"/>
      <c r="C180" s="476"/>
      <c r="D180" s="1263"/>
      <c r="E180" s="1263"/>
      <c r="F180" s="1263"/>
      <c r="G180" s="476"/>
      <c r="I180" s="490"/>
    </row>
    <row r="181" spans="1:9" ht="13.7" customHeight="1">
      <c r="D181" s="446"/>
      <c r="E181" s="446"/>
      <c r="F181" s="446"/>
      <c r="I181" s="490"/>
    </row>
    <row r="182" spans="1:9" ht="13.7" customHeight="1">
      <c r="B182" s="485" t="s">
        <v>307</v>
      </c>
      <c r="D182" s="1287" t="s">
        <v>2051</v>
      </c>
      <c r="E182" s="1287"/>
      <c r="F182" s="1287"/>
      <c r="I182" s="490"/>
    </row>
    <row r="183" spans="1:9" ht="13.7" customHeight="1">
      <c r="D183" s="1287"/>
      <c r="E183" s="1287"/>
      <c r="F183" s="1287"/>
      <c r="I183" s="490"/>
    </row>
    <row r="184" spans="1:9" ht="13.7" customHeight="1">
      <c r="D184" s="1287"/>
      <c r="E184" s="1287"/>
      <c r="F184" s="1287"/>
      <c r="I184" s="490"/>
    </row>
    <row r="185" spans="1:9" ht="13.7" customHeight="1">
      <c r="A185" s="490"/>
      <c r="B185" s="490"/>
      <c r="E185" s="446"/>
      <c r="F185" s="446"/>
      <c r="I185" s="490"/>
    </row>
    <row r="186" spans="1:9">
      <c r="A186" s="1286" t="s">
        <v>2052</v>
      </c>
      <c r="B186" s="1286"/>
      <c r="C186" s="1286"/>
      <c r="D186" s="1286"/>
      <c r="E186" s="1286"/>
      <c r="F186" s="1286"/>
      <c r="G186" s="1286"/>
      <c r="H186" s="1028"/>
      <c r="I186" s="1153"/>
    </row>
    <row r="187" spans="1:9" ht="12" customHeight="1">
      <c r="D187" s="446"/>
      <c r="E187" s="446"/>
      <c r="F187" s="446"/>
      <c r="I187" s="490"/>
    </row>
    <row r="188" spans="1:9">
      <c r="B188" s="1289" t="s">
        <v>447</v>
      </c>
      <c r="C188" s="1289"/>
      <c r="D188" s="1289"/>
      <c r="E188" s="1289"/>
      <c r="F188" s="1289"/>
      <c r="I188" s="490"/>
    </row>
    <row r="189" spans="1:9">
      <c r="B189" s="392" t="s">
        <v>1875</v>
      </c>
      <c r="C189" s="392"/>
      <c r="D189" s="392"/>
      <c r="E189" s="392"/>
      <c r="F189" s="392"/>
      <c r="I189" s="490"/>
    </row>
    <row r="190" spans="1:9" ht="12" customHeight="1">
      <c r="A190" s="482"/>
      <c r="B190" s="482"/>
      <c r="C190" s="482"/>
      <c r="I190" s="490"/>
    </row>
    <row r="191" spans="1:9">
      <c r="A191" s="1286" t="s">
        <v>1046</v>
      </c>
      <c r="B191" s="1286"/>
      <c r="C191" s="1286"/>
      <c r="D191" s="1286"/>
      <c r="E191" s="1286"/>
      <c r="F191" s="1286"/>
      <c r="G191" s="1286"/>
      <c r="H191" s="1028"/>
      <c r="I191" s="1153"/>
    </row>
    <row r="192" spans="1:9" ht="12" customHeight="1">
      <c r="A192" s="404"/>
      <c r="B192" s="404"/>
      <c r="E192" s="404"/>
      <c r="I192" s="490"/>
    </row>
    <row r="193" spans="1:9" ht="13.7" customHeight="1">
      <c r="A193" s="404"/>
      <c r="B193" s="404"/>
      <c r="D193" s="1285" t="s">
        <v>1747</v>
      </c>
      <c r="E193" s="1285"/>
      <c r="F193" s="1285"/>
      <c r="I193" s="490"/>
    </row>
    <row r="194" spans="1:9">
      <c r="A194" s="404"/>
      <c r="B194" s="404"/>
      <c r="D194" s="1285"/>
      <c r="E194" s="1285"/>
      <c r="F194" s="1285"/>
      <c r="I194" s="490"/>
    </row>
    <row r="195" spans="1:9">
      <c r="A195" s="404"/>
      <c r="B195" s="404"/>
      <c r="D195" s="1289" t="s">
        <v>1196</v>
      </c>
      <c r="E195" s="1289"/>
      <c r="F195" s="1289"/>
      <c r="I195" s="490"/>
    </row>
    <row r="196" spans="1:9">
      <c r="A196" s="404"/>
      <c r="B196" s="404"/>
      <c r="D196" s="392"/>
      <c r="E196" s="392"/>
      <c r="F196" s="392"/>
      <c r="I196" s="490"/>
    </row>
    <row r="197" spans="1:9">
      <c r="A197" s="404"/>
      <c r="B197" s="485" t="s">
        <v>307</v>
      </c>
      <c r="D197" s="1300" t="s">
        <v>1748</v>
      </c>
      <c r="E197" s="1300"/>
      <c r="F197" s="1300"/>
      <c r="I197" s="490"/>
    </row>
    <row r="198" spans="1:9">
      <c r="A198" s="404"/>
      <c r="B198" s="404"/>
      <c r="D198" s="1301" t="s">
        <v>1902</v>
      </c>
      <c r="E198" s="1301"/>
      <c r="F198" s="1301"/>
      <c r="I198" s="490"/>
    </row>
    <row r="199" spans="1:9">
      <c r="A199" s="404"/>
      <c r="B199" s="404"/>
      <c r="D199" s="96" t="s">
        <v>1749</v>
      </c>
      <c r="E199" s="1302" t="s">
        <v>1925</v>
      </c>
      <c r="F199" s="1302"/>
      <c r="I199" s="490"/>
    </row>
    <row r="200" spans="1:9">
      <c r="A200" s="404"/>
      <c r="B200" s="404"/>
      <c r="D200" s="3"/>
      <c r="E200" s="3"/>
      <c r="F200" s="3"/>
      <c r="I200" s="490"/>
    </row>
    <row r="201" spans="1:9">
      <c r="A201" s="404"/>
      <c r="B201" s="485" t="s">
        <v>307</v>
      </c>
      <c r="D201" s="1301" t="s">
        <v>1750</v>
      </c>
      <c r="E201" s="1301"/>
      <c r="F201" s="1301"/>
      <c r="I201" s="490"/>
    </row>
    <row r="202" spans="1:9">
      <c r="A202" s="404"/>
      <c r="B202" s="404"/>
      <c r="D202" s="1300" t="s">
        <v>1902</v>
      </c>
      <c r="E202" s="1300"/>
      <c r="F202" s="1300"/>
      <c r="I202" s="490"/>
    </row>
    <row r="203" spans="1:9">
      <c r="A203" s="404"/>
      <c r="B203" s="404"/>
      <c r="D203" s="57" t="s">
        <v>1751</v>
      </c>
      <c r="E203" s="1302" t="s">
        <v>1926</v>
      </c>
      <c r="F203" s="1302"/>
      <c r="I203" s="490"/>
    </row>
    <row r="204" spans="1:9">
      <c r="A204" s="404"/>
      <c r="B204" s="404"/>
      <c r="D204" s="3"/>
      <c r="E204" s="3"/>
      <c r="F204" s="3"/>
      <c r="I204" s="490"/>
    </row>
    <row r="205" spans="1:9">
      <c r="A205" s="404"/>
      <c r="B205" s="485" t="s">
        <v>307</v>
      </c>
      <c r="D205" s="1301" t="s">
        <v>1752</v>
      </c>
      <c r="E205" s="1301"/>
      <c r="F205" s="1301"/>
      <c r="I205" s="490"/>
    </row>
    <row r="206" spans="1:9">
      <c r="A206" s="404"/>
      <c r="B206" s="404"/>
      <c r="D206" s="1300" t="s">
        <v>1902</v>
      </c>
      <c r="E206" s="1300"/>
      <c r="F206" s="1300"/>
      <c r="I206" s="490"/>
    </row>
    <row r="207" spans="1:9">
      <c r="A207" s="404"/>
      <c r="B207" s="404"/>
      <c r="D207" s="57" t="s">
        <v>1749</v>
      </c>
      <c r="E207" s="1302" t="s">
        <v>1927</v>
      </c>
      <c r="F207" s="1302"/>
      <c r="I207" s="490"/>
    </row>
    <row r="208" spans="1:9">
      <c r="A208" s="404"/>
      <c r="B208" s="404"/>
      <c r="D208" s="392"/>
      <c r="E208" s="392"/>
      <c r="F208" s="392"/>
      <c r="I208" s="490"/>
    </row>
    <row r="209" spans="1:9" ht="14.25" customHeight="1">
      <c r="A209" s="484"/>
      <c r="B209" s="485" t="s">
        <v>307</v>
      </c>
      <c r="D209" s="386" t="s">
        <v>1895</v>
      </c>
      <c r="E209" s="385"/>
      <c r="F209" s="385"/>
      <c r="I209" s="490"/>
    </row>
    <row r="210" spans="1:9" ht="14.25">
      <c r="A210" s="484"/>
      <c r="B210" s="484"/>
      <c r="D210" s="1300" t="s">
        <v>1902</v>
      </c>
      <c r="E210" s="1300"/>
      <c r="F210" s="1300"/>
      <c r="I210" s="490"/>
    </row>
    <row r="211" spans="1:9">
      <c r="D211" s="385"/>
      <c r="E211" s="1302" t="s">
        <v>1928</v>
      </c>
      <c r="F211" s="1302"/>
      <c r="I211" s="490"/>
    </row>
    <row r="212" spans="1:9">
      <c r="D212" s="447"/>
      <c r="I212" s="490"/>
    </row>
    <row r="213" spans="1:9">
      <c r="B213" s="485" t="s">
        <v>307</v>
      </c>
      <c r="D213" s="1301" t="s">
        <v>1753</v>
      </c>
      <c r="E213" s="1301"/>
      <c r="F213" s="1301"/>
      <c r="I213" s="490"/>
    </row>
    <row r="214" spans="1:9">
      <c r="D214" s="1300" t="s">
        <v>1902</v>
      </c>
      <c r="E214" s="1300"/>
      <c r="F214" s="1300"/>
      <c r="I214" s="490"/>
    </row>
    <row r="215" spans="1:9">
      <c r="D215" s="57" t="s">
        <v>1749</v>
      </c>
      <c r="E215" s="1302" t="s">
        <v>1929</v>
      </c>
      <c r="F215" s="1302"/>
      <c r="I215" s="490"/>
    </row>
    <row r="216" spans="1:9">
      <c r="D216" s="451"/>
      <c r="E216" s="451"/>
      <c r="F216" s="451"/>
      <c r="I216" s="490"/>
    </row>
    <row r="217" spans="1:9" ht="14.25">
      <c r="A217" s="484"/>
      <c r="B217" s="485" t="s">
        <v>307</v>
      </c>
      <c r="D217" s="1283" t="s">
        <v>1217</v>
      </c>
      <c r="E217" s="1283"/>
      <c r="F217" s="1283"/>
      <c r="I217" s="490"/>
    </row>
    <row r="218" spans="1:9" ht="14.45" customHeight="1">
      <c r="A218" s="484"/>
      <c r="B218" s="402"/>
      <c r="D218" s="1283"/>
      <c r="E218" s="1283"/>
      <c r="F218" s="1283"/>
      <c r="I218" s="490"/>
    </row>
    <row r="219" spans="1:9" ht="14.25">
      <c r="A219" s="484"/>
      <c r="D219" s="1283"/>
      <c r="E219" s="1283"/>
      <c r="F219" s="1283"/>
      <c r="I219" s="490"/>
    </row>
    <row r="220" spans="1:9" ht="14.25">
      <c r="A220" s="484"/>
      <c r="D220" s="1283"/>
      <c r="E220" s="1283"/>
      <c r="F220" s="1283"/>
      <c r="I220" s="490"/>
    </row>
    <row r="221" spans="1:9">
      <c r="D221" s="451"/>
      <c r="E221" s="451"/>
      <c r="F221" s="451"/>
      <c r="I221" s="490"/>
    </row>
    <row r="222" spans="1:9">
      <c r="A222" s="1286" t="s">
        <v>1047</v>
      </c>
      <c r="B222" s="1286"/>
      <c r="C222" s="1286"/>
      <c r="D222" s="1286"/>
      <c r="E222" s="1286"/>
      <c r="F222" s="1286"/>
      <c r="G222" s="1286"/>
      <c r="H222" s="1028"/>
      <c r="I222" s="1153"/>
    </row>
    <row r="223" spans="1:9" ht="12" customHeight="1">
      <c r="D223" s="446"/>
      <c r="E223" s="446"/>
      <c r="F223" s="446"/>
      <c r="I223" s="490"/>
    </row>
    <row r="224" spans="1:9">
      <c r="C224" s="486"/>
      <c r="D224" s="1291" t="s">
        <v>208</v>
      </c>
      <c r="E224" s="1291"/>
      <c r="F224" s="1291"/>
      <c r="I224" s="490"/>
    </row>
    <row r="225" spans="1:9">
      <c r="A225" s="482"/>
      <c r="B225" s="482"/>
      <c r="C225" s="482"/>
      <c r="D225" s="1284" t="s">
        <v>1121</v>
      </c>
      <c r="E225" s="1284"/>
      <c r="F225" s="1284"/>
      <c r="I225" s="490"/>
    </row>
    <row r="226" spans="1:9" ht="12" customHeight="1">
      <c r="A226" s="490"/>
      <c r="B226" s="490"/>
      <c r="C226" s="490"/>
      <c r="I226" s="490"/>
    </row>
    <row r="227" spans="1:9" ht="13.7" customHeight="1">
      <c r="A227" s="490"/>
      <c r="C227" s="490"/>
      <c r="D227" s="1291" t="s">
        <v>547</v>
      </c>
      <c r="E227" s="1291"/>
      <c r="F227" s="1291"/>
      <c r="I227" s="490"/>
    </row>
    <row r="228" spans="1:9" ht="14.25">
      <c r="A228" s="484"/>
      <c r="B228" s="485" t="s">
        <v>307</v>
      </c>
      <c r="D228" s="1283" t="s">
        <v>1754</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ht="14.25">
      <c r="A231" s="484"/>
      <c r="B231" s="484"/>
      <c r="D231" s="1283"/>
      <c r="E231" s="1283"/>
      <c r="F231" s="1283"/>
      <c r="I231" s="490"/>
    </row>
    <row r="232" spans="1:9" ht="14.25">
      <c r="A232" s="484"/>
      <c r="B232" s="484"/>
      <c r="D232" s="445"/>
      <c r="E232" s="445"/>
      <c r="F232" s="445"/>
      <c r="I232" s="490"/>
    </row>
    <row r="233" spans="1:9" ht="14.25">
      <c r="A233" s="484"/>
      <c r="B233" s="485" t="s">
        <v>307</v>
      </c>
      <c r="D233" s="1283" t="s">
        <v>1755</v>
      </c>
      <c r="E233" s="1283"/>
      <c r="F233" s="1283"/>
      <c r="I233" s="490"/>
    </row>
    <row r="234" spans="1:9" ht="14.25">
      <c r="A234" s="484"/>
      <c r="B234" s="484"/>
      <c r="D234" s="1283"/>
      <c r="E234" s="1283"/>
      <c r="F234" s="1283"/>
      <c r="I234" s="490"/>
    </row>
    <row r="235" spans="1:9" ht="14.25">
      <c r="A235" s="484"/>
      <c r="B235" s="484"/>
      <c r="D235" s="1283"/>
      <c r="E235" s="1283"/>
      <c r="F235" s="1283"/>
      <c r="I235" s="490"/>
    </row>
    <row r="236" spans="1:9" ht="14.25">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ht="14.25">
      <c r="A239" s="484"/>
      <c r="B239" s="484"/>
      <c r="D239" s="1283" t="s">
        <v>1119</v>
      </c>
      <c r="E239" s="1283"/>
      <c r="F239" s="1283"/>
      <c r="I239" s="490"/>
    </row>
    <row r="240" spans="1:9" ht="14.25">
      <c r="A240" s="484"/>
      <c r="B240" s="484"/>
      <c r="D240" s="1283"/>
      <c r="E240" s="1283"/>
      <c r="F240" s="1283"/>
      <c r="I240" s="490"/>
    </row>
    <row r="241" spans="1:9" ht="14.25">
      <c r="A241" s="484"/>
      <c r="B241" s="484"/>
      <c r="D241" s="1283"/>
      <c r="E241" s="1283"/>
      <c r="F241" s="1283"/>
      <c r="I241" s="490"/>
    </row>
    <row r="242" spans="1:9" ht="14.25">
      <c r="A242" s="484"/>
      <c r="B242" s="484"/>
      <c r="D242" s="1283"/>
      <c r="E242" s="1283"/>
      <c r="F242" s="1283"/>
      <c r="I242" s="490"/>
    </row>
    <row r="243" spans="1:9" ht="14.25">
      <c r="A243" s="484"/>
      <c r="B243" s="484"/>
      <c r="D243" s="1283"/>
      <c r="E243" s="1283"/>
      <c r="F243" s="1283"/>
      <c r="I243" s="490"/>
    </row>
    <row r="244" spans="1:9" ht="14.25">
      <c r="A244" s="484"/>
      <c r="B244" s="484"/>
      <c r="D244" s="446"/>
      <c r="E244" s="446"/>
      <c r="F244" s="446"/>
      <c r="I244" s="490"/>
    </row>
    <row r="245" spans="1:9" ht="14.25">
      <c r="A245" s="484"/>
      <c r="B245" s="485" t="s">
        <v>307</v>
      </c>
      <c r="D245" s="1283" t="s">
        <v>2053</v>
      </c>
      <c r="E245" s="1283"/>
      <c r="F245" s="1283"/>
      <c r="I245" s="490"/>
    </row>
    <row r="246" spans="1:9" ht="14.25">
      <c r="A246" s="484"/>
      <c r="B246" s="484"/>
      <c r="D246" s="1283"/>
      <c r="E246" s="1283"/>
      <c r="F246" s="1283"/>
      <c r="I246" s="490"/>
    </row>
    <row r="247" spans="1:9" ht="14.25">
      <c r="A247" s="484"/>
      <c r="B247" s="484"/>
      <c r="D247" s="1283"/>
      <c r="E247" s="1283"/>
      <c r="F247" s="1283"/>
      <c r="I247" s="490"/>
    </row>
    <row r="248" spans="1:9" ht="14.25">
      <c r="A248" s="484"/>
      <c r="B248" s="484"/>
      <c r="E248" s="1036" t="s">
        <v>1896</v>
      </c>
      <c r="I248" s="490"/>
    </row>
    <row r="249" spans="1:9" ht="14.25">
      <c r="A249" s="484"/>
      <c r="B249" s="484"/>
      <c r="D249" s="446"/>
      <c r="E249" s="446"/>
      <c r="F249" s="446"/>
      <c r="I249" s="490"/>
    </row>
    <row r="250" spans="1:9" ht="14.45" customHeight="1">
      <c r="A250" s="484"/>
      <c r="B250" s="485" t="s">
        <v>307</v>
      </c>
      <c r="D250" s="1283" t="s">
        <v>2054</v>
      </c>
      <c r="E250" s="1283"/>
      <c r="F250" s="1283"/>
      <c r="I250" s="490"/>
    </row>
    <row r="251" spans="1:9" ht="14.25">
      <c r="A251" s="484"/>
      <c r="B251" s="484"/>
      <c r="D251" s="1283"/>
      <c r="E251" s="1283"/>
      <c r="F251" s="1283"/>
      <c r="I251" s="490"/>
    </row>
    <row r="252" spans="1:9" ht="14.25">
      <c r="A252" s="484"/>
      <c r="B252" s="484"/>
      <c r="D252" s="1283"/>
      <c r="E252" s="1283"/>
      <c r="F252" s="1283"/>
      <c r="I252" s="490"/>
    </row>
    <row r="253" spans="1:9" ht="14.25">
      <c r="A253" s="484"/>
      <c r="B253" s="484"/>
      <c r="D253" s="1283"/>
      <c r="E253" s="1283"/>
      <c r="F253" s="1283"/>
      <c r="I253" s="490"/>
    </row>
    <row r="254" spans="1:9" ht="14.25">
      <c r="A254" s="484"/>
      <c r="B254" s="484"/>
      <c r="D254" s="1283"/>
      <c r="E254" s="1283"/>
      <c r="F254" s="1283"/>
      <c r="I254" s="490"/>
    </row>
    <row r="255" spans="1:9" ht="14.25">
      <c r="A255" s="484"/>
      <c r="B255" s="484"/>
      <c r="D255" s="445"/>
      <c r="E255" s="445"/>
      <c r="F255" s="445"/>
      <c r="I255" s="490"/>
    </row>
    <row r="256" spans="1:9" ht="14.25">
      <c r="A256" s="484"/>
      <c r="B256" s="485" t="s">
        <v>307</v>
      </c>
      <c r="D256" s="392" t="s">
        <v>2055</v>
      </c>
      <c r="E256" s="445"/>
      <c r="F256" s="445"/>
      <c r="I256" s="490"/>
    </row>
    <row r="257" spans="1:9" ht="14.25">
      <c r="A257" s="484"/>
      <c r="B257" s="484"/>
      <c r="E257" s="1036" t="s">
        <v>1897</v>
      </c>
      <c r="I257" s="490"/>
    </row>
    <row r="258" spans="1:9">
      <c r="D258" s="446"/>
      <c r="E258" s="446"/>
      <c r="F258" s="446"/>
      <c r="I258" s="490"/>
    </row>
    <row r="259" spans="1:9" ht="14.25">
      <c r="A259" s="484"/>
      <c r="B259" s="485" t="s">
        <v>307</v>
      </c>
      <c r="D259" s="1283" t="s">
        <v>1120</v>
      </c>
      <c r="E259" s="1283"/>
      <c r="F259" s="1283"/>
      <c r="I259" s="490"/>
    </row>
    <row r="260" spans="1:9" ht="14.25">
      <c r="A260" s="484"/>
      <c r="B260" s="484"/>
      <c r="D260" s="1283"/>
      <c r="E260" s="1283"/>
      <c r="F260" s="1283"/>
      <c r="I260" s="490"/>
    </row>
    <row r="261" spans="1:9">
      <c r="D261" s="491"/>
      <c r="I261" s="490"/>
    </row>
    <row r="262" spans="1:9">
      <c r="A262" s="1286" t="s">
        <v>1048</v>
      </c>
      <c r="B262" s="1286"/>
      <c r="C262" s="1286"/>
      <c r="D262" s="1286"/>
      <c r="E262" s="1286"/>
      <c r="F262" s="1286"/>
      <c r="G262" s="1286"/>
      <c r="H262" s="1028"/>
      <c r="I262" s="1153"/>
    </row>
    <row r="263" spans="1:9">
      <c r="D263" s="491"/>
      <c r="I263" s="490"/>
    </row>
    <row r="264" spans="1:9">
      <c r="C264" s="486"/>
      <c r="D264" s="1291" t="s">
        <v>1122</v>
      </c>
      <c r="E264" s="1291"/>
      <c r="F264" s="1291"/>
      <c r="I264" s="490"/>
    </row>
    <row r="265" spans="1:9">
      <c r="A265" s="482"/>
      <c r="B265" s="482"/>
      <c r="C265" s="482"/>
      <c r="D265" s="446"/>
      <c r="E265" s="446"/>
      <c r="F265" s="446"/>
      <c r="I265" s="490"/>
    </row>
    <row r="266" spans="1:9">
      <c r="A266" s="483"/>
      <c r="B266" s="483"/>
      <c r="C266" s="483"/>
      <c r="D266" s="1291" t="s">
        <v>269</v>
      </c>
      <c r="E266" s="1291"/>
      <c r="F266" s="1291"/>
      <c r="I266" s="490"/>
    </row>
    <row r="267" spans="1:9" ht="14.45" customHeight="1">
      <c r="A267" s="484"/>
      <c r="B267" s="485" t="s">
        <v>307</v>
      </c>
      <c r="D267" s="1283" t="s">
        <v>1197</v>
      </c>
      <c r="E267" s="1283"/>
      <c r="F267" s="1283"/>
      <c r="I267" s="490"/>
    </row>
    <row r="268" spans="1:9">
      <c r="D268" s="1283"/>
      <c r="E268" s="1283"/>
      <c r="F268" s="1283"/>
      <c r="I268" s="490"/>
    </row>
    <row r="269" spans="1:9">
      <c r="E269" s="1036" t="s">
        <v>1898</v>
      </c>
      <c r="I269" s="490"/>
    </row>
    <row r="270" spans="1:9">
      <c r="D270" s="446"/>
      <c r="E270" s="446"/>
      <c r="F270" s="446"/>
      <c r="I270" s="490"/>
    </row>
    <row r="271" spans="1:9" ht="14.45" customHeight="1">
      <c r="A271" s="484"/>
      <c r="B271" s="485" t="s">
        <v>307</v>
      </c>
      <c r="D271" s="1283" t="s">
        <v>2056</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ht="14.25">
      <c r="A278" s="484"/>
      <c r="B278" s="485" t="s">
        <v>307</v>
      </c>
      <c r="D278" s="1283" t="s">
        <v>1123</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1049</v>
      </c>
      <c r="B282" s="1286"/>
      <c r="C282" s="1286"/>
      <c r="D282" s="1286"/>
      <c r="E282" s="1286"/>
      <c r="F282" s="1286"/>
      <c r="G282" s="1286"/>
      <c r="H282" s="1028"/>
      <c r="I282" s="1153"/>
    </row>
    <row r="283" spans="1:9">
      <c r="D283" s="492"/>
      <c r="E283" s="446"/>
      <c r="F283" s="446"/>
      <c r="I283" s="490"/>
    </row>
    <row r="284" spans="1:9">
      <c r="C284" s="482"/>
      <c r="D284" s="1285" t="s">
        <v>1124</v>
      </c>
      <c r="E284" s="1285"/>
      <c r="F284" s="1285"/>
      <c r="I284" s="490"/>
    </row>
    <row r="285" spans="1:9">
      <c r="C285" s="482"/>
      <c r="D285" s="1285"/>
      <c r="E285" s="1285"/>
      <c r="F285" s="1285"/>
      <c r="I285" s="490"/>
    </row>
    <row r="286" spans="1:9">
      <c r="A286" s="483"/>
      <c r="B286" s="483"/>
      <c r="C286" s="483"/>
      <c r="D286" s="404"/>
      <c r="I286" s="490"/>
    </row>
    <row r="287" spans="1:9">
      <c r="C287" s="483"/>
      <c r="D287" s="1291" t="s">
        <v>209</v>
      </c>
      <c r="E287" s="1291"/>
      <c r="F287" s="1291"/>
      <c r="I287" s="490"/>
    </row>
    <row r="288" spans="1:9" ht="15.75" customHeight="1">
      <c r="A288" s="484"/>
      <c r="B288" s="484"/>
      <c r="D288" s="1298" t="s">
        <v>1125</v>
      </c>
      <c r="E288" s="1298"/>
      <c r="F288" s="1298"/>
      <c r="I288" s="490"/>
    </row>
    <row r="289" spans="1:9">
      <c r="E289" s="446"/>
      <c r="F289" s="446"/>
      <c r="I289" s="490"/>
    </row>
    <row r="290" spans="1:9" ht="14.25">
      <c r="A290" s="484"/>
      <c r="B290" s="485" t="s">
        <v>307</v>
      </c>
      <c r="D290" s="1283" t="s">
        <v>1126</v>
      </c>
      <c r="E290" s="1283"/>
      <c r="F290" s="1283"/>
      <c r="I290" s="490"/>
    </row>
    <row r="291" spans="1:9" ht="14.25">
      <c r="A291" s="484"/>
      <c r="B291" s="484"/>
      <c r="D291" s="1283"/>
      <c r="E291" s="1283"/>
      <c r="F291" s="1283"/>
      <c r="I291" s="490"/>
    </row>
    <row r="292" spans="1:9">
      <c r="D292" s="446"/>
      <c r="E292" s="446"/>
      <c r="F292" s="446"/>
      <c r="I292" s="490"/>
    </row>
    <row r="293" spans="1:9" ht="14.25">
      <c r="A293" s="484"/>
      <c r="B293" s="485" t="s">
        <v>307</v>
      </c>
      <c r="D293" s="1283" t="s">
        <v>1127</v>
      </c>
      <c r="E293" s="1283"/>
      <c r="F293" s="1283"/>
      <c r="I293" s="490"/>
    </row>
    <row r="294" spans="1:9" ht="14.25">
      <c r="A294" s="484"/>
      <c r="B294" s="484"/>
      <c r="D294" s="1283"/>
      <c r="E294" s="1283"/>
      <c r="F294" s="1283"/>
      <c r="I294" s="490"/>
    </row>
    <row r="295" spans="1:9" ht="14.25">
      <c r="A295" s="484"/>
      <c r="B295" s="484"/>
      <c r="D295" s="1283"/>
      <c r="E295" s="1283"/>
      <c r="F295" s="1283"/>
      <c r="I295" s="490"/>
    </row>
    <row r="296" spans="1:9">
      <c r="D296" s="446"/>
      <c r="E296" s="446"/>
      <c r="F296" s="446"/>
      <c r="I296" s="490"/>
    </row>
    <row r="297" spans="1:9" ht="14.25">
      <c r="A297" s="484"/>
      <c r="B297" s="485" t="s">
        <v>307</v>
      </c>
      <c r="D297" s="1283" t="s">
        <v>1128</v>
      </c>
      <c r="E297" s="1283"/>
      <c r="F297" s="1283"/>
      <c r="I297" s="490"/>
    </row>
    <row r="298" spans="1:9" ht="14.25">
      <c r="A298" s="484"/>
      <c r="B298" s="484"/>
      <c r="D298" s="1283"/>
      <c r="E298" s="1283"/>
      <c r="F298" s="1283"/>
      <c r="I298" s="490"/>
    </row>
    <row r="299" spans="1:9">
      <c r="A299" s="490"/>
      <c r="B299" s="490"/>
      <c r="E299" s="446"/>
      <c r="F299" s="446"/>
      <c r="I299" s="490"/>
    </row>
    <row r="300" spans="1:9">
      <c r="A300" s="1286" t="s">
        <v>1050</v>
      </c>
      <c r="B300" s="1286"/>
      <c r="C300" s="1286"/>
      <c r="D300" s="1286"/>
      <c r="E300" s="1286"/>
      <c r="F300" s="1286"/>
      <c r="G300" s="1286"/>
      <c r="H300" s="1028"/>
      <c r="I300" s="1153"/>
    </row>
    <row r="301" spans="1:9">
      <c r="A301" s="490"/>
      <c r="B301" s="490"/>
      <c r="D301" s="446"/>
      <c r="E301" s="446"/>
      <c r="F301" s="446"/>
      <c r="I301" s="490"/>
    </row>
    <row r="302" spans="1:9">
      <c r="C302" s="490"/>
      <c r="D302" s="1291" t="s">
        <v>683</v>
      </c>
      <c r="E302" s="1291"/>
      <c r="F302" s="1291"/>
      <c r="I302" s="490"/>
    </row>
    <row r="303" spans="1:9">
      <c r="C303" s="490"/>
      <c r="D303" s="1284" t="s">
        <v>1129</v>
      </c>
      <c r="E303" s="1284"/>
      <c r="F303" s="1284"/>
      <c r="I303" s="490"/>
    </row>
    <row r="304" spans="1:9">
      <c r="C304" s="490"/>
      <c r="D304" s="493"/>
      <c r="I304" s="490"/>
    </row>
    <row r="305" spans="1:9">
      <c r="B305" s="485" t="s">
        <v>307</v>
      </c>
      <c r="D305" s="1284" t="s">
        <v>1130</v>
      </c>
      <c r="E305" s="1284"/>
      <c r="F305" s="1284"/>
      <c r="I305" s="490"/>
    </row>
    <row r="306" spans="1:9" ht="14.25">
      <c r="A306" s="484"/>
      <c r="B306" s="484"/>
      <c r="D306" s="494"/>
      <c r="E306" s="495"/>
      <c r="F306" s="495"/>
      <c r="I306" s="490"/>
    </row>
    <row r="307" spans="1:9" ht="13.7" customHeight="1">
      <c r="B307" s="485" t="s">
        <v>307</v>
      </c>
      <c r="D307" s="1293" t="s">
        <v>1220</v>
      </c>
      <c r="E307" s="1293"/>
      <c r="F307" s="1293"/>
      <c r="I307" s="490"/>
    </row>
    <row r="308" spans="1:9" ht="14.25">
      <c r="A308" s="484"/>
      <c r="B308" s="484"/>
      <c r="D308" s="1293"/>
      <c r="E308" s="1293"/>
      <c r="F308" s="1293"/>
      <c r="I308" s="490"/>
    </row>
    <row r="309" spans="1:9" ht="14.25">
      <c r="A309" s="484"/>
      <c r="B309" s="484"/>
      <c r="D309" s="1293"/>
      <c r="E309" s="1293"/>
      <c r="F309" s="1293"/>
      <c r="I309" s="490"/>
    </row>
    <row r="310" spans="1:9" ht="14.25">
      <c r="A310" s="484"/>
      <c r="B310" s="484"/>
      <c r="D310" s="1293"/>
      <c r="E310" s="1293"/>
      <c r="F310" s="1293"/>
      <c r="I310" s="490"/>
    </row>
    <row r="311" spans="1:9" ht="14.25">
      <c r="A311" s="484"/>
      <c r="B311" s="484"/>
      <c r="D311" s="1293"/>
      <c r="E311" s="1293"/>
      <c r="F311" s="1293"/>
      <c r="I311" s="490"/>
    </row>
    <row r="312" spans="1:9" ht="14.25">
      <c r="A312" s="484"/>
      <c r="B312" s="484"/>
      <c r="D312" s="494"/>
      <c r="E312" s="495"/>
      <c r="F312" s="495"/>
      <c r="I312" s="490"/>
    </row>
    <row r="313" spans="1:9" ht="13.7" customHeight="1">
      <c r="B313" s="485" t="s">
        <v>307</v>
      </c>
      <c r="D313" s="1293" t="s">
        <v>1131</v>
      </c>
      <c r="E313" s="1293"/>
      <c r="F313" s="1293"/>
      <c r="I313" s="490"/>
    </row>
    <row r="314" spans="1:9">
      <c r="D314" s="1293"/>
      <c r="E314" s="1293"/>
      <c r="F314" s="1293"/>
      <c r="I314" s="490"/>
    </row>
    <row r="315" spans="1:9" ht="14.25">
      <c r="A315" s="484"/>
      <c r="B315" s="484"/>
      <c r="D315" s="494"/>
      <c r="E315" s="495"/>
      <c r="F315" s="495"/>
      <c r="I315" s="490"/>
    </row>
    <row r="316" spans="1:9">
      <c r="B316" s="485" t="s">
        <v>307</v>
      </c>
      <c r="D316" s="1284" t="s">
        <v>1132</v>
      </c>
      <c r="E316" s="1284"/>
      <c r="F316" s="1284"/>
      <c r="I316" s="490"/>
    </row>
    <row r="317" spans="1:9">
      <c r="E317" s="446"/>
      <c r="F317" s="446"/>
      <c r="I317" s="490"/>
    </row>
    <row r="318" spans="1:9" ht="14.25">
      <c r="A318" s="484"/>
      <c r="B318" s="485" t="s">
        <v>307</v>
      </c>
      <c r="D318" s="1283" t="s">
        <v>2245</v>
      </c>
      <c r="E318" s="1283"/>
      <c r="F318" s="1283"/>
      <c r="I318" s="490"/>
    </row>
    <row r="319" spans="1:9" ht="14.25">
      <c r="A319" s="484"/>
      <c r="B319" s="484"/>
      <c r="D319" s="1283"/>
      <c r="E319" s="1283"/>
      <c r="F319" s="1283"/>
      <c r="I319" s="490"/>
    </row>
    <row r="320" spans="1:9" ht="14.25">
      <c r="A320" s="484"/>
      <c r="B320" s="484"/>
      <c r="D320" s="1283"/>
      <c r="E320" s="1283"/>
      <c r="F320" s="1283"/>
      <c r="I320" s="490"/>
    </row>
    <row r="321" spans="1:9" ht="14.25">
      <c r="A321" s="484"/>
      <c r="B321" s="484"/>
      <c r="D321" s="1283"/>
      <c r="E321" s="1283"/>
      <c r="F321" s="1283"/>
      <c r="I321" s="490"/>
    </row>
    <row r="322" spans="1:9" ht="14.25">
      <c r="A322" s="484"/>
      <c r="B322" s="484"/>
      <c r="D322" s="1283"/>
      <c r="E322" s="1283"/>
      <c r="F322" s="1283"/>
      <c r="I322" s="490"/>
    </row>
    <row r="323" spans="1:9" ht="14.25">
      <c r="A323" s="484"/>
      <c r="B323" s="484"/>
      <c r="D323" s="1283"/>
      <c r="E323" s="1283"/>
      <c r="F323" s="1283"/>
      <c r="I323" s="490"/>
    </row>
    <row r="324" spans="1:9" ht="14.25">
      <c r="A324" s="484"/>
      <c r="B324" s="484"/>
      <c r="D324" s="1283"/>
      <c r="E324" s="1283"/>
      <c r="F324" s="1283"/>
      <c r="I324" s="490"/>
    </row>
    <row r="325" spans="1:9" ht="14.25">
      <c r="A325" s="484"/>
      <c r="B325" s="484"/>
      <c r="D325" s="1283"/>
      <c r="E325" s="1283"/>
      <c r="F325" s="1283"/>
      <c r="I325" s="490"/>
    </row>
    <row r="326" spans="1:9" ht="14.25">
      <c r="A326" s="484"/>
      <c r="B326" s="484"/>
      <c r="D326" s="1283"/>
      <c r="E326" s="1283"/>
      <c r="F326" s="1283"/>
      <c r="I326" s="490"/>
    </row>
    <row r="327" spans="1:9" ht="14.25">
      <c r="A327" s="484"/>
      <c r="B327" s="484"/>
      <c r="D327" s="1283"/>
      <c r="E327" s="1283"/>
      <c r="F327" s="1283"/>
      <c r="I327" s="490"/>
    </row>
    <row r="328" spans="1:9" ht="14.25">
      <c r="A328" s="484"/>
      <c r="B328" s="484"/>
      <c r="D328" s="1283"/>
      <c r="E328" s="1283"/>
      <c r="F328" s="1283"/>
      <c r="I328" s="490"/>
    </row>
    <row r="329" spans="1:9" ht="14.25">
      <c r="A329" s="484"/>
      <c r="B329" s="484"/>
      <c r="D329" s="1283"/>
      <c r="E329" s="1283"/>
      <c r="F329" s="1283"/>
      <c r="I329" s="490"/>
    </row>
    <row r="330" spans="1:9" ht="14.25">
      <c r="A330" s="484"/>
      <c r="B330" s="484"/>
      <c r="D330" s="1283"/>
      <c r="E330" s="1283"/>
      <c r="F330" s="1283"/>
      <c r="I330" s="490"/>
    </row>
    <row r="331" spans="1:9" ht="14.25">
      <c r="A331" s="484"/>
      <c r="B331" s="484"/>
      <c r="D331" s="1283"/>
      <c r="E331" s="1283"/>
      <c r="F331" s="1283"/>
      <c r="I331" s="490"/>
    </row>
    <row r="332" spans="1:9" ht="14.25">
      <c r="A332" s="484"/>
      <c r="B332" s="484"/>
      <c r="D332" s="1283"/>
      <c r="E332" s="1283"/>
      <c r="F332" s="1283"/>
      <c r="I332" s="490"/>
    </row>
    <row r="333" spans="1:9">
      <c r="D333" s="446"/>
      <c r="E333" s="446"/>
      <c r="F333" s="446"/>
      <c r="I333" s="490"/>
    </row>
    <row r="334" spans="1:9" ht="14.25">
      <c r="A334" s="484"/>
      <c r="B334" s="485" t="s">
        <v>307</v>
      </c>
      <c r="D334" s="1283" t="s">
        <v>1133</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307</v>
      </c>
      <c r="D344" s="1283" t="s">
        <v>1903</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296" t="s">
        <v>980</v>
      </c>
      <c r="E351" s="1296"/>
      <c r="F351" s="1296"/>
      <c r="G351" s="1027"/>
      <c r="H351" s="1027"/>
      <c r="I351" s="1156"/>
    </row>
    <row r="352" spans="1:9" ht="13.5" thickTop="1">
      <c r="D352" s="1294" t="s">
        <v>2246</v>
      </c>
      <c r="E352" s="1294"/>
      <c r="F352" s="1294"/>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284" t="s">
        <v>1901</v>
      </c>
      <c r="E355" s="1284"/>
      <c r="F355" s="1284"/>
      <c r="I355" s="490"/>
    </row>
    <row r="356" spans="1:9" ht="12.75" customHeight="1">
      <c r="D356" s="1037"/>
      <c r="E356" s="96" t="s">
        <v>1900</v>
      </c>
      <c r="F356" s="1037"/>
      <c r="I356" s="490"/>
    </row>
    <row r="357" spans="1:9">
      <c r="D357" s="1283" t="s">
        <v>1240</v>
      </c>
      <c r="E357" s="1283"/>
      <c r="F357" s="1283"/>
      <c r="I357" s="490"/>
    </row>
    <row r="358" spans="1:9">
      <c r="D358" s="1283"/>
      <c r="E358" s="1283"/>
      <c r="F358" s="1283"/>
      <c r="I358" s="490"/>
    </row>
    <row r="359" spans="1:9">
      <c r="D359" s="1283"/>
      <c r="E359" s="1283"/>
      <c r="F359" s="1283"/>
      <c r="I359" s="490"/>
    </row>
    <row r="360" spans="1:9" ht="14.25">
      <c r="A360" s="484"/>
      <c r="B360" s="485" t="s">
        <v>307</v>
      </c>
      <c r="C360" s="476"/>
      <c r="D360" s="1295" t="s">
        <v>2057</v>
      </c>
      <c r="E360" s="1295"/>
      <c r="F360" s="1295"/>
      <c r="I360" s="480"/>
    </row>
    <row r="361" spans="1:9">
      <c r="A361" s="476"/>
      <c r="B361" s="476"/>
      <c r="C361" s="476"/>
      <c r="D361" s="447"/>
      <c r="E361" s="447"/>
      <c r="F361" s="446"/>
      <c r="I361" s="490"/>
    </row>
    <row r="362" spans="1:9">
      <c r="A362" s="476"/>
      <c r="B362" s="485" t="s">
        <v>307</v>
      </c>
      <c r="C362" s="476"/>
      <c r="D362" s="1263" t="s">
        <v>2058</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4" customHeight="1">
      <c r="A375" s="476"/>
      <c r="B375" s="485" t="s">
        <v>307</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307</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307</v>
      </c>
      <c r="C387" s="476"/>
      <c r="D387" s="1263" t="s">
        <v>1134</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1135</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 customHeight="1">
      <c r="A401" s="476"/>
      <c r="B401" s="476"/>
      <c r="C401" s="476"/>
      <c r="D401" s="1263" t="s">
        <v>1136</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307</v>
      </c>
      <c r="C420" s="476"/>
      <c r="D420" s="1263" t="s">
        <v>1137</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45" customHeight="1">
      <c r="A423" s="484"/>
      <c r="B423" s="485" t="s">
        <v>307</v>
      </c>
      <c r="D423" s="1263" t="s">
        <v>1882</v>
      </c>
      <c r="E423" s="1263"/>
      <c r="F423" s="1263"/>
      <c r="I423" s="490"/>
    </row>
    <row r="424" spans="1:9" ht="14.45" customHeight="1">
      <c r="A424" s="484"/>
      <c r="D424" s="1263"/>
      <c r="E424" s="1263"/>
      <c r="F424" s="1263"/>
      <c r="I424" s="490"/>
    </row>
    <row r="425" spans="1:9" ht="14.45" customHeight="1">
      <c r="A425" s="484"/>
      <c r="D425" s="1263"/>
      <c r="E425" s="1263"/>
      <c r="F425" s="1263"/>
      <c r="I425" s="490"/>
    </row>
    <row r="426" spans="1:9" ht="14.45" customHeight="1">
      <c r="A426" s="484"/>
      <c r="D426" s="1263"/>
      <c r="E426" s="1263"/>
      <c r="F426" s="1263"/>
      <c r="I426" s="490"/>
    </row>
    <row r="427" spans="1:9" ht="14.45" customHeight="1">
      <c r="A427" s="484"/>
      <c r="D427" s="1263"/>
      <c r="E427" s="1263"/>
      <c r="F427" s="1263"/>
      <c r="I427" s="490"/>
    </row>
    <row r="428" spans="1:9" ht="14.45" customHeight="1">
      <c r="A428" s="484"/>
      <c r="D428" s="385"/>
      <c r="E428" s="385"/>
      <c r="F428" s="385"/>
      <c r="I428" s="490"/>
    </row>
    <row r="429" spans="1:9" ht="13.7" customHeight="1">
      <c r="A429" s="484"/>
      <c r="B429" s="485" t="s">
        <v>307</v>
      </c>
      <c r="C429" s="476"/>
      <c r="D429" s="1263" t="s">
        <v>1241</v>
      </c>
      <c r="E429" s="1263"/>
      <c r="F429" s="1263"/>
      <c r="I429" s="490"/>
    </row>
    <row r="430" spans="1:9" ht="14.25">
      <c r="A430" s="497"/>
      <c r="B430" s="497"/>
      <c r="C430" s="476"/>
      <c r="D430" s="1263"/>
      <c r="E430" s="1263"/>
      <c r="F430" s="1263"/>
      <c r="I430" s="490"/>
    </row>
    <row r="431" spans="1:9" ht="14.25">
      <c r="A431" s="497"/>
      <c r="B431" s="497"/>
      <c r="C431" s="476"/>
      <c r="D431" s="1263"/>
      <c r="E431" s="1263"/>
      <c r="F431" s="1263"/>
      <c r="I431" s="490"/>
    </row>
    <row r="432" spans="1:9" ht="14.25">
      <c r="A432" s="497"/>
      <c r="B432" s="497"/>
      <c r="C432" s="476"/>
      <c r="D432" s="1263"/>
      <c r="E432" s="1263"/>
      <c r="F432" s="1263"/>
      <c r="I432" s="490"/>
    </row>
    <row r="433" spans="1:9" ht="15.75" customHeight="1">
      <c r="A433" s="497"/>
      <c r="B433" s="497"/>
      <c r="C433" s="476"/>
      <c r="D433" s="1297" t="s">
        <v>2074</v>
      </c>
      <c r="E433" s="1263"/>
      <c r="F433" s="1263"/>
      <c r="I433" s="490"/>
    </row>
    <row r="434" spans="1:9">
      <c r="D434" s="446"/>
      <c r="E434" s="446"/>
      <c r="F434" s="446"/>
      <c r="I434" s="490"/>
    </row>
    <row r="435" spans="1:9" ht="14.25">
      <c r="A435" s="484"/>
      <c r="B435" s="485" t="s">
        <v>307</v>
      </c>
      <c r="C435" s="487"/>
      <c r="D435" s="1283" t="s">
        <v>2059</v>
      </c>
      <c r="E435" s="1283"/>
      <c r="F435" s="1283"/>
      <c r="I435" s="490"/>
    </row>
    <row r="436" spans="1:9" ht="14.25">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00000000000003" customHeight="1">
      <c r="D465" s="1283"/>
      <c r="E465" s="1283"/>
      <c r="F465" s="1283"/>
      <c r="I465" s="490"/>
    </row>
    <row r="466" spans="1:9">
      <c r="D466" s="446"/>
      <c r="E466" s="446"/>
      <c r="F466" s="446"/>
      <c r="I466" s="490"/>
    </row>
    <row r="467" spans="1:9" ht="14.25">
      <c r="A467" s="484"/>
      <c r="B467" s="485" t="s">
        <v>307</v>
      </c>
      <c r="C467" s="487"/>
      <c r="D467" s="1283" t="s">
        <v>1138</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ht="14.25">
      <c r="B471" s="485" t="s">
        <v>307</v>
      </c>
      <c r="C471" s="484"/>
      <c r="D471" s="1283" t="s">
        <v>1198</v>
      </c>
      <c r="E471" s="1283"/>
      <c r="F471" s="1283"/>
      <c r="I471" s="490"/>
    </row>
    <row r="472" spans="1:9">
      <c r="D472" s="1283"/>
      <c r="E472" s="1283"/>
      <c r="F472" s="1283"/>
      <c r="I472" s="490"/>
    </row>
    <row r="473" spans="1:9">
      <c r="D473" s="446"/>
      <c r="E473" s="446"/>
      <c r="F473" s="446"/>
      <c r="I473" s="490"/>
    </row>
    <row r="474" spans="1:9" ht="14.25">
      <c r="B474" s="485" t="s">
        <v>307</v>
      </c>
      <c r="C474" s="484"/>
      <c r="D474" s="1283" t="s">
        <v>1139</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307</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307</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307</v>
      </c>
      <c r="C486" s="402"/>
      <c r="D486" s="1283"/>
      <c r="E486" s="1283"/>
      <c r="F486" s="1283"/>
      <c r="I486" s="490"/>
    </row>
    <row r="487" spans="1:9">
      <c r="A487" s="402"/>
      <c r="C487" s="402"/>
      <c r="D487" s="1283"/>
      <c r="E487" s="1283"/>
      <c r="F487" s="1283"/>
      <c r="I487" s="490"/>
    </row>
    <row r="488" spans="1:9">
      <c r="A488" s="402"/>
      <c r="B488" s="485" t="s">
        <v>307</v>
      </c>
      <c r="C488" s="402"/>
      <c r="D488" s="1283" t="s">
        <v>1140</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307</v>
      </c>
      <c r="D494" s="1284" t="s">
        <v>1141</v>
      </c>
      <c r="E494" s="1284"/>
      <c r="F494" s="1284"/>
      <c r="I494" s="490"/>
    </row>
    <row r="495" spans="1:9">
      <c r="A495" s="446"/>
      <c r="B495" s="446"/>
      <c r="I495" s="490"/>
    </row>
    <row r="496" spans="1:9">
      <c r="A496" s="1286" t="s">
        <v>1051</v>
      </c>
      <c r="B496" s="1286"/>
      <c r="C496" s="1286"/>
      <c r="D496" s="1286"/>
      <c r="E496" s="1286"/>
      <c r="F496" s="1286"/>
      <c r="G496" s="1286"/>
      <c r="H496" s="1028"/>
      <c r="I496" s="1153"/>
    </row>
    <row r="497" spans="1:9">
      <c r="A497" s="446"/>
      <c r="B497" s="446"/>
      <c r="I497" s="490"/>
    </row>
    <row r="498" spans="1:9">
      <c r="D498" s="1299" t="s">
        <v>884</v>
      </c>
      <c r="E498" s="1299"/>
      <c r="F498" s="1299"/>
      <c r="I498" s="490"/>
    </row>
    <row r="499" spans="1:9" ht="14.25">
      <c r="A499" s="484"/>
      <c r="B499" s="484"/>
      <c r="D499" s="1295" t="s">
        <v>1142</v>
      </c>
      <c r="E499" s="1295"/>
      <c r="F499" s="1295"/>
      <c r="I499" s="490"/>
    </row>
    <row r="500" spans="1:9" ht="14.25">
      <c r="A500" s="484"/>
      <c r="B500" s="484"/>
      <c r="D500" s="447"/>
      <c r="I500" s="490"/>
    </row>
    <row r="501" spans="1:9" ht="14.25">
      <c r="A501" s="484"/>
      <c r="B501" s="485" t="s">
        <v>307</v>
      </c>
      <c r="D501" s="1263" t="s">
        <v>1143</v>
      </c>
      <c r="E501" s="1263"/>
      <c r="F501" s="1263"/>
      <c r="I501" s="490"/>
    </row>
    <row r="502" spans="1:9" ht="14.25">
      <c r="A502" s="484"/>
      <c r="B502" s="484"/>
      <c r="D502" s="1263"/>
      <c r="E502" s="1263"/>
      <c r="F502" s="1263"/>
      <c r="I502" s="490"/>
    </row>
    <row r="503" spans="1:9" ht="14.25">
      <c r="A503" s="484"/>
      <c r="B503" s="484"/>
      <c r="D503" s="446"/>
      <c r="I503" s="490"/>
    </row>
    <row r="504" spans="1:9" ht="12.75" customHeight="1">
      <c r="B504" s="485" t="s">
        <v>307</v>
      </c>
      <c r="D504" s="1287" t="s">
        <v>1274</v>
      </c>
      <c r="E504" s="1287"/>
      <c r="F504" s="1287"/>
      <c r="I504" s="490"/>
    </row>
    <row r="505" spans="1:9" ht="14.25">
      <c r="A505" s="484"/>
      <c r="D505" s="1287"/>
      <c r="E505" s="1287"/>
      <c r="F505" s="1287"/>
      <c r="I505" s="490"/>
    </row>
    <row r="506" spans="1:9" ht="14.25">
      <c r="A506" s="484"/>
      <c r="B506" s="484"/>
      <c r="D506" s="1287"/>
      <c r="E506" s="1287"/>
      <c r="F506" s="1287"/>
      <c r="I506" s="490"/>
    </row>
    <row r="507" spans="1:9" ht="14.25">
      <c r="A507" s="484"/>
      <c r="B507" s="484"/>
      <c r="D507" s="1287"/>
      <c r="E507" s="1287"/>
      <c r="F507" s="1287"/>
      <c r="I507" s="490"/>
    </row>
    <row r="508" spans="1:9" ht="14.25">
      <c r="A508" s="484"/>
      <c r="D508" s="520"/>
      <c r="E508" s="520"/>
      <c r="F508" s="520"/>
      <c r="I508" s="490"/>
    </row>
    <row r="509" spans="1:9" ht="14.25">
      <c r="A509" s="484"/>
      <c r="B509" s="485" t="s">
        <v>307</v>
      </c>
      <c r="D509" s="1284" t="s">
        <v>1144</v>
      </c>
      <c r="E509" s="1284"/>
      <c r="F509" s="1284"/>
      <c r="I509" s="490"/>
    </row>
    <row r="510" spans="1:9" ht="14.25">
      <c r="A510" s="484"/>
      <c r="B510" s="484"/>
      <c r="D510" s="446"/>
      <c r="I510" s="490"/>
    </row>
    <row r="511" spans="1:9" ht="14.25">
      <c r="A511" s="484"/>
      <c r="B511" s="485" t="s">
        <v>307</v>
      </c>
      <c r="D511" s="1283" t="s">
        <v>1145</v>
      </c>
      <c r="E511" s="1283"/>
      <c r="F511" s="1283"/>
      <c r="I511" s="490"/>
    </row>
    <row r="512" spans="1:9" ht="14.25">
      <c r="A512" s="484"/>
      <c r="D512" s="1283"/>
      <c r="E512" s="1283"/>
      <c r="F512" s="1283"/>
      <c r="I512" s="490"/>
    </row>
    <row r="513" spans="1:9">
      <c r="A513" s="490"/>
      <c r="B513" s="490"/>
      <c r="D513" s="447"/>
      <c r="I513" s="490"/>
    </row>
    <row r="514" spans="1:9">
      <c r="A514" s="490"/>
      <c r="B514" s="485" t="s">
        <v>307</v>
      </c>
      <c r="D514" s="1284" t="s">
        <v>1146</v>
      </c>
      <c r="E514" s="1284"/>
      <c r="F514" s="1284"/>
      <c r="I514" s="490"/>
    </row>
    <row r="515" spans="1:9">
      <c r="D515" s="446"/>
      <c r="E515" s="446"/>
      <c r="F515" s="446"/>
      <c r="I515" s="490"/>
    </row>
    <row r="516" spans="1:9">
      <c r="B516" s="485" t="s">
        <v>307</v>
      </c>
      <c r="D516" s="1283" t="s">
        <v>2280</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ht="14.25">
      <c r="A520" s="484"/>
      <c r="B520" s="484"/>
      <c r="D520" s="446"/>
      <c r="I520" s="490"/>
    </row>
    <row r="521" spans="1:9">
      <c r="A521" s="1286" t="s">
        <v>1052</v>
      </c>
      <c r="B521" s="1286"/>
      <c r="C521" s="1286"/>
      <c r="D521" s="1286"/>
      <c r="E521" s="1286"/>
      <c r="F521" s="1286"/>
      <c r="G521" s="1286"/>
      <c r="H521" s="1028"/>
      <c r="I521" s="1153"/>
    </row>
    <row r="522" spans="1:9" ht="12" customHeight="1">
      <c r="A522" s="484"/>
      <c r="B522" s="484"/>
      <c r="D522" s="446"/>
      <c r="I522" s="490"/>
    </row>
    <row r="523" spans="1:9">
      <c r="C523" s="482"/>
      <c r="D523" s="1291" t="s">
        <v>794</v>
      </c>
      <c r="E523" s="1291"/>
      <c r="F523" s="1291"/>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307</v>
      </c>
      <c r="C527" s="483"/>
      <c r="D527" s="1263" t="s">
        <v>2060</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307</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307</v>
      </c>
      <c r="C536" s="483"/>
      <c r="D536" s="1283" t="s">
        <v>2062</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1053</v>
      </c>
      <c r="B539" s="1286"/>
      <c r="C539" s="1286"/>
      <c r="D539" s="1286"/>
      <c r="E539" s="1286"/>
      <c r="F539" s="1286"/>
      <c r="G539" s="1286"/>
      <c r="H539" s="1028"/>
      <c r="I539" s="1153"/>
    </row>
    <row r="540" spans="1:9">
      <c r="A540" s="446"/>
      <c r="B540" s="446"/>
      <c r="C540" s="487"/>
      <c r="F540" s="448"/>
      <c r="I540" s="490"/>
    </row>
    <row r="541" spans="1:9">
      <c r="B541" s="1289" t="s">
        <v>447</v>
      </c>
      <c r="C541" s="1289"/>
      <c r="D541" s="1289"/>
      <c r="E541" s="1289"/>
      <c r="F541" s="1289"/>
      <c r="I541" s="490"/>
    </row>
    <row r="542" spans="1:9">
      <c r="A542" s="446"/>
      <c r="B542" s="446"/>
      <c r="C542" s="487"/>
      <c r="D542" s="446"/>
      <c r="F542" s="446"/>
      <c r="I542" s="490"/>
    </row>
    <row r="543" spans="1:9">
      <c r="A543" s="1290" t="s">
        <v>1054</v>
      </c>
      <c r="B543" s="1290"/>
      <c r="C543" s="1290"/>
      <c r="D543" s="1290"/>
      <c r="E543" s="1290"/>
      <c r="F543" s="1290"/>
      <c r="G543" s="1290"/>
      <c r="H543" s="1028"/>
      <c r="I543" s="1153"/>
    </row>
    <row r="544" spans="1:9">
      <c r="A544" s="446"/>
      <c r="B544" s="446"/>
      <c r="C544" s="487"/>
      <c r="D544" s="446"/>
      <c r="F544" s="446"/>
      <c r="I544" s="490"/>
    </row>
    <row r="545" spans="1:9">
      <c r="C545" s="487"/>
      <c r="D545" s="1291" t="s">
        <v>684</v>
      </c>
      <c r="E545" s="1291"/>
      <c r="F545" s="1291"/>
      <c r="I545" s="490"/>
    </row>
    <row r="546" spans="1:9">
      <c r="C546" s="487"/>
      <c r="D546" s="1284" t="s">
        <v>1082</v>
      </c>
      <c r="E546" s="1284"/>
      <c r="F546" s="1284"/>
      <c r="I546" s="490"/>
    </row>
    <row r="547" spans="1:9">
      <c r="C547" s="487"/>
      <c r="D547" s="446"/>
      <c r="E547" s="446"/>
      <c r="F547" s="446"/>
      <c r="I547" s="490"/>
    </row>
    <row r="548" spans="1:9" ht="13.7" customHeight="1">
      <c r="A548" s="484"/>
      <c r="B548" s="485" t="s">
        <v>307</v>
      </c>
      <c r="C548" s="487"/>
      <c r="D548" s="1284" t="s">
        <v>885</v>
      </c>
      <c r="E548" s="1284"/>
      <c r="F548" s="1284"/>
      <c r="I548" s="490"/>
    </row>
    <row r="549" spans="1:9" ht="13.7" customHeight="1">
      <c r="A549" s="487"/>
      <c r="B549" s="487"/>
      <c r="C549" s="487"/>
      <c r="D549" s="446"/>
      <c r="I549" s="490"/>
    </row>
    <row r="550" spans="1:9" ht="14.25">
      <c r="A550" s="484"/>
      <c r="B550" s="485" t="s">
        <v>307</v>
      </c>
      <c r="C550" s="487"/>
      <c r="D550" s="1283" t="s">
        <v>1083</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ht="14.25">
      <c r="A553" s="484"/>
      <c r="B553" s="485" t="s">
        <v>307</v>
      </c>
      <c r="C553" s="487"/>
      <c r="D553" s="1283" t="s">
        <v>1084</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ht="14.25">
      <c r="A556" s="484"/>
      <c r="B556" s="485" t="s">
        <v>307</v>
      </c>
      <c r="C556" s="487"/>
      <c r="D556" s="1283" t="s">
        <v>1085</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ht="14.25">
      <c r="A559" s="484"/>
      <c r="B559" s="485" t="s">
        <v>307</v>
      </c>
      <c r="C559" s="487"/>
      <c r="D559" s="1283" t="s">
        <v>1086</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ht="14.25">
      <c r="A563" s="484"/>
      <c r="B563" s="485" t="s">
        <v>307</v>
      </c>
      <c r="C563" s="487"/>
      <c r="D563" s="1283" t="s">
        <v>2247</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ht="14.25">
      <c r="A566" s="484"/>
      <c r="B566" s="485" t="s">
        <v>307</v>
      </c>
      <c r="C566" s="487"/>
      <c r="D566" s="1283" t="s">
        <v>1087</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ht="14.25">
      <c r="A569" s="484"/>
      <c r="B569" s="485" t="s">
        <v>307</v>
      </c>
      <c r="C569" s="487"/>
      <c r="D569" s="1284" t="s">
        <v>1088</v>
      </c>
      <c r="E569" s="1284"/>
      <c r="F569" s="1284"/>
      <c r="I569" s="490"/>
    </row>
    <row r="570" spans="1:9">
      <c r="A570" s="490"/>
      <c r="B570" s="490"/>
      <c r="C570" s="487"/>
      <c r="D570" s="1284" t="s">
        <v>1907</v>
      </c>
      <c r="E570" s="1284"/>
      <c r="F570" s="1284"/>
      <c r="I570" s="490"/>
    </row>
    <row r="571" spans="1:9">
      <c r="A571" s="490"/>
      <c r="B571" s="490"/>
      <c r="C571" s="487"/>
      <c r="E571" s="96" t="s">
        <v>1906</v>
      </c>
      <c r="F571" s="404"/>
      <c r="I571" s="490"/>
    </row>
    <row r="572" spans="1:9" ht="14.25">
      <c r="A572" s="484"/>
      <c r="B572" s="484"/>
      <c r="C572" s="487"/>
      <c r="E572" s="446"/>
      <c r="F572" s="446"/>
      <c r="I572" s="490"/>
    </row>
    <row r="573" spans="1:9" ht="14.25">
      <c r="A573" s="484"/>
      <c r="B573" s="485" t="s">
        <v>307</v>
      </c>
      <c r="C573" s="487"/>
      <c r="D573" s="1284" t="s">
        <v>1089</v>
      </c>
      <c r="E573" s="1284"/>
      <c r="F573" s="1284"/>
      <c r="I573" s="490"/>
    </row>
    <row r="574" spans="1:9">
      <c r="C574" s="487"/>
      <c r="D574" s="1283" t="s">
        <v>1090</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ht="14.25">
      <c r="A578" s="484"/>
      <c r="B578" s="485" t="s">
        <v>307</v>
      </c>
      <c r="C578" s="487"/>
      <c r="D578" s="1283" t="s">
        <v>2063</v>
      </c>
      <c r="E578" s="1283"/>
      <c r="F578" s="1283"/>
      <c r="I578" s="490"/>
    </row>
    <row r="579" spans="1:9" ht="14.25">
      <c r="A579" s="484"/>
      <c r="B579" s="484"/>
      <c r="C579" s="487"/>
      <c r="D579" s="1283"/>
      <c r="E579" s="1283"/>
      <c r="F579" s="1283"/>
      <c r="I579" s="490"/>
    </row>
    <row r="580" spans="1:9" ht="14.25">
      <c r="A580" s="484"/>
      <c r="B580" s="484"/>
      <c r="C580" s="487"/>
      <c r="D580" s="1283"/>
      <c r="E580" s="1283"/>
      <c r="F580" s="1283"/>
      <c r="I580" s="490"/>
    </row>
    <row r="581" spans="1:9" ht="14.25">
      <c r="A581" s="484"/>
      <c r="B581" s="484"/>
      <c r="C581" s="487"/>
      <c r="D581" s="1283"/>
      <c r="E581" s="1283"/>
      <c r="F581" s="1283"/>
      <c r="I581" s="490"/>
    </row>
    <row r="582" spans="1:9" ht="14.25">
      <c r="A582" s="484"/>
      <c r="B582" s="484"/>
      <c r="C582" s="487"/>
      <c r="D582" s="446"/>
      <c r="E582" s="446"/>
      <c r="F582" s="446"/>
      <c r="I582" s="490"/>
    </row>
    <row r="583" spans="1:9">
      <c r="A583" s="1286" t="s">
        <v>1055</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210</v>
      </c>
      <c r="E585" s="1285"/>
      <c r="F585" s="1285"/>
      <c r="I585" s="490"/>
    </row>
    <row r="586" spans="1:9">
      <c r="A586" s="483"/>
      <c r="B586" s="483"/>
      <c r="C586" s="483"/>
      <c r="D586" s="1287" t="s">
        <v>1068</v>
      </c>
      <c r="E586" s="1287"/>
      <c r="F586" s="1287"/>
      <c r="I586" s="490"/>
    </row>
    <row r="587" spans="1:9">
      <c r="A587" s="402"/>
      <c r="B587" s="402"/>
      <c r="C587" s="483"/>
      <c r="D587" s="499"/>
      <c r="I587" s="490"/>
    </row>
    <row r="588" spans="1:9">
      <c r="A588" s="483"/>
      <c r="B588" s="485" t="s">
        <v>307</v>
      </c>
      <c r="D588" s="1287" t="s">
        <v>889</v>
      </c>
      <c r="E588" s="1287"/>
      <c r="F588" s="1287"/>
      <c r="I588" s="490"/>
    </row>
    <row r="589" spans="1:9">
      <c r="A589" s="490"/>
      <c r="B589" s="490"/>
      <c r="D589" s="476"/>
      <c r="I589" s="490"/>
    </row>
    <row r="590" spans="1:9">
      <c r="A590" s="490"/>
      <c r="B590" s="485" t="s">
        <v>307</v>
      </c>
      <c r="D590" s="1287" t="s">
        <v>2064</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307</v>
      </c>
      <c r="D594" s="1287" t="s">
        <v>1069</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307</v>
      </c>
      <c r="D599" s="1287" t="s">
        <v>2065</v>
      </c>
      <c r="E599" s="1287"/>
      <c r="F599" s="1287"/>
      <c r="I599" s="490"/>
    </row>
    <row r="600" spans="1:9">
      <c r="A600" s="490"/>
      <c r="B600" s="490"/>
      <c r="D600" s="1287"/>
      <c r="E600" s="1287"/>
      <c r="F600" s="1287"/>
      <c r="I600" s="490"/>
    </row>
    <row r="601" spans="1:9">
      <c r="A601" s="490"/>
      <c r="B601" s="490"/>
      <c r="D601" s="499"/>
      <c r="I601" s="490"/>
    </row>
    <row r="602" spans="1:9">
      <c r="A602" s="490"/>
      <c r="B602" s="485" t="s">
        <v>307</v>
      </c>
      <c r="D602" s="1287" t="s">
        <v>1070</v>
      </c>
      <c r="E602" s="1287"/>
      <c r="F602" s="1287"/>
      <c r="I602" s="490"/>
    </row>
    <row r="603" spans="1:9">
      <c r="A603" s="490"/>
      <c r="B603" s="490"/>
      <c r="D603" s="1287"/>
      <c r="E603" s="1287"/>
      <c r="F603" s="1287"/>
      <c r="I603" s="490"/>
    </row>
    <row r="604" spans="1:9" ht="14.25">
      <c r="A604" s="484"/>
      <c r="B604" s="484"/>
      <c r="D604" s="499"/>
      <c r="I604" s="490"/>
    </row>
    <row r="605" spans="1:9">
      <c r="A605" s="1286" t="s">
        <v>1056</v>
      </c>
      <c r="B605" s="1286"/>
      <c r="C605" s="1286"/>
      <c r="D605" s="1286"/>
      <c r="E605" s="1286"/>
      <c r="F605" s="1286"/>
      <c r="G605" s="1286"/>
      <c r="H605" s="1028"/>
      <c r="I605" s="1153"/>
    </row>
    <row r="606" spans="1:9">
      <c r="I606" s="490"/>
    </row>
    <row r="607" spans="1:9">
      <c r="D607" s="1291" t="s">
        <v>1108</v>
      </c>
      <c r="E607" s="1291"/>
      <c r="F607" s="1291"/>
      <c r="I607" s="490"/>
    </row>
    <row r="608" spans="1:9">
      <c r="D608" s="1292" t="s">
        <v>1109</v>
      </c>
      <c r="E608" s="1292"/>
      <c r="F608" s="1292"/>
      <c r="I608" s="490"/>
    </row>
    <row r="609" spans="1:9">
      <c r="D609" s="444"/>
      <c r="I609" s="490"/>
    </row>
    <row r="610" spans="1:9" ht="14.25" customHeight="1">
      <c r="A610" s="484"/>
      <c r="B610" s="485" t="s">
        <v>307</v>
      </c>
      <c r="D610" s="1312" t="s">
        <v>1908</v>
      </c>
      <c r="E610" s="1312"/>
      <c r="F610" s="1312"/>
      <c r="I610" s="490"/>
    </row>
    <row r="611" spans="1:9">
      <c r="D611" s="1312"/>
      <c r="E611" s="1312"/>
      <c r="F611" s="1312"/>
      <c r="I611" s="490"/>
    </row>
    <row r="612" spans="1:9">
      <c r="D612" s="385"/>
      <c r="E612" s="1036" t="s">
        <v>1909</v>
      </c>
      <c r="F612" s="385"/>
      <c r="I612" s="490"/>
    </row>
    <row r="613" spans="1:9">
      <c r="I613" s="490"/>
    </row>
    <row r="614" spans="1:9">
      <c r="A614" s="1286" t="s">
        <v>1057</v>
      </c>
      <c r="B614" s="1286"/>
      <c r="C614" s="1286"/>
      <c r="D614" s="1286"/>
      <c r="E614" s="1286"/>
      <c r="F614" s="1286"/>
      <c r="G614" s="1286"/>
      <c r="H614" s="1028"/>
      <c r="I614" s="1153"/>
    </row>
    <row r="615" spans="1:9">
      <c r="A615" s="446"/>
      <c r="B615" s="446"/>
      <c r="I615" s="490"/>
    </row>
    <row r="616" spans="1:9">
      <c r="A616" s="482"/>
      <c r="B616" s="482"/>
      <c r="C616" s="482"/>
      <c r="D616" s="1320" t="s">
        <v>1110</v>
      </c>
      <c r="E616" s="1320"/>
      <c r="F616" s="1320"/>
      <c r="I616" s="490"/>
    </row>
    <row r="617" spans="1:9">
      <c r="A617" s="482"/>
      <c r="B617" s="482"/>
      <c r="C617" s="482"/>
      <c r="D617" s="1320"/>
      <c r="E617" s="1320"/>
      <c r="F617" s="1320"/>
      <c r="I617" s="490"/>
    </row>
    <row r="618" spans="1:9">
      <c r="C618" s="483"/>
      <c r="D618" s="1292" t="s">
        <v>1111</v>
      </c>
      <c r="E618" s="1292"/>
      <c r="F618" s="1292"/>
      <c r="I618" s="490"/>
    </row>
    <row r="619" spans="1:9">
      <c r="C619" s="483"/>
      <c r="D619" s="444"/>
      <c r="E619" s="444"/>
      <c r="F619" s="444"/>
      <c r="I619" s="490"/>
    </row>
    <row r="620" spans="1:9" ht="12.75" customHeight="1">
      <c r="A620" s="490"/>
      <c r="B620" s="485" t="s">
        <v>307</v>
      </c>
      <c r="D620" s="1308" t="s">
        <v>1112</v>
      </c>
      <c r="E620" s="1308"/>
      <c r="F620" s="1308"/>
      <c r="I620" s="490"/>
    </row>
    <row r="621" spans="1:9">
      <c r="D621" s="1308"/>
      <c r="E621" s="1308"/>
      <c r="F621" s="1308"/>
      <c r="I621" s="490"/>
    </row>
    <row r="622" spans="1:9">
      <c r="I622" s="490"/>
    </row>
    <row r="623" spans="1:9">
      <c r="B623" s="485" t="s">
        <v>307</v>
      </c>
      <c r="D623" s="1308" t="s">
        <v>1113</v>
      </c>
      <c r="E623" s="1308"/>
      <c r="F623" s="1308"/>
      <c r="I623" s="490"/>
    </row>
    <row r="624" spans="1:9">
      <c r="C624" s="500"/>
      <c r="D624" s="1308"/>
      <c r="E624" s="1308"/>
      <c r="F624" s="1308"/>
      <c r="I624" s="490"/>
    </row>
    <row r="625" spans="1:9">
      <c r="C625" s="500"/>
      <c r="I625" s="490"/>
    </row>
    <row r="626" spans="1:9">
      <c r="B626" s="485" t="s">
        <v>307</v>
      </c>
      <c r="C626" s="500"/>
      <c r="D626" s="1308" t="s">
        <v>1114</v>
      </c>
      <c r="E626" s="1308"/>
      <c r="F626" s="1308"/>
      <c r="I626" s="490"/>
    </row>
    <row r="627" spans="1:9">
      <c r="C627" s="500"/>
      <c r="D627" s="1308"/>
      <c r="E627" s="1308"/>
      <c r="F627" s="1308"/>
      <c r="I627" s="500"/>
    </row>
    <row r="628" spans="1:9">
      <c r="C628" s="500"/>
      <c r="I628" s="490"/>
    </row>
    <row r="629" spans="1:9">
      <c r="A629" s="1286" t="s">
        <v>1058</v>
      </c>
      <c r="B629" s="1286"/>
      <c r="C629" s="1286"/>
      <c r="D629" s="1286"/>
      <c r="E629" s="1286"/>
      <c r="F629" s="1286"/>
      <c r="G629" s="1286"/>
      <c r="H629" s="1028"/>
      <c r="I629" s="1153"/>
    </row>
    <row r="630" spans="1:9">
      <c r="A630" s="482"/>
      <c r="B630" s="482"/>
      <c r="C630" s="482"/>
      <c r="I630" s="490"/>
    </row>
    <row r="631" spans="1:9">
      <c r="C631" s="490"/>
      <c r="D631" s="1291" t="s">
        <v>1115</v>
      </c>
      <c r="E631" s="1291"/>
      <c r="F631" s="1291"/>
      <c r="I631" s="490"/>
    </row>
    <row r="632" spans="1:9">
      <c r="A632" s="490"/>
      <c r="B632" s="490"/>
      <c r="D632" s="404"/>
      <c r="I632" s="490"/>
    </row>
    <row r="633" spans="1:9" ht="14.25" customHeight="1">
      <c r="A633" s="484"/>
      <c r="B633" s="485" t="s">
        <v>307</v>
      </c>
      <c r="D633" s="1312" t="s">
        <v>2066</v>
      </c>
      <c r="E633" s="1312"/>
      <c r="F633" s="1312"/>
      <c r="I633" s="490"/>
    </row>
    <row r="634" spans="1:9">
      <c r="D634" s="1312"/>
      <c r="E634" s="1312"/>
      <c r="F634" s="1312"/>
      <c r="I634" s="490"/>
    </row>
    <row r="635" spans="1:9">
      <c r="D635" s="385"/>
      <c r="E635" s="1036" t="s">
        <v>1911</v>
      </c>
      <c r="F635" s="385"/>
      <c r="I635" s="490"/>
    </row>
    <row r="636" spans="1:9">
      <c r="D636" s="1283" t="s">
        <v>1910</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ht="14.25">
      <c r="A640" s="484"/>
      <c r="B640" s="485" t="s">
        <v>307</v>
      </c>
      <c r="D640" s="1283" t="s">
        <v>1116</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ht="14.25">
      <c r="A643" s="484"/>
      <c r="B643" s="485" t="s">
        <v>307</v>
      </c>
      <c r="C643" s="487"/>
      <c r="D643" s="1283" t="s">
        <v>1226</v>
      </c>
      <c r="E643" s="1283"/>
      <c r="F643" s="1283"/>
      <c r="I643" s="490"/>
    </row>
    <row r="644" spans="1:9" ht="14.25">
      <c r="A644" s="484"/>
      <c r="B644" s="484"/>
      <c r="C644" s="487"/>
      <c r="D644" s="1283"/>
      <c r="E644" s="1283"/>
      <c r="F644" s="1283"/>
      <c r="I644" s="490"/>
    </row>
    <row r="645" spans="1:9" ht="14.25">
      <c r="A645" s="484"/>
      <c r="B645" s="484"/>
      <c r="C645" s="487"/>
      <c r="D645" s="1283"/>
      <c r="E645" s="1283"/>
      <c r="F645" s="1283"/>
      <c r="I645" s="490"/>
    </row>
    <row r="646" spans="1:9">
      <c r="A646" s="487"/>
      <c r="B646" s="485" t="s">
        <v>307</v>
      </c>
      <c r="C646" s="487"/>
      <c r="D646" s="1284" t="s">
        <v>1117</v>
      </c>
      <c r="E646" s="1284"/>
      <c r="F646" s="1284"/>
      <c r="I646" s="490"/>
    </row>
    <row r="647" spans="1:9">
      <c r="A647" s="487"/>
      <c r="B647" s="487"/>
      <c r="C647" s="487"/>
      <c r="D647" s="446"/>
      <c r="E647" s="446"/>
      <c r="F647" s="446"/>
      <c r="I647" s="490"/>
    </row>
    <row r="648" spans="1:9">
      <c r="A648" s="1286" t="s">
        <v>1059</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1147</v>
      </c>
      <c r="E650" s="1291"/>
      <c r="F650" s="1291"/>
      <c r="I650" s="490"/>
    </row>
    <row r="651" spans="1:9">
      <c r="A651" s="483"/>
      <c r="B651" s="483"/>
      <c r="C651" s="483"/>
      <c r="D651" s="1284" t="s">
        <v>1148</v>
      </c>
      <c r="E651" s="1284"/>
      <c r="F651" s="1284"/>
      <c r="I651" s="490"/>
    </row>
    <row r="652" spans="1:9">
      <c r="A652" s="483"/>
      <c r="B652" s="483"/>
      <c r="C652" s="483"/>
      <c r="D652" s="446"/>
      <c r="E652" s="446"/>
      <c r="F652" s="446"/>
      <c r="I652" s="490"/>
    </row>
    <row r="653" spans="1:9" ht="12.75" customHeight="1">
      <c r="B653" s="485" t="s">
        <v>307</v>
      </c>
      <c r="C653" s="487"/>
      <c r="D653" s="1283" t="s">
        <v>1282</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45" customHeight="1">
      <c r="A657" s="484"/>
      <c r="B657" s="484"/>
      <c r="C657" s="487"/>
      <c r="D657" s="385"/>
      <c r="E657" s="385"/>
      <c r="F657" s="385"/>
      <c r="I657" s="490"/>
    </row>
    <row r="658" spans="1:9" ht="12.75" customHeight="1">
      <c r="A658" s="483"/>
      <c r="B658" s="485" t="s">
        <v>307</v>
      </c>
      <c r="C658" s="487"/>
      <c r="D658" s="1283" t="s">
        <v>1284</v>
      </c>
      <c r="E658" s="1283"/>
      <c r="F658" s="1283"/>
      <c r="I658" s="490"/>
    </row>
    <row r="659" spans="1:9" ht="14.25">
      <c r="A659" s="483"/>
      <c r="B659" s="484"/>
      <c r="C659" s="487"/>
      <c r="D659" s="1283"/>
      <c r="E659" s="1283"/>
      <c r="F659" s="1283"/>
      <c r="I659" s="490"/>
    </row>
    <row r="660" spans="1:9" ht="14.25">
      <c r="A660" s="483"/>
      <c r="B660" s="484"/>
      <c r="C660" s="487"/>
      <c r="D660" s="1283"/>
      <c r="E660" s="1283"/>
      <c r="F660" s="1283"/>
      <c r="I660" s="490"/>
    </row>
    <row r="661" spans="1:9" ht="14.25">
      <c r="A661" s="483"/>
      <c r="B661" s="484"/>
      <c r="C661" s="487"/>
      <c r="D661" s="1283"/>
      <c r="E661" s="1283"/>
      <c r="F661" s="1283"/>
      <c r="I661" s="490"/>
    </row>
    <row r="662" spans="1:9" ht="14.25">
      <c r="A662" s="483"/>
      <c r="B662" s="484"/>
      <c r="C662" s="487"/>
      <c r="D662" s="1283"/>
      <c r="E662" s="1283"/>
      <c r="F662" s="1283"/>
      <c r="I662" s="490"/>
    </row>
    <row r="663" spans="1:9" ht="14.25" customHeight="1">
      <c r="A663" s="483"/>
      <c r="B663" s="484"/>
      <c r="C663" s="487"/>
      <c r="F663" s="386"/>
      <c r="I663" s="490"/>
    </row>
    <row r="664" spans="1:9" ht="12.75" customHeight="1">
      <c r="A664" s="483"/>
      <c r="B664" s="485" t="s">
        <v>307</v>
      </c>
      <c r="C664" s="487"/>
      <c r="D664" s="1283" t="s">
        <v>1283</v>
      </c>
      <c r="E664" s="1283"/>
      <c r="F664" s="1283"/>
      <c r="I664" s="490"/>
    </row>
    <row r="665" spans="1:9" ht="14.25">
      <c r="A665" s="483"/>
      <c r="B665" s="484"/>
      <c r="C665" s="487"/>
      <c r="D665" s="1283"/>
      <c r="E665" s="1283"/>
      <c r="F665" s="1283"/>
      <c r="I665" s="490"/>
    </row>
    <row r="666" spans="1:9" ht="14.25">
      <c r="A666" s="484"/>
      <c r="B666" s="484"/>
      <c r="C666" s="487"/>
      <c r="D666" s="1283"/>
      <c r="E666" s="1283"/>
      <c r="F666" s="1283"/>
      <c r="I666" s="490"/>
    </row>
    <row r="667" spans="1:9" ht="14.25">
      <c r="A667" s="484"/>
      <c r="B667" s="484"/>
      <c r="C667" s="487"/>
      <c r="D667" s="1283"/>
      <c r="E667" s="1283"/>
      <c r="F667" s="1283"/>
      <c r="I667" s="490"/>
    </row>
    <row r="668" spans="1:9" ht="14.25">
      <c r="A668" s="484"/>
      <c r="B668" s="484"/>
      <c r="C668" s="487"/>
      <c r="D668" s="445"/>
      <c r="E668" s="445"/>
      <c r="F668" s="445"/>
      <c r="I668" s="490"/>
    </row>
    <row r="669" spans="1:9" ht="12.75" customHeight="1">
      <c r="A669" s="483"/>
      <c r="B669" s="485" t="s">
        <v>307</v>
      </c>
      <c r="C669" s="487"/>
      <c r="D669" s="1283" t="s">
        <v>2067</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1060</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1077</v>
      </c>
      <c r="E683" s="1284"/>
      <c r="F683" s="1284"/>
      <c r="H683" s="501"/>
      <c r="I683" s="483"/>
      <c r="J683" s="501"/>
      <c r="K683" s="501"/>
    </row>
    <row r="684" spans="1:11">
      <c r="A684" s="483"/>
      <c r="B684" s="483"/>
      <c r="C684" s="483"/>
      <c r="H684" s="501"/>
      <c r="I684" s="483"/>
      <c r="J684" s="501"/>
      <c r="K684" s="501"/>
    </row>
    <row r="685" spans="1:11" ht="14.25">
      <c r="A685" s="484"/>
      <c r="B685" s="485" t="s">
        <v>307</v>
      </c>
      <c r="C685" s="483"/>
      <c r="D685" s="1284" t="s">
        <v>886</v>
      </c>
      <c r="E685" s="1284"/>
      <c r="F685" s="1284"/>
      <c r="H685" s="501"/>
      <c r="I685" s="483"/>
      <c r="J685" s="501"/>
      <c r="K685" s="501"/>
    </row>
    <row r="686" spans="1:11">
      <c r="A686" s="483"/>
      <c r="B686" s="483"/>
      <c r="C686" s="483"/>
      <c r="D686" s="1284" t="s">
        <v>895</v>
      </c>
      <c r="E686" s="1284"/>
      <c r="F686" s="1284"/>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25">
      <c r="A690" s="484"/>
      <c r="B690" s="485" t="s">
        <v>307</v>
      </c>
      <c r="C690" s="483"/>
      <c r="D690" s="1283" t="s">
        <v>2068</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ht="14.25">
      <c r="A694" s="484"/>
      <c r="B694" s="485" t="s">
        <v>307</v>
      </c>
      <c r="C694" s="483"/>
      <c r="D694" s="1284" t="s">
        <v>918</v>
      </c>
      <c r="E694" s="1284"/>
      <c r="F694" s="1284"/>
      <c r="H694" s="501"/>
      <c r="I694" s="483"/>
      <c r="J694" s="501"/>
      <c r="K694" s="501"/>
    </row>
    <row r="695" spans="1:11" ht="14.25">
      <c r="A695" s="484"/>
      <c r="B695" s="484"/>
      <c r="C695" s="483"/>
      <c r="D695" s="1284" t="s">
        <v>895</v>
      </c>
      <c r="E695" s="1284"/>
      <c r="F695" s="1284"/>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25">
      <c r="A698" s="484"/>
      <c r="B698" s="485" t="s">
        <v>307</v>
      </c>
      <c r="C698" s="483"/>
      <c r="D698" s="1284" t="s">
        <v>2469</v>
      </c>
      <c r="E698" s="1284"/>
      <c r="F698" s="1284"/>
      <c r="H698" s="501"/>
      <c r="I698" s="483"/>
      <c r="J698" s="501"/>
      <c r="K698" s="501"/>
    </row>
    <row r="699" spans="1:11" ht="14.25">
      <c r="A699" s="484"/>
      <c r="B699" s="484"/>
      <c r="C699" s="483"/>
      <c r="D699" s="1284" t="s">
        <v>895</v>
      </c>
      <c r="E699" s="1284"/>
      <c r="F699" s="1284"/>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ht="14.25">
      <c r="A702" s="484"/>
      <c r="B702" s="485" t="s">
        <v>307</v>
      </c>
      <c r="C702" s="483"/>
      <c r="D702" s="1283" t="s">
        <v>2244</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307</v>
      </c>
      <c r="C709" s="483"/>
      <c r="D709" s="1283" t="s">
        <v>1202</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ht="14.25">
      <c r="A712" s="484"/>
      <c r="B712" s="485" t="s">
        <v>307</v>
      </c>
      <c r="C712" s="483"/>
      <c r="D712" s="1283" t="s">
        <v>1078</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307</v>
      </c>
      <c r="C725" s="483"/>
      <c r="D725" s="1283" t="s">
        <v>2462</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307</v>
      </c>
      <c r="C729" s="483"/>
      <c r="D729" s="1283" t="s">
        <v>2461</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307</v>
      </c>
      <c r="C733" s="483"/>
      <c r="D733" s="1283" t="s">
        <v>2460</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ht="14.25">
      <c r="A738" s="484"/>
      <c r="B738" s="485" t="s">
        <v>307</v>
      </c>
      <c r="C738" s="483"/>
      <c r="D738" s="1283" t="s">
        <v>1079</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ht="14.25">
      <c r="A744" s="484"/>
      <c r="B744" s="485" t="s">
        <v>307</v>
      </c>
      <c r="C744" s="483"/>
      <c r="D744" s="1283" t="s">
        <v>2146</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2075</v>
      </c>
      <c r="E751" s="1321"/>
      <c r="F751" s="1321"/>
      <c r="H751" s="501"/>
      <c r="I751" s="483"/>
      <c r="J751" s="501"/>
      <c r="K751" s="501"/>
    </row>
    <row r="752" spans="1:11">
      <c r="A752" s="483"/>
      <c r="B752" s="483"/>
      <c r="C752" s="483"/>
      <c r="D752" s="341"/>
      <c r="H752" s="501"/>
      <c r="I752" s="483"/>
      <c r="J752" s="501"/>
      <c r="K752" s="501"/>
    </row>
    <row r="753" spans="1:11">
      <c r="A753" s="1290" t="s">
        <v>1061</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 customHeight="1">
      <c r="C755" s="483"/>
      <c r="D755" s="1285" t="s">
        <v>1071</v>
      </c>
      <c r="E755" s="1285"/>
      <c r="F755" s="1285"/>
      <c r="G755" s="501"/>
      <c r="H755" s="501"/>
      <c r="I755" s="483"/>
      <c r="J755" s="501"/>
      <c r="K755" s="501"/>
    </row>
    <row r="756" spans="1:11">
      <c r="A756" s="483"/>
      <c r="B756" s="483"/>
      <c r="C756" s="483"/>
      <c r="D756" s="1289" t="s">
        <v>1072</v>
      </c>
      <c r="E756" s="1289"/>
      <c r="F756" s="1289"/>
      <c r="G756" s="501"/>
      <c r="H756" s="501"/>
      <c r="I756" s="483"/>
      <c r="J756" s="501"/>
      <c r="K756" s="501"/>
    </row>
    <row r="757" spans="1:11">
      <c r="A757" s="483"/>
      <c r="B757" s="483"/>
      <c r="C757" s="483"/>
      <c r="G757" s="501"/>
      <c r="H757" s="501"/>
      <c r="I757" s="483"/>
      <c r="J757" s="501"/>
      <c r="K757" s="501"/>
    </row>
    <row r="758" spans="1:11" ht="14.25">
      <c r="A758" s="484"/>
      <c r="B758" s="485" t="s">
        <v>307</v>
      </c>
      <c r="D758" s="1283" t="s">
        <v>1073</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ht="14.25">
      <c r="A765" s="503"/>
      <c r="B765" s="485" t="s">
        <v>307</v>
      </c>
      <c r="C765" s="504"/>
      <c r="D765" s="1283" t="s">
        <v>1242</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ht="14.25">
      <c r="A770" s="484"/>
      <c r="B770" s="485" t="s">
        <v>307</v>
      </c>
      <c r="C770" s="504"/>
      <c r="D770" s="1308" t="s">
        <v>1243</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307</v>
      </c>
      <c r="D774" s="1283" t="s">
        <v>1199</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307</v>
      </c>
      <c r="D777" s="1283" t="s">
        <v>1216</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1802</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1855</v>
      </c>
      <c r="E783" s="1314"/>
      <c r="F783" s="1314"/>
      <c r="G783" s="3"/>
      <c r="I783" s="490"/>
    </row>
    <row r="784" spans="1:11">
      <c r="A784" s="57"/>
      <c r="B784" s="57"/>
      <c r="C784" s="354"/>
      <c r="D784" s="1295" t="s">
        <v>1756</v>
      </c>
      <c r="E784" s="1295"/>
      <c r="F784" s="1295"/>
      <c r="G784" s="3"/>
      <c r="I784" s="490"/>
    </row>
    <row r="785" spans="1:9">
      <c r="A785" s="57"/>
      <c r="B785" s="57"/>
      <c r="C785" s="354"/>
      <c r="D785" s="447"/>
      <c r="E785" s="447"/>
      <c r="F785" s="447"/>
      <c r="G785" s="3"/>
      <c r="I785" s="490"/>
    </row>
    <row r="786" spans="1:9">
      <c r="A786" s="57"/>
      <c r="B786" s="485" t="s">
        <v>307</v>
      </c>
      <c r="C786" s="354"/>
      <c r="D786" s="1316" t="s">
        <v>1757</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307</v>
      </c>
      <c r="C790" s="172"/>
      <c r="D790" s="1316" t="s">
        <v>1758</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ht="14.25">
      <c r="A794" s="175"/>
      <c r="B794" s="485" t="s">
        <v>307</v>
      </c>
      <c r="C794" s="989"/>
      <c r="D794" s="1316" t="s">
        <v>1759</v>
      </c>
      <c r="E794" s="1316"/>
      <c r="F794" s="1316"/>
      <c r="G794" s="988"/>
      <c r="I794" s="483"/>
    </row>
    <row r="795" spans="1:9" ht="14.25">
      <c r="A795" s="175"/>
      <c r="B795" s="175"/>
      <c r="C795" s="989"/>
      <c r="D795" s="1316"/>
      <c r="E795" s="1316"/>
      <c r="F795" s="1316"/>
      <c r="G795" s="988"/>
      <c r="I795" s="490"/>
    </row>
    <row r="796" spans="1:9" ht="14.25">
      <c r="A796" s="175"/>
      <c r="B796" s="175"/>
      <c r="C796" s="989"/>
      <c r="D796" s="1316"/>
      <c r="E796" s="1316"/>
      <c r="F796" s="1316"/>
      <c r="G796" s="988"/>
      <c r="I796" s="490"/>
    </row>
    <row r="797" spans="1:9" ht="14.25">
      <c r="A797" s="175"/>
      <c r="B797" s="175"/>
      <c r="C797" s="989"/>
      <c r="D797" s="118"/>
      <c r="E797" s="3"/>
      <c r="F797" s="3"/>
      <c r="G797" s="988"/>
      <c r="I797" s="490"/>
    </row>
    <row r="798" spans="1:9" ht="14.25">
      <c r="A798" s="175"/>
      <c r="B798" s="485" t="s">
        <v>307</v>
      </c>
      <c r="C798" s="989"/>
      <c r="D798" s="1316" t="s">
        <v>1760</v>
      </c>
      <c r="E798" s="1316"/>
      <c r="F798" s="1316"/>
      <c r="G798" s="988"/>
      <c r="I798" s="483"/>
    </row>
    <row r="799" spans="1:9" ht="14.25">
      <c r="A799" s="175"/>
      <c r="B799" s="175"/>
      <c r="C799" s="989"/>
      <c r="D799" s="1316"/>
      <c r="E799" s="1316"/>
      <c r="F799" s="1316"/>
      <c r="G799" s="988"/>
      <c r="I799" s="490"/>
    </row>
    <row r="800" spans="1:9" ht="14.25">
      <c r="A800" s="175"/>
      <c r="B800" s="175"/>
      <c r="C800" s="989"/>
      <c r="D800" s="1316"/>
      <c r="E800" s="1316"/>
      <c r="F800" s="1316"/>
      <c r="G800" s="988"/>
      <c r="I800" s="490"/>
    </row>
    <row r="801" spans="1:9" ht="14.25">
      <c r="A801" s="175"/>
      <c r="B801" s="175"/>
      <c r="C801" s="989"/>
      <c r="D801" s="1316"/>
      <c r="E801" s="1316"/>
      <c r="F801" s="1316"/>
      <c r="G801" s="988"/>
      <c r="I801" s="490"/>
    </row>
    <row r="802" spans="1:9" ht="14.25">
      <c r="A802" s="175"/>
      <c r="B802" s="175"/>
      <c r="C802" s="989"/>
      <c r="D802" s="1316"/>
      <c r="E802" s="1316"/>
      <c r="F802" s="1316"/>
      <c r="G802" s="988"/>
      <c r="I802" s="490"/>
    </row>
    <row r="803" spans="1:9" ht="14.25">
      <c r="A803" s="175"/>
      <c r="B803" s="175"/>
      <c r="C803" s="989"/>
      <c r="D803" s="1316"/>
      <c r="E803" s="1316"/>
      <c r="F803" s="1316"/>
      <c r="G803" s="988"/>
      <c r="I803" s="490"/>
    </row>
    <row r="804" spans="1:9" ht="14.25">
      <c r="A804" s="175"/>
      <c r="B804" s="175"/>
      <c r="C804" s="989"/>
      <c r="D804" s="1316" t="s">
        <v>1803</v>
      </c>
      <c r="E804" s="1316"/>
      <c r="F804" s="1316"/>
      <c r="G804" s="988"/>
      <c r="I804" s="490"/>
    </row>
    <row r="805" spans="1:9" ht="14.25">
      <c r="A805" s="175"/>
      <c r="B805" s="175"/>
      <c r="C805" s="989"/>
      <c r="D805" s="1316"/>
      <c r="E805" s="1316"/>
      <c r="F805" s="1316"/>
      <c r="G805" s="988"/>
      <c r="I805" s="490"/>
    </row>
    <row r="806" spans="1:9" ht="14.25">
      <c r="A806" s="175"/>
      <c r="B806" s="175"/>
      <c r="C806" s="989"/>
      <c r="D806" s="1316"/>
      <c r="E806" s="1316"/>
      <c r="F806" s="1316"/>
      <c r="G806" s="988"/>
      <c r="I806" s="490"/>
    </row>
    <row r="807" spans="1:9" ht="14.25">
      <c r="A807" s="175"/>
      <c r="B807" s="354"/>
      <c r="C807" s="989"/>
      <c r="D807" s="990"/>
      <c r="E807" s="990"/>
      <c r="F807" s="990"/>
      <c r="G807" s="988"/>
      <c r="I807" s="490"/>
    </row>
    <row r="808" spans="1:9" ht="14.25">
      <c r="A808" s="175"/>
      <c r="B808" s="485" t="s">
        <v>307</v>
      </c>
      <c r="C808" s="989"/>
      <c r="D808" s="1316" t="s">
        <v>1761</v>
      </c>
      <c r="E808" s="1316"/>
      <c r="F808" s="1316"/>
      <c r="G808" s="988"/>
      <c r="I808" s="483"/>
    </row>
    <row r="809" spans="1:9" ht="14.25">
      <c r="A809" s="175"/>
      <c r="B809" s="175"/>
      <c r="C809" s="989"/>
      <c r="D809" s="1316"/>
      <c r="E809" s="1316"/>
      <c r="F809" s="1316"/>
      <c r="G809" s="988"/>
      <c r="I809" s="490"/>
    </row>
    <row r="810" spans="1:9" ht="14.25">
      <c r="A810" s="175"/>
      <c r="B810" s="175"/>
      <c r="C810" s="989"/>
      <c r="D810" s="1316"/>
      <c r="E810" s="1316"/>
      <c r="F810" s="1316"/>
      <c r="G810" s="988"/>
      <c r="I810" s="490"/>
    </row>
    <row r="811" spans="1:9" ht="14.25">
      <c r="A811" s="175"/>
      <c r="B811" s="175"/>
      <c r="C811" s="989"/>
      <c r="D811" s="1316"/>
      <c r="E811" s="1316"/>
      <c r="F811" s="1316"/>
      <c r="G811" s="988"/>
      <c r="I811" s="490"/>
    </row>
    <row r="812" spans="1:9" ht="14.25">
      <c r="A812" s="175"/>
      <c r="B812" s="175"/>
      <c r="C812" s="989"/>
      <c r="D812" s="1316"/>
      <c r="E812" s="1316"/>
      <c r="F812" s="1316"/>
      <c r="G812" s="988"/>
      <c r="I812" s="490"/>
    </row>
    <row r="813" spans="1:9" ht="14.25">
      <c r="A813" s="175"/>
      <c r="B813" s="175"/>
      <c r="C813" s="989"/>
      <c r="D813" s="1316"/>
      <c r="E813" s="1316"/>
      <c r="F813" s="1316"/>
      <c r="G813" s="988"/>
      <c r="I813" s="490"/>
    </row>
    <row r="814" spans="1:9" ht="14.25">
      <c r="A814" s="175"/>
      <c r="B814" s="175"/>
      <c r="C814" s="989"/>
      <c r="D814" s="982"/>
      <c r="E814" s="982"/>
      <c r="F814" s="982"/>
      <c r="G814" s="988"/>
      <c r="I814" s="490"/>
    </row>
    <row r="815" spans="1:9" ht="14.25">
      <c r="A815" s="175"/>
      <c r="B815" s="485" t="s">
        <v>307</v>
      </c>
      <c r="C815" s="989"/>
      <c r="D815" s="1316" t="s">
        <v>1762</v>
      </c>
      <c r="E815" s="1316"/>
      <c r="F815" s="1316"/>
      <c r="G815" s="988"/>
      <c r="I815" s="483"/>
    </row>
    <row r="816" spans="1:9" ht="14.25">
      <c r="A816" s="175"/>
      <c r="B816" s="175"/>
      <c r="C816" s="989"/>
      <c r="D816" s="1316"/>
      <c r="E816" s="1316"/>
      <c r="F816" s="1316"/>
      <c r="G816" s="988"/>
      <c r="I816" s="490"/>
    </row>
    <row r="817" spans="1:9" ht="14.25">
      <c r="A817" s="175"/>
      <c r="B817" s="175"/>
      <c r="C817" s="989"/>
      <c r="D817" s="1316"/>
      <c r="E817" s="1316"/>
      <c r="F817" s="1316"/>
      <c r="G817" s="988"/>
      <c r="I817" s="490"/>
    </row>
    <row r="818" spans="1:9" ht="14.25">
      <c r="A818" s="175"/>
      <c r="B818" s="175"/>
      <c r="C818" s="989"/>
      <c r="D818" s="1316"/>
      <c r="E818" s="1316"/>
      <c r="F818" s="1316"/>
      <c r="G818" s="988"/>
      <c r="I818" s="490"/>
    </row>
    <row r="819" spans="1:9" ht="14.25">
      <c r="A819" s="175"/>
      <c r="B819" s="175"/>
      <c r="C819" s="989"/>
      <c r="D819" s="1316"/>
      <c r="E819" s="1316"/>
      <c r="F819" s="1316"/>
      <c r="G819" s="988"/>
      <c r="I819" s="490"/>
    </row>
    <row r="820" spans="1:9" ht="14.25">
      <c r="A820" s="175"/>
      <c r="B820" s="175"/>
      <c r="C820" s="989"/>
      <c r="D820" s="1316"/>
      <c r="E820" s="1316"/>
      <c r="F820" s="1316"/>
      <c r="G820" s="988"/>
      <c r="I820" s="490"/>
    </row>
    <row r="821" spans="1:9" ht="14.25">
      <c r="A821" s="175"/>
      <c r="B821" s="175"/>
      <c r="C821" s="989"/>
      <c r="D821" s="982"/>
      <c r="E821" s="982"/>
      <c r="F821" s="982"/>
      <c r="G821" s="988"/>
      <c r="I821" s="490"/>
    </row>
    <row r="822" spans="1:9" ht="14.25">
      <c r="A822" s="175"/>
      <c r="B822" s="485" t="s">
        <v>307</v>
      </c>
      <c r="C822" s="989"/>
      <c r="D822" s="1288" t="s">
        <v>1763</v>
      </c>
      <c r="E822" s="1288"/>
      <c r="F822" s="1288"/>
      <c r="G822" s="988"/>
      <c r="I822" s="483"/>
    </row>
    <row r="823" spans="1:9" ht="14.25">
      <c r="A823" s="175"/>
      <c r="B823" s="175"/>
      <c r="C823" s="989"/>
      <c r="D823" s="1288"/>
      <c r="E823" s="1288"/>
      <c r="F823" s="1288"/>
      <c r="G823" s="988"/>
      <c r="I823" s="490"/>
    </row>
    <row r="824" spans="1:9">
      <c r="A824" s="13"/>
      <c r="B824" s="13"/>
      <c r="C824" s="989"/>
      <c r="D824" s="1288"/>
      <c r="E824" s="1288"/>
      <c r="F824" s="1288"/>
      <c r="G824" s="988"/>
      <c r="I824" s="490"/>
    </row>
    <row r="825" spans="1:9" ht="14.25">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1764</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1804</v>
      </c>
      <c r="E831" s="1313"/>
      <c r="F831" s="1313"/>
      <c r="G831" s="3"/>
      <c r="I831" s="490"/>
    </row>
    <row r="832" spans="1:9" ht="14.25" customHeight="1">
      <c r="A832" s="175"/>
      <c r="B832" s="175"/>
      <c r="C832" s="354"/>
      <c r="D832" s="1260" t="s">
        <v>1765</v>
      </c>
      <c r="E832" s="1260"/>
      <c r="F832" s="1260"/>
      <c r="G832" s="3"/>
      <c r="I832" s="490"/>
    </row>
    <row r="833" spans="1:9" ht="12.75" customHeight="1">
      <c r="A833" s="175"/>
      <c r="B833" s="175"/>
      <c r="C833" s="354"/>
      <c r="D833" s="441"/>
      <c r="E833" s="441"/>
      <c r="F833" s="441"/>
      <c r="G833" s="3"/>
      <c r="I833" s="490"/>
    </row>
    <row r="834" spans="1:9" ht="12.75" customHeight="1">
      <c r="A834" s="354"/>
      <c r="B834" s="485" t="s">
        <v>307</v>
      </c>
      <c r="C834" s="989"/>
      <c r="D834" s="1260" t="s">
        <v>1766</v>
      </c>
      <c r="E834" s="1260"/>
      <c r="F834" s="1260"/>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8" t="s">
        <v>2076</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307</v>
      </c>
      <c r="C848" s="989"/>
      <c r="D848" s="1260" t="s">
        <v>1767</v>
      </c>
      <c r="E848" s="1260"/>
      <c r="F848" s="1260"/>
      <c r="G848" s="3"/>
      <c r="I848" s="490" t="s">
        <v>1883</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307</v>
      </c>
      <c r="C852" s="989"/>
      <c r="D852" s="1313" t="s">
        <v>1768</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2069</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307</v>
      </c>
      <c r="C861" s="989"/>
      <c r="D861" s="1260" t="s">
        <v>1769</v>
      </c>
      <c r="E861" s="1260"/>
      <c r="F861" s="1260"/>
      <c r="G861" s="3"/>
      <c r="I861" s="490" t="s">
        <v>1881</v>
      </c>
    </row>
    <row r="862" spans="1:9" ht="12.75" customHeight="1">
      <c r="A862" s="175"/>
      <c r="B862" s="175"/>
      <c r="C862" s="989"/>
      <c r="D862" s="1260" t="s">
        <v>1770</v>
      </c>
      <c r="E862" s="1260"/>
      <c r="F862" s="1260"/>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307</v>
      </c>
      <c r="C865" s="989"/>
      <c r="D865" s="1260" t="s">
        <v>1771</v>
      </c>
      <c r="E865" s="1260"/>
      <c r="F865" s="1260"/>
      <c r="G865" s="3"/>
      <c r="I865" s="490" t="s">
        <v>1884</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1805</v>
      </c>
      <c r="E872" s="1322"/>
      <c r="F872" s="1322"/>
      <c r="G872" s="988"/>
      <c r="I872" s="490"/>
    </row>
    <row r="873" spans="1:9" ht="12.75" customHeight="1">
      <c r="A873" s="354"/>
      <c r="B873" s="354"/>
      <c r="C873" s="174"/>
      <c r="D873" s="1317" t="s">
        <v>1773</v>
      </c>
      <c r="E873" s="1317"/>
      <c r="F873" s="1317"/>
      <c r="G873" s="988"/>
      <c r="I873" s="490"/>
    </row>
    <row r="874" spans="1:9" ht="12.75" customHeight="1">
      <c r="A874" s="354"/>
      <c r="B874" s="354"/>
      <c r="C874" s="174"/>
      <c r="D874" s="995"/>
      <c r="E874" s="995"/>
      <c r="F874" s="995"/>
      <c r="G874" s="988"/>
      <c r="I874" s="490"/>
    </row>
    <row r="875" spans="1:9" ht="12.75" customHeight="1">
      <c r="A875" s="175"/>
      <c r="B875" s="485" t="s">
        <v>307</v>
      </c>
      <c r="C875" s="354"/>
      <c r="D875" s="1300" t="s">
        <v>1774</v>
      </c>
      <c r="E875" s="1300"/>
      <c r="F875" s="1300"/>
      <c r="G875" s="988"/>
      <c r="I875" s="490" t="s">
        <v>1881</v>
      </c>
    </row>
    <row r="876" spans="1:9" ht="12.75" customHeight="1">
      <c r="A876" s="354"/>
      <c r="B876" s="354"/>
      <c r="C876" s="354"/>
      <c r="D876" s="2" t="s">
        <v>1749</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307</v>
      </c>
      <c r="C878" s="354"/>
      <c r="D878" s="1260" t="s">
        <v>1775</v>
      </c>
      <c r="E878" s="1310"/>
      <c r="F878" s="1310"/>
      <c r="G878" s="3"/>
      <c r="I878" s="490" t="s">
        <v>1884</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307</v>
      </c>
      <c r="C881" s="354"/>
      <c r="D881" s="1311" t="s">
        <v>1776</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2069</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307</v>
      </c>
      <c r="C890" s="354"/>
      <c r="D890" s="1301" t="s">
        <v>1769</v>
      </c>
      <c r="E890" s="1301"/>
      <c r="F890" s="1301"/>
      <c r="G890" s="988"/>
      <c r="I890" s="490"/>
    </row>
    <row r="891" spans="1:9" ht="12.75" customHeight="1">
      <c r="A891" s="175"/>
      <c r="B891" s="175"/>
      <c r="C891" s="354"/>
      <c r="D891" s="1301" t="s">
        <v>1770</v>
      </c>
      <c r="E891" s="1301"/>
      <c r="F891" s="1301"/>
      <c r="G891" s="988"/>
      <c r="I891" s="490"/>
    </row>
    <row r="892" spans="1:9" ht="12.75" customHeight="1">
      <c r="A892" s="175"/>
      <c r="B892" s="175"/>
      <c r="C892" s="354"/>
      <c r="D892" s="2" t="s">
        <v>1271</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307</v>
      </c>
      <c r="C894" s="354"/>
      <c r="D894" s="1260" t="s">
        <v>1771</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1806</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1812</v>
      </c>
      <c r="E901" s="1325"/>
      <c r="F901" s="1325"/>
      <c r="G901" s="57"/>
      <c r="I901" s="490"/>
    </row>
    <row r="902" spans="1:9" ht="12.75" customHeight="1">
      <c r="A902" s="57"/>
      <c r="B902" s="57"/>
      <c r="C902" s="57"/>
      <c r="D902" s="981"/>
      <c r="E902" s="981"/>
      <c r="F902" s="981"/>
      <c r="G902" s="57"/>
      <c r="I902" s="490"/>
    </row>
    <row r="903" spans="1:9" ht="12.75" customHeight="1">
      <c r="A903" s="57"/>
      <c r="B903" s="485" t="s">
        <v>307</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1807</v>
      </c>
      <c r="E905" s="1325"/>
      <c r="F905" s="1325"/>
      <c r="G905" s="988"/>
      <c r="I905" s="490"/>
    </row>
    <row r="906" spans="1:9" ht="12.75" customHeight="1">
      <c r="A906" s="172"/>
      <c r="B906" s="172"/>
      <c r="C906" s="172"/>
      <c r="D906" s="1300" t="s">
        <v>1777</v>
      </c>
      <c r="E906" s="1300"/>
      <c r="F906" s="1300"/>
      <c r="G906" s="988"/>
      <c r="I906" s="490"/>
    </row>
    <row r="907" spans="1:9" ht="12.75" customHeight="1">
      <c r="A907" s="989"/>
      <c r="B907" s="989"/>
      <c r="C907" s="989"/>
      <c r="D907" s="2"/>
      <c r="E907" s="988"/>
      <c r="F907" s="988"/>
      <c r="G907" s="988"/>
      <c r="I907" s="490"/>
    </row>
    <row r="908" spans="1:9" ht="12.75" customHeight="1">
      <c r="A908" s="175"/>
      <c r="B908" s="485" t="s">
        <v>307</v>
      </c>
      <c r="C908" s="354"/>
      <c r="D908" s="1260" t="s">
        <v>1781</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1780</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307</v>
      </c>
      <c r="C913" s="174"/>
      <c r="D913" s="1264" t="s">
        <v>1778</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307</v>
      </c>
      <c r="C922" s="989"/>
      <c r="D922" s="1260" t="s">
        <v>1782</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307</v>
      </c>
      <c r="C925" s="989"/>
      <c r="D925" s="1288" t="s">
        <v>1783</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307</v>
      </c>
      <c r="C930" s="989"/>
      <c r="D930" s="1300" t="s">
        <v>2070</v>
      </c>
      <c r="E930" s="1300"/>
      <c r="F930" s="1300"/>
      <c r="G930" s="988"/>
      <c r="I930" s="490"/>
    </row>
    <row r="931" spans="1:9" ht="12.75" customHeight="1">
      <c r="A931" s="989"/>
      <c r="B931" s="989"/>
      <c r="C931" s="989"/>
      <c r="D931" s="118"/>
      <c r="E931" s="988"/>
      <c r="F931" s="988"/>
      <c r="G931" s="988"/>
      <c r="I931" s="490"/>
    </row>
    <row r="932" spans="1:9" ht="12.75" customHeight="1">
      <c r="A932" s="989"/>
      <c r="B932" s="485" t="s">
        <v>307</v>
      </c>
      <c r="C932" s="989"/>
      <c r="D932" s="1300" t="s">
        <v>2071</v>
      </c>
      <c r="E932" s="1300"/>
      <c r="F932" s="1300"/>
      <c r="G932" s="988"/>
      <c r="I932" s="490"/>
    </row>
    <row r="933" spans="1:9" ht="12.75" customHeight="1">
      <c r="A933" s="174"/>
      <c r="B933" s="174"/>
      <c r="C933" s="174"/>
      <c r="D933" s="2"/>
      <c r="E933" s="3"/>
      <c r="F933" s="988"/>
      <c r="G933" s="988"/>
      <c r="I933" s="490"/>
    </row>
    <row r="934" spans="1:9" ht="12.75" customHeight="1">
      <c r="A934" s="997"/>
      <c r="B934" s="485" t="s">
        <v>307</v>
      </c>
      <c r="C934" s="998"/>
      <c r="D934" s="1264" t="s">
        <v>1779</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307</v>
      </c>
      <c r="C944" s="174"/>
      <c r="D944" s="1319" t="s">
        <v>1887</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307</v>
      </c>
      <c r="C952" s="174"/>
      <c r="D952" s="1263" t="s">
        <v>2138</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307</v>
      </c>
      <c r="C959" s="989"/>
      <c r="D959" s="1288" t="s">
        <v>1784</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307</v>
      </c>
      <c r="C964" s="174"/>
      <c r="D964" s="1264" t="s">
        <v>1886</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1785</v>
      </c>
      <c r="E969" s="1322"/>
      <c r="F969" s="1322"/>
      <c r="G969" s="3"/>
      <c r="I969" s="490"/>
    </row>
    <row r="970" spans="1:9" ht="12.75" customHeight="1">
      <c r="A970" s="175"/>
      <c r="B970" s="485" t="s">
        <v>307</v>
      </c>
      <c r="C970" s="354"/>
      <c r="D970" s="1300" t="s">
        <v>1808</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1786</v>
      </c>
      <c r="E972" s="1322"/>
      <c r="F972" s="1322"/>
      <c r="G972"/>
      <c r="I972" s="490"/>
    </row>
    <row r="973" spans="1:9" ht="12.75" customHeight="1">
      <c r="A973" s="175"/>
      <c r="B973" s="485" t="s">
        <v>307</v>
      </c>
      <c r="C973" s="354"/>
      <c r="D973" s="1260" t="s">
        <v>2072</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1787</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1809</v>
      </c>
      <c r="E991" s="1322"/>
      <c r="F991" s="1322"/>
      <c r="G991" s="3"/>
      <c r="I991" s="490"/>
    </row>
    <row r="992" spans="1:9" ht="12.75" customHeight="1">
      <c r="A992" s="172"/>
      <c r="B992" s="172"/>
      <c r="C992" s="172"/>
      <c r="D992" s="1300" t="s">
        <v>1788</v>
      </c>
      <c r="E992" s="1300"/>
      <c r="F992" s="1300"/>
      <c r="G992" s="3"/>
      <c r="I992" s="490"/>
    </row>
    <row r="993" spans="1:9" ht="12.75" customHeight="1">
      <c r="A993" s="172"/>
      <c r="B993" s="172"/>
      <c r="C993" s="172"/>
      <c r="D993" s="3"/>
      <c r="E993" s="3"/>
      <c r="F993" s="988"/>
      <c r="G993"/>
      <c r="I993" s="490"/>
    </row>
    <row r="994" spans="1:9" ht="12.75" customHeight="1">
      <c r="A994" s="354"/>
      <c r="B994" s="485" t="s">
        <v>307</v>
      </c>
      <c r="C994" s="354"/>
      <c r="D994" s="1324" t="s">
        <v>1916</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1917</v>
      </c>
      <c r="F996" s="1038"/>
      <c r="G996"/>
      <c r="I996" s="490"/>
    </row>
    <row r="997" spans="1:9" ht="12.75" customHeight="1">
      <c r="A997" s="354"/>
      <c r="B997" s="354"/>
      <c r="C997" s="354"/>
      <c r="D997" s="1266" t="s">
        <v>1915</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307</v>
      </c>
      <c r="C1002" s="174"/>
      <c r="D1002" s="1260" t="s">
        <v>1789</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307</v>
      </c>
      <c r="C1007" s="174"/>
      <c r="D1007" s="1260" t="s">
        <v>2230</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307</v>
      </c>
      <c r="C1010" s="354"/>
      <c r="D1010" s="1300" t="s">
        <v>1790</v>
      </c>
      <c r="E1010" s="1300"/>
      <c r="F1010" s="1300"/>
      <c r="G1010"/>
      <c r="I1010" s="490"/>
    </row>
    <row r="1011" spans="1:9" ht="12.75" customHeight="1">
      <c r="A1011" s="354"/>
      <c r="B1011" s="354"/>
      <c r="C1011" s="354"/>
      <c r="D1011" s="3"/>
      <c r="E1011" s="3"/>
      <c r="F1011" s="3"/>
      <c r="G1011"/>
      <c r="I1011" s="490"/>
    </row>
    <row r="1012" spans="1:9" ht="12.75" customHeight="1">
      <c r="A1012" s="175"/>
      <c r="B1012" s="485" t="s">
        <v>307</v>
      </c>
      <c r="C1012" s="354"/>
      <c r="D1012" s="1300" t="s">
        <v>1791</v>
      </c>
      <c r="E1012" s="1300"/>
      <c r="F1012" s="1300"/>
      <c r="G1012"/>
      <c r="I1012" s="490"/>
    </row>
    <row r="1013" spans="1:9" ht="12.75" customHeight="1">
      <c r="A1013" s="354"/>
      <c r="B1013" s="354"/>
      <c r="C1013" s="354"/>
      <c r="D1013" s="118"/>
      <c r="E1013" s="3"/>
      <c r="F1013" s="3"/>
      <c r="G1013"/>
      <c r="I1013" s="490"/>
    </row>
    <row r="1014" spans="1:9" ht="12.75" customHeight="1">
      <c r="A1014" s="175"/>
      <c r="B1014" s="485" t="s">
        <v>307</v>
      </c>
      <c r="C1014" s="354"/>
      <c r="D1014" s="1300" t="s">
        <v>1792</v>
      </c>
      <c r="E1014" s="1300"/>
      <c r="F1014" s="1300"/>
      <c r="G1014"/>
      <c r="I1014" s="490"/>
    </row>
    <row r="1015" spans="1:9" ht="12.75" customHeight="1">
      <c r="A1015" s="354"/>
      <c r="B1015" s="354"/>
      <c r="C1015" s="354"/>
      <c r="D1015" s="118"/>
      <c r="E1015" s="3"/>
      <c r="F1015" s="3"/>
      <c r="G1015"/>
      <c r="I1015" s="490"/>
    </row>
    <row r="1016" spans="1:9" ht="12.75" customHeight="1">
      <c r="A1016" s="175"/>
      <c r="B1016" s="485" t="s">
        <v>307</v>
      </c>
      <c r="C1016" s="354"/>
      <c r="D1016" s="1260" t="s">
        <v>1793</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307</v>
      </c>
      <c r="C1019" s="1000"/>
      <c r="D1019" s="1316" t="s">
        <v>1794</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307</v>
      </c>
      <c r="C1022" s="1000"/>
      <c r="D1022" s="1323" t="s">
        <v>1795</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307</v>
      </c>
      <c r="C1024" s="354"/>
      <c r="D1024" s="1300" t="s">
        <v>1796</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307</v>
      </c>
      <c r="C1026" s="354"/>
      <c r="D1026" s="1260" t="s">
        <v>1797</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1798</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1799</v>
      </c>
      <c r="E1031" s="1325"/>
      <c r="F1031" s="1325"/>
      <c r="G1031" s="3"/>
      <c r="I1031" s="490"/>
    </row>
    <row r="1032" spans="1:9" ht="12.75" customHeight="1">
      <c r="A1032" s="354"/>
      <c r="B1032" s="354"/>
      <c r="C1032" s="354"/>
      <c r="D1032" s="1323" t="s">
        <v>1800</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1814</v>
      </c>
      <c r="E1034" s="1325"/>
      <c r="F1034" s="1325"/>
      <c r="G1034" s="3"/>
      <c r="I1034" s="490"/>
    </row>
    <row r="1035" spans="1:9" ht="12.75" customHeight="1">
      <c r="A1035" s="354"/>
      <c r="B1035" s="485" t="s">
        <v>307</v>
      </c>
      <c r="C1035" s="354"/>
      <c r="D1035" s="1323" t="s">
        <v>1272</v>
      </c>
      <c r="E1035" s="1323"/>
      <c r="F1035" s="1323"/>
      <c r="G1035" s="3"/>
      <c r="I1035" s="490"/>
    </row>
    <row r="1036" spans="1:9" ht="12.75" customHeight="1">
      <c r="A1036" s="354"/>
      <c r="B1036" s="175"/>
      <c r="C1036" s="354"/>
      <c r="D1036" s="1323" t="s">
        <v>1801</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1810</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1273</v>
      </c>
      <c r="E1040" s="1330"/>
      <c r="F1040" s="1330"/>
      <c r="G1040" s="3"/>
      <c r="I1040" s="490"/>
    </row>
    <row r="1041" spans="1:9" ht="12.75" hidden="1" customHeight="1">
      <c r="A1041" s="118"/>
      <c r="B1041" s="485" t="s">
        <v>307</v>
      </c>
      <c r="D1041" s="1292" t="s">
        <v>1272</v>
      </c>
      <c r="E1041" s="1292"/>
      <c r="F1041" s="1292"/>
      <c r="G1041" s="3"/>
      <c r="I1041" s="490"/>
    </row>
    <row r="1042" spans="1:9" ht="12.75" hidden="1" customHeight="1">
      <c r="A1042" s="118"/>
      <c r="B1042" s="402"/>
      <c r="D1042" s="1292" t="s">
        <v>1811</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1067</v>
      </c>
      <c r="E1044" s="1331"/>
      <c r="F1044" s="1331"/>
      <c r="G1044" s="3"/>
      <c r="I1044" s="490"/>
    </row>
    <row r="1045" spans="1:9" ht="12.75" customHeight="1">
      <c r="A1045" s="319"/>
      <c r="B1045" s="319"/>
      <c r="C1045" s="319"/>
      <c r="D1045" s="1301" t="s">
        <v>2248</v>
      </c>
      <c r="E1045" s="1301"/>
      <c r="F1045" s="1301"/>
      <c r="G1045" s="98"/>
      <c r="I1045" s="490"/>
    </row>
    <row r="1046" spans="1:9" ht="12.75" customHeight="1">
      <c r="A1046" s="175"/>
      <c r="B1046" s="485" t="s">
        <v>307</v>
      </c>
      <c r="C1046" s="354"/>
      <c r="D1046" s="1301" t="s">
        <v>986</v>
      </c>
      <c r="E1046" s="1301"/>
      <c r="F1046" s="1301"/>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309" t="s">
        <v>1831</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307</v>
      </c>
      <c r="C1054" s="402"/>
      <c r="D1054" s="1327" t="s">
        <v>1815</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307</v>
      </c>
      <c r="C1062" s="402"/>
      <c r="D1062" s="402" t="s">
        <v>1813</v>
      </c>
      <c r="I1062" s="490"/>
    </row>
    <row r="1063" spans="1:9">
      <c r="A1063" s="402"/>
      <c r="B1063" s="402"/>
      <c r="C1063" s="402"/>
      <c r="I1063" s="490"/>
    </row>
    <row r="1064" spans="1:9">
      <c r="A1064" s="402"/>
      <c r="B1064" s="485" t="s">
        <v>307</v>
      </c>
      <c r="C1064" s="402"/>
      <c r="D1064" s="1327" t="s">
        <v>1819</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1820</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307</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307</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307</v>
      </c>
      <c r="C1079" s="402"/>
      <c r="D1079" s="119" t="s">
        <v>1829</v>
      </c>
      <c r="I1079" s="490"/>
    </row>
    <row r="1080" spans="1:9">
      <c r="A1080" s="402"/>
      <c r="B1080" s="402"/>
      <c r="C1080" s="402"/>
      <c r="D1080" s="1260" t="s">
        <v>1830</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307</v>
      </c>
      <c r="C1087" s="402"/>
      <c r="D1087" s="1326" t="s">
        <v>1822</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1827</v>
      </c>
      <c r="I1092" s="490"/>
    </row>
    <row r="1093" spans="1:9">
      <c r="A1093" s="402"/>
      <c r="B1093" s="402"/>
      <c r="C1093" s="402"/>
      <c r="I1093" s="490"/>
    </row>
    <row r="1094" spans="1:9">
      <c r="A1094" s="402"/>
      <c r="B1094" s="485" t="s">
        <v>307</v>
      </c>
      <c r="C1094" s="402"/>
      <c r="D1094" s="1276" t="s">
        <v>2281</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1832</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307</v>
      </c>
      <c r="C1101" s="402"/>
      <c r="D1101" s="1328" t="s">
        <v>1930</v>
      </c>
      <c r="E1101" s="1328"/>
      <c r="F1101" s="1328"/>
      <c r="I1101" s="490"/>
    </row>
    <row r="1102" spans="1:9">
      <c r="A1102" s="402"/>
      <c r="B1102" s="402"/>
      <c r="C1102" s="402"/>
      <c r="D1102" s="1328"/>
      <c r="E1102" s="1328"/>
      <c r="F1102" s="1328"/>
      <c r="I1102" s="490"/>
    </row>
    <row r="1103" spans="1:9">
      <c r="A1103" s="402"/>
      <c r="B1103" s="402"/>
      <c r="C1103" s="402"/>
      <c r="D1103" s="1329" t="s">
        <v>2144</v>
      </c>
      <c r="E1103" s="1260"/>
      <c r="F1103" s="1260"/>
      <c r="I1103" s="490"/>
    </row>
    <row r="1104" spans="1:9">
      <c r="A1104" s="402"/>
      <c r="B1104" s="402"/>
      <c r="C1104" s="402"/>
      <c r="D1104" s="527"/>
      <c r="I1104" s="490"/>
    </row>
    <row r="1105" spans="1:9">
      <c r="A1105" s="402"/>
      <c r="B1105" s="485" t="s">
        <v>307</v>
      </c>
      <c r="C1105" s="402"/>
      <c r="D1105" s="1326" t="s">
        <v>1833</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307</v>
      </c>
      <c r="C1108" s="402"/>
      <c r="D1108" s="1326" t="s">
        <v>1888</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307</v>
      </c>
      <c r="C1115" s="402"/>
      <c r="D1115" s="1326" t="s">
        <v>1834</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307</v>
      </c>
      <c r="C1119" s="402"/>
      <c r="D1119" s="1266" t="s">
        <v>1889</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307</v>
      </c>
      <c r="C1123" s="402"/>
      <c r="D1123" s="1260" t="s">
        <v>1890</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592" zoomScaleNormal="100" workbookViewId="0">
      <selection activeCell="W700" sqref="W700:AK700"/>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2497</v>
      </c>
      <c r="BE1" s="3"/>
      <c r="BF1" s="3"/>
    </row>
    <row r="2" spans="1:58" ht="12.95" customHeight="1">
      <c r="BD2" s="3" t="s">
        <v>2498</v>
      </c>
      <c r="BE2" s="3" t="s">
        <v>2499</v>
      </c>
      <c r="BF2" s="3" t="s">
        <v>2500</v>
      </c>
    </row>
    <row r="3" spans="1:58" ht="12.95" customHeight="1">
      <c r="BD3" s="3" t="s">
        <v>2595</v>
      </c>
      <c r="BE3" t="str">
        <f>AC220</f>
        <v>Bay Area ((Alameda, Contra Costa, Marin, San Francisco, San Mateo, Santa Clara, and Santa Cruz Counties)</v>
      </c>
    </row>
    <row r="4" spans="1:58" ht="12.95" customHeight="1">
      <c r="BD4" s="3" t="s">
        <v>2507</v>
      </c>
      <c r="BE4" s="1246"/>
    </row>
    <row r="5" spans="1:58" ht="12.95" customHeight="1">
      <c r="BD5" s="3" t="s">
        <v>2508</v>
      </c>
      <c r="BE5">
        <f>SUMIF($AC$718:$AC$752,"&lt;=20%",$G$718:G$752)</f>
        <v>0</v>
      </c>
      <c r="BF5" s="3" t="s">
        <v>2513</v>
      </c>
    </row>
    <row r="6" spans="1:58" ht="12.95" customHeight="1">
      <c r="BD6" s="3" t="s">
        <v>2509</v>
      </c>
      <c r="BE6" s="1249">
        <f>SUMIF($AC$718:$AC$752,"&lt;=25%",$G$718:G$752)-SUM($BE$5:BE5)</f>
        <v>0</v>
      </c>
    </row>
    <row r="7" spans="1:58" ht="12.95" customHeight="1">
      <c r="BD7" s="1247" t="s">
        <v>2501</v>
      </c>
      <c r="BE7" s="1249">
        <f>SUMIF($AC$718:$AC$752,"&lt;=30%",$G$718:G$752)-SUM($BE$5:BE6)</f>
        <v>24</v>
      </c>
    </row>
    <row r="8" spans="1:58" ht="26.25" customHeight="1">
      <c r="A8" s="1836" t="s">
        <v>100</v>
      </c>
      <c r="B8" s="1836"/>
      <c r="C8" s="1836"/>
      <c r="D8" s="1836"/>
      <c r="E8" s="1836"/>
      <c r="F8" s="1836"/>
      <c r="G8" s="1836"/>
      <c r="H8" s="1836"/>
      <c r="I8" s="1836"/>
      <c r="J8" s="1836"/>
      <c r="K8" s="1836"/>
      <c r="L8" s="1836"/>
      <c r="M8" s="1836"/>
      <c r="N8" s="1836"/>
      <c r="O8" s="1836"/>
      <c r="P8" s="1836"/>
      <c r="Q8" s="1836"/>
      <c r="R8" s="1836"/>
      <c r="S8" s="1836"/>
      <c r="T8" s="1836"/>
      <c r="U8" s="1836"/>
      <c r="V8" s="1836"/>
      <c r="W8" s="1836"/>
      <c r="X8" s="1836"/>
      <c r="Y8" s="1836"/>
      <c r="Z8" s="1836"/>
      <c r="AA8" s="1836"/>
      <c r="AB8" s="1836"/>
      <c r="AC8" s="1836"/>
      <c r="AD8" s="1836"/>
      <c r="AE8" s="1836"/>
      <c r="AF8" s="1836"/>
      <c r="AG8" s="1836"/>
      <c r="AH8" s="1836"/>
      <c r="AI8" s="1836"/>
      <c r="AJ8" s="1836"/>
      <c r="AK8" s="1836"/>
      <c r="AL8" s="1836"/>
      <c r="AM8" s="1836"/>
      <c r="AN8" s="1836"/>
      <c r="AO8" s="1836"/>
      <c r="AP8" s="1836"/>
      <c r="AQ8" s="1836"/>
      <c r="AR8" s="1836"/>
      <c r="AS8" s="1836"/>
      <c r="AT8" s="1836"/>
      <c r="AU8" s="898"/>
      <c r="AV8" s="898"/>
      <c r="AW8" s="898"/>
      <c r="AX8" s="898"/>
      <c r="AY8" s="898"/>
      <c r="BD8" s="3" t="s">
        <v>2510</v>
      </c>
      <c r="BE8" s="1249">
        <f>SUMIF($AC$718:$AC$752,"&lt;=35%",$G$718:G$752)-SUM($BE$5:BE7)</f>
        <v>0</v>
      </c>
    </row>
    <row r="9" spans="1:58" ht="12.95" customHeight="1">
      <c r="A9" s="1837" t="s">
        <v>2077</v>
      </c>
      <c r="B9" s="1837"/>
      <c r="C9" s="1837"/>
      <c r="D9" s="1837"/>
      <c r="E9" s="1837"/>
      <c r="F9" s="1837"/>
      <c r="G9" s="1837"/>
      <c r="H9" s="1837"/>
      <c r="I9" s="1837"/>
      <c r="J9" s="1837"/>
      <c r="K9" s="1837"/>
      <c r="L9" s="1837"/>
      <c r="M9" s="1837"/>
      <c r="N9" s="1837"/>
      <c r="O9" s="1837"/>
      <c r="P9" s="1837"/>
      <c r="Q9" s="1837"/>
      <c r="R9" s="1837"/>
      <c r="S9" s="1837"/>
      <c r="T9" s="1837"/>
      <c r="U9" s="1837"/>
      <c r="V9" s="1837"/>
      <c r="W9" s="1837"/>
      <c r="X9" s="1837"/>
      <c r="Y9" s="1837"/>
      <c r="Z9" s="1837"/>
      <c r="AA9" s="1837"/>
      <c r="AB9" s="1837"/>
      <c r="AC9" s="1837"/>
      <c r="AD9" s="1837"/>
      <c r="AE9" s="1837"/>
      <c r="AF9" s="1837"/>
      <c r="AG9" s="1837"/>
      <c r="AH9" s="1837"/>
      <c r="AI9" s="1837"/>
      <c r="AJ9" s="1837"/>
      <c r="AK9" s="1837"/>
      <c r="AL9" s="1837"/>
      <c r="AM9" s="1837"/>
      <c r="AN9" s="1837"/>
      <c r="AO9" s="1837"/>
      <c r="AP9" s="1837"/>
      <c r="AQ9" s="1837"/>
      <c r="AR9" s="1837"/>
      <c r="AS9" s="1837"/>
      <c r="AT9" s="1837"/>
      <c r="AU9" s="13"/>
      <c r="AV9" s="13"/>
      <c r="AW9" s="13"/>
      <c r="AX9" s="13"/>
      <c r="AY9" s="13"/>
      <c r="BD9" s="1248" t="s">
        <v>2502</v>
      </c>
      <c r="BE9" s="1249">
        <f>SUMIF($AC$718:$AC$752,"&lt;=40%",$G$718:G$752)-SUM($BE$5:BE8)</f>
        <v>0</v>
      </c>
    </row>
    <row r="10" spans="1:58" ht="12.95" customHeight="1">
      <c r="A10" s="1837" t="s">
        <v>2459</v>
      </c>
      <c r="B10" s="1837"/>
      <c r="C10" s="1837"/>
      <c r="D10" s="1837"/>
      <c r="E10" s="1837"/>
      <c r="F10" s="1837"/>
      <c r="G10" s="1837"/>
      <c r="H10" s="1837"/>
      <c r="I10" s="1837"/>
      <c r="J10" s="1837"/>
      <c r="K10" s="1837"/>
      <c r="L10" s="1837"/>
      <c r="M10" s="1837"/>
      <c r="N10" s="1837"/>
      <c r="O10" s="1837"/>
      <c r="P10" s="1837"/>
      <c r="Q10" s="1837"/>
      <c r="R10" s="1837"/>
      <c r="S10" s="1837"/>
      <c r="T10" s="1837"/>
      <c r="U10" s="1837"/>
      <c r="V10" s="1837"/>
      <c r="W10" s="1837"/>
      <c r="X10" s="1837"/>
      <c r="Y10" s="1837"/>
      <c r="Z10" s="1837"/>
      <c r="AA10" s="1837"/>
      <c r="AB10" s="1837"/>
      <c r="AC10" s="1837"/>
      <c r="AD10" s="1837"/>
      <c r="AE10" s="1837"/>
      <c r="AF10" s="1837"/>
      <c r="AG10" s="1837"/>
      <c r="AH10" s="1837"/>
      <c r="AI10" s="1837"/>
      <c r="AJ10" s="1837"/>
      <c r="AK10" s="1837"/>
      <c r="AL10" s="1837"/>
      <c r="AM10" s="1837"/>
      <c r="AN10" s="1837"/>
      <c r="AO10" s="1837"/>
      <c r="AP10" s="1837"/>
      <c r="AQ10" s="1837"/>
      <c r="AR10" s="1837"/>
      <c r="AS10" s="1837"/>
      <c r="AT10" s="1837"/>
      <c r="AU10" s="13"/>
      <c r="AV10" s="13"/>
      <c r="AW10" s="13"/>
      <c r="AX10" s="13"/>
      <c r="AY10" s="13"/>
      <c r="BD10" s="3" t="s">
        <v>2511</v>
      </c>
      <c r="BE10" s="1249">
        <f>SUMIF($AC$718:$AC$752,"&lt;=45%",$G$718:G$752)-SUM($BE$5:BE9)</f>
        <v>0</v>
      </c>
    </row>
    <row r="11" spans="1:58" ht="12.95" customHeight="1">
      <c r="A11" s="1837" t="s">
        <v>2605</v>
      </c>
      <c r="B11" s="1837"/>
      <c r="C11" s="1837"/>
      <c r="D11" s="1837"/>
      <c r="E11" s="1837"/>
      <c r="F11" s="1837"/>
      <c r="G11" s="1837"/>
      <c r="H11" s="1837"/>
      <c r="I11" s="1837"/>
      <c r="J11" s="1837"/>
      <c r="K11" s="1837"/>
      <c r="L11" s="1837"/>
      <c r="M11" s="1837"/>
      <c r="N11" s="1837"/>
      <c r="O11" s="1837"/>
      <c r="P11" s="1837"/>
      <c r="Q11" s="1837"/>
      <c r="R11" s="1837"/>
      <c r="S11" s="1837"/>
      <c r="T11" s="1837"/>
      <c r="U11" s="1837"/>
      <c r="V11" s="1837"/>
      <c r="W11" s="1837"/>
      <c r="X11" s="1837"/>
      <c r="Y11" s="1837"/>
      <c r="Z11" s="1837"/>
      <c r="AA11" s="1837"/>
      <c r="AB11" s="1837"/>
      <c r="AC11" s="1837"/>
      <c r="AD11" s="1837"/>
      <c r="AE11" s="1837"/>
      <c r="AF11" s="1837"/>
      <c r="AG11" s="1837"/>
      <c r="AH11" s="1837"/>
      <c r="AI11" s="1837"/>
      <c r="AJ11" s="1837"/>
      <c r="AK11" s="1837"/>
      <c r="AL11" s="1837"/>
      <c r="AM11" s="1837"/>
      <c r="AN11" s="1837"/>
      <c r="AO11" s="1837"/>
      <c r="AP11" s="1837"/>
      <c r="AQ11" s="1837"/>
      <c r="AR11" s="1837"/>
      <c r="AS11" s="1837"/>
      <c r="AT11" s="1837"/>
      <c r="AU11" s="13"/>
      <c r="AV11" s="13"/>
      <c r="AW11" s="13"/>
      <c r="AX11" s="13"/>
      <c r="AY11" s="13"/>
      <c r="BD11" s="1247" t="s">
        <v>2503</v>
      </c>
      <c r="BE11" s="1249">
        <f>SUMIF($AC$718:$AC$752,"&lt;=50%",$G$718:G$752)-SUM($BE$5:BE10)</f>
        <v>16</v>
      </c>
    </row>
    <row r="12" spans="1:58" ht="12.95" customHeight="1">
      <c r="A12" s="1838" t="s">
        <v>2611</v>
      </c>
      <c r="B12" s="1838"/>
      <c r="C12" s="1838"/>
      <c r="D12" s="1838"/>
      <c r="E12" s="1838"/>
      <c r="F12" s="1838"/>
      <c r="G12" s="1838"/>
      <c r="H12" s="1838"/>
      <c r="I12" s="1838"/>
      <c r="J12" s="1838"/>
      <c r="K12" s="1838"/>
      <c r="L12" s="1838"/>
      <c r="M12" s="1838"/>
      <c r="N12" s="1838"/>
      <c r="O12" s="1838"/>
      <c r="P12" s="1838"/>
      <c r="Q12" s="1838"/>
      <c r="R12" s="1838"/>
      <c r="S12" s="1838"/>
      <c r="T12" s="1838"/>
      <c r="U12" s="1838"/>
      <c r="V12" s="1838"/>
      <c r="W12" s="1838"/>
      <c r="X12" s="1838"/>
      <c r="Y12" s="1838"/>
      <c r="Z12" s="1838"/>
      <c r="AA12" s="1838"/>
      <c r="AB12" s="1838"/>
      <c r="AC12" s="1838"/>
      <c r="AD12" s="1838"/>
      <c r="AE12" s="1838"/>
      <c r="AF12" s="1838"/>
      <c r="AG12" s="1838"/>
      <c r="AH12" s="1838"/>
      <c r="AI12" s="1838"/>
      <c r="AJ12" s="1838"/>
      <c r="AK12" s="1838"/>
      <c r="AL12" s="1838"/>
      <c r="AM12" s="1838"/>
      <c r="AN12" s="1838"/>
      <c r="AO12" s="1838"/>
      <c r="AP12" s="1838"/>
      <c r="AQ12" s="1838"/>
      <c r="AR12" s="1838"/>
      <c r="AS12" s="1838"/>
      <c r="AT12" s="1838"/>
      <c r="AU12" s="6"/>
      <c r="AV12" s="6"/>
      <c r="AW12" s="6"/>
      <c r="AX12" s="6"/>
      <c r="AY12" s="6"/>
      <c r="BD12" s="3" t="s">
        <v>2512</v>
      </c>
      <c r="BE12" s="1249">
        <f>SUMIF($AC$718:$AC$752,"&lt;=55%",$G$718:G$752)-SUM($BE$5:BE11)</f>
        <v>0</v>
      </c>
    </row>
    <row r="13" spans="1:58" ht="12.95" customHeight="1">
      <c r="A13" s="1270" t="s">
        <v>2078</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2504</v>
      </c>
      <c r="BE13" s="1249">
        <f>SUMIF($AC$718:$AC$752,"&lt;=60%",$G$718:G$752)-SUM($BE$5:BE12)</f>
        <v>38</v>
      </c>
    </row>
    <row r="14" spans="1:58" ht="12.95"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2505</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0</v>
      </c>
    </row>
    <row r="16" spans="1:58" ht="12.95" customHeight="1">
      <c r="A16" s="57" t="s">
        <v>2079</v>
      </c>
      <c r="C16" s="4"/>
      <c r="D16" s="4"/>
      <c r="E16" s="4"/>
      <c r="F16" s="4"/>
      <c r="G16" s="4"/>
      <c r="H16" s="1842" t="s">
        <v>2613</v>
      </c>
      <c r="I16" s="1544"/>
      <c r="J16" s="1544"/>
      <c r="K16" s="1544"/>
      <c r="L16" s="1544"/>
      <c r="M16" s="1544"/>
      <c r="N16" s="1544"/>
      <c r="O16" s="1544"/>
      <c r="P16" s="1544"/>
      <c r="Q16" s="1544"/>
      <c r="R16" s="1544"/>
      <c r="S16" s="1544"/>
      <c r="T16" s="1544"/>
      <c r="U16" s="1544"/>
      <c r="V16" s="1544"/>
      <c r="W16" s="1544"/>
      <c r="X16" s="1544"/>
      <c r="Y16" s="1544"/>
      <c r="Z16" s="1544"/>
      <c r="AA16" s="1544"/>
      <c r="AB16" s="1544"/>
      <c r="AC16" s="1544"/>
      <c r="AD16" s="1544"/>
      <c r="AE16" s="1544"/>
      <c r="AF16" s="1544"/>
      <c r="AG16" s="1544"/>
      <c r="AH16" s="1544"/>
      <c r="AI16" s="1544"/>
      <c r="AJ16" s="1544"/>
      <c r="BD16" s="1248" t="s">
        <v>657</v>
      </c>
      <c r="BE16" s="1249" t="str">
        <f>Application!H18</f>
        <v>Camino Commons</v>
      </c>
    </row>
    <row r="17" spans="1:58" ht="12.95" customHeight="1">
      <c r="BD17" s="1247" t="s">
        <v>2519</v>
      </c>
      <c r="BE17" s="1249">
        <f>Application!AA934</f>
        <v>0</v>
      </c>
    </row>
    <row r="18" spans="1:58" ht="12.95" customHeight="1">
      <c r="A18" s="57" t="s">
        <v>101</v>
      </c>
      <c r="C18" s="4"/>
      <c r="D18" s="4"/>
      <c r="E18" s="4"/>
      <c r="F18" s="4"/>
      <c r="G18" s="4"/>
      <c r="H18" s="1522" t="s">
        <v>2614</v>
      </c>
      <c r="I18" s="1516"/>
      <c r="J18" s="1516"/>
      <c r="K18" s="1516"/>
      <c r="L18" s="1516"/>
      <c r="M18" s="1516"/>
      <c r="N18" s="1516"/>
      <c r="O18" s="1516"/>
      <c r="P18" s="1516"/>
      <c r="Q18" s="1516"/>
      <c r="R18" s="1516"/>
      <c r="S18" s="1516"/>
      <c r="T18" s="1516"/>
      <c r="U18" s="1516"/>
      <c r="V18" s="1516"/>
      <c r="W18" s="1516"/>
      <c r="X18" s="1516"/>
      <c r="Y18" s="1516"/>
      <c r="Z18" s="1516"/>
      <c r="AA18" s="1516"/>
      <c r="AB18" s="1516"/>
      <c r="AC18" s="1516"/>
      <c r="AD18" s="1516"/>
      <c r="AE18" s="1516"/>
      <c r="AF18" s="1516"/>
      <c r="AG18" s="1516"/>
      <c r="AH18" s="1516"/>
      <c r="AI18" s="1516"/>
      <c r="AJ18" s="1516"/>
      <c r="BD18" s="1248" t="s">
        <v>2520</v>
      </c>
      <c r="BE18" s="1249">
        <f>'CalHFA Addendum'!N11</f>
        <v>0</v>
      </c>
    </row>
    <row r="19" spans="1:58" ht="12.95" customHeight="1">
      <c r="BD19" s="1247" t="s">
        <v>2521</v>
      </c>
      <c r="BE19" s="1249">
        <f>Application!M26</f>
        <v>3692122</v>
      </c>
    </row>
    <row r="20" spans="1:58" ht="12.95" customHeight="1">
      <c r="A20" s="1839" t="s">
        <v>874</v>
      </c>
      <c r="B20" s="1839"/>
      <c r="C20" s="1839"/>
      <c r="D20" s="1839"/>
      <c r="E20" s="1839"/>
      <c r="F20" s="1839"/>
      <c r="G20" s="1839"/>
      <c r="H20" s="1839"/>
      <c r="I20" s="1839"/>
      <c r="J20" s="1839"/>
      <c r="K20" s="1839"/>
      <c r="L20" s="1839"/>
      <c r="M20" s="1839"/>
      <c r="N20" s="1839"/>
      <c r="O20" s="1839"/>
      <c r="P20" s="1839"/>
      <c r="Q20" s="1839"/>
      <c r="R20" s="1839"/>
      <c r="S20" s="1839"/>
      <c r="T20" s="1839"/>
      <c r="U20" s="1839"/>
      <c r="V20" s="1839"/>
      <c r="W20" s="1839"/>
      <c r="X20" s="1839"/>
      <c r="Y20" s="1839"/>
      <c r="Z20" s="1839"/>
      <c r="AA20" s="1839"/>
      <c r="AB20" s="1839"/>
      <c r="AC20" s="1839"/>
      <c r="AD20" s="1839"/>
      <c r="AE20" s="1839"/>
      <c r="AF20" s="1839"/>
      <c r="AG20" s="1839"/>
      <c r="AH20" s="1839"/>
      <c r="AI20" s="1839"/>
      <c r="AJ20" s="1839"/>
      <c r="AK20" s="1839"/>
      <c r="AL20" s="1839"/>
      <c r="AM20" s="1839"/>
      <c r="AN20" s="1839"/>
      <c r="AO20" s="1839"/>
      <c r="AP20" s="1839"/>
      <c r="AQ20" s="1839"/>
      <c r="AR20" s="1839"/>
      <c r="AS20" s="1839"/>
      <c r="AT20" s="1839"/>
      <c r="AU20" s="900"/>
      <c r="AV20" s="900"/>
      <c r="AW20" s="900"/>
      <c r="AX20" s="900"/>
      <c r="AY20" s="900"/>
      <c r="BD20" s="1248" t="s">
        <v>2522</v>
      </c>
      <c r="BE20" s="1249">
        <f>Application!M27</f>
        <v>13631654</v>
      </c>
    </row>
    <row r="21" spans="1:58" ht="12.95" customHeight="1">
      <c r="A21" s="1843" t="s">
        <v>1010</v>
      </c>
      <c r="B21" s="1843"/>
      <c r="C21" s="1843"/>
      <c r="D21" s="1843"/>
      <c r="E21" s="1843"/>
      <c r="F21" s="1843"/>
      <c r="G21" s="1843"/>
      <c r="H21" s="1843"/>
      <c r="I21" s="1843"/>
      <c r="J21" s="1843"/>
      <c r="K21" s="1843"/>
      <c r="L21" s="1843"/>
      <c r="M21" s="1843"/>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c r="AL21" s="1843"/>
      <c r="AM21" s="901"/>
      <c r="AN21" s="901"/>
      <c r="AO21" s="901"/>
      <c r="AP21" s="901"/>
      <c r="AQ21" s="901"/>
      <c r="AR21" s="901"/>
      <c r="AS21" s="901"/>
      <c r="AT21" s="901"/>
      <c r="AU21" s="901"/>
      <c r="AV21" s="901"/>
      <c r="AW21" s="901"/>
      <c r="AX21" s="901"/>
      <c r="AY21" s="901"/>
      <c r="BD21" s="1247" t="s">
        <v>2523</v>
      </c>
      <c r="BE21" s="1249">
        <f>Application!AM554</f>
        <v>23780680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82956517</v>
      </c>
      <c r="BF22" s="3" t="s">
        <v>2596</v>
      </c>
    </row>
    <row r="23" spans="1:58" ht="12.95" customHeight="1">
      <c r="A23" s="1328" t="s">
        <v>2147</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2524</v>
      </c>
      <c r="BE23" s="1249">
        <f>'Sources and Uses Budget'!B4</f>
        <v>11000000</v>
      </c>
    </row>
    <row r="24" spans="1:58"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2525</v>
      </c>
      <c r="BE24" s="1249">
        <f>Application!AG450</f>
        <v>100105</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 Average Income</v>
      </c>
    </row>
    <row r="26" spans="1:58" ht="12.95" customHeight="1">
      <c r="A26" s="4"/>
      <c r="C26" s="4"/>
      <c r="D26" s="4"/>
      <c r="E26" s="4"/>
      <c r="F26" s="4"/>
      <c r="G26" s="4"/>
      <c r="H26" s="4"/>
      <c r="I26" s="4"/>
      <c r="J26" s="4"/>
      <c r="K26" s="4"/>
      <c r="L26" s="4"/>
      <c r="M26" s="1841">
        <f>'Basis &amp; Credits'!AB56</f>
        <v>3692122</v>
      </c>
      <c r="N26" s="1841"/>
      <c r="O26" s="1841"/>
      <c r="P26" s="1841"/>
      <c r="Q26" s="1841"/>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363">
        <f>'Basis &amp; Credits'!AB78</f>
        <v>13631654</v>
      </c>
      <c r="N27" s="1363"/>
      <c r="O27" s="1363"/>
      <c r="P27" s="1363"/>
      <c r="Q27" s="1363"/>
      <c r="R27" s="3" t="s">
        <v>1268</v>
      </c>
      <c r="S27" s="4"/>
      <c r="T27" s="4"/>
      <c r="U27" s="4"/>
      <c r="V27" s="4"/>
      <c r="W27" s="4"/>
      <c r="X27" s="4"/>
      <c r="Y27" s="4"/>
      <c r="Z27" s="4"/>
      <c r="AF27" s="4"/>
      <c r="AG27" s="4"/>
      <c r="AH27" s="4"/>
      <c r="AI27" s="4"/>
      <c r="AJ27" s="4"/>
      <c r="AK27" s="4"/>
      <c r="BD27" s="1247" t="s">
        <v>2099</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2.95" customHeight="1">
      <c r="A29" s="1536" t="s">
        <v>2148</v>
      </c>
      <c r="B29" s="1536"/>
      <c r="C29" s="1536"/>
      <c r="D29" s="1536"/>
      <c r="E29" s="1536"/>
      <c r="F29" s="1536"/>
      <c r="G29" s="1536"/>
      <c r="H29" s="1536"/>
      <c r="I29" s="1536"/>
      <c r="J29" s="1536"/>
      <c r="K29" s="1536"/>
      <c r="L29" s="1536"/>
      <c r="M29" s="1536"/>
      <c r="N29" s="1536"/>
      <c r="O29" s="1536"/>
      <c r="P29" s="1536"/>
      <c r="Q29" s="1536"/>
      <c r="R29" s="1536"/>
      <c r="S29" s="1536"/>
      <c r="T29" s="1536"/>
      <c r="U29" s="1536"/>
      <c r="V29" s="1536"/>
      <c r="W29" s="1536"/>
      <c r="X29" s="1536"/>
      <c r="Y29" s="1536"/>
      <c r="Z29" s="1536"/>
      <c r="AA29" s="1536"/>
      <c r="AB29" s="1536"/>
      <c r="AC29" s="1536"/>
      <c r="AD29" s="1536"/>
      <c r="AE29" s="1536"/>
      <c r="AF29" s="1536"/>
      <c r="AG29" s="1536"/>
      <c r="AH29" s="1536"/>
      <c r="AI29" s="1536"/>
      <c r="AJ29" s="1536"/>
      <c r="AK29" s="1536"/>
      <c r="AL29" s="1536"/>
      <c r="AM29" s="1536"/>
      <c r="AN29" s="1536"/>
      <c r="AO29" s="1536"/>
      <c r="AP29" s="1536"/>
      <c r="AQ29" s="1536"/>
      <c r="AR29" s="1536"/>
      <c r="AS29" s="1536"/>
      <c r="AT29" s="1536"/>
      <c r="BD29" s="1247" t="s">
        <v>2528</v>
      </c>
      <c r="BE29" s="1249" t="b">
        <f>Application!M358="Yes"</f>
        <v>0</v>
      </c>
    </row>
    <row r="30" spans="1:58" ht="12.95" customHeight="1">
      <c r="A30" s="1536"/>
      <c r="B30" s="1536"/>
      <c r="C30" s="1536"/>
      <c r="D30" s="1536"/>
      <c r="E30" s="1536"/>
      <c r="F30" s="1536"/>
      <c r="G30" s="1536"/>
      <c r="H30" s="1536"/>
      <c r="I30" s="1536"/>
      <c r="J30" s="1536"/>
      <c r="K30" s="1536"/>
      <c r="L30" s="1536"/>
      <c r="M30" s="1536"/>
      <c r="N30" s="1536"/>
      <c r="O30" s="1536"/>
      <c r="P30" s="1536"/>
      <c r="Q30" s="1536"/>
      <c r="R30" s="1536"/>
      <c r="S30" s="1536"/>
      <c r="T30" s="1536"/>
      <c r="U30" s="1536"/>
      <c r="V30" s="1536"/>
      <c r="W30" s="1536"/>
      <c r="X30" s="1536"/>
      <c r="Y30" s="1536"/>
      <c r="Z30" s="1536"/>
      <c r="AA30" s="1536"/>
      <c r="AB30" s="1536"/>
      <c r="AC30" s="1536"/>
      <c r="AD30" s="1536"/>
      <c r="AE30" s="1536"/>
      <c r="AF30" s="1536"/>
      <c r="AG30" s="1536"/>
      <c r="AH30" s="1536"/>
      <c r="AI30" s="1536"/>
      <c r="AJ30" s="1536"/>
      <c r="AK30" s="1536"/>
      <c r="AL30" s="1536"/>
      <c r="AM30" s="1536"/>
      <c r="AN30" s="1536"/>
      <c r="AO30" s="1536"/>
      <c r="AP30" s="1536"/>
      <c r="AQ30" s="1536"/>
      <c r="AR30" s="1536"/>
      <c r="AS30" s="1536"/>
      <c r="AT30" s="1536"/>
      <c r="AZ30" s="20"/>
      <c r="BD30" s="1248" t="s">
        <v>28</v>
      </c>
      <c r="BE30" s="1249" t="b">
        <f>Application!AJ355="Yes"</f>
        <v>0</v>
      </c>
    </row>
    <row r="31" spans="1:58" ht="12.95" customHeight="1">
      <c r="A31" s="1536"/>
      <c r="B31" s="1536"/>
      <c r="C31" s="1536"/>
      <c r="D31" s="1536"/>
      <c r="E31" s="1536"/>
      <c r="F31" s="1536"/>
      <c r="G31" s="1536"/>
      <c r="H31" s="1536"/>
      <c r="I31" s="1536"/>
      <c r="J31" s="1536"/>
      <c r="K31" s="1536"/>
      <c r="L31" s="1536"/>
      <c r="M31" s="1536"/>
      <c r="N31" s="1536"/>
      <c r="O31" s="1536"/>
      <c r="P31" s="1536"/>
      <c r="Q31" s="1536"/>
      <c r="R31" s="1536"/>
      <c r="S31" s="1536"/>
      <c r="T31" s="1536"/>
      <c r="U31" s="1536"/>
      <c r="V31" s="1536"/>
      <c r="W31" s="1536"/>
      <c r="X31" s="1536"/>
      <c r="Y31" s="1536"/>
      <c r="Z31" s="1536"/>
      <c r="AA31" s="1536"/>
      <c r="AB31" s="1536"/>
      <c r="AC31" s="1536"/>
      <c r="AD31" s="1536"/>
      <c r="AE31" s="1536"/>
      <c r="AF31" s="1536"/>
      <c r="AG31" s="1536"/>
      <c r="AH31" s="1536"/>
      <c r="AI31" s="1536"/>
      <c r="AJ31" s="1536"/>
      <c r="AK31" s="1536"/>
      <c r="AL31" s="1536"/>
      <c r="AM31" s="1536"/>
      <c r="AN31" s="1536"/>
      <c r="AO31" s="1536"/>
      <c r="AP31" s="1536"/>
      <c r="AQ31" s="1536"/>
      <c r="AR31" s="1536"/>
      <c r="AS31" s="1536"/>
      <c r="AT31" s="1536"/>
      <c r="AU31" s="20"/>
      <c r="AV31" s="20"/>
      <c r="AW31" s="20"/>
      <c r="AX31" s="20"/>
      <c r="AY31" s="20"/>
      <c r="AZ31" s="20"/>
      <c r="BD31" s="1247" t="s">
        <v>2529</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24</v>
      </c>
    </row>
    <row r="33" spans="1:57" ht="12.95" customHeight="1">
      <c r="A33" s="519" t="s">
        <v>1279</v>
      </c>
      <c r="C33" s="519"/>
      <c r="D33" s="519"/>
      <c r="E33" s="519"/>
      <c r="F33" s="519"/>
      <c r="G33" s="519"/>
      <c r="H33" s="519"/>
      <c r="I33" s="519"/>
      <c r="J33" s="519"/>
      <c r="K33" s="519"/>
      <c r="L33" s="519"/>
      <c r="M33" s="519"/>
      <c r="N33" s="519"/>
      <c r="O33" s="1391" t="s">
        <v>546</v>
      </c>
      <c r="P33" s="1391"/>
      <c r="Q33" s="1840" t="s">
        <v>2149</v>
      </c>
      <c r="R33" s="1840"/>
      <c r="S33" s="1840"/>
      <c r="T33" s="1840"/>
      <c r="U33" s="1840"/>
      <c r="V33" s="1840"/>
      <c r="W33" s="1840"/>
      <c r="X33" s="1840"/>
      <c r="Y33" s="1840"/>
      <c r="Z33" s="1840"/>
      <c r="AA33" s="1840"/>
      <c r="AB33" s="1840"/>
      <c r="AC33" s="1840"/>
      <c r="AD33" s="1840"/>
      <c r="AE33" s="1840"/>
      <c r="AF33" s="1840"/>
      <c r="AG33" s="1840"/>
      <c r="AH33" s="1840"/>
      <c r="AI33" s="1840"/>
      <c r="AJ33" s="1840"/>
      <c r="AK33" s="1840"/>
      <c r="AL33" s="1840"/>
      <c r="AM33" s="1840"/>
      <c r="AN33" s="1840"/>
      <c r="AO33" s="1840"/>
      <c r="AP33" s="1840"/>
      <c r="AQ33" s="1840"/>
      <c r="AR33" s="1840"/>
      <c r="AS33" s="1840"/>
      <c r="AT33" s="1840"/>
      <c r="AU33" s="20"/>
      <c r="AV33" s="20"/>
      <c r="AW33" s="20"/>
      <c r="AX33" s="20"/>
      <c r="AY33" s="20"/>
      <c r="BD33" s="1247" t="s">
        <v>2597</v>
      </c>
      <c r="BE33" s="1249" t="str">
        <f>Application!D220</f>
        <v>South and West Bay Region: San Mateo and Santa Clara Counties</v>
      </c>
    </row>
    <row r="34" spans="1:57" ht="12.95" customHeight="1">
      <c r="A34" s="1536" t="s">
        <v>2150</v>
      </c>
      <c r="B34" s="1536"/>
      <c r="C34" s="1536"/>
      <c r="D34" s="1536"/>
      <c r="E34" s="1536"/>
      <c r="F34" s="1536"/>
      <c r="G34" s="1536"/>
      <c r="H34" s="1536"/>
      <c r="I34" s="1536"/>
      <c r="J34" s="1536"/>
      <c r="K34" s="1536"/>
      <c r="L34" s="1536"/>
      <c r="M34" s="1536"/>
      <c r="N34" s="1536"/>
      <c r="O34" s="1536"/>
      <c r="P34" s="1536"/>
      <c r="Q34" s="1536"/>
      <c r="R34" s="1536"/>
      <c r="S34" s="1536"/>
      <c r="T34" s="1536"/>
      <c r="U34" s="1536"/>
      <c r="V34" s="1536"/>
      <c r="W34" s="1536"/>
      <c r="X34" s="1536"/>
      <c r="Y34" s="1536"/>
      <c r="Z34" s="1536"/>
      <c r="AA34" s="1536"/>
      <c r="AB34" s="1536"/>
      <c r="AC34" s="1536"/>
      <c r="AD34" s="1536"/>
      <c r="AE34" s="1536"/>
      <c r="AF34" s="1536"/>
      <c r="AG34" s="1536"/>
      <c r="AH34" s="1536"/>
      <c r="AI34" s="1536"/>
      <c r="AJ34" s="1536"/>
      <c r="AK34" s="1536"/>
      <c r="AL34" s="1536"/>
      <c r="AM34" s="1536"/>
      <c r="AN34" s="1536"/>
      <c r="AO34" s="1536"/>
      <c r="AP34" s="1536"/>
      <c r="AQ34" s="1536"/>
      <c r="AR34" s="1536"/>
      <c r="AS34" s="1536"/>
      <c r="AT34" s="1536"/>
      <c r="AU34" s="20"/>
      <c r="AV34" s="20"/>
      <c r="AW34" s="20"/>
      <c r="AX34" s="20"/>
      <c r="AY34" s="20"/>
      <c r="AZ34" s="20"/>
      <c r="BD34" s="1248" t="s">
        <v>2531</v>
      </c>
      <c r="BE34" s="1249" t="str">
        <f>Application!I185</f>
        <v xml:space="preserve">96 West El Camino Real </v>
      </c>
    </row>
    <row r="35" spans="1:57" ht="12.95" customHeight="1">
      <c r="A35" s="1536"/>
      <c r="B35" s="1536"/>
      <c r="C35" s="1536"/>
      <c r="D35" s="1536"/>
      <c r="E35" s="1536"/>
      <c r="F35" s="1536"/>
      <c r="G35" s="1536"/>
      <c r="H35" s="1536"/>
      <c r="I35" s="1536"/>
      <c r="J35" s="1536"/>
      <c r="K35" s="1536"/>
      <c r="L35" s="1536"/>
      <c r="M35" s="1536"/>
      <c r="N35" s="1536"/>
      <c r="O35" s="1536"/>
      <c r="P35" s="1536"/>
      <c r="Q35" s="1536"/>
      <c r="R35" s="1536"/>
      <c r="S35" s="1536"/>
      <c r="T35" s="1536"/>
      <c r="U35" s="1536"/>
      <c r="V35" s="1536"/>
      <c r="W35" s="1536"/>
      <c r="X35" s="1536"/>
      <c r="Y35" s="1536"/>
      <c r="Z35" s="1536"/>
      <c r="AA35" s="1536"/>
      <c r="AB35" s="1536"/>
      <c r="AC35" s="1536"/>
      <c r="AD35" s="1536"/>
      <c r="AE35" s="1536"/>
      <c r="AF35" s="1536"/>
      <c r="AG35" s="1536"/>
      <c r="AH35" s="1536"/>
      <c r="AI35" s="1536"/>
      <c r="AJ35" s="1536"/>
      <c r="AK35" s="1536"/>
      <c r="AL35" s="1536"/>
      <c r="AM35" s="1536"/>
      <c r="AN35" s="1536"/>
      <c r="AO35" s="1536"/>
      <c r="AP35" s="1536"/>
      <c r="AQ35" s="1536"/>
      <c r="AR35" s="1536"/>
      <c r="AS35" s="1536"/>
      <c r="AT35" s="1536"/>
      <c r="AU35" s="20"/>
      <c r="AV35" s="20"/>
      <c r="AW35" s="20"/>
      <c r="AX35" s="20"/>
      <c r="AY35" s="20"/>
      <c r="AZ35" s="20"/>
      <c r="BD35" s="1247" t="s">
        <v>2532</v>
      </c>
      <c r="BE35" s="1249" t="str">
        <f>IF(Application!E187="","",Application!E187)</f>
        <v/>
      </c>
    </row>
    <row r="36" spans="1:57" ht="12.95" customHeight="1">
      <c r="A36" s="1536"/>
      <c r="B36" s="1536"/>
      <c r="C36" s="1536"/>
      <c r="D36" s="1536"/>
      <c r="E36" s="1536"/>
      <c r="F36" s="1536"/>
      <c r="G36" s="1536"/>
      <c r="H36" s="1536"/>
      <c r="I36" s="1536"/>
      <c r="J36" s="1536"/>
      <c r="K36" s="1536"/>
      <c r="L36" s="1536"/>
      <c r="M36" s="1536"/>
      <c r="N36" s="1536"/>
      <c r="O36" s="1536"/>
      <c r="P36" s="1536"/>
      <c r="Q36" s="1536"/>
      <c r="R36" s="1536"/>
      <c r="S36" s="1536"/>
      <c r="T36" s="1536"/>
      <c r="U36" s="1536"/>
      <c r="V36" s="1536"/>
      <c r="W36" s="1536"/>
      <c r="X36" s="1536"/>
      <c r="Y36" s="1536"/>
      <c r="Z36" s="1536"/>
      <c r="AA36" s="1536"/>
      <c r="AB36" s="1536"/>
      <c r="AC36" s="1536"/>
      <c r="AD36" s="1536"/>
      <c r="AE36" s="1536"/>
      <c r="AF36" s="1536"/>
      <c r="AG36" s="1536"/>
      <c r="AH36" s="1536"/>
      <c r="AI36" s="1536"/>
      <c r="AJ36" s="1536"/>
      <c r="AK36" s="1536"/>
      <c r="AL36" s="1536"/>
      <c r="AM36" s="1536"/>
      <c r="AN36" s="1536"/>
      <c r="AO36" s="1536"/>
      <c r="AP36" s="1536"/>
      <c r="AQ36" s="1536"/>
      <c r="AR36" s="1536"/>
      <c r="AS36" s="1536"/>
      <c r="AT36" s="1536"/>
      <c r="AU36" s="20"/>
      <c r="AV36" s="20"/>
      <c r="AW36" s="20"/>
      <c r="AX36" s="20"/>
      <c r="AY36" s="20"/>
      <c r="AZ36" s="20"/>
      <c r="BD36" s="1248" t="s">
        <v>2533</v>
      </c>
      <c r="BE36" s="1249" t="str">
        <f>Application!I189</f>
        <v>Mountain View</v>
      </c>
    </row>
    <row r="37" spans="1:57" ht="12.95" customHeight="1">
      <c r="A37" s="1536"/>
      <c r="B37" s="1536"/>
      <c r="C37" s="1536"/>
      <c r="D37" s="1536"/>
      <c r="E37" s="1536"/>
      <c r="F37" s="1536"/>
      <c r="G37" s="1536"/>
      <c r="H37" s="1536"/>
      <c r="I37" s="1536"/>
      <c r="J37" s="1536"/>
      <c r="K37" s="1536"/>
      <c r="L37" s="1536"/>
      <c r="M37" s="1536"/>
      <c r="N37" s="1536"/>
      <c r="O37" s="1536"/>
      <c r="P37" s="1536"/>
      <c r="Q37" s="1536"/>
      <c r="R37" s="1536"/>
      <c r="S37" s="1536"/>
      <c r="T37" s="1536"/>
      <c r="U37" s="1536"/>
      <c r="V37" s="1536"/>
      <c r="W37" s="1536"/>
      <c r="X37" s="1536"/>
      <c r="Y37" s="1536"/>
      <c r="Z37" s="1536"/>
      <c r="AA37" s="1536"/>
      <c r="AB37" s="1536"/>
      <c r="AC37" s="1536"/>
      <c r="AD37" s="1536"/>
      <c r="AE37" s="1536"/>
      <c r="AF37" s="1536"/>
      <c r="AG37" s="1536"/>
      <c r="AH37" s="1536"/>
      <c r="AI37" s="1536"/>
      <c r="AJ37" s="1536"/>
      <c r="AK37" s="1536"/>
      <c r="AL37" s="1536"/>
      <c r="AM37" s="1536"/>
      <c r="AN37" s="1536"/>
      <c r="AO37" s="1536"/>
      <c r="AP37" s="1536"/>
      <c r="AQ37" s="1536"/>
      <c r="AR37" s="1536"/>
      <c r="AS37" s="1536"/>
      <c r="AT37" s="1536"/>
      <c r="AZ37" s="20"/>
      <c r="BD37" s="1247" t="s">
        <v>2534</v>
      </c>
      <c r="BE37" s="1249" t="str">
        <f>Application!T189</f>
        <v>Santa Clara</v>
      </c>
    </row>
    <row r="38" spans="1:57" ht="12.95" customHeight="1">
      <c r="A38" s="3"/>
      <c r="AZ38" s="20"/>
      <c r="BD38" s="1248" t="s">
        <v>2535</v>
      </c>
      <c r="BE38" s="1249">
        <f>Application!I190</f>
        <v>94041</v>
      </c>
    </row>
    <row r="39" spans="1:57" ht="12.95" customHeight="1">
      <c r="A39" s="1260" t="s">
        <v>2151</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2536</v>
      </c>
      <c r="BE39" s="1249">
        <f>Application!AG437</f>
        <v>79</v>
      </c>
    </row>
    <row r="40" spans="1:57" ht="12.95"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384</v>
      </c>
      <c r="BE40" s="1249">
        <f>Application!AG440</f>
        <v>78</v>
      </c>
    </row>
    <row r="41" spans="1:57" ht="12.95"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287</v>
      </c>
      <c r="BE41" s="1249">
        <f>Application!AG438</f>
        <v>0</v>
      </c>
    </row>
    <row r="42" spans="1:57" ht="12.95"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2537</v>
      </c>
      <c r="BE42" s="1251">
        <f>Application!AC753</f>
        <v>0.48717948717948717</v>
      </c>
    </row>
    <row r="43" spans="1:57" ht="12.95"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2538</v>
      </c>
      <c r="BE43" s="1251">
        <f>Application!AH753</f>
        <v>0.48718112395841562</v>
      </c>
    </row>
    <row r="44" spans="1:57" ht="12.95"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2539</v>
      </c>
      <c r="BE44" s="1249">
        <f>Application!AC454</f>
        <v>1050082.4936708861</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1</v>
      </c>
    </row>
    <row r="46" spans="1:57" ht="12.95" customHeight="1">
      <c r="A46" s="1328" t="s">
        <v>2152</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2541</v>
      </c>
      <c r="BE46" s="1249" t="b">
        <f>Application!T195="Yes"</f>
        <v>1</v>
      </c>
    </row>
    <row r="47" spans="1:57"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2542</v>
      </c>
      <c r="BE47" s="1249" t="b">
        <f>Application!T196="Yes"</f>
        <v>0</v>
      </c>
    </row>
    <row r="48" spans="1:57"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2543</v>
      </c>
      <c r="BE48" s="1249" t="str">
        <f>Application!M243</f>
        <v>Mountain View El Camino Real LLC</v>
      </c>
    </row>
    <row r="49" spans="1:57"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2544</v>
      </c>
      <c r="BE49" s="1249" t="str">
        <f>Application!M246</f>
        <v>Chris Dart</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f>Application!AA249</f>
        <v>0</v>
      </c>
    </row>
    <row r="51" spans="1:57" ht="12.95" customHeight="1">
      <c r="A51" s="1260" t="s">
        <v>2153</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2546</v>
      </c>
      <c r="BE51" s="1249" t="str">
        <f>Application!M251</f>
        <v>Community Revitalization and Development Corporation</v>
      </c>
    </row>
    <row r="52" spans="1:57" ht="12.95"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2547</v>
      </c>
      <c r="BE52" s="1249" t="str">
        <f>Application!M254</f>
        <v>David Rutledge</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f>Application!AA257</f>
        <v>0</v>
      </c>
    </row>
    <row r="54" spans="1:57" ht="12.95" customHeight="1">
      <c r="A54" s="1260" t="s">
        <v>2154</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2549</v>
      </c>
      <c r="BE54" s="1249">
        <f>Application!M259</f>
        <v>0</v>
      </c>
    </row>
    <row r="55" spans="1:57" ht="12.95"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2550</v>
      </c>
      <c r="BE55" s="1249">
        <f>Application!M262</f>
        <v>0</v>
      </c>
    </row>
    <row r="56" spans="1:57" ht="12.95"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2551</v>
      </c>
      <c r="BE56" s="1249">
        <f>Application!AA265</f>
        <v>0</v>
      </c>
    </row>
    <row r="57" spans="1:57" ht="12.95"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2552</v>
      </c>
      <c r="BE57" s="1249" t="str">
        <f>Application!H287</f>
        <v>Danco Communities</v>
      </c>
    </row>
    <row r="58" spans="1:57" ht="12.95"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2553</v>
      </c>
      <c r="BE58" s="1249" t="str">
        <f>Application!H288</f>
        <v>5251 Ericson Way</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Arcata, CA 95521</v>
      </c>
    </row>
    <row r="60" spans="1:57" ht="12.95" customHeight="1">
      <c r="A60" s="1260" t="s">
        <v>2155</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2555</v>
      </c>
      <c r="BE60" s="1249" t="str">
        <f>Application!H290</f>
        <v>Chris Dart</v>
      </c>
    </row>
    <row r="61" spans="1:57" ht="12.95"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2556</v>
      </c>
      <c r="BE61" s="1249" t="str">
        <f>Application!H293</f>
        <v>cdart@danco-group.com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0.83</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0.83</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t="str">
        <f>Application!X180</f>
        <v>No</v>
      </c>
    </row>
    <row r="65" spans="1:57" ht="12.95" customHeight="1">
      <c r="A65" s="1529" t="s">
        <v>2157</v>
      </c>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21"/>
      <c r="AV65" s="21"/>
      <c r="AW65" s="21"/>
      <c r="AX65" s="21"/>
      <c r="AY65" s="21"/>
      <c r="AZ65" s="20"/>
      <c r="BD65" s="1247" t="s">
        <v>2594</v>
      </c>
      <c r="BE65" s="1249" t="str">
        <f>Z205</f>
        <v>$500M</v>
      </c>
    </row>
    <row r="66" spans="1:57" ht="12.95" customHeight="1">
      <c r="A66" s="1529"/>
      <c r="B66" s="1529"/>
      <c r="C66" s="1529"/>
      <c r="D66" s="1529"/>
      <c r="E66" s="1529"/>
      <c r="F66" s="1529"/>
      <c r="G66" s="1529"/>
      <c r="H66" s="1529"/>
      <c r="I66" s="1529"/>
      <c r="J66" s="1529"/>
      <c r="K66" s="152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21"/>
      <c r="AV66" s="21"/>
      <c r="AW66" s="21"/>
      <c r="AX66" s="21"/>
      <c r="AY66" s="21"/>
      <c r="AZ66" s="20"/>
      <c r="BD66" s="1248" t="s">
        <v>2559</v>
      </c>
      <c r="BE66" s="1249" t="b">
        <f>Application!Z205="State Farmworker Credit"</f>
        <v>0</v>
      </c>
    </row>
    <row r="67" spans="1:57" ht="12.95" customHeight="1">
      <c r="A67" s="1529"/>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Z67" s="20"/>
      <c r="BD67" s="1247" t="s">
        <v>2560</v>
      </c>
      <c r="BE67" s="1249"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0</v>
      </c>
    </row>
    <row r="69" spans="1:57" ht="12.95" customHeight="1">
      <c r="A69" s="1529" t="s">
        <v>2158</v>
      </c>
      <c r="B69" s="1529"/>
      <c r="C69" s="1529"/>
      <c r="D69" s="1529"/>
      <c r="E69" s="1529"/>
      <c r="F69" s="1529"/>
      <c r="G69" s="1529"/>
      <c r="H69" s="1529"/>
      <c r="I69" s="1529"/>
      <c r="J69" s="1529"/>
      <c r="K69" s="1529"/>
      <c r="L69" s="1529"/>
      <c r="M69" s="1529"/>
      <c r="N69" s="1529"/>
      <c r="O69" s="1529"/>
      <c r="P69" s="1529"/>
      <c r="Q69" s="1529"/>
      <c r="R69" s="1529"/>
      <c r="S69" s="1529"/>
      <c r="T69" s="1529"/>
      <c r="U69" s="1529"/>
      <c r="V69" s="1529"/>
      <c r="W69" s="1529"/>
      <c r="X69" s="1529"/>
      <c r="Y69" s="1529"/>
      <c r="Z69" s="1529"/>
      <c r="AA69" s="1529"/>
      <c r="AB69" s="1529"/>
      <c r="AC69" s="1529"/>
      <c r="AD69" s="1529"/>
      <c r="AE69" s="1529"/>
      <c r="AF69" s="1529"/>
      <c r="AG69" s="1529"/>
      <c r="AH69" s="1529"/>
      <c r="AI69" s="1529"/>
      <c r="AJ69" s="1529"/>
      <c r="AK69" s="1529"/>
      <c r="AL69" s="1529"/>
      <c r="AM69" s="1529"/>
      <c r="AN69" s="1529"/>
      <c r="AO69" s="1529"/>
      <c r="AP69" s="1529"/>
      <c r="AQ69" s="1529"/>
      <c r="AR69" s="1529"/>
      <c r="AS69" s="1529"/>
      <c r="AT69" s="1529"/>
      <c r="AZ69" s="20"/>
      <c r="BD69" s="1247" t="s">
        <v>2562</v>
      </c>
      <c r="BE69" s="1249" t="str">
        <f>Application!W700</f>
        <v>CMFA</v>
      </c>
    </row>
    <row r="70" spans="1:57" ht="12.95" customHeight="1">
      <c r="A70" s="1529"/>
      <c r="B70" s="1529"/>
      <c r="C70" s="1529"/>
      <c r="D70" s="1529"/>
      <c r="E70" s="1529"/>
      <c r="F70" s="1529"/>
      <c r="G70" s="1529"/>
      <c r="H70" s="1529"/>
      <c r="I70" s="1529"/>
      <c r="J70" s="1529"/>
      <c r="K70" s="1529"/>
      <c r="L70" s="1529"/>
      <c r="M70" s="1529"/>
      <c r="N70" s="1529"/>
      <c r="O70" s="1529"/>
      <c r="P70" s="1529"/>
      <c r="Q70" s="1529"/>
      <c r="R70" s="1529"/>
      <c r="S70" s="1529"/>
      <c r="T70" s="1529"/>
      <c r="U70" s="1529"/>
      <c r="V70" s="1529"/>
      <c r="W70" s="1529"/>
      <c r="X70" s="1529"/>
      <c r="Y70" s="1529"/>
      <c r="Z70" s="1529"/>
      <c r="AA70" s="1529"/>
      <c r="AB70" s="1529"/>
      <c r="AC70" s="1529"/>
      <c r="AD70" s="1529"/>
      <c r="AE70" s="1529"/>
      <c r="AF70" s="1529"/>
      <c r="AG70" s="1529"/>
      <c r="AH70" s="1529"/>
      <c r="AI70" s="1529"/>
      <c r="AJ70" s="1529"/>
      <c r="AK70" s="1529"/>
      <c r="AL70" s="1529"/>
      <c r="AM70" s="1529"/>
      <c r="AN70" s="1529"/>
      <c r="AO70" s="1529"/>
      <c r="AP70" s="1529"/>
      <c r="AQ70" s="1529"/>
      <c r="AR70" s="1529"/>
      <c r="AS70" s="1529"/>
      <c r="AT70" s="1529"/>
      <c r="AU70" s="20"/>
      <c r="AV70" s="20"/>
      <c r="AW70" s="20"/>
      <c r="AX70" s="20"/>
      <c r="AY70" s="20"/>
      <c r="AZ70" s="20"/>
      <c r="BD70" s="1248" t="s">
        <v>2563</v>
      </c>
      <c r="BE70" s="1249">
        <f ca="1">'Points System'!AF821</f>
        <v>120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0</v>
      </c>
    </row>
    <row r="72" spans="1:57" ht="12.95" customHeight="1">
      <c r="A72" s="1536" t="s">
        <v>2159</v>
      </c>
      <c r="B72" s="1536"/>
      <c r="C72" s="1536"/>
      <c r="D72" s="1536"/>
      <c r="E72" s="1536"/>
      <c r="F72" s="1536"/>
      <c r="G72" s="1536"/>
      <c r="H72" s="1536"/>
      <c r="I72" s="1536"/>
      <c r="J72" s="1536"/>
      <c r="K72" s="1536"/>
      <c r="L72" s="1536"/>
      <c r="M72" s="1536"/>
      <c r="N72" s="1536"/>
      <c r="O72" s="1536"/>
      <c r="P72" s="1536"/>
      <c r="Q72" s="1536"/>
      <c r="R72" s="1536"/>
      <c r="S72" s="1536"/>
      <c r="T72" s="1536"/>
      <c r="U72" s="1536"/>
      <c r="V72" s="1536"/>
      <c r="W72" s="1536"/>
      <c r="X72" s="1536"/>
      <c r="Y72" s="1536"/>
      <c r="Z72" s="1536"/>
      <c r="AA72" s="1536"/>
      <c r="AB72" s="1536"/>
      <c r="AC72" s="1536"/>
      <c r="AD72" s="1536"/>
      <c r="AE72" s="1536"/>
      <c r="AF72" s="1536"/>
      <c r="AG72" s="1536"/>
      <c r="AH72" s="1536"/>
      <c r="AI72" s="1536"/>
      <c r="AJ72" s="1536"/>
      <c r="AK72" s="1536"/>
      <c r="AL72" s="1536"/>
      <c r="AM72" s="1536"/>
      <c r="AN72" s="1536"/>
      <c r="AO72" s="1536"/>
      <c r="AP72" s="1536"/>
      <c r="AQ72" s="1536"/>
      <c r="AR72" s="1536"/>
      <c r="AS72" s="1536"/>
      <c r="AT72" s="1536"/>
      <c r="AU72" s="20"/>
      <c r="AV72" s="20"/>
      <c r="AW72" s="20"/>
      <c r="AX72" s="20"/>
      <c r="AY72" s="20"/>
      <c r="AZ72" s="20"/>
      <c r="BD72" s="1248" t="s">
        <v>2565</v>
      </c>
      <c r="BE72" s="1249">
        <f>'Points System'!AF805</f>
        <v>10</v>
      </c>
    </row>
    <row r="73" spans="1:57" ht="12.95" customHeight="1">
      <c r="A73" s="1536"/>
      <c r="B73" s="1536"/>
      <c r="C73" s="1536"/>
      <c r="D73" s="1536"/>
      <c r="E73" s="1536"/>
      <c r="F73" s="1536"/>
      <c r="G73" s="1536"/>
      <c r="H73" s="1536"/>
      <c r="I73" s="1536"/>
      <c r="J73" s="1536"/>
      <c r="K73" s="1536"/>
      <c r="L73" s="1536"/>
      <c r="M73" s="1536"/>
      <c r="N73" s="1536"/>
      <c r="O73" s="1536"/>
      <c r="P73" s="1536"/>
      <c r="Q73" s="1536"/>
      <c r="R73" s="1536"/>
      <c r="S73" s="1536"/>
      <c r="T73" s="1536"/>
      <c r="U73" s="1536"/>
      <c r="V73" s="1536"/>
      <c r="W73" s="1536"/>
      <c r="X73" s="1536"/>
      <c r="Y73" s="1536"/>
      <c r="Z73" s="1536"/>
      <c r="AA73" s="1536"/>
      <c r="AB73" s="1536"/>
      <c r="AC73" s="1536"/>
      <c r="AD73" s="1536"/>
      <c r="AE73" s="1536"/>
      <c r="AF73" s="1536"/>
      <c r="AG73" s="1536"/>
      <c r="AH73" s="1536"/>
      <c r="AI73" s="1536"/>
      <c r="AJ73" s="1536"/>
      <c r="AK73" s="1536"/>
      <c r="AL73" s="1536"/>
      <c r="AM73" s="1536"/>
      <c r="AN73" s="1536"/>
      <c r="AO73" s="1536"/>
      <c r="AP73" s="1536"/>
      <c r="AQ73" s="1536"/>
      <c r="AR73" s="1536"/>
      <c r="AS73" s="1536"/>
      <c r="AT73" s="1536"/>
      <c r="AU73" s="20"/>
      <c r="AV73" s="20"/>
      <c r="AW73" s="20"/>
      <c r="AX73" s="20"/>
      <c r="AY73" s="20"/>
      <c r="AZ73" s="20"/>
      <c r="BD73" s="1247" t="s">
        <v>2566</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2.95" customHeight="1">
      <c r="A75" s="1550" t="s">
        <v>2160</v>
      </c>
      <c r="B75" s="1550"/>
      <c r="C75" s="1550"/>
      <c r="D75" s="1550"/>
      <c r="E75" s="1550"/>
      <c r="F75" s="1550"/>
      <c r="G75" s="1550"/>
      <c r="H75" s="1550"/>
      <c r="I75" s="1550"/>
      <c r="J75" s="1550"/>
      <c r="K75" s="1550"/>
      <c r="L75" s="1550"/>
      <c r="M75" s="1550"/>
      <c r="N75" s="1550"/>
      <c r="O75" s="1550"/>
      <c r="P75" s="1550"/>
      <c r="Q75" s="1550"/>
      <c r="R75" s="1550"/>
      <c r="S75" s="1550"/>
      <c r="T75" s="1550"/>
      <c r="U75" s="1550"/>
      <c r="V75" s="1550"/>
      <c r="W75" s="1550"/>
      <c r="X75" s="1550"/>
      <c r="Y75" s="1550"/>
      <c r="Z75" s="1550"/>
      <c r="AA75" s="1550"/>
      <c r="AB75" s="1550"/>
      <c r="AC75" s="1550"/>
      <c r="AD75" s="1550"/>
      <c r="AE75" s="1550"/>
      <c r="AF75" s="1550"/>
      <c r="AG75" s="1550"/>
      <c r="AH75" s="1550"/>
      <c r="AI75" s="1550"/>
      <c r="AJ75" s="1550"/>
      <c r="AK75" s="1550"/>
      <c r="AL75" s="1550"/>
      <c r="AM75" s="1550"/>
      <c r="AN75" s="1550"/>
      <c r="AO75" s="1550"/>
      <c r="AP75" s="1550"/>
      <c r="AQ75" s="1550"/>
      <c r="AR75" s="1550"/>
      <c r="AS75" s="1550"/>
      <c r="AT75" s="1550"/>
      <c r="AU75" s="20"/>
      <c r="AV75" s="20"/>
      <c r="AW75" s="20"/>
      <c r="AX75" s="20"/>
      <c r="AY75" s="20"/>
      <c r="AZ75" s="20"/>
      <c r="BD75" s="1247" t="s">
        <v>2568</v>
      </c>
      <c r="BE75" s="1249">
        <f>'Points System'!AF808</f>
        <v>10</v>
      </c>
    </row>
    <row r="76" spans="1:57" ht="12.95" customHeight="1">
      <c r="A76" s="1550"/>
      <c r="B76" s="1550"/>
      <c r="C76" s="1550"/>
      <c r="D76" s="1550"/>
      <c r="E76" s="1550"/>
      <c r="F76" s="1550"/>
      <c r="G76" s="1550"/>
      <c r="H76" s="1550"/>
      <c r="I76" s="1550"/>
      <c r="J76" s="1550"/>
      <c r="K76" s="1550"/>
      <c r="L76" s="1550"/>
      <c r="M76" s="1550"/>
      <c r="N76" s="1550"/>
      <c r="O76" s="1550"/>
      <c r="P76" s="1550"/>
      <c r="Q76" s="1550"/>
      <c r="R76" s="1550"/>
      <c r="S76" s="1550"/>
      <c r="T76" s="1550"/>
      <c r="U76" s="1550"/>
      <c r="V76" s="1550"/>
      <c r="W76" s="1550"/>
      <c r="X76" s="1550"/>
      <c r="Y76" s="1550"/>
      <c r="Z76" s="1550"/>
      <c r="AA76" s="1550"/>
      <c r="AB76" s="1550"/>
      <c r="AC76" s="1550"/>
      <c r="AD76" s="1550"/>
      <c r="AE76" s="1550"/>
      <c r="AF76" s="1550"/>
      <c r="AG76" s="1550"/>
      <c r="AH76" s="1550"/>
      <c r="AI76" s="1550"/>
      <c r="AJ76" s="1550"/>
      <c r="AK76" s="1550"/>
      <c r="AL76" s="1550"/>
      <c r="AM76" s="1550"/>
      <c r="AN76" s="1550"/>
      <c r="AO76" s="1550"/>
      <c r="AP76" s="1550"/>
      <c r="AQ76" s="1550"/>
      <c r="AR76" s="1550"/>
      <c r="AS76" s="1550"/>
      <c r="AT76" s="1550"/>
      <c r="AU76" s="20"/>
      <c r="AV76" s="20"/>
      <c r="AW76" s="20"/>
      <c r="AX76" s="20"/>
      <c r="AY76" s="20"/>
      <c r="AZ76" s="17"/>
      <c r="BD76" s="1248" t="s">
        <v>2569</v>
      </c>
      <c r="BE76" s="1249">
        <f>'Points System'!AF811</f>
        <v>10</v>
      </c>
    </row>
    <row r="77" spans="1:57" ht="12.95" customHeight="1">
      <c r="A77" s="1550"/>
      <c r="B77" s="1550"/>
      <c r="C77" s="1550"/>
      <c r="D77" s="1550"/>
      <c r="E77" s="1550"/>
      <c r="F77" s="1550"/>
      <c r="G77" s="1550"/>
      <c r="H77" s="1550"/>
      <c r="I77" s="1550"/>
      <c r="J77" s="1550"/>
      <c r="K77" s="1550"/>
      <c r="L77" s="1550"/>
      <c r="M77" s="1550"/>
      <c r="N77" s="1550"/>
      <c r="O77" s="1550"/>
      <c r="P77" s="1550"/>
      <c r="Q77" s="1550"/>
      <c r="R77" s="1550"/>
      <c r="S77" s="1550"/>
      <c r="T77" s="1550"/>
      <c r="U77" s="1550"/>
      <c r="V77" s="1550"/>
      <c r="W77" s="1550"/>
      <c r="X77" s="1550"/>
      <c r="Y77" s="1550"/>
      <c r="Z77" s="1550"/>
      <c r="AA77" s="1550"/>
      <c r="AB77" s="1550"/>
      <c r="AC77" s="1550"/>
      <c r="AD77" s="1550"/>
      <c r="AE77" s="1550"/>
      <c r="AF77" s="1550"/>
      <c r="AG77" s="1550"/>
      <c r="AH77" s="1550"/>
      <c r="AI77" s="1550"/>
      <c r="AJ77" s="1550"/>
      <c r="AK77" s="1550"/>
      <c r="AL77" s="1550"/>
      <c r="AM77" s="1550"/>
      <c r="AN77" s="1550"/>
      <c r="AO77" s="1550"/>
      <c r="AP77" s="1550"/>
      <c r="AQ77" s="1550"/>
      <c r="AR77" s="1550"/>
      <c r="AS77" s="1550"/>
      <c r="AT77" s="1550"/>
      <c r="AU77" s="20"/>
      <c r="AV77" s="20"/>
      <c r="AW77" s="20"/>
      <c r="AX77" s="20"/>
      <c r="AY77" s="20"/>
      <c r="AZ77" s="17"/>
      <c r="BD77" s="1247" t="s">
        <v>2570</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2.95" customHeight="1">
      <c r="A79" s="1529" t="s">
        <v>2161</v>
      </c>
      <c r="B79" s="1529"/>
      <c r="C79" s="1529"/>
      <c r="D79" s="1529"/>
      <c r="E79" s="1529"/>
      <c r="F79" s="1529"/>
      <c r="G79" s="1529"/>
      <c r="H79" s="1529"/>
      <c r="I79" s="1529"/>
      <c r="J79" s="1529"/>
      <c r="K79" s="1529"/>
      <c r="L79" s="1529"/>
      <c r="M79" s="1529"/>
      <c r="N79" s="1529"/>
      <c r="O79" s="1529"/>
      <c r="P79" s="1529"/>
      <c r="Q79" s="1529"/>
      <c r="R79" s="1529"/>
      <c r="S79" s="1529"/>
      <c r="T79" s="1529"/>
      <c r="U79" s="1529"/>
      <c r="V79" s="1529"/>
      <c r="W79" s="1529"/>
      <c r="X79" s="1529"/>
      <c r="Y79" s="1529"/>
      <c r="Z79" s="1529"/>
      <c r="AA79" s="1529"/>
      <c r="AB79" s="1529"/>
      <c r="AC79" s="1529"/>
      <c r="AD79" s="1529"/>
      <c r="AE79" s="1529"/>
      <c r="AF79" s="1529"/>
      <c r="AG79" s="1529"/>
      <c r="AH79" s="1529"/>
      <c r="AI79" s="1529"/>
      <c r="AJ79" s="1529"/>
      <c r="AK79" s="1529"/>
      <c r="AL79" s="1529"/>
      <c r="AM79" s="1529"/>
      <c r="AN79" s="1529"/>
      <c r="AO79" s="1529"/>
      <c r="AP79" s="1529"/>
      <c r="AQ79" s="1529"/>
      <c r="AR79" s="1529"/>
      <c r="AS79" s="1529"/>
      <c r="AT79" s="1529"/>
      <c r="AU79" s="20"/>
      <c r="AV79" s="20"/>
      <c r="AW79" s="20"/>
      <c r="AX79" s="20"/>
      <c r="AY79" s="20"/>
      <c r="AZ79" s="20"/>
      <c r="BD79" s="1247" t="s">
        <v>2572</v>
      </c>
      <c r="BE79" s="1249">
        <f>'Points System'!AF815</f>
        <v>10</v>
      </c>
    </row>
    <row r="80" spans="1:57" ht="12.95" customHeight="1">
      <c r="A80" s="1529"/>
      <c r="B80" s="1529"/>
      <c r="C80" s="1529"/>
      <c r="D80" s="1529"/>
      <c r="E80" s="1529"/>
      <c r="F80" s="1529"/>
      <c r="G80" s="1529"/>
      <c r="H80" s="1529"/>
      <c r="I80" s="1529"/>
      <c r="J80" s="1529"/>
      <c r="K80" s="1529"/>
      <c r="L80" s="1529"/>
      <c r="M80" s="1529"/>
      <c r="N80" s="1529"/>
      <c r="O80" s="1529"/>
      <c r="P80" s="1529"/>
      <c r="Q80" s="1529"/>
      <c r="R80" s="1529"/>
      <c r="S80" s="1529"/>
      <c r="T80" s="1529"/>
      <c r="U80" s="1529"/>
      <c r="V80" s="1529"/>
      <c r="W80" s="1529"/>
      <c r="X80" s="1529"/>
      <c r="Y80" s="1529"/>
      <c r="Z80" s="1529"/>
      <c r="AA80" s="1529"/>
      <c r="AB80" s="1529"/>
      <c r="AC80" s="1529"/>
      <c r="AD80" s="1529"/>
      <c r="AE80" s="1529"/>
      <c r="AF80" s="1529"/>
      <c r="AG80" s="1529"/>
      <c r="AH80" s="1529"/>
      <c r="AI80" s="1529"/>
      <c r="AJ80" s="1529"/>
      <c r="AK80" s="1529"/>
      <c r="AL80" s="1529"/>
      <c r="AM80" s="1529"/>
      <c r="AN80" s="1529"/>
      <c r="AO80" s="1529"/>
      <c r="AP80" s="1529"/>
      <c r="AQ80" s="1529"/>
      <c r="AR80" s="1529"/>
      <c r="AS80" s="1529"/>
      <c r="AT80" s="1529"/>
      <c r="AU80" s="20"/>
      <c r="AV80" s="20"/>
      <c r="AW80" s="20"/>
      <c r="AX80" s="20"/>
      <c r="AY80" s="20"/>
      <c r="AZ80" s="20"/>
      <c r="BD80" s="1248" t="s">
        <v>2573</v>
      </c>
      <c r="BE80" s="1249">
        <f>'Points System'!AF817</f>
        <v>10</v>
      </c>
    </row>
    <row r="81" spans="1:57" ht="12.95" customHeight="1">
      <c r="A81" s="1529"/>
      <c r="B81" s="1529"/>
      <c r="C81" s="1529"/>
      <c r="D81" s="1529"/>
      <c r="E81" s="1529"/>
      <c r="F81" s="1529"/>
      <c r="G81" s="1529"/>
      <c r="H81" s="1529"/>
      <c r="I81" s="1529"/>
      <c r="J81" s="1529"/>
      <c r="K81" s="1529"/>
      <c r="L81" s="1529"/>
      <c r="M81" s="1529"/>
      <c r="N81" s="1529"/>
      <c r="O81" s="1529"/>
      <c r="P81" s="1529"/>
      <c r="Q81" s="1529"/>
      <c r="R81" s="1529"/>
      <c r="S81" s="1529"/>
      <c r="T81" s="1529"/>
      <c r="U81" s="1529"/>
      <c r="V81" s="1529"/>
      <c r="W81" s="1529"/>
      <c r="X81" s="1529"/>
      <c r="Y81" s="1529"/>
      <c r="Z81" s="1529"/>
      <c r="AA81" s="1529"/>
      <c r="AB81" s="1529"/>
      <c r="AC81" s="1529"/>
      <c r="AD81" s="1529"/>
      <c r="AE81" s="1529"/>
      <c r="AF81" s="1529"/>
      <c r="AG81" s="1529"/>
      <c r="AH81" s="1529"/>
      <c r="AI81" s="1529"/>
      <c r="AJ81" s="1529"/>
      <c r="AK81" s="1529"/>
      <c r="AL81" s="1529"/>
      <c r="AM81" s="1529"/>
      <c r="AN81" s="1529"/>
      <c r="AO81" s="1529"/>
      <c r="AP81" s="1529"/>
      <c r="AQ81" s="1529"/>
      <c r="AR81" s="1529"/>
      <c r="AS81" s="1529"/>
      <c r="AT81" s="1529"/>
      <c r="AU81" s="20"/>
      <c r="AV81" s="20"/>
      <c r="AW81" s="20"/>
      <c r="AX81" s="20"/>
      <c r="AY81" s="20"/>
      <c r="AZ81" s="20"/>
      <c r="BD81" s="1247" t="s">
        <v>2574</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2.95" customHeight="1">
      <c r="A83" s="1260" t="s">
        <v>2162</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2576</v>
      </c>
      <c r="BE83" s="1253">
        <f>'Tie Breaker'!H5</f>
        <v>1.0000401897185989</v>
      </c>
    </row>
    <row r="84" spans="1:57" ht="12.95"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2577</v>
      </c>
      <c r="BE84" s="1249" t="str">
        <f>Application!O153</f>
        <v xml:space="preserve">City of Mountain View </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Kimbra McCarthy</v>
      </c>
    </row>
    <row r="86" spans="1:57" ht="12.95" customHeight="1">
      <c r="A86" s="1260" t="s">
        <v>2163</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2579</v>
      </c>
      <c r="BE86" s="1249" t="str">
        <f>Application!O155</f>
        <v>City Manager</v>
      </c>
    </row>
    <row r="87" spans="1:57" ht="12.95"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2580</v>
      </c>
      <c r="BE87" s="1249" t="str">
        <f>Application!O156</f>
        <v>500 Castro St #2</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Mt. Shasta, CA</v>
      </c>
    </row>
    <row r="89" spans="1:57" ht="12.95" customHeight="1">
      <c r="A89" s="1556" t="s">
        <v>2164</v>
      </c>
      <c r="B89" s="1556"/>
      <c r="C89" s="1556"/>
      <c r="D89" s="1556"/>
      <c r="E89" s="1556"/>
      <c r="F89" s="1556"/>
      <c r="G89" s="1556"/>
      <c r="H89" s="1556"/>
      <c r="I89" s="1556"/>
      <c r="J89" s="1556"/>
      <c r="K89" s="1556"/>
      <c r="L89" s="1556"/>
      <c r="M89" s="1556"/>
      <c r="N89" s="1556"/>
      <c r="O89" s="1556"/>
      <c r="P89" s="1556"/>
      <c r="Q89" s="1556"/>
      <c r="R89" s="1556"/>
      <c r="S89" s="1556"/>
      <c r="T89" s="1556"/>
      <c r="U89" s="1556"/>
      <c r="V89" s="1556"/>
      <c r="W89" s="1556"/>
      <c r="X89" s="1556"/>
      <c r="Y89" s="1556"/>
      <c r="Z89" s="1556"/>
      <c r="AA89" s="1556"/>
      <c r="AB89" s="1556"/>
      <c r="AC89" s="1556"/>
      <c r="AD89" s="1556"/>
      <c r="AE89" s="1556"/>
      <c r="AF89" s="1556"/>
      <c r="AG89" s="1556"/>
      <c r="AH89" s="1556"/>
      <c r="AI89" s="1556"/>
      <c r="AJ89" s="1556"/>
      <c r="AK89" s="1556"/>
      <c r="AL89" s="1556"/>
      <c r="AM89" s="1556"/>
      <c r="AN89" s="1556"/>
      <c r="AO89" s="1556"/>
      <c r="AP89" s="1556"/>
      <c r="AQ89" s="1556"/>
      <c r="AR89" s="1556"/>
      <c r="AS89" s="1556"/>
      <c r="AT89" s="1556"/>
      <c r="AU89" s="17"/>
      <c r="AV89" s="17"/>
      <c r="AW89" s="17"/>
      <c r="AX89" s="17"/>
      <c r="AY89" s="17"/>
      <c r="AZ89" s="20"/>
      <c r="BD89" s="1247" t="s">
        <v>2582</v>
      </c>
      <c r="BE89" s="1249">
        <f>Application!O158</f>
        <v>94041</v>
      </c>
    </row>
    <row r="90" spans="1:57" ht="12.95" customHeight="1">
      <c r="A90" s="1556"/>
      <c r="B90" s="1556"/>
      <c r="C90" s="1556"/>
      <c r="D90" s="1556"/>
      <c r="E90" s="1556"/>
      <c r="F90" s="1556"/>
      <c r="G90" s="1556"/>
      <c r="H90" s="1556"/>
      <c r="I90" s="1556"/>
      <c r="J90" s="1556"/>
      <c r="K90" s="1556"/>
      <c r="L90" s="1556"/>
      <c r="M90" s="1556"/>
      <c r="N90" s="1556"/>
      <c r="O90" s="1556"/>
      <c r="P90" s="1556"/>
      <c r="Q90" s="1556"/>
      <c r="R90" s="1556"/>
      <c r="S90" s="1556"/>
      <c r="T90" s="1556"/>
      <c r="U90" s="1556"/>
      <c r="V90" s="1556"/>
      <c r="W90" s="1556"/>
      <c r="X90" s="1556"/>
      <c r="Y90" s="1556"/>
      <c r="Z90" s="1556"/>
      <c r="AA90" s="1556"/>
      <c r="AB90" s="1556"/>
      <c r="AC90" s="1556"/>
      <c r="AD90" s="1556"/>
      <c r="AE90" s="1556"/>
      <c r="AF90" s="1556"/>
      <c r="AG90" s="1556"/>
      <c r="AH90" s="1556"/>
      <c r="AI90" s="1556"/>
      <c r="AJ90" s="1556"/>
      <c r="AK90" s="1556"/>
      <c r="AL90" s="1556"/>
      <c r="AM90" s="1556"/>
      <c r="AN90" s="1556"/>
      <c r="AO90" s="1556"/>
      <c r="AP90" s="1556"/>
      <c r="AQ90" s="1556"/>
      <c r="AR90" s="1556"/>
      <c r="AS90" s="1556"/>
      <c r="AT90" s="1556"/>
      <c r="AU90" s="17"/>
      <c r="AV90" s="17"/>
      <c r="AW90" s="17"/>
      <c r="AX90" s="17"/>
      <c r="AY90" s="17"/>
      <c r="AZ90" s="20"/>
      <c r="BD90" s="1248" t="s">
        <v>2583</v>
      </c>
      <c r="BE90" s="1249" t="str">
        <f>Application!H16</f>
        <v>Community Revitalization and Development Corporation</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 xml:space="preserve">1918 West St. </v>
      </c>
    </row>
    <row r="92" spans="1:57" ht="12.95" customHeight="1">
      <c r="A92" s="1550" t="s">
        <v>2165</v>
      </c>
      <c r="B92" s="1550"/>
      <c r="C92" s="1550"/>
      <c r="D92" s="1550"/>
      <c r="E92" s="1550"/>
      <c r="F92" s="1550"/>
      <c r="G92" s="1550"/>
      <c r="H92" s="1550"/>
      <c r="I92" s="1550"/>
      <c r="J92" s="1550"/>
      <c r="K92" s="1550"/>
      <c r="L92" s="1550"/>
      <c r="M92" s="1550"/>
      <c r="N92" s="1550"/>
      <c r="O92" s="1550"/>
      <c r="P92" s="1550"/>
      <c r="Q92" s="1550"/>
      <c r="R92" s="1550"/>
      <c r="S92" s="1550"/>
      <c r="T92" s="1550"/>
      <c r="U92" s="1550"/>
      <c r="V92" s="1550"/>
      <c r="W92" s="1550"/>
      <c r="X92" s="1550"/>
      <c r="Y92" s="1550"/>
      <c r="Z92" s="1550"/>
      <c r="AA92" s="1550"/>
      <c r="AB92" s="1550"/>
      <c r="AC92" s="1550"/>
      <c r="AD92" s="1550"/>
      <c r="AE92" s="1550"/>
      <c r="AF92" s="1550"/>
      <c r="AG92" s="1550"/>
      <c r="AH92" s="1550"/>
      <c r="AI92" s="1550"/>
      <c r="AJ92" s="1550"/>
      <c r="AK92" s="1550"/>
      <c r="AL92" s="1550"/>
      <c r="AM92" s="1550"/>
      <c r="AN92" s="1550"/>
      <c r="AO92" s="1550"/>
      <c r="AP92" s="1550"/>
      <c r="AQ92" s="1550"/>
      <c r="AR92" s="1550"/>
      <c r="AS92" s="1550"/>
      <c r="AT92" s="1550"/>
      <c r="AU92" s="20"/>
      <c r="AV92" s="20"/>
      <c r="AW92" s="20"/>
      <c r="AX92" s="20"/>
      <c r="AY92" s="20"/>
      <c r="AZ92" s="20"/>
      <c r="BD92" s="1248" t="s">
        <v>2585</v>
      </c>
      <c r="BE92" s="1249" t="str">
        <f>Application!M234</f>
        <v>Redding</v>
      </c>
    </row>
    <row r="93" spans="1:57" ht="12.95" customHeight="1">
      <c r="A93" s="1550"/>
      <c r="B93" s="1550"/>
      <c r="C93" s="1550"/>
      <c r="D93" s="1550"/>
      <c r="E93" s="1550"/>
      <c r="F93" s="1550"/>
      <c r="G93" s="1550"/>
      <c r="H93" s="1550"/>
      <c r="I93" s="1550"/>
      <c r="J93" s="1550"/>
      <c r="K93" s="1550"/>
      <c r="L93" s="1550"/>
      <c r="M93" s="1550"/>
      <c r="N93" s="1550"/>
      <c r="O93" s="1550"/>
      <c r="P93" s="1550"/>
      <c r="Q93" s="1550"/>
      <c r="R93" s="1550"/>
      <c r="S93" s="1550"/>
      <c r="T93" s="1550"/>
      <c r="U93" s="1550"/>
      <c r="V93" s="1550"/>
      <c r="W93" s="1550"/>
      <c r="X93" s="1550"/>
      <c r="Y93" s="1550"/>
      <c r="Z93" s="1550"/>
      <c r="AA93" s="1550"/>
      <c r="AB93" s="1550"/>
      <c r="AC93" s="1550"/>
      <c r="AD93" s="1550"/>
      <c r="AE93" s="1550"/>
      <c r="AF93" s="1550"/>
      <c r="AG93" s="1550"/>
      <c r="AH93" s="1550"/>
      <c r="AI93" s="1550"/>
      <c r="AJ93" s="1550"/>
      <c r="AK93" s="1550"/>
      <c r="AL93" s="1550"/>
      <c r="AM93" s="1550"/>
      <c r="AN93" s="1550"/>
      <c r="AO93" s="1550"/>
      <c r="AP93" s="1550"/>
      <c r="AQ93" s="1550"/>
      <c r="AR93" s="1550"/>
      <c r="AS93" s="1550"/>
      <c r="AT93" s="1550"/>
      <c r="AU93" s="20"/>
      <c r="AV93" s="20"/>
      <c r="AW93" s="20"/>
      <c r="AX93" s="20"/>
      <c r="AY93" s="20"/>
      <c r="AZ93" s="20"/>
      <c r="BD93" s="1247" t="s">
        <v>2586</v>
      </c>
      <c r="BE93" s="1249" t="str">
        <f>Application!W234</f>
        <v>CA</v>
      </c>
    </row>
    <row r="94" spans="1:57" ht="12.95" customHeight="1">
      <c r="A94" s="1550"/>
      <c r="B94" s="1550"/>
      <c r="C94" s="1550"/>
      <c r="D94" s="1550"/>
      <c r="E94" s="1550"/>
      <c r="F94" s="1550"/>
      <c r="G94" s="1550"/>
      <c r="H94" s="1550"/>
      <c r="I94" s="1550"/>
      <c r="J94" s="1550"/>
      <c r="K94" s="1550"/>
      <c r="L94" s="1550"/>
      <c r="M94" s="1550"/>
      <c r="N94" s="1550"/>
      <c r="O94" s="1550"/>
      <c r="P94" s="1550"/>
      <c r="Q94" s="1550"/>
      <c r="R94" s="1550"/>
      <c r="S94" s="1550"/>
      <c r="T94" s="1550"/>
      <c r="U94" s="1550"/>
      <c r="V94" s="1550"/>
      <c r="W94" s="1550"/>
      <c r="X94" s="1550"/>
      <c r="Y94" s="1550"/>
      <c r="Z94" s="1550"/>
      <c r="AA94" s="1550"/>
      <c r="AB94" s="1550"/>
      <c r="AC94" s="1550"/>
      <c r="AD94" s="1550"/>
      <c r="AE94" s="1550"/>
      <c r="AF94" s="1550"/>
      <c r="AG94" s="1550"/>
      <c r="AH94" s="1550"/>
      <c r="AI94" s="1550"/>
      <c r="AJ94" s="1550"/>
      <c r="AK94" s="1550"/>
      <c r="AL94" s="1550"/>
      <c r="AM94" s="1550"/>
      <c r="AN94" s="1550"/>
      <c r="AO94" s="1550"/>
      <c r="AP94" s="1550"/>
      <c r="AQ94" s="1550"/>
      <c r="AR94" s="1550"/>
      <c r="AS94" s="1550"/>
      <c r="AT94" s="1550"/>
      <c r="AU94" s="20"/>
      <c r="AV94" s="20"/>
      <c r="AW94" s="20"/>
      <c r="AX94" s="20"/>
      <c r="AY94" s="20"/>
      <c r="AZ94" s="20"/>
      <c r="BD94" s="1248" t="s">
        <v>2587</v>
      </c>
      <c r="BE94" s="1249">
        <f>Application!AC234</f>
        <v>96001</v>
      </c>
    </row>
    <row r="95" spans="1:57" ht="12.95" customHeight="1">
      <c r="A95" s="1550"/>
      <c r="B95" s="1550"/>
      <c r="C95" s="1550"/>
      <c r="D95" s="1550"/>
      <c r="E95" s="1550"/>
      <c r="F95" s="1550"/>
      <c r="G95" s="1550"/>
      <c r="H95" s="1550"/>
      <c r="I95" s="1550"/>
      <c r="J95" s="1550"/>
      <c r="K95" s="1550"/>
      <c r="L95" s="1550"/>
      <c r="M95" s="1550"/>
      <c r="N95" s="1550"/>
      <c r="O95" s="1550"/>
      <c r="P95" s="1550"/>
      <c r="Q95" s="1550"/>
      <c r="R95" s="1550"/>
      <c r="S95" s="1550"/>
      <c r="T95" s="1550"/>
      <c r="U95" s="1550"/>
      <c r="V95" s="1550"/>
      <c r="W95" s="1550"/>
      <c r="X95" s="1550"/>
      <c r="Y95" s="1550"/>
      <c r="Z95" s="1550"/>
      <c r="AA95" s="1550"/>
      <c r="AB95" s="1550"/>
      <c r="AC95" s="1550"/>
      <c r="AD95" s="1550"/>
      <c r="AE95" s="1550"/>
      <c r="AF95" s="1550"/>
      <c r="AG95" s="1550"/>
      <c r="AH95" s="1550"/>
      <c r="AI95" s="1550"/>
      <c r="AJ95" s="1550"/>
      <c r="AK95" s="1550"/>
      <c r="AL95" s="1550"/>
      <c r="AM95" s="1550"/>
      <c r="AN95" s="1550"/>
      <c r="AO95" s="1550"/>
      <c r="AP95" s="1550"/>
      <c r="AQ95" s="1550"/>
      <c r="AR95" s="1550"/>
      <c r="AS95" s="1550"/>
      <c r="AT95" s="1550"/>
      <c r="AU95" s="20"/>
      <c r="AV95" s="20"/>
      <c r="AW95" s="20"/>
      <c r="AX95" s="20"/>
      <c r="AY95" s="20"/>
      <c r="AZ95" s="20"/>
      <c r="BD95" s="1247" t="s">
        <v>2588</v>
      </c>
      <c r="BE95" s="1249" t="str">
        <f>Application!M235</f>
        <v>David Rutledge</v>
      </c>
    </row>
    <row r="96" spans="1:57" ht="12.95" customHeight="1">
      <c r="A96" s="1550"/>
      <c r="B96" s="1550"/>
      <c r="C96" s="1550"/>
      <c r="D96" s="1550"/>
      <c r="E96" s="1550"/>
      <c r="F96" s="1550"/>
      <c r="G96" s="1550"/>
      <c r="H96" s="1550"/>
      <c r="I96" s="1550"/>
      <c r="J96" s="1550"/>
      <c r="K96" s="1550"/>
      <c r="L96" s="1550"/>
      <c r="M96" s="1550"/>
      <c r="N96" s="1550"/>
      <c r="O96" s="1550"/>
      <c r="P96" s="1550"/>
      <c r="Q96" s="1550"/>
      <c r="R96" s="1550"/>
      <c r="S96" s="1550"/>
      <c r="T96" s="1550"/>
      <c r="U96" s="1550"/>
      <c r="V96" s="1550"/>
      <c r="W96" s="1550"/>
      <c r="X96" s="1550"/>
      <c r="Y96" s="1550"/>
      <c r="Z96" s="1550"/>
      <c r="AA96" s="1550"/>
      <c r="AB96" s="1550"/>
      <c r="AC96" s="1550"/>
      <c r="AD96" s="1550"/>
      <c r="AE96" s="1550"/>
      <c r="AF96" s="1550"/>
      <c r="AG96" s="1550"/>
      <c r="AH96" s="1550"/>
      <c r="AI96" s="1550"/>
      <c r="AJ96" s="1550"/>
      <c r="AK96" s="1550"/>
      <c r="AL96" s="1550"/>
      <c r="AM96" s="1550"/>
      <c r="AN96" s="1550"/>
      <c r="AO96" s="1550"/>
      <c r="AP96" s="1550"/>
      <c r="AQ96" s="1550"/>
      <c r="AR96" s="1550"/>
      <c r="AS96" s="1550"/>
      <c r="AT96" s="1550"/>
      <c r="AU96" s="20"/>
      <c r="AV96" s="20"/>
      <c r="AW96" s="20"/>
      <c r="AX96" s="20"/>
      <c r="AY96" s="20"/>
      <c r="AZ96" s="20"/>
      <c r="BD96" s="1248" t="s">
        <v>2589</v>
      </c>
      <c r="BE96" s="1249" t="str">
        <f>Application!M237</f>
        <v>david@crdc-housing.org</v>
      </c>
    </row>
    <row r="97" spans="1:57" ht="12.95" customHeight="1">
      <c r="A97" s="1550"/>
      <c r="B97" s="1550"/>
      <c r="C97" s="1550"/>
      <c r="D97" s="1550"/>
      <c r="E97" s="1550"/>
      <c r="F97" s="1550"/>
      <c r="G97" s="1550"/>
      <c r="H97" s="1550"/>
      <c r="I97" s="1550"/>
      <c r="J97" s="1550"/>
      <c r="K97" s="1550"/>
      <c r="L97" s="1550"/>
      <c r="M97" s="1550"/>
      <c r="N97" s="1550"/>
      <c r="O97" s="1550"/>
      <c r="P97" s="1550"/>
      <c r="Q97" s="1550"/>
      <c r="R97" s="1550"/>
      <c r="S97" s="1550"/>
      <c r="T97" s="1550"/>
      <c r="U97" s="1550"/>
      <c r="V97" s="1550"/>
      <c r="W97" s="1550"/>
      <c r="X97" s="1550"/>
      <c r="Y97" s="1550"/>
      <c r="Z97" s="1550"/>
      <c r="AA97" s="1550"/>
      <c r="AB97" s="1550"/>
      <c r="AC97" s="1550"/>
      <c r="AD97" s="1550"/>
      <c r="AE97" s="1550"/>
      <c r="AF97" s="1550"/>
      <c r="AG97" s="1550"/>
      <c r="AH97" s="1550"/>
      <c r="AI97" s="1550"/>
      <c r="AJ97" s="1550"/>
      <c r="AK97" s="1550"/>
      <c r="AL97" s="1550"/>
      <c r="AM97" s="1550"/>
      <c r="AN97" s="1550"/>
      <c r="AO97" s="1550"/>
      <c r="AP97" s="1550"/>
      <c r="AQ97" s="1550"/>
      <c r="AR97" s="1550"/>
      <c r="AS97" s="1550"/>
      <c r="AT97" s="1550"/>
      <c r="AU97" s="20"/>
      <c r="AV97" s="20"/>
      <c r="AW97" s="20"/>
      <c r="AX97" s="20"/>
      <c r="AY97" s="20"/>
      <c r="AZ97" s="20"/>
      <c r="BD97" s="1247" t="s">
        <v>2590</v>
      </c>
      <c r="BE97" s="1249" t="str">
        <f>Application!M248</f>
        <v>cdart@danco-group.com</v>
      </c>
    </row>
    <row r="98" spans="1:57" ht="12.95" customHeight="1">
      <c r="A98" s="1550"/>
      <c r="B98" s="1550"/>
      <c r="C98" s="1550"/>
      <c r="D98" s="1550"/>
      <c r="E98" s="1550"/>
      <c r="F98" s="1550"/>
      <c r="G98" s="1550"/>
      <c r="H98" s="1550"/>
      <c r="I98" s="1550"/>
      <c r="J98" s="1550"/>
      <c r="K98" s="1550"/>
      <c r="L98" s="1550"/>
      <c r="M98" s="1550"/>
      <c r="N98" s="1550"/>
      <c r="O98" s="1550"/>
      <c r="P98" s="1550"/>
      <c r="Q98" s="1550"/>
      <c r="R98" s="1550"/>
      <c r="S98" s="1550"/>
      <c r="T98" s="1550"/>
      <c r="U98" s="1550"/>
      <c r="V98" s="1550"/>
      <c r="W98" s="1550"/>
      <c r="X98" s="1550"/>
      <c r="Y98" s="1550"/>
      <c r="Z98" s="1550"/>
      <c r="AA98" s="1550"/>
      <c r="AB98" s="1550"/>
      <c r="AC98" s="1550"/>
      <c r="AD98" s="1550"/>
      <c r="AE98" s="1550"/>
      <c r="AF98" s="1550"/>
      <c r="AG98" s="1550"/>
      <c r="AH98" s="1550"/>
      <c r="AI98" s="1550"/>
      <c r="AJ98" s="1550"/>
      <c r="AK98" s="1550"/>
      <c r="AL98" s="1550"/>
      <c r="AM98" s="1550"/>
      <c r="AN98" s="1550"/>
      <c r="AO98" s="1550"/>
      <c r="AP98" s="1550"/>
      <c r="AQ98" s="1550"/>
      <c r="AR98" s="1550"/>
      <c r="AS98" s="1550"/>
      <c r="AT98" s="1550"/>
      <c r="AU98" s="20"/>
      <c r="AV98" s="20"/>
      <c r="AW98" s="20"/>
      <c r="AX98" s="20"/>
      <c r="AY98" s="20"/>
      <c r="AZ98" s="20"/>
      <c r="BD98" s="1248" t="s">
        <v>2591</v>
      </c>
      <c r="BE98" s="1249" t="str">
        <f>Application!M256</f>
        <v>david@crdc-housing.org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f>Application!M264</f>
        <v>0</v>
      </c>
    </row>
    <row r="100" spans="1:57" ht="12.95" customHeight="1">
      <c r="A100" s="1557" t="s">
        <v>2166</v>
      </c>
      <c r="B100" s="1557"/>
      <c r="C100" s="1557"/>
      <c r="D100" s="1557"/>
      <c r="E100" s="1557"/>
      <c r="F100" s="1557"/>
      <c r="G100" s="1557"/>
      <c r="H100" s="1557"/>
      <c r="I100" s="1557"/>
      <c r="J100" s="1557"/>
      <c r="K100" s="1557"/>
      <c r="L100" s="1557"/>
      <c r="M100" s="1557"/>
      <c r="N100" s="1557"/>
      <c r="O100" s="1557"/>
      <c r="P100" s="1557"/>
      <c r="Q100" s="1557"/>
      <c r="R100" s="1557"/>
      <c r="S100" s="1557"/>
      <c r="T100" s="1557"/>
      <c r="U100" s="1557"/>
      <c r="V100" s="1557"/>
      <c r="W100" s="1557"/>
      <c r="X100" s="1557"/>
      <c r="Y100" s="1557"/>
      <c r="Z100" s="1557"/>
      <c r="AA100" s="1557"/>
      <c r="AB100" s="1557"/>
      <c r="AC100" s="1557"/>
      <c r="AD100" s="1557"/>
      <c r="AE100" s="1557"/>
      <c r="AF100" s="1557"/>
      <c r="AG100" s="1557"/>
      <c r="AH100" s="1557"/>
      <c r="AI100" s="1557"/>
      <c r="AJ100" s="1557"/>
      <c r="AK100" s="1557"/>
      <c r="AL100" s="1557"/>
      <c r="AM100" s="1557"/>
      <c r="AN100" s="1557"/>
      <c r="AO100" s="1557"/>
      <c r="AP100" s="1557"/>
      <c r="AQ100" s="1557"/>
      <c r="AR100" s="1557"/>
      <c r="AS100" s="1557"/>
      <c r="AT100" s="1557"/>
      <c r="AU100" s="20"/>
      <c r="AV100" s="20"/>
      <c r="AW100" s="20"/>
      <c r="AX100" s="20"/>
      <c r="AY100" s="20"/>
      <c r="AZ100" s="20"/>
      <c r="BD100" s="1248" t="s">
        <v>2593</v>
      </c>
      <c r="BE100" s="1249" t="str">
        <f>Application!L279</f>
        <v>hwilson@danco-group.com</v>
      </c>
    </row>
    <row r="101" spans="1:57" ht="12.95" customHeight="1">
      <c r="A101" s="1557"/>
      <c r="B101" s="1557"/>
      <c r="C101" s="1557"/>
      <c r="D101" s="1557"/>
      <c r="E101" s="1557"/>
      <c r="F101" s="1557"/>
      <c r="G101" s="1557"/>
      <c r="H101" s="1557"/>
      <c r="I101" s="1557"/>
      <c r="J101" s="1557"/>
      <c r="K101" s="1557"/>
      <c r="L101" s="1557"/>
      <c r="M101" s="1557"/>
      <c r="N101" s="1557"/>
      <c r="O101" s="1557"/>
      <c r="P101" s="1557"/>
      <c r="Q101" s="1557"/>
      <c r="R101" s="1557"/>
      <c r="S101" s="1557"/>
      <c r="T101" s="1557"/>
      <c r="U101" s="1557"/>
      <c r="V101" s="1557"/>
      <c r="W101" s="1557"/>
      <c r="X101" s="1557"/>
      <c r="Y101" s="1557"/>
      <c r="Z101" s="1557"/>
      <c r="AA101" s="1557"/>
      <c r="AB101" s="1557"/>
      <c r="AC101" s="1557"/>
      <c r="AD101" s="1557"/>
      <c r="AE101" s="1557"/>
      <c r="AF101" s="1557"/>
      <c r="AG101" s="1557"/>
      <c r="AH101" s="1557"/>
      <c r="AI101" s="1557"/>
      <c r="AJ101" s="1557"/>
      <c r="AK101" s="1557"/>
      <c r="AL101" s="1557"/>
      <c r="AM101" s="1557"/>
      <c r="AN101" s="1557"/>
      <c r="AO101" s="1557"/>
      <c r="AP101" s="1557"/>
      <c r="AQ101" s="1557"/>
      <c r="AR101" s="1557"/>
      <c r="AS101" s="1557"/>
      <c r="AT101" s="1557"/>
      <c r="AU101" s="20"/>
      <c r="AV101" s="20"/>
      <c r="AW101" s="20"/>
      <c r="AX101" s="20"/>
      <c r="AY101" s="20"/>
      <c r="AZ101" s="20"/>
      <c r="BD101" s="3" t="s">
        <v>2598</v>
      </c>
      <c r="BE101">
        <f>'Sources and Uses Budget'!C105</f>
        <v>82956517</v>
      </c>
    </row>
    <row r="102" spans="1:57" ht="12.95" customHeight="1">
      <c r="A102" s="1557"/>
      <c r="B102" s="1557"/>
      <c r="C102" s="1557"/>
      <c r="D102" s="1557"/>
      <c r="E102" s="1557"/>
      <c r="F102" s="1557"/>
      <c r="G102" s="1557"/>
      <c r="H102" s="1557"/>
      <c r="I102" s="1557"/>
      <c r="J102" s="1557"/>
      <c r="K102" s="1557"/>
      <c r="L102" s="1557"/>
      <c r="M102" s="1557"/>
      <c r="N102" s="1557"/>
      <c r="O102" s="1557"/>
      <c r="P102" s="1557"/>
      <c r="Q102" s="1557"/>
      <c r="R102" s="1557"/>
      <c r="S102" s="1557"/>
      <c r="T102" s="1557"/>
      <c r="U102" s="1557"/>
      <c r="V102" s="1557"/>
      <c r="W102" s="1557"/>
      <c r="X102" s="1557"/>
      <c r="Y102" s="1557"/>
      <c r="Z102" s="1557"/>
      <c r="AA102" s="1557"/>
      <c r="AB102" s="1557"/>
      <c r="AC102" s="1557"/>
      <c r="AD102" s="1557"/>
      <c r="AE102" s="1557"/>
      <c r="AF102" s="1557"/>
      <c r="AG102" s="1557"/>
      <c r="AH102" s="1557"/>
      <c r="AI102" s="1557"/>
      <c r="AJ102" s="1557"/>
      <c r="AK102" s="1557"/>
      <c r="AL102" s="1557"/>
      <c r="AM102" s="1557"/>
      <c r="AN102" s="1557"/>
      <c r="AO102" s="1557"/>
      <c r="AP102" s="1557"/>
      <c r="AQ102" s="1557"/>
      <c r="AR102" s="1557"/>
      <c r="AS102" s="1557"/>
      <c r="AT102" s="1557"/>
      <c r="AU102" s="20"/>
      <c r="AV102" s="20"/>
      <c r="AW102" s="20"/>
      <c r="AX102" s="20"/>
      <c r="AY102" s="20"/>
      <c r="AZ102" s="20"/>
      <c r="BD102" s="3" t="s">
        <v>2599</v>
      </c>
      <c r="BE102" t="b">
        <f>T197="Yes"</f>
        <v>0</v>
      </c>
    </row>
    <row r="103" spans="1:57" ht="12.95" customHeight="1">
      <c r="A103" s="1557"/>
      <c r="B103" s="1557"/>
      <c r="C103" s="1557"/>
      <c r="D103" s="1557"/>
      <c r="E103" s="1557"/>
      <c r="F103" s="1557"/>
      <c r="G103" s="1557"/>
      <c r="H103" s="1557"/>
      <c r="I103" s="1557"/>
      <c r="J103" s="1557"/>
      <c r="K103" s="1557"/>
      <c r="L103" s="1557"/>
      <c r="M103" s="1557"/>
      <c r="N103" s="1557"/>
      <c r="O103" s="1557"/>
      <c r="P103" s="1557"/>
      <c r="Q103" s="1557"/>
      <c r="R103" s="1557"/>
      <c r="S103" s="1557"/>
      <c r="T103" s="1557"/>
      <c r="U103" s="1557"/>
      <c r="V103" s="1557"/>
      <c r="W103" s="1557"/>
      <c r="X103" s="1557"/>
      <c r="Y103" s="1557"/>
      <c r="Z103" s="1557"/>
      <c r="AA103" s="1557"/>
      <c r="AB103" s="1557"/>
      <c r="AC103" s="1557"/>
      <c r="AD103" s="1557"/>
      <c r="AE103" s="1557"/>
      <c r="AF103" s="1557"/>
      <c r="AG103" s="1557"/>
      <c r="AH103" s="1557"/>
      <c r="AI103" s="1557"/>
      <c r="AJ103" s="1557"/>
      <c r="AK103" s="1557"/>
      <c r="AL103" s="1557"/>
      <c r="AM103" s="1557"/>
      <c r="AN103" s="1557"/>
      <c r="AO103" s="1557"/>
      <c r="AP103" s="1557"/>
      <c r="AQ103" s="1557"/>
      <c r="AR103" s="1557"/>
      <c r="AS103" s="1557"/>
      <c r="AT103" s="1557"/>
      <c r="AU103" s="20"/>
      <c r="AV103" s="20"/>
      <c r="AW103" s="20"/>
      <c r="AX103" s="20"/>
      <c r="AY103" s="20"/>
      <c r="BD103" t="s">
        <v>2176</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57" t="s">
        <v>2167</v>
      </c>
      <c r="B105" s="1557"/>
      <c r="C105" s="1557"/>
      <c r="D105" s="1557"/>
      <c r="E105" s="1557"/>
      <c r="F105" s="1557"/>
      <c r="G105" s="1557"/>
      <c r="H105" s="1557"/>
      <c r="I105" s="1557"/>
      <c r="J105" s="1557"/>
      <c r="K105" s="1557"/>
      <c r="L105" s="1557"/>
      <c r="M105" s="1557"/>
      <c r="N105" s="1557"/>
      <c r="O105" s="1557"/>
      <c r="P105" s="1557"/>
      <c r="Q105" s="1557"/>
      <c r="R105" s="1557"/>
      <c r="S105" s="1557"/>
      <c r="T105" s="1557"/>
      <c r="U105" s="1557"/>
      <c r="V105" s="1557"/>
      <c r="W105" s="1557"/>
      <c r="X105" s="1557"/>
      <c r="Y105" s="1557"/>
      <c r="Z105" s="1557"/>
      <c r="AA105" s="1557"/>
      <c r="AB105" s="1557"/>
      <c r="AC105" s="1557"/>
      <c r="AD105" s="1557"/>
      <c r="AE105" s="1557"/>
      <c r="AF105" s="1557"/>
      <c r="AG105" s="1557"/>
      <c r="AH105" s="1557"/>
      <c r="AI105" s="1557"/>
      <c r="AJ105" s="1557"/>
      <c r="AK105" s="1557"/>
      <c r="AL105" s="1557"/>
      <c r="AM105" s="1557"/>
      <c r="AN105" s="1557"/>
      <c r="AO105" s="1557"/>
      <c r="AP105" s="1557"/>
      <c r="AQ105" s="1557"/>
      <c r="AR105" s="1557"/>
      <c r="AS105" s="1557"/>
      <c r="AT105" s="1557"/>
      <c r="AU105" s="20"/>
      <c r="AV105" s="20"/>
      <c r="AW105" s="20"/>
      <c r="AX105" s="20"/>
      <c r="AY105" s="20"/>
    </row>
    <row r="106" spans="1:57" ht="12.95" customHeight="1">
      <c r="A106" s="1557"/>
      <c r="B106" s="1557"/>
      <c r="C106" s="1557"/>
      <c r="D106" s="1557"/>
      <c r="E106" s="1557"/>
      <c r="F106" s="1557"/>
      <c r="G106" s="1557"/>
      <c r="H106" s="1557"/>
      <c r="I106" s="1557"/>
      <c r="J106" s="1557"/>
      <c r="K106" s="1557"/>
      <c r="L106" s="1557"/>
      <c r="M106" s="1557"/>
      <c r="N106" s="1557"/>
      <c r="O106" s="1557"/>
      <c r="P106" s="1557"/>
      <c r="Q106" s="1557"/>
      <c r="R106" s="1557"/>
      <c r="S106" s="1557"/>
      <c r="T106" s="1557"/>
      <c r="U106" s="1557"/>
      <c r="V106" s="1557"/>
      <c r="W106" s="1557"/>
      <c r="X106" s="1557"/>
      <c r="Y106" s="1557"/>
      <c r="Z106" s="1557"/>
      <c r="AA106" s="1557"/>
      <c r="AB106" s="1557"/>
      <c r="AC106" s="1557"/>
      <c r="AD106" s="1557"/>
      <c r="AE106" s="1557"/>
      <c r="AF106" s="1557"/>
      <c r="AG106" s="1557"/>
      <c r="AH106" s="1557"/>
      <c r="AI106" s="1557"/>
      <c r="AJ106" s="1557"/>
      <c r="AK106" s="1557"/>
      <c r="AL106" s="1557"/>
      <c r="AM106" s="1557"/>
      <c r="AN106" s="1557"/>
      <c r="AO106" s="1557"/>
      <c r="AP106" s="1557"/>
      <c r="AQ106" s="1557"/>
      <c r="AR106" s="1557"/>
      <c r="AS106" s="1557"/>
      <c r="AT106" s="1557"/>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40">
        <v>5</v>
      </c>
      <c r="H113" s="1540"/>
      <c r="I113" s="3" t="s">
        <v>182</v>
      </c>
      <c r="L113" s="1540" t="s">
        <v>2716</v>
      </c>
      <c r="M113" s="1540"/>
      <c r="N113" s="1540"/>
      <c r="O113" s="1540"/>
      <c r="P113" s="1546" t="s">
        <v>2240</v>
      </c>
      <c r="Q113" s="1546"/>
      <c r="R113" s="1546"/>
      <c r="S113" s="154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52" t="s">
        <v>2632</v>
      </c>
      <c r="D115" s="1552"/>
      <c r="E115" s="1552"/>
      <c r="F115" s="1552"/>
      <c r="G115" s="1552"/>
      <c r="H115" s="1552"/>
      <c r="I115" s="1552"/>
      <c r="J115" s="1552"/>
      <c r="K115" s="1552"/>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540"/>
      <c r="Z117" s="1540"/>
      <c r="AA117" s="1540"/>
      <c r="AB117" s="1540"/>
      <c r="AC117" s="1540"/>
      <c r="AD117" s="1540"/>
      <c r="AE117" s="1540"/>
      <c r="AF117" s="1540"/>
      <c r="AG117" s="1540"/>
      <c r="AH117" s="1540"/>
      <c r="AI117" s="1540"/>
      <c r="AJ117" s="1540"/>
      <c r="AK117" s="1540"/>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0" t="s">
        <v>2627</v>
      </c>
      <c r="Z120" s="1540"/>
      <c r="AA120" s="1540"/>
      <c r="AB120" s="1540"/>
      <c r="AC120" s="1540"/>
      <c r="AD120" s="1540"/>
      <c r="AE120" s="1540"/>
      <c r="AF120" s="1540"/>
      <c r="AG120" s="1540"/>
      <c r="AH120" s="1540"/>
      <c r="AI120" s="1540"/>
      <c r="AJ120" s="1540"/>
      <c r="AK120" s="1540"/>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92" t="s">
        <v>470</v>
      </c>
      <c r="CV122" s="1693"/>
      <c r="CW122" s="14"/>
      <c r="CX122" s="14" t="s">
        <v>635</v>
      </c>
      <c r="CY122" s="14"/>
      <c r="CZ122" s="14"/>
      <c r="DA122" s="14"/>
      <c r="DB122" s="14"/>
      <c r="DC122" s="14"/>
      <c r="DD122" s="14"/>
      <c r="DE122" s="14"/>
      <c r="DF122" s="14"/>
      <c r="DG122" s="1689" t="str">
        <f>T189</f>
        <v>Santa Clara</v>
      </c>
      <c r="DH122" s="1690"/>
      <c r="DI122" s="1690"/>
      <c r="DJ122" s="1690"/>
      <c r="DK122" s="1690"/>
      <c r="DL122" s="1690"/>
      <c r="DM122" s="1691"/>
    </row>
    <row r="123" spans="1:117" ht="12.95" customHeight="1">
      <c r="A123" s="3"/>
      <c r="B123" s="3"/>
      <c r="T123" s="3"/>
      <c r="U123" s="3"/>
      <c r="V123" s="3"/>
      <c r="W123" s="3"/>
      <c r="X123" s="3"/>
      <c r="Y123" s="1540" t="s">
        <v>2717</v>
      </c>
      <c r="Z123" s="1540"/>
      <c r="AA123" s="1540"/>
      <c r="AB123" s="1540"/>
      <c r="AC123" s="1540"/>
      <c r="AD123" s="1540"/>
      <c r="AE123" s="1540"/>
      <c r="AF123" s="1540"/>
      <c r="AG123" s="1540"/>
      <c r="AH123" s="1540"/>
      <c r="AI123" s="1540"/>
      <c r="AJ123" s="1540"/>
      <c r="AK123" s="1540"/>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389"/>
      <c r="G150" s="1389"/>
      <c r="H150" s="1389"/>
      <c r="I150" s="1389"/>
      <c r="J150" s="1389"/>
      <c r="K150" s="1389"/>
      <c r="L150" s="1389"/>
      <c r="M150" s="1389"/>
      <c r="N150" s="1389"/>
      <c r="O150" s="1389"/>
      <c r="P150" s="1389"/>
      <c r="Q150" s="1389"/>
      <c r="R150" s="1389"/>
      <c r="S150" s="1389"/>
      <c r="T150" s="138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2.95" customHeight="1">
      <c r="BM152">
        <v>4</v>
      </c>
      <c r="BN152" s="3" t="s">
        <v>2465</v>
      </c>
    </row>
    <row r="153" spans="1:108" ht="12.95" customHeight="1">
      <c r="D153" t="s">
        <v>646</v>
      </c>
      <c r="O153" s="1516" t="s">
        <v>2615</v>
      </c>
      <c r="P153" s="1516"/>
      <c r="Q153" s="1516"/>
      <c r="R153" s="1516"/>
      <c r="S153" s="1516"/>
      <c r="T153" s="1516"/>
      <c r="U153" s="1516"/>
      <c r="V153" s="1516"/>
      <c r="W153" s="1516"/>
      <c r="X153" s="1516"/>
      <c r="Y153" s="1516"/>
      <c r="Z153" s="1516"/>
      <c r="AA153" s="1516"/>
      <c r="AB153" s="1516"/>
      <c r="AC153" s="1516"/>
      <c r="AD153" s="1516"/>
      <c r="AE153" s="1516"/>
      <c r="AF153" s="1516"/>
      <c r="AG153" s="1516"/>
      <c r="AH153" s="1516"/>
      <c r="BM153">
        <v>5</v>
      </c>
      <c r="BN153" s="3" t="s">
        <v>2467</v>
      </c>
      <c r="CR153" s="31" t="s">
        <v>2600</v>
      </c>
      <c r="CS153" s="32"/>
      <c r="CT153" s="32"/>
      <c r="CU153" s="32"/>
      <c r="CV153" s="32"/>
      <c r="CW153" s="32"/>
      <c r="CX153" s="14"/>
      <c r="CY153" s="31" t="s">
        <v>2601</v>
      </c>
      <c r="CZ153" s="14"/>
      <c r="DA153" s="14"/>
      <c r="DB153" s="14"/>
      <c r="DC153" s="14"/>
      <c r="DD153" s="14"/>
    </row>
    <row r="154" spans="1:108" ht="12.95" customHeight="1">
      <c r="D154" s="303" t="s">
        <v>440</v>
      </c>
      <c r="O154" s="1463" t="s">
        <v>2616</v>
      </c>
      <c r="P154" s="1463"/>
      <c r="Q154" s="1463"/>
      <c r="R154" s="1463"/>
      <c r="S154" s="1463"/>
      <c r="T154" s="1463"/>
      <c r="U154" s="1463"/>
      <c r="V154" s="1463"/>
      <c r="W154" s="1463"/>
      <c r="X154" s="1463"/>
      <c r="Y154" s="1463"/>
      <c r="Z154" s="1463"/>
      <c r="AA154" s="1463"/>
      <c r="AB154" s="1463"/>
      <c r="AC154" s="1463"/>
      <c r="AD154" s="1463"/>
      <c r="AE154" s="1463"/>
      <c r="AF154" s="1463"/>
      <c r="AG154" s="1463"/>
      <c r="AH154" s="1463"/>
      <c r="BM154">
        <v>6</v>
      </c>
      <c r="BN154" s="3" t="s">
        <v>2468</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533" t="s">
        <v>441</v>
      </c>
      <c r="P155" s="1533"/>
      <c r="Q155" s="1533"/>
      <c r="R155" s="1533"/>
      <c r="S155" s="1533"/>
      <c r="T155" s="1533"/>
      <c r="U155" s="1533"/>
      <c r="V155" s="1533"/>
      <c r="W155" s="1533"/>
      <c r="X155" s="1533"/>
      <c r="Y155" s="1533"/>
      <c r="Z155" s="1533"/>
      <c r="AA155" s="1533"/>
      <c r="AB155" s="1533"/>
      <c r="AC155" s="1533"/>
      <c r="AD155" s="1533"/>
      <c r="AE155" s="1533"/>
      <c r="AF155" s="1533"/>
      <c r="AG155" s="1533"/>
      <c r="AH155" s="1533"/>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420" t="s">
        <v>2617</v>
      </c>
      <c r="P156" s="1420"/>
      <c r="Q156" s="1420"/>
      <c r="R156" s="1420"/>
      <c r="S156" s="1420"/>
      <c r="T156" s="1420"/>
      <c r="U156" s="1420"/>
      <c r="V156" s="1420"/>
      <c r="W156" s="1420"/>
      <c r="X156" s="1420"/>
      <c r="Y156" s="1420"/>
      <c r="Z156" s="1420"/>
      <c r="AA156" s="1420"/>
      <c r="AB156" s="1420"/>
      <c r="AC156" s="1420"/>
      <c r="AD156" s="1420"/>
      <c r="AE156" s="1420"/>
      <c r="AF156" s="1420"/>
      <c r="AG156" s="1420"/>
      <c r="AH156" s="1420"/>
      <c r="BT156" t="s">
        <v>307</v>
      </c>
      <c r="CB156" s="195" t="s">
        <v>2610</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16" t="s">
        <v>2618</v>
      </c>
      <c r="P157" s="1516"/>
      <c r="Q157" s="1516"/>
      <c r="R157" s="1516"/>
      <c r="S157" s="1516"/>
      <c r="T157" s="1516"/>
      <c r="U157" s="1516"/>
      <c r="V157" s="1516"/>
      <c r="W157" s="1516"/>
      <c r="X157" s="1516"/>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60">
        <v>94041</v>
      </c>
      <c r="P158" s="1560"/>
      <c r="Q158" s="1560"/>
      <c r="R158" s="1560"/>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41" t="s">
        <v>2619</v>
      </c>
      <c r="P159" s="1541"/>
      <c r="Q159" s="1541"/>
      <c r="R159" s="1541"/>
      <c r="S159" s="1541"/>
      <c r="T159" s="1541"/>
      <c r="V159" s="97" t="s">
        <v>271</v>
      </c>
      <c r="W159" s="1561"/>
      <c r="X159" s="1561"/>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541"/>
      <c r="P160" s="1541"/>
      <c r="Q160" s="1541"/>
      <c r="R160" s="1541"/>
      <c r="S160" s="1541"/>
      <c r="T160" s="1541"/>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542"/>
      <c r="P161" s="1542"/>
      <c r="Q161" s="1542"/>
      <c r="R161" s="1542"/>
      <c r="S161" s="1542"/>
      <c r="T161" s="1542"/>
      <c r="U161" s="1542"/>
      <c r="V161" s="1542"/>
      <c r="W161" s="1542"/>
      <c r="X161" s="1542"/>
      <c r="Y161" s="1542"/>
      <c r="Z161" s="1542"/>
      <c r="AA161" s="1542"/>
      <c r="AB161" s="1542"/>
      <c r="AC161" s="1542"/>
      <c r="AD161" s="1542"/>
      <c r="AE161" s="1542"/>
      <c r="AF161" s="1542"/>
      <c r="AG161" s="1542"/>
      <c r="AH161" s="1542"/>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553" t="s">
        <v>2217</v>
      </c>
      <c r="E164" s="1553"/>
      <c r="F164" s="1553"/>
      <c r="G164" s="1553"/>
      <c r="H164" s="1553"/>
      <c r="I164" s="1553"/>
      <c r="J164" s="1553"/>
      <c r="K164" s="1553"/>
      <c r="L164" s="1553"/>
      <c r="M164" s="1553"/>
      <c r="N164" s="1553"/>
      <c r="O164" s="1553"/>
      <c r="P164" s="1553"/>
      <c r="Q164" s="1553"/>
      <c r="R164" s="1553"/>
      <c r="S164" s="1553"/>
      <c r="T164" s="1553"/>
      <c r="U164" s="1553"/>
      <c r="V164" s="1553"/>
      <c r="W164" s="1553"/>
      <c r="X164" s="1553"/>
      <c r="Y164" s="1553"/>
      <c r="Z164" s="1553"/>
      <c r="AA164" s="1553"/>
      <c r="AB164" s="1553"/>
      <c r="AC164" s="1553"/>
      <c r="AD164" s="1553"/>
      <c r="AE164" s="1553"/>
      <c r="AF164" s="1553"/>
      <c r="AG164" s="1553"/>
      <c r="AH164" s="1553"/>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535" t="s">
        <v>540</v>
      </c>
      <c r="B169" s="1535"/>
      <c r="C169" s="1535"/>
      <c r="D169" s="1535"/>
      <c r="E169" s="1535"/>
      <c r="F169" s="1535"/>
      <c r="G169" s="1535"/>
      <c r="H169" s="1535"/>
      <c r="I169" s="1535"/>
      <c r="J169" s="1535"/>
      <c r="K169" s="1535"/>
      <c r="L169" s="1535"/>
      <c r="M169" s="1535"/>
      <c r="N169" s="1535"/>
      <c r="O169" s="1535"/>
      <c r="P169" s="1535"/>
      <c r="Q169" s="1535"/>
      <c r="R169" s="1535"/>
      <c r="S169" s="1535"/>
      <c r="T169" s="1535"/>
      <c r="U169" s="1535"/>
      <c r="V169" s="1535"/>
      <c r="W169" s="1535"/>
      <c r="X169" s="1535"/>
      <c r="Y169" s="1535"/>
      <c r="Z169" s="1535"/>
      <c r="AA169" s="1535"/>
      <c r="AB169" s="1535"/>
      <c r="AC169" s="1535"/>
      <c r="AD169" s="1535"/>
      <c r="AE169" s="1535"/>
      <c r="AF169" s="1535"/>
      <c r="AG169" s="1535"/>
      <c r="AH169" s="1535"/>
      <c r="AI169" s="1535"/>
      <c r="AJ169" s="1535"/>
      <c r="AK169" s="1535"/>
      <c r="AL169" s="1535"/>
      <c r="AM169" s="1535"/>
      <c r="AN169" s="1535"/>
      <c r="AO169" s="1535"/>
      <c r="AP169" s="1535"/>
      <c r="AQ169" s="1535"/>
      <c r="AR169" s="1535"/>
      <c r="AS169" s="1535"/>
      <c r="AT169" s="1535"/>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535"/>
      <c r="B170" s="1535"/>
      <c r="C170" s="1535"/>
      <c r="D170" s="1535"/>
      <c r="E170" s="1535"/>
      <c r="F170" s="1535"/>
      <c r="G170" s="1535"/>
      <c r="H170" s="1535"/>
      <c r="I170" s="1535"/>
      <c r="J170" s="1535"/>
      <c r="K170" s="1535"/>
      <c r="L170" s="1535"/>
      <c r="M170" s="1535"/>
      <c r="N170" s="1535"/>
      <c r="O170" s="1535"/>
      <c r="P170" s="1535"/>
      <c r="Q170" s="1535"/>
      <c r="R170" s="1535"/>
      <c r="S170" s="1535"/>
      <c r="T170" s="1535"/>
      <c r="U170" s="1535"/>
      <c r="V170" s="1535"/>
      <c r="W170" s="1535"/>
      <c r="X170" s="1535"/>
      <c r="Y170" s="1535"/>
      <c r="Z170" s="1535"/>
      <c r="AA170" s="1535"/>
      <c r="AB170" s="1535"/>
      <c r="AC170" s="1535"/>
      <c r="AD170" s="1535"/>
      <c r="AE170" s="1535"/>
      <c r="AF170" s="1535"/>
      <c r="AG170" s="1535"/>
      <c r="AH170" s="1535"/>
      <c r="AI170" s="1535"/>
      <c r="AJ170" s="1535"/>
      <c r="AK170" s="1535"/>
      <c r="AL170" s="1535"/>
      <c r="AM170" s="1535"/>
      <c r="AN170" s="1535"/>
      <c r="AO170" s="1535"/>
      <c r="AP170" s="1535"/>
      <c r="AQ170" s="1535"/>
      <c r="AR170" s="1535"/>
      <c r="AS170" s="1535"/>
      <c r="AT170" s="1535"/>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532" t="s">
        <v>371</v>
      </c>
      <c r="K173" s="1532"/>
      <c r="L173" s="1532"/>
      <c r="M173" s="1532"/>
      <c r="N173" s="1532"/>
      <c r="O173" s="1532"/>
      <c r="P173" s="1532"/>
      <c r="Q173" s="1532"/>
      <c r="R173" s="1532"/>
      <c r="S173" s="1532"/>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420" t="s">
        <v>2102</v>
      </c>
      <c r="K174" s="1420"/>
      <c r="L174" s="1420"/>
      <c r="M174" s="1420"/>
      <c r="N174" s="1420"/>
      <c r="O174" s="1420"/>
      <c r="P174" s="1420"/>
      <c r="Q174" s="1420"/>
      <c r="R174" s="1420"/>
      <c r="S174" s="1420"/>
      <c r="T174" s="1420"/>
      <c r="U174" s="1420"/>
      <c r="V174" s="1420"/>
      <c r="W174" s="1420"/>
      <c r="X174" s="1420"/>
      <c r="Y174" s="1420"/>
      <c r="Z174" s="1420"/>
      <c r="AA174" s="1420"/>
      <c r="AB174" s="1420"/>
      <c r="BB174" t="s">
        <v>1970</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91" t="s">
        <v>546</v>
      </c>
      <c r="V175" s="1391"/>
      <c r="BB175" t="s">
        <v>1938</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2080</v>
      </c>
      <c r="T176" s="27" t="s">
        <v>305</v>
      </c>
      <c r="U176" s="1507">
        <v>25</v>
      </c>
      <c r="V176" s="1507"/>
      <c r="W176" s="1" t="s">
        <v>306</v>
      </c>
      <c r="X176" s="1565">
        <v>641</v>
      </c>
      <c r="Y176" s="1565"/>
      <c r="BB176" t="s">
        <v>1971</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91" t="s">
        <v>670</v>
      </c>
      <c r="S177" s="1391"/>
      <c r="BB177" t="s">
        <v>2214</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2080</v>
      </c>
      <c r="AE178" s="27" t="s">
        <v>305</v>
      </c>
      <c r="AF178" s="1564"/>
      <c r="AG178" s="1564"/>
      <c r="AH178" s="1" t="s">
        <v>306</v>
      </c>
      <c r="AI178" s="1437"/>
      <c r="AJ178" s="1437"/>
      <c r="AK178" s="1437"/>
      <c r="BB178" t="s">
        <v>2215</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2081</v>
      </c>
      <c r="X180" s="1391" t="s">
        <v>670</v>
      </c>
      <c r="Y180" s="1391"/>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476" t="str">
        <f>H18</f>
        <v>Camino Commons</v>
      </c>
      <c r="J184" s="1476"/>
      <c r="K184" s="1476"/>
      <c r="L184" s="1476"/>
      <c r="M184" s="1476"/>
      <c r="N184" s="1476"/>
      <c r="O184" s="1476"/>
      <c r="P184" s="1476"/>
      <c r="Q184" s="1476"/>
      <c r="R184" s="1476"/>
      <c r="S184" s="1476"/>
      <c r="T184" s="1476"/>
      <c r="U184" s="1476"/>
      <c r="V184" s="1476"/>
      <c r="W184" s="1476"/>
      <c r="X184" s="1476"/>
      <c r="Y184" s="1476"/>
      <c r="Z184" s="1476"/>
      <c r="AA184" s="1476"/>
      <c r="AB184" s="1476"/>
      <c r="AC184" s="1476"/>
      <c r="AD184" s="1476"/>
      <c r="AE184" s="1476"/>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401" t="s">
        <v>2620</v>
      </c>
      <c r="J185" s="1401"/>
      <c r="K185" s="1401"/>
      <c r="L185" s="1401"/>
      <c r="M185" s="1401"/>
      <c r="N185" s="1401"/>
      <c r="O185" s="1401"/>
      <c r="P185" s="1401"/>
      <c r="Q185" s="1401"/>
      <c r="R185" s="1401"/>
      <c r="S185" s="1401"/>
      <c r="T185" s="1401"/>
      <c r="U185" s="1401"/>
      <c r="V185" s="1401"/>
      <c r="W185" s="1401"/>
      <c r="X185" s="1401"/>
      <c r="Y185" s="1401"/>
      <c r="Z185" s="1401"/>
      <c r="AA185" s="1401"/>
      <c r="AB185" s="1401"/>
      <c r="AC185" s="1401"/>
      <c r="AD185" s="1401"/>
      <c r="AE185" s="1401"/>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527"/>
      <c r="F187" s="1527"/>
      <c r="G187" s="1527"/>
      <c r="H187" s="1527"/>
      <c r="I187" s="1527"/>
      <c r="J187" s="1527"/>
      <c r="K187" s="1527"/>
      <c r="L187" s="1527"/>
      <c r="M187" s="1527"/>
      <c r="N187" s="1527"/>
      <c r="O187" s="1527"/>
      <c r="P187" s="1527"/>
      <c r="Q187" s="1527"/>
      <c r="R187" s="1527"/>
      <c r="S187" s="1527"/>
      <c r="T187" s="1527"/>
      <c r="U187" s="1527"/>
      <c r="V187" s="1527"/>
      <c r="W187" s="1527"/>
      <c r="X187" s="1527"/>
      <c r="Y187" s="1527"/>
      <c r="Z187" s="1527"/>
      <c r="AA187" s="1527"/>
      <c r="AB187" s="1527"/>
      <c r="AC187" s="1527"/>
      <c r="AD187" s="1527"/>
      <c r="AE187" s="1527"/>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528"/>
      <c r="F188" s="1528"/>
      <c r="G188" s="1528"/>
      <c r="H188" s="1528"/>
      <c r="I188" s="1528"/>
      <c r="J188" s="1528"/>
      <c r="K188" s="1528"/>
      <c r="L188" s="1528"/>
      <c r="M188" s="1528"/>
      <c r="N188" s="1528"/>
      <c r="O188" s="1528"/>
      <c r="P188" s="1528"/>
      <c r="Q188" s="1528"/>
      <c r="R188" s="1528"/>
      <c r="S188" s="1528"/>
      <c r="T188" s="1528"/>
      <c r="U188" s="1528"/>
      <c r="V188" s="1528"/>
      <c r="W188" s="1528"/>
      <c r="X188" s="1528"/>
      <c r="Y188" s="1528"/>
      <c r="Z188" s="1528"/>
      <c r="AA188" s="1528"/>
      <c r="AB188" s="1528"/>
      <c r="AC188" s="1528"/>
      <c r="AD188" s="1528"/>
      <c r="AE188" s="1528"/>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522" t="s">
        <v>2621</v>
      </c>
      <c r="J189" s="1420"/>
      <c r="K189" s="1420"/>
      <c r="L189" s="1420"/>
      <c r="M189" s="1420"/>
      <c r="N189" s="1420"/>
      <c r="O189" s="1420"/>
      <c r="P189" s="1420"/>
      <c r="Q189" t="s">
        <v>583</v>
      </c>
      <c r="T189" s="1420" t="s">
        <v>192</v>
      </c>
      <c r="U189" s="1420"/>
      <c r="V189" s="1420"/>
      <c r="W189" s="1420"/>
      <c r="X189" s="1420"/>
      <c r="Y189" s="1420"/>
      <c r="Z189" s="1420"/>
      <c r="AA189" s="1420"/>
      <c r="AB189" s="1420"/>
      <c r="AC189" s="1420"/>
      <c r="AD189" s="1420"/>
      <c r="AE189" s="1420"/>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401">
        <v>94041</v>
      </c>
      <c r="J190" s="1401"/>
      <c r="K190" s="1401"/>
      <c r="L190" s="1401"/>
      <c r="M190" s="1401"/>
      <c r="N190" s="1401"/>
      <c r="O190" t="s">
        <v>586</v>
      </c>
      <c r="T190" s="1558">
        <v>5097</v>
      </c>
      <c r="U190" s="1558"/>
      <c r="V190" s="1558"/>
      <c r="W190" s="1558"/>
      <c r="X190" s="1558"/>
      <c r="Y190" s="1558"/>
      <c r="Z190" s="1558"/>
      <c r="AA190" s="1558"/>
      <c r="AB190" s="1558"/>
      <c r="AC190" s="1558"/>
      <c r="AD190" s="1558"/>
      <c r="AE190" s="1558"/>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527" t="s">
        <v>2622</v>
      </c>
      <c r="O191" s="1527"/>
      <c r="P191" s="1527"/>
      <c r="Q191" s="1527"/>
      <c r="R191" s="1527"/>
      <c r="S191" s="1527"/>
      <c r="T191" s="1527"/>
      <c r="U191" s="1527"/>
      <c r="V191" s="1527"/>
      <c r="W191" s="1527"/>
      <c r="X191" s="1527"/>
      <c r="Y191" s="1527"/>
      <c r="Z191" s="1527"/>
      <c r="AA191" s="1527"/>
      <c r="AB191" s="1527"/>
      <c r="AC191" s="1527"/>
      <c r="AD191" s="1527"/>
      <c r="AE191" s="1527"/>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528"/>
      <c r="O192" s="1528"/>
      <c r="P192" s="1528"/>
      <c r="Q192" s="1528"/>
      <c r="R192" s="1528"/>
      <c r="S192" s="1528"/>
      <c r="T192" s="1528"/>
      <c r="U192" s="1528"/>
      <c r="V192" s="1528"/>
      <c r="W192" s="1528"/>
      <c r="X192" s="1528"/>
      <c r="Y192" s="1528"/>
      <c r="Z192" s="1528"/>
      <c r="AA192" s="1528"/>
      <c r="AB192" s="1528"/>
      <c r="AC192" s="1528"/>
      <c r="AD192" s="1528"/>
      <c r="AE192" s="1528"/>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2082</v>
      </c>
      <c r="M193" s="40"/>
      <c r="N193" s="894"/>
      <c r="O193" s="894"/>
      <c r="P193" s="894"/>
      <c r="Q193" s="894"/>
      <c r="R193" s="894"/>
      <c r="S193" s="894"/>
      <c r="T193" s="1562" t="s">
        <v>1970</v>
      </c>
      <c r="U193" s="1562"/>
      <c r="V193" s="1562"/>
      <c r="W193" s="1562"/>
      <c r="X193" s="1562"/>
      <c r="Y193" s="1562"/>
      <c r="Z193" s="1562"/>
      <c r="AA193" s="1562"/>
      <c r="AB193" s="1562"/>
      <c r="AC193" s="1562"/>
      <c r="AD193" s="1562"/>
      <c r="AE193" s="1562"/>
      <c r="AF193" s="1562"/>
      <c r="AG193" s="1562"/>
      <c r="AH193" s="1562"/>
      <c r="AI193" s="1562"/>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2216</v>
      </c>
      <c r="M194" s="40"/>
      <c r="N194" s="894"/>
      <c r="O194" s="894"/>
      <c r="P194" s="894"/>
      <c r="Q194" s="894"/>
      <c r="R194" s="894"/>
      <c r="S194" s="894"/>
      <c r="AH194" s="1391" t="s">
        <v>546</v>
      </c>
      <c r="AI194" s="1391"/>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391" t="s">
        <v>546</v>
      </c>
      <c r="U195" s="1391"/>
      <c r="W195" t="s">
        <v>685</v>
      </c>
      <c r="AH195" s="1391">
        <v>16</v>
      </c>
      <c r="AI195" s="1391"/>
      <c r="BC195" t="s">
        <v>1857</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28" t="s">
        <v>670</v>
      </c>
      <c r="U196" s="1428"/>
      <c r="W196" t="s">
        <v>686</v>
      </c>
      <c r="AH196" s="1391">
        <v>23</v>
      </c>
      <c r="AI196" s="1391"/>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28" t="s">
        <v>670</v>
      </c>
      <c r="U197" s="1428"/>
      <c r="W197" t="s">
        <v>687</v>
      </c>
      <c r="AH197" s="1391">
        <v>13</v>
      </c>
      <c r="AI197" s="1391"/>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28">
        <v>0</v>
      </c>
      <c r="U198" s="1428"/>
      <c r="V198"/>
      <c r="X198" s="1536" t="s">
        <v>2514</v>
      </c>
      <c r="Y198" s="1536"/>
      <c r="Z198" s="1536"/>
      <c r="AA198" s="1536"/>
      <c r="AB198" s="1536"/>
      <c r="AC198" s="1536"/>
      <c r="AD198" s="1536"/>
      <c r="AE198" s="1536"/>
      <c r="AF198" s="1536"/>
      <c r="AG198" s="1536"/>
      <c r="AH198" s="1536"/>
      <c r="AI198" s="1536"/>
      <c r="AJ198" s="1536"/>
      <c r="AK198" s="1536"/>
      <c r="AL198" s="1536"/>
      <c r="AM198" s="1536"/>
      <c r="AN198" s="1536"/>
      <c r="AO198" s="1536"/>
      <c r="AP198" s="1536"/>
      <c r="AQ198" s="1536"/>
      <c r="AR198" s="1536"/>
      <c r="AS198" s="1536"/>
      <c r="AT198" s="1536"/>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2517</v>
      </c>
      <c r="E199"/>
      <c r="F199"/>
      <c r="G199"/>
      <c r="H199"/>
      <c r="I199"/>
      <c r="J199"/>
      <c r="K199"/>
      <c r="L199"/>
      <c r="M199"/>
      <c r="N199"/>
      <c r="O199"/>
      <c r="P199"/>
      <c r="Q199"/>
      <c r="R199"/>
      <c r="S199"/>
      <c r="T199" s="1391" t="s">
        <v>670</v>
      </c>
      <c r="U199" s="1391"/>
      <c r="V199"/>
      <c r="W199"/>
      <c r="X199" s="1536"/>
      <c r="Y199" s="1536"/>
      <c r="Z199" s="1536"/>
      <c r="AA199" s="1536"/>
      <c r="AB199" s="1536"/>
      <c r="AC199" s="1536"/>
      <c r="AD199" s="1536"/>
      <c r="AE199" s="1536"/>
      <c r="AF199" s="1536"/>
      <c r="AG199" s="1536"/>
      <c r="AH199" s="1536"/>
      <c r="AI199" s="1536"/>
      <c r="AJ199" s="1536"/>
      <c r="AK199" s="1536"/>
      <c r="AL199" s="1536"/>
      <c r="AM199" s="1536"/>
      <c r="AN199" s="1536"/>
      <c r="AO199" s="1536"/>
      <c r="AP199" s="1536"/>
      <c r="AQ199" s="1536"/>
      <c r="AR199" s="1536"/>
      <c r="AS199" s="1536"/>
      <c r="AT199" s="1536"/>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2515</v>
      </c>
      <c r="T200" s="1391"/>
      <c r="U200" s="1391"/>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2516</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476" t="s">
        <v>385</v>
      </c>
      <c r="E204" s="1476"/>
      <c r="F204" s="1476"/>
      <c r="G204" s="1476"/>
      <c r="H204" s="1476"/>
      <c r="I204" s="1476"/>
      <c r="J204" s="1476"/>
      <c r="K204" s="1476"/>
      <c r="L204" s="1476"/>
      <c r="M204" s="1476"/>
      <c r="P204" s="1554">
        <f>M26</f>
        <v>3692122</v>
      </c>
      <c r="Q204" s="1555"/>
      <c r="R204" s="1555"/>
      <c r="S204" s="1555"/>
      <c r="T204" s="1555"/>
      <c r="U204" s="1555"/>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538" t="s">
        <v>1248</v>
      </c>
      <c r="E205" s="1476"/>
      <c r="F205" s="1476"/>
      <c r="G205" s="1476"/>
      <c r="H205" s="1476"/>
      <c r="I205" s="1476"/>
      <c r="J205" s="1476"/>
      <c r="K205" s="1476"/>
      <c r="L205" s="1476"/>
      <c r="M205" s="1476"/>
      <c r="P205" s="1555">
        <f>M27</f>
        <v>13631654</v>
      </c>
      <c r="Q205" s="1555"/>
      <c r="R205" s="1555"/>
      <c r="S205" s="1555"/>
      <c r="T205" s="1555"/>
      <c r="U205" s="1555"/>
      <c r="V205" s="28"/>
      <c r="W205" s="3" t="s">
        <v>1721</v>
      </c>
      <c r="Z205" s="1534" t="s">
        <v>2220</v>
      </c>
      <c r="AA205" s="1534"/>
      <c r="AB205" s="1534"/>
      <c r="AC205" s="1534"/>
      <c r="AD205" s="1534"/>
      <c r="AE205" s="1534"/>
      <c r="AF205" s="1534"/>
      <c r="AG205" s="1534"/>
      <c r="AH205" s="1534"/>
      <c r="AI205" s="1534"/>
      <c r="AJ205" s="1534"/>
      <c r="AK205" s="1534"/>
      <c r="AL205" s="1534"/>
      <c r="AM205" s="1534"/>
      <c r="AN205" s="1534"/>
      <c r="AP205" s="1389"/>
      <c r="AQ205" s="1389"/>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516" t="s">
        <v>2623</v>
      </c>
      <c r="E208" s="1516"/>
      <c r="F208" s="1516"/>
      <c r="G208" s="1516"/>
      <c r="H208" s="1516"/>
      <c r="I208" s="1516"/>
      <c r="J208" s="1516"/>
      <c r="K208" s="1516"/>
      <c r="L208" s="1516"/>
      <c r="M208" s="1516"/>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16" t="s">
        <v>1042</v>
      </c>
      <c r="E211" s="1516"/>
      <c r="F211" s="1516"/>
      <c r="G211" s="1516"/>
      <c r="H211" s="1516"/>
      <c r="I211" s="1516"/>
      <c r="J211" s="1516"/>
      <c r="K211" s="1516"/>
      <c r="L211" s="1516"/>
      <c r="M211" s="1516"/>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2231</v>
      </c>
      <c r="Q212" s="1391">
        <v>24</v>
      </c>
      <c r="R212" s="1391"/>
      <c r="T212" s="1548">
        <f>IFERROR(Q212/AG440,0)</f>
        <v>0.30769230769230771</v>
      </c>
      <c r="U212" s="1549"/>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2474</v>
      </c>
      <c r="BC213" t="s">
        <v>527</v>
      </c>
      <c r="BI213" s="3" t="s">
        <v>2228</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51" t="s">
        <v>592</v>
      </c>
      <c r="E214" s="1551"/>
      <c r="F214" s="1551"/>
      <c r="G214" s="1551"/>
      <c r="H214" s="1551"/>
      <c r="I214" s="1551"/>
      <c r="J214" s="1551"/>
      <c r="K214" s="1551"/>
      <c r="L214" s="1551"/>
      <c r="M214" s="1551"/>
      <c r="N214" s="1551"/>
      <c r="O214" s="1551"/>
      <c r="P214" s="1551"/>
      <c r="Q214" s="1551"/>
      <c r="R214" s="1551"/>
      <c r="S214" s="1551"/>
      <c r="T214" s="1551"/>
      <c r="U214" s="1551"/>
      <c r="V214" s="1551"/>
      <c r="W214" s="1551"/>
      <c r="X214" s="1551"/>
      <c r="Y214" s="1551"/>
      <c r="Z214" s="1551"/>
      <c r="AU214" s="21"/>
      <c r="AV214" s="21"/>
      <c r="AW214" s="21"/>
      <c r="AX214" s="21"/>
      <c r="AY214" s="21"/>
      <c r="BC214" t="s">
        <v>531</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519"/>
      <c r="AC215" s="1519"/>
      <c r="AD215" s="1519"/>
      <c r="AE215" s="1519"/>
      <c r="AF215" s="1519"/>
      <c r="AG215" s="1519"/>
      <c r="AH215" s="1519"/>
      <c r="AI215" s="1519"/>
      <c r="AJ215" s="1519"/>
      <c r="AK215" s="1519"/>
      <c r="AL215" s="1519"/>
      <c r="AM215" s="21"/>
      <c r="AN215" s="21"/>
      <c r="AO215" s="21"/>
      <c r="AP215" s="21"/>
      <c r="AQ215" s="21"/>
      <c r="AR215" s="21"/>
      <c r="AS215" s="21"/>
      <c r="AT215" s="21"/>
      <c r="AU215" s="21"/>
      <c r="AV215" s="21"/>
      <c r="AW215" s="21"/>
      <c r="AX215" s="21"/>
      <c r="AY215" s="21"/>
      <c r="BC215" t="s">
        <v>528</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519"/>
      <c r="AC216" s="1519"/>
      <c r="AD216" s="1519"/>
      <c r="AE216" s="1519"/>
      <c r="AF216" s="1519"/>
      <c r="AG216" s="1519"/>
      <c r="AH216" s="1519"/>
      <c r="AI216" s="1519"/>
      <c r="AJ216" s="1519"/>
      <c r="AK216" s="1519"/>
      <c r="AL216" s="1519"/>
      <c r="AM216" s="21"/>
      <c r="AN216" s="21"/>
      <c r="AO216" s="21"/>
      <c r="AP216" s="21"/>
      <c r="AQ216" s="21"/>
      <c r="AR216" s="21"/>
      <c r="AS216" s="21"/>
      <c r="AT216" s="21"/>
      <c r="AU216" s="21"/>
      <c r="AV216" s="21"/>
      <c r="AW216" s="21"/>
      <c r="AX216" s="21"/>
      <c r="AY216" s="21"/>
      <c r="BC216" t="s">
        <v>567</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2234</v>
      </c>
      <c r="D218" s="28"/>
      <c r="AC218" s="2" t="s">
        <v>2463</v>
      </c>
      <c r="BC218" t="s">
        <v>530</v>
      </c>
    </row>
    <row r="219" spans="1:108" ht="12.95" customHeight="1">
      <c r="A219" s="2"/>
      <c r="C219" s="2"/>
      <c r="D219" s="3" t="s">
        <v>2464</v>
      </c>
      <c r="AZ219" s="3"/>
      <c r="BA219" s="3"/>
      <c r="BC219" t="s">
        <v>377</v>
      </c>
    </row>
    <row r="220" spans="1:108" ht="12.95" customHeight="1">
      <c r="A220" s="2"/>
      <c r="C220" s="2"/>
      <c r="D220" s="1516" t="s">
        <v>1027</v>
      </c>
      <c r="E220" s="1516"/>
      <c r="F220" s="1516"/>
      <c r="G220" s="1516"/>
      <c r="H220" s="1516"/>
      <c r="I220" s="1516"/>
      <c r="J220" s="1516"/>
      <c r="K220" s="1516"/>
      <c r="L220" s="1516"/>
      <c r="M220" s="1516"/>
      <c r="N220" s="1516"/>
      <c r="O220" s="1516"/>
      <c r="P220" s="1516"/>
      <c r="Q220" s="1516"/>
      <c r="R220" s="1516"/>
      <c r="S220" s="1516"/>
      <c r="T220" s="1516"/>
      <c r="U220" s="1516"/>
      <c r="V220" s="1516"/>
      <c r="W220" s="1516"/>
      <c r="X220" s="1516"/>
      <c r="Y220" s="1516"/>
      <c r="Z220" s="1516"/>
      <c r="AC220" s="1537" t="s">
        <v>2466</v>
      </c>
      <c r="AD220" s="1537"/>
      <c r="AE220" s="1537"/>
      <c r="AF220" s="1537"/>
      <c r="AG220" s="1537"/>
      <c r="AH220" s="1537"/>
      <c r="AI220" s="1537"/>
      <c r="AJ220" s="1537"/>
      <c r="AK220" s="1537"/>
      <c r="AL220" s="1537"/>
      <c r="AM220" s="1537"/>
      <c r="AN220" s="1537"/>
      <c r="AO220" s="1537"/>
      <c r="AP220" s="1537"/>
      <c r="AQ220" s="1537"/>
      <c r="BA220" s="3"/>
      <c r="BC220" t="s">
        <v>300</v>
      </c>
    </row>
    <row r="221" spans="1:108" ht="12.95" customHeight="1">
      <c r="A221" s="2"/>
      <c r="B221" s="14"/>
      <c r="C221" s="2"/>
      <c r="BA221" s="3"/>
    </row>
    <row r="222" spans="1:108" ht="12.95" customHeight="1">
      <c r="A222" s="1535" t="s">
        <v>541</v>
      </c>
      <c r="B222" s="1535"/>
      <c r="C222" s="1535"/>
      <c r="D222" s="1535"/>
      <c r="E222" s="1535"/>
      <c r="F222" s="1535"/>
      <c r="G222" s="1535"/>
      <c r="H222" s="1535"/>
      <c r="I222" s="1535"/>
      <c r="J222" s="1535"/>
      <c r="K222" s="1535"/>
      <c r="L222" s="1535"/>
      <c r="M222" s="1535"/>
      <c r="N222" s="1535"/>
      <c r="O222" s="1535"/>
      <c r="P222" s="1535"/>
      <c r="Q222" s="1535"/>
      <c r="R222" s="1535"/>
      <c r="S222" s="1535"/>
      <c r="T222" s="1535"/>
      <c r="U222" s="1535"/>
      <c r="V222" s="1535"/>
      <c r="W222" s="1535"/>
      <c r="X222" s="1535"/>
      <c r="Y222" s="1535"/>
      <c r="Z222" s="1535"/>
      <c r="AA222" s="1535"/>
      <c r="AB222" s="1535"/>
      <c r="AC222" s="1535"/>
      <c r="AD222" s="1535"/>
      <c r="AE222" s="1535"/>
      <c r="AF222" s="1535"/>
      <c r="AG222" s="1535"/>
      <c r="AH222" s="1535"/>
      <c r="AI222" s="1535"/>
      <c r="AJ222" s="1535"/>
      <c r="AK222" s="1535"/>
      <c r="AL222" s="1535"/>
      <c r="AM222" s="1535"/>
      <c r="AN222" s="1535"/>
      <c r="AO222" s="1535"/>
      <c r="AP222" s="1535"/>
      <c r="AQ222" s="1535"/>
      <c r="AR222" s="1535"/>
      <c r="AS222" s="1535"/>
      <c r="AT222" s="1535"/>
      <c r="AU222" s="95"/>
      <c r="AV222" s="95"/>
      <c r="AW222" s="95"/>
      <c r="AX222" s="95"/>
      <c r="AY222" s="95"/>
      <c r="AZ222" s="3"/>
      <c r="BA222" s="3"/>
      <c r="BP222" s="34"/>
    </row>
    <row r="223" spans="1:108" ht="12.95" customHeight="1">
      <c r="A223" s="1535"/>
      <c r="B223" s="1535"/>
      <c r="C223" s="1535"/>
      <c r="D223" s="1535"/>
      <c r="E223" s="1535"/>
      <c r="F223" s="1535"/>
      <c r="G223" s="1535"/>
      <c r="H223" s="1535"/>
      <c r="I223" s="1535"/>
      <c r="J223" s="1535"/>
      <c r="K223" s="1535"/>
      <c r="L223" s="1535"/>
      <c r="M223" s="1535"/>
      <c r="N223" s="1535"/>
      <c r="O223" s="1535"/>
      <c r="P223" s="1535"/>
      <c r="Q223" s="1535"/>
      <c r="R223" s="1535"/>
      <c r="S223" s="1535"/>
      <c r="T223" s="1535"/>
      <c r="U223" s="1535"/>
      <c r="V223" s="1535"/>
      <c r="W223" s="1535"/>
      <c r="X223" s="1535"/>
      <c r="Y223" s="1535"/>
      <c r="Z223" s="1535"/>
      <c r="AA223" s="1535"/>
      <c r="AB223" s="1535"/>
      <c r="AC223" s="1535"/>
      <c r="AD223" s="1535"/>
      <c r="AE223" s="1535"/>
      <c r="AF223" s="1535"/>
      <c r="AG223" s="1535"/>
      <c r="AH223" s="1535"/>
      <c r="AI223" s="1535"/>
      <c r="AJ223" s="1535"/>
      <c r="AK223" s="1535"/>
      <c r="AL223" s="1535"/>
      <c r="AM223" s="1535"/>
      <c r="AN223" s="1535"/>
      <c r="AO223" s="1535"/>
      <c r="AP223" s="1535"/>
      <c r="AQ223" s="1535"/>
      <c r="AR223" s="1535"/>
      <c r="AS223" s="1535"/>
      <c r="AT223" s="1535"/>
      <c r="BA223" s="3"/>
      <c r="BB223" s="3"/>
      <c r="BQ223" s="34"/>
    </row>
    <row r="224" spans="1:108" ht="12.95" customHeight="1">
      <c r="AZ224" s="4"/>
      <c r="BA224" s="3"/>
      <c r="BB224" s="3"/>
      <c r="BQ224" s="34"/>
    </row>
    <row r="225" spans="1:59" ht="12.95"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91" t="s">
        <v>592</v>
      </c>
      <c r="AJ226" s="1391"/>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91" t="s">
        <v>546</v>
      </c>
      <c r="AJ227" s="1391"/>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91" t="s">
        <v>592</v>
      </c>
      <c r="AJ228" s="1391"/>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91" t="s">
        <v>592</v>
      </c>
      <c r="AJ229" s="1391"/>
      <c r="AL229" s="3"/>
      <c r="AM229" s="3"/>
      <c r="AN229" s="3"/>
      <c r="AO229" s="3"/>
      <c r="AP229" s="3"/>
      <c r="AQ229" s="3"/>
      <c r="AR229" s="3"/>
      <c r="AS229" s="3"/>
      <c r="AT229" s="3"/>
      <c r="AU229" s="3"/>
      <c r="AV229" s="3"/>
      <c r="AW229" s="3"/>
      <c r="AX229" s="3"/>
      <c r="AY229" s="3"/>
      <c r="BA229" s="3"/>
      <c r="BB229" s="204" t="s">
        <v>539</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559" t="str">
        <f>H16</f>
        <v>Community Revitalization and Development Corporation</v>
      </c>
      <c r="N232" s="1559"/>
      <c r="O232" s="1559"/>
      <c r="P232" s="1559"/>
      <c r="Q232" s="1559"/>
      <c r="R232" s="1559"/>
      <c r="S232" s="1559"/>
      <c r="T232" s="1559"/>
      <c r="U232" s="1559"/>
      <c r="V232" s="1559"/>
      <c r="W232" s="1559"/>
      <c r="X232" s="1559"/>
      <c r="Y232" s="1559"/>
      <c r="Z232" s="1559"/>
      <c r="AA232" s="1559"/>
      <c r="AB232" s="1559"/>
      <c r="AC232" s="1559"/>
      <c r="AD232" s="1559"/>
      <c r="AE232" s="1559"/>
      <c r="AF232" s="1559"/>
      <c r="AG232" s="1559"/>
      <c r="AH232" s="1559"/>
      <c r="AI232" s="1559"/>
      <c r="AJ232" s="1559"/>
      <c r="AK232" s="1559"/>
      <c r="AZ232" s="4"/>
      <c r="BA232" s="3"/>
      <c r="BB232" s="205" t="s">
        <v>539</v>
      </c>
      <c r="BG232" s="241">
        <f>IF(AND(AND($M$249="nonprofit",$M$257="nonprofit",$M$265="for profit")),2,0)</f>
        <v>0</v>
      </c>
    </row>
    <row r="233" spans="1:59" ht="12.95" customHeight="1">
      <c r="D233" s="4" t="s">
        <v>85</v>
      </c>
      <c r="E233" s="4"/>
      <c r="F233" s="4"/>
      <c r="G233" s="4"/>
      <c r="H233" s="4"/>
      <c r="I233" s="4"/>
      <c r="J233" s="4"/>
      <c r="K233" s="4"/>
      <c r="M233" s="1516" t="s">
        <v>2624</v>
      </c>
      <c r="N233" s="1516"/>
      <c r="O233" s="1516"/>
      <c r="P233" s="1516"/>
      <c r="Q233" s="1516"/>
      <c r="R233" s="1516"/>
      <c r="S233" s="1516"/>
      <c r="T233" s="1516"/>
      <c r="U233" s="1516"/>
      <c r="V233" s="1516"/>
      <c r="W233" s="1516"/>
      <c r="X233" s="1516"/>
      <c r="Y233" s="1516"/>
      <c r="Z233" s="1516"/>
      <c r="AA233" s="1516"/>
      <c r="AB233" s="1516"/>
      <c r="AC233" s="1516"/>
      <c r="AD233" s="1516"/>
      <c r="AE233" s="1516"/>
      <c r="BB233" s="205" t="s">
        <v>539</v>
      </c>
      <c r="BG233" s="241">
        <f>IF(AND(AND($M$249="nonprofit",$M$257="for profit",$M$265="nonprofit")),2,0)</f>
        <v>0</v>
      </c>
    </row>
    <row r="234" spans="1:59" ht="12.95" customHeight="1">
      <c r="D234" s="4" t="s">
        <v>581</v>
      </c>
      <c r="E234" s="4"/>
      <c r="M234" s="1522" t="s">
        <v>2625</v>
      </c>
      <c r="N234" s="1516"/>
      <c r="O234" s="1516"/>
      <c r="P234" s="1516"/>
      <c r="Q234" s="1516"/>
      <c r="R234" s="1516"/>
      <c r="S234" s="1516"/>
      <c r="T234" s="1516"/>
      <c r="V234" s="33" t="s">
        <v>86</v>
      </c>
      <c r="W234" s="1547" t="s">
        <v>2626</v>
      </c>
      <c r="X234" s="1463"/>
      <c r="Y234" s="4" t="s">
        <v>584</v>
      </c>
      <c r="AC234" s="1516">
        <v>96001</v>
      </c>
      <c r="AD234" s="1516"/>
      <c r="AE234" s="1516"/>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522" t="s">
        <v>2627</v>
      </c>
      <c r="N235" s="1516"/>
      <c r="O235" s="1516"/>
      <c r="P235" s="1516"/>
      <c r="Q235" s="1516"/>
      <c r="R235" s="1516"/>
      <c r="S235" s="1516"/>
      <c r="T235" s="1516"/>
      <c r="U235" s="1516"/>
      <c r="V235" s="1516"/>
      <c r="W235" s="1516"/>
      <c r="X235" s="1516"/>
      <c r="Y235" s="1516"/>
      <c r="Z235" s="1516"/>
      <c r="AA235" s="1516"/>
      <c r="AB235" s="1516"/>
      <c r="AC235" s="1516"/>
      <c r="AD235" s="1516"/>
      <c r="AE235" s="1516"/>
      <c r="AI235" s="4"/>
      <c r="AJ235" s="4"/>
      <c r="AK235" s="4"/>
      <c r="AL235" s="4"/>
      <c r="AM235" s="4"/>
      <c r="AN235" s="4"/>
      <c r="AO235" s="4"/>
      <c r="AP235" s="4"/>
      <c r="AQ235" s="4"/>
      <c r="AR235" s="4"/>
      <c r="AS235" s="4"/>
      <c r="AT235" s="4"/>
      <c r="BB235" s="205"/>
      <c r="BG235" s="204"/>
    </row>
    <row r="236" spans="1:59" ht="12.95" customHeight="1">
      <c r="D236" s="4" t="s">
        <v>88</v>
      </c>
      <c r="E236" s="4"/>
      <c r="F236" s="4"/>
      <c r="M236" s="1496">
        <v>5302416960</v>
      </c>
      <c r="N236" s="1496"/>
      <c r="O236" s="1496"/>
      <c r="P236" s="1496"/>
      <c r="Q236" s="1496"/>
      <c r="R236" s="1496"/>
      <c r="S236" s="4" t="s">
        <v>206</v>
      </c>
      <c r="T236" s="4"/>
      <c r="U236" s="1463"/>
      <c r="V236" s="1463"/>
      <c r="W236" s="1463"/>
      <c r="X236" s="4" t="s">
        <v>89</v>
      </c>
      <c r="Z236" s="1496"/>
      <c r="AA236" s="1496"/>
      <c r="AB236" s="1496"/>
      <c r="AC236" s="1496"/>
      <c r="AD236" s="1496"/>
      <c r="AE236" s="1496"/>
      <c r="AU236" s="4"/>
      <c r="AV236" s="4"/>
      <c r="AW236" s="4"/>
      <c r="AX236" s="4"/>
      <c r="AY236" s="4"/>
      <c r="AZ236" s="4"/>
      <c r="BB236" s="204" t="s">
        <v>538</v>
      </c>
      <c r="BG236" s="241">
        <f>IF(AND(AND($M$249="nonprofit",$M$257="nonprofit",$M$265="(select one)")),1,0)</f>
        <v>0</v>
      </c>
    </row>
    <row r="237" spans="1:59" ht="12.95" customHeight="1">
      <c r="D237" s="4" t="s">
        <v>90</v>
      </c>
      <c r="E237" s="4"/>
      <c r="F237" s="4"/>
      <c r="M237" s="1542" t="s">
        <v>2628</v>
      </c>
      <c r="N237" s="1542"/>
      <c r="O237" s="1542"/>
      <c r="P237" s="1542"/>
      <c r="Q237" s="1542"/>
      <c r="R237" s="1542"/>
      <c r="S237" s="1542"/>
      <c r="T237" s="1542"/>
      <c r="U237" s="1542"/>
      <c r="V237" s="1542"/>
      <c r="W237" s="1542"/>
      <c r="X237" s="1542"/>
      <c r="Y237" s="1542"/>
      <c r="Z237" s="1542"/>
      <c r="AA237" s="1542"/>
      <c r="AB237" s="1542"/>
      <c r="AC237" s="1542"/>
      <c r="AD237" s="1542"/>
      <c r="AE237" s="1542"/>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401" t="s">
        <v>377</v>
      </c>
      <c r="N238" s="1401"/>
      <c r="O238" s="1401"/>
      <c r="P238" s="1401"/>
      <c r="Q238" s="1401"/>
      <c r="R238" s="1401"/>
      <c r="S238" s="1401"/>
      <c r="T238" s="1401"/>
      <c r="U238" s="204" t="s">
        <v>907</v>
      </c>
      <c r="V238" s="204"/>
      <c r="W238" s="204"/>
      <c r="X238" s="204"/>
      <c r="Y238" s="204"/>
      <c r="Z238" s="204"/>
      <c r="AA238" s="1563"/>
      <c r="AB238" s="1563"/>
      <c r="AC238" s="1563"/>
      <c r="AD238" s="1563"/>
      <c r="AE238" s="1563"/>
      <c r="AF238" s="1563"/>
      <c r="AG238" s="1563"/>
      <c r="AH238" s="1563"/>
      <c r="AI238" s="1563"/>
      <c r="AJ238" s="1563"/>
      <c r="AK238" s="1563"/>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420"/>
      <c r="N239" s="1420"/>
      <c r="O239" s="1420"/>
      <c r="P239" s="1420"/>
      <c r="Q239" s="1420"/>
      <c r="R239" s="1420"/>
      <c r="S239" s="1420"/>
      <c r="T239" s="1420"/>
      <c r="U239" s="1420"/>
      <c r="V239" s="1420"/>
      <c r="W239" s="1420"/>
      <c r="X239" s="1420"/>
      <c r="Y239" s="1420"/>
      <c r="Z239" s="1420"/>
      <c r="AA239" s="1420"/>
      <c r="AB239" s="1420"/>
      <c r="AC239" s="1420"/>
      <c r="AD239" s="1420"/>
      <c r="AE239" s="1420"/>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544" t="s">
        <v>2629</v>
      </c>
      <c r="N243" s="1544"/>
      <c r="O243" s="1544"/>
      <c r="P243" s="1544"/>
      <c r="Q243" s="1544"/>
      <c r="R243" s="1544"/>
      <c r="S243" s="1544"/>
      <c r="T243" s="1544"/>
      <c r="U243" s="1544"/>
      <c r="V243" s="1544"/>
      <c r="W243" s="1544"/>
      <c r="X243" s="1544"/>
      <c r="Y243" s="1544"/>
      <c r="Z243" s="1544"/>
      <c r="AA243" s="1544"/>
      <c r="AB243" s="1544"/>
      <c r="AC243" s="1544"/>
      <c r="AD243" s="1544"/>
      <c r="AE243" s="1544"/>
      <c r="AF243" s="1544" t="s">
        <v>2631</v>
      </c>
      <c r="AG243" s="1544"/>
      <c r="AH243" s="1544"/>
      <c r="AI243" s="1544"/>
      <c r="AJ243" s="1544"/>
      <c r="AK243" s="1544"/>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516" t="s">
        <v>2630</v>
      </c>
      <c r="N244" s="1516"/>
      <c r="O244" s="1516"/>
      <c r="P244" s="1516"/>
      <c r="Q244" s="1516"/>
      <c r="R244" s="1516"/>
      <c r="S244" s="1516"/>
      <c r="T244" s="1516"/>
      <c r="U244" s="1516"/>
      <c r="V244" s="1516"/>
      <c r="W244" s="1516"/>
      <c r="X244" s="1516"/>
      <c r="Y244" s="1516"/>
      <c r="Z244" s="1516"/>
      <c r="AA244" s="1516"/>
      <c r="AB244" s="1516"/>
      <c r="AC244" s="1516"/>
      <c r="AD244" s="1516"/>
      <c r="AE244" s="1516"/>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522" t="s">
        <v>2632</v>
      </c>
      <c r="N245" s="1516"/>
      <c r="O245" s="1516"/>
      <c r="P245" s="1516"/>
      <c r="Q245" s="1516"/>
      <c r="R245" s="1516"/>
      <c r="S245" s="1516"/>
      <c r="T245" s="1516"/>
      <c r="V245" s="33" t="s">
        <v>86</v>
      </c>
      <c r="W245" s="1547" t="s">
        <v>2626</v>
      </c>
      <c r="X245" s="1463"/>
      <c r="Y245" s="4" t="s">
        <v>584</v>
      </c>
      <c r="AC245" s="1516">
        <v>95521</v>
      </c>
      <c r="AD245" s="1516"/>
      <c r="AE245" s="1516"/>
      <c r="AF245" s="3" t="s">
        <v>1181</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522" t="s">
        <v>2633</v>
      </c>
      <c r="N246" s="1516"/>
      <c r="O246" s="1516"/>
      <c r="P246" s="1516"/>
      <c r="Q246" s="1516"/>
      <c r="R246" s="1516"/>
      <c r="S246" s="1516"/>
      <c r="T246" s="1516"/>
      <c r="U246" s="1516"/>
      <c r="V246" s="1516"/>
      <c r="W246" s="1516"/>
      <c r="X246" s="1516"/>
      <c r="Y246" s="1516"/>
      <c r="Z246" s="1516"/>
      <c r="AA246" s="1516"/>
      <c r="AB246" s="1516"/>
      <c r="AC246" s="1516"/>
      <c r="AD246" s="1516"/>
      <c r="AE246" s="1516"/>
      <c r="AH246" s="1539">
        <v>0.09</v>
      </c>
      <c r="AI246" s="1539"/>
      <c r="AJ246" s="1539"/>
      <c r="AK246" s="1539"/>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496">
        <v>7078229000</v>
      </c>
      <c r="N247" s="1496"/>
      <c r="O247" s="1496"/>
      <c r="P247" s="1496"/>
      <c r="Q247" s="1496"/>
      <c r="R247" s="1496"/>
      <c r="S247" s="4" t="s">
        <v>206</v>
      </c>
      <c r="T247" s="4"/>
      <c r="U247" s="1463"/>
      <c r="V247" s="1463"/>
      <c r="W247" s="1463"/>
      <c r="X247" s="4" t="s">
        <v>89</v>
      </c>
      <c r="Z247" s="1496"/>
      <c r="AA247" s="1496"/>
      <c r="AB247" s="1496"/>
      <c r="AC247" s="1496"/>
      <c r="AD247" s="1496"/>
      <c r="AE247" s="1496"/>
      <c r="AU247" s="4"/>
      <c r="AV247" s="4"/>
      <c r="AW247" s="4"/>
      <c r="AX247" s="4"/>
      <c r="AY247" s="4"/>
      <c r="BG247">
        <v>0</v>
      </c>
      <c r="BH247" s="3" t="str">
        <f>""</f>
        <v/>
      </c>
      <c r="BN247" s="34"/>
    </row>
    <row r="248" spans="1:67" ht="12.95" customHeight="1">
      <c r="A248" s="19"/>
      <c r="B248" s="4"/>
      <c r="C248" s="4"/>
      <c r="D248" s="4" t="s">
        <v>90</v>
      </c>
      <c r="E248" s="4"/>
      <c r="F248" s="4"/>
      <c r="M248" s="1542" t="s">
        <v>2634</v>
      </c>
      <c r="N248" s="1542"/>
      <c r="O248" s="1542"/>
      <c r="P248" s="1542"/>
      <c r="Q248" s="1542"/>
      <c r="R248" s="1542"/>
      <c r="S248" s="1542"/>
      <c r="T248" s="1542"/>
      <c r="U248" s="1542"/>
      <c r="V248" s="1542"/>
      <c r="W248" s="1542"/>
      <c r="X248" s="1542"/>
      <c r="Y248" s="1542"/>
      <c r="Z248" s="1542"/>
      <c r="AA248" s="1542"/>
      <c r="AB248" s="1542"/>
      <c r="AC248" s="1542"/>
      <c r="AD248" s="1542"/>
      <c r="AE248" s="1542"/>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401" t="s">
        <v>537</v>
      </c>
      <c r="N249" s="1401"/>
      <c r="O249" s="1401"/>
      <c r="P249" s="1401"/>
      <c r="Q249" s="1401"/>
      <c r="R249" s="1401"/>
      <c r="S249" s="1401"/>
      <c r="T249" s="1401"/>
      <c r="U249" s="204" t="s">
        <v>907</v>
      </c>
      <c r="V249" s="204"/>
      <c r="W249" s="204"/>
      <c r="X249" s="204"/>
      <c r="Y249" s="204"/>
      <c r="Z249" s="204"/>
      <c r="AA249" s="1563"/>
      <c r="AB249" s="1563"/>
      <c r="AC249" s="1563"/>
      <c r="AD249" s="1563"/>
      <c r="AE249" s="1563"/>
      <c r="AF249" s="1563"/>
      <c r="AG249" s="1563"/>
      <c r="AH249" s="1563"/>
      <c r="AI249" s="1563"/>
      <c r="AJ249" s="1563"/>
      <c r="AK249" s="1563"/>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544" t="s">
        <v>2613</v>
      </c>
      <c r="N251" s="1544"/>
      <c r="O251" s="1544"/>
      <c r="P251" s="1544"/>
      <c r="Q251" s="1544"/>
      <c r="R251" s="1544"/>
      <c r="S251" s="1544"/>
      <c r="T251" s="1544"/>
      <c r="U251" s="1544"/>
      <c r="V251" s="1544"/>
      <c r="W251" s="1544"/>
      <c r="X251" s="1544"/>
      <c r="Y251" s="1544"/>
      <c r="Z251" s="1544"/>
      <c r="AA251" s="1544"/>
      <c r="AB251" s="1544"/>
      <c r="AC251" s="1544"/>
      <c r="AD251" s="1544"/>
      <c r="AE251" s="1544"/>
      <c r="AF251" s="1544" t="s">
        <v>2636</v>
      </c>
      <c r="AG251" s="1544"/>
      <c r="AH251" s="1544"/>
      <c r="AI251" s="1544"/>
      <c r="AJ251" s="1544"/>
      <c r="AK251" s="1544"/>
      <c r="AU251" s="4"/>
      <c r="AV251" s="4"/>
      <c r="AW251" s="4"/>
      <c r="AX251" s="4"/>
      <c r="AY251" s="4"/>
      <c r="BN251" s="34"/>
    </row>
    <row r="252" spans="1:67" ht="12.95" customHeight="1">
      <c r="A252" s="19"/>
      <c r="B252" s="4"/>
      <c r="C252" s="4"/>
      <c r="D252" s="4" t="s">
        <v>85</v>
      </c>
      <c r="E252" s="4"/>
      <c r="F252" s="4"/>
      <c r="G252" s="4"/>
      <c r="H252" s="4"/>
      <c r="I252" s="4"/>
      <c r="J252" s="4"/>
      <c r="K252" s="4"/>
      <c r="L252" s="4"/>
      <c r="M252" s="1516" t="s">
        <v>2635</v>
      </c>
      <c r="N252" s="1516"/>
      <c r="O252" s="1516"/>
      <c r="P252" s="1516"/>
      <c r="Q252" s="1516"/>
      <c r="R252" s="1516"/>
      <c r="S252" s="1516"/>
      <c r="T252" s="1516"/>
      <c r="U252" s="1516"/>
      <c r="V252" s="1516"/>
      <c r="W252" s="1516"/>
      <c r="X252" s="1516"/>
      <c r="Y252" s="1516"/>
      <c r="Z252" s="1516"/>
      <c r="AA252" s="1516"/>
      <c r="AB252" s="1516"/>
      <c r="AC252" s="1516"/>
      <c r="AD252" s="1516"/>
      <c r="AE252" s="1516"/>
      <c r="AF252" s="3" t="s">
        <v>1180</v>
      </c>
      <c r="AL252" s="4"/>
      <c r="AM252" s="4"/>
      <c r="AN252" s="4"/>
      <c r="AO252" s="4"/>
      <c r="AP252" s="4"/>
      <c r="AQ252" s="4"/>
      <c r="AR252" s="4"/>
      <c r="AS252" s="4"/>
      <c r="AT252" s="4"/>
      <c r="BN252" s="34"/>
    </row>
    <row r="253" spans="1:67" ht="12.95" customHeight="1">
      <c r="A253" s="19"/>
      <c r="B253" s="4"/>
      <c r="C253" s="4"/>
      <c r="D253" s="4" t="s">
        <v>581</v>
      </c>
      <c r="E253" s="4"/>
      <c r="M253" s="1522" t="s">
        <v>2625</v>
      </c>
      <c r="N253" s="1516"/>
      <c r="O253" s="1516"/>
      <c r="P253" s="1516"/>
      <c r="Q253" s="1516"/>
      <c r="R253" s="1516"/>
      <c r="S253" s="1516"/>
      <c r="T253" s="1516"/>
      <c r="V253" s="33" t="s">
        <v>86</v>
      </c>
      <c r="W253" s="1463"/>
      <c r="X253" s="1463"/>
      <c r="Y253" s="4" t="s">
        <v>584</v>
      </c>
      <c r="AC253" s="1516"/>
      <c r="AD253" s="1516"/>
      <c r="AE253" s="1516"/>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522" t="s">
        <v>2627</v>
      </c>
      <c r="N254" s="1516"/>
      <c r="O254" s="1516"/>
      <c r="P254" s="1516"/>
      <c r="Q254" s="1516"/>
      <c r="R254" s="1516"/>
      <c r="S254" s="1516"/>
      <c r="T254" s="1516"/>
      <c r="U254" s="1516"/>
      <c r="V254" s="1516"/>
      <c r="W254" s="1516"/>
      <c r="X254" s="1516"/>
      <c r="Y254" s="1516"/>
      <c r="Z254" s="1516"/>
      <c r="AA254" s="1516"/>
      <c r="AB254" s="1516"/>
      <c r="AC254" s="1516"/>
      <c r="AD254" s="1516"/>
      <c r="AE254" s="1516"/>
      <c r="AH254" s="1539">
        <v>0.01</v>
      </c>
      <c r="AI254" s="1539"/>
      <c r="AJ254" s="1539"/>
      <c r="AK254" s="1539"/>
      <c r="AL254" s="4"/>
      <c r="AM254" s="4"/>
      <c r="AN254" s="4"/>
      <c r="AO254" s="4"/>
      <c r="AP254" s="4"/>
      <c r="AQ254" s="4"/>
      <c r="AR254" s="4"/>
      <c r="AS254" s="4"/>
      <c r="AT254" s="4"/>
    </row>
    <row r="255" spans="1:67" ht="12.95" customHeight="1">
      <c r="A255" s="19"/>
      <c r="B255" s="4"/>
      <c r="C255" s="4"/>
      <c r="D255" s="4" t="s">
        <v>88</v>
      </c>
      <c r="E255" s="4"/>
      <c r="F255" s="4"/>
      <c r="M255" s="1496">
        <v>5302416960</v>
      </c>
      <c r="N255" s="1496"/>
      <c r="O255" s="1496"/>
      <c r="P255" s="1496"/>
      <c r="Q255" s="1496"/>
      <c r="R255" s="1496"/>
      <c r="S255" s="4" t="s">
        <v>206</v>
      </c>
      <c r="T255" s="4"/>
      <c r="U255" s="1463"/>
      <c r="V255" s="1463"/>
      <c r="W255" s="1463"/>
      <c r="X255" s="4" t="s">
        <v>89</v>
      </c>
      <c r="Z255" s="1496"/>
      <c r="AA255" s="1496"/>
      <c r="AB255" s="1496"/>
      <c r="AC255" s="1496"/>
      <c r="AD255" s="1496"/>
      <c r="AE255" s="1496"/>
      <c r="AU255" s="4"/>
      <c r="AV255" s="4"/>
      <c r="AW255" s="4"/>
      <c r="AX255" s="4"/>
      <c r="AY255" s="4"/>
      <c r="BN255" s="34"/>
    </row>
    <row r="256" spans="1:67" ht="12.95" customHeight="1">
      <c r="A256" s="19"/>
      <c r="B256" s="4"/>
      <c r="C256" s="4"/>
      <c r="D256" s="4" t="s">
        <v>90</v>
      </c>
      <c r="E256" s="4"/>
      <c r="F256" s="4"/>
      <c r="M256" s="1542" t="s">
        <v>2628</v>
      </c>
      <c r="N256" s="1542"/>
      <c r="O256" s="1542"/>
      <c r="P256" s="1542"/>
      <c r="Q256" s="1542"/>
      <c r="R256" s="1542"/>
      <c r="S256" s="1542"/>
      <c r="T256" s="1542"/>
      <c r="U256" s="1542"/>
      <c r="V256" s="1542"/>
      <c r="W256" s="1542"/>
      <c r="X256" s="1542"/>
      <c r="Y256" s="1542"/>
      <c r="Z256" s="1542"/>
      <c r="AA256" s="1542"/>
      <c r="AB256" s="1542"/>
      <c r="AC256" s="1542"/>
      <c r="AD256" s="1542"/>
      <c r="AE256" s="1542"/>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401" t="s">
        <v>535</v>
      </c>
      <c r="N257" s="1401"/>
      <c r="O257" s="1401"/>
      <c r="P257" s="1401"/>
      <c r="Q257" s="1401"/>
      <c r="R257" s="1401"/>
      <c r="S257" s="1401"/>
      <c r="T257" s="1401"/>
      <c r="U257" s="204" t="s">
        <v>907</v>
      </c>
      <c r="V257" s="204"/>
      <c r="W257" s="204"/>
      <c r="X257" s="204"/>
      <c r="Y257" s="204"/>
      <c r="Z257" s="204"/>
      <c r="AA257" s="1563"/>
      <c r="AB257" s="1563"/>
      <c r="AC257" s="1563"/>
      <c r="AD257" s="1563"/>
      <c r="AE257" s="1563"/>
      <c r="AF257" s="1563"/>
      <c r="AG257" s="1563"/>
      <c r="AH257" s="1563"/>
      <c r="AI257" s="1563"/>
      <c r="AJ257" s="1563"/>
      <c r="AK257" s="1563"/>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544"/>
      <c r="N259" s="1544"/>
      <c r="O259" s="1544"/>
      <c r="P259" s="1544"/>
      <c r="Q259" s="1544"/>
      <c r="R259" s="1544"/>
      <c r="S259" s="1544"/>
      <c r="T259" s="1544"/>
      <c r="U259" s="1544"/>
      <c r="V259" s="1544"/>
      <c r="W259" s="1544"/>
      <c r="X259" s="1544"/>
      <c r="Y259" s="1544"/>
      <c r="Z259" s="1544"/>
      <c r="AA259" s="1544"/>
      <c r="AB259" s="1544"/>
      <c r="AC259" s="1544"/>
      <c r="AD259" s="1544"/>
      <c r="AE259" s="1544"/>
      <c r="AF259" s="1544" t="s">
        <v>307</v>
      </c>
      <c r="AG259" s="1544"/>
      <c r="AH259" s="1544"/>
      <c r="AI259" s="1544"/>
      <c r="AJ259" s="1544"/>
      <c r="AK259" s="1544"/>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16"/>
      <c r="N260" s="1516"/>
      <c r="O260" s="1516"/>
      <c r="P260" s="1516"/>
      <c r="Q260" s="1516"/>
      <c r="R260" s="1516"/>
      <c r="S260" s="1516"/>
      <c r="T260" s="1516"/>
      <c r="U260" s="1516"/>
      <c r="V260" s="1516"/>
      <c r="W260" s="1516"/>
      <c r="X260" s="1516"/>
      <c r="Y260" s="1516"/>
      <c r="Z260" s="1516"/>
      <c r="AA260" s="1516"/>
      <c r="AB260" s="1516"/>
      <c r="AC260" s="1516"/>
      <c r="AD260" s="1516"/>
      <c r="AE260" s="1516"/>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516"/>
      <c r="N261" s="1516"/>
      <c r="O261" s="1516"/>
      <c r="P261" s="1516"/>
      <c r="Q261" s="1516"/>
      <c r="R261" s="1516"/>
      <c r="S261" s="1516"/>
      <c r="T261" s="1516"/>
      <c r="V261" s="33" t="s">
        <v>86</v>
      </c>
      <c r="W261" s="1463"/>
      <c r="X261" s="1463"/>
      <c r="Y261" s="4" t="s">
        <v>584</v>
      </c>
      <c r="AC261" s="1516"/>
      <c r="AD261" s="1516"/>
      <c r="AE261" s="1516"/>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16"/>
      <c r="N262" s="1516"/>
      <c r="O262" s="1516"/>
      <c r="P262" s="1516"/>
      <c r="Q262" s="1516"/>
      <c r="R262" s="1516"/>
      <c r="S262" s="1516"/>
      <c r="T262" s="1516"/>
      <c r="U262" s="1516"/>
      <c r="V262" s="1516"/>
      <c r="W262" s="1516"/>
      <c r="X262" s="1516"/>
      <c r="Y262" s="1516"/>
      <c r="Z262" s="1516"/>
      <c r="AA262" s="1516"/>
      <c r="AB262" s="1516"/>
      <c r="AC262" s="1516"/>
      <c r="AD262" s="1516"/>
      <c r="AE262" s="1516"/>
      <c r="AH262" s="1539"/>
      <c r="AI262" s="1539"/>
      <c r="AJ262" s="1539"/>
      <c r="AK262" s="1539"/>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96"/>
      <c r="N263" s="1496"/>
      <c r="O263" s="1496"/>
      <c r="P263" s="1496"/>
      <c r="Q263" s="1496"/>
      <c r="R263" s="1496"/>
      <c r="S263" s="4" t="s">
        <v>206</v>
      </c>
      <c r="T263" s="4"/>
      <c r="U263" s="1463"/>
      <c r="V263" s="1463"/>
      <c r="W263" s="1463"/>
      <c r="X263" s="4" t="s">
        <v>89</v>
      </c>
      <c r="Z263" s="1496"/>
      <c r="AA263" s="1496"/>
      <c r="AB263" s="1496"/>
      <c r="AC263" s="1496"/>
      <c r="AD263" s="1496"/>
      <c r="AE263" s="1496"/>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42"/>
      <c r="N264" s="1542"/>
      <c r="O264" s="1542"/>
      <c r="P264" s="1542"/>
      <c r="Q264" s="1542"/>
      <c r="R264" s="1542"/>
      <c r="S264" s="1542"/>
      <c r="T264" s="1542"/>
      <c r="U264" s="1542"/>
      <c r="V264" s="1542"/>
      <c r="W264" s="1542"/>
      <c r="X264" s="1542"/>
      <c r="Y264" s="1542"/>
      <c r="Z264" s="1542"/>
      <c r="AA264" s="1543"/>
      <c r="AB264" s="1543"/>
      <c r="AC264" s="1543"/>
      <c r="AD264" s="1543"/>
      <c r="AE264" s="1543"/>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401" t="s">
        <v>307</v>
      </c>
      <c r="N265" s="1401"/>
      <c r="O265" s="1401"/>
      <c r="P265" s="1401"/>
      <c r="Q265" s="1401"/>
      <c r="R265" s="1401"/>
      <c r="S265" s="1401"/>
      <c r="T265" s="1401"/>
      <c r="U265" s="204" t="s">
        <v>907</v>
      </c>
      <c r="V265" s="204"/>
      <c r="W265" s="204"/>
      <c r="X265" s="204"/>
      <c r="Y265" s="204"/>
      <c r="Z265" s="204"/>
      <c r="AA265" s="1572"/>
      <c r="AB265" s="1572"/>
      <c r="AC265" s="1572"/>
      <c r="AD265" s="1572"/>
      <c r="AE265" s="1572"/>
      <c r="AF265" s="1572"/>
      <c r="AG265" s="1572"/>
      <c r="AH265" s="1572"/>
      <c r="AI265" s="1572"/>
      <c r="AJ265" s="1572"/>
      <c r="AK265" s="1572"/>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566" t="str">
        <f>IFERROR(BO245,"")</f>
        <v>Joint Venture</v>
      </c>
      <c r="U267" s="1566"/>
      <c r="V267" s="1566"/>
      <c r="W267" s="1566"/>
      <c r="X267" s="1566"/>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516" t="s">
        <v>280</v>
      </c>
      <c r="E270" s="1516"/>
      <c r="F270" s="1516"/>
      <c r="G270" s="1516"/>
      <c r="H270" s="1516"/>
      <c r="J270" t="s">
        <v>279</v>
      </c>
      <c r="X270" s="1504"/>
      <c r="Y270" s="1504"/>
      <c r="Z270" s="1504"/>
      <c r="AA270" s="1504"/>
      <c r="AB270" s="1504"/>
      <c r="AC270" s="1504"/>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44" t="s">
        <v>2637</v>
      </c>
      <c r="M274" s="1544"/>
      <c r="N274" s="1544"/>
      <c r="O274" s="1544"/>
      <c r="P274" s="1544"/>
      <c r="Q274" s="1544"/>
      <c r="R274" s="1544"/>
      <c r="S274" s="1544"/>
      <c r="T274" s="1544"/>
      <c r="U274" s="1544"/>
      <c r="V274" s="1544"/>
      <c r="W274" s="1544"/>
      <c r="X274" s="1544"/>
      <c r="Y274" s="1544"/>
      <c r="Z274" s="1544"/>
      <c r="AA274" s="1544"/>
      <c r="AB274" s="1544"/>
      <c r="AC274" s="1544"/>
      <c r="AD274" s="1544"/>
      <c r="AE274" s="1544"/>
      <c r="AF274" s="1544"/>
      <c r="AG274" s="1544"/>
      <c r="AH274" s="1544"/>
      <c r="AI274" s="1544"/>
      <c r="AJ274" s="1544"/>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516" t="s">
        <v>2630</v>
      </c>
      <c r="M275" s="1516"/>
      <c r="N275" s="1516"/>
      <c r="O275" s="1516"/>
      <c r="P275" s="1516"/>
      <c r="Q275" s="1516"/>
      <c r="R275" s="1516"/>
      <c r="S275" s="1516"/>
      <c r="T275" s="1516"/>
      <c r="U275" s="1516"/>
      <c r="V275" s="1516"/>
      <c r="W275" s="1516"/>
      <c r="X275" s="1516"/>
      <c r="Y275" s="1516"/>
      <c r="Z275" s="1516"/>
      <c r="AA275" s="1516"/>
      <c r="AB275" s="1516"/>
      <c r="AC275" s="1516"/>
      <c r="AD275" s="1516"/>
      <c r="AK275" s="3"/>
      <c r="AL275" s="3"/>
      <c r="AM275" s="3"/>
      <c r="AN275" s="3"/>
      <c r="AO275" s="3"/>
      <c r="AP275" s="3"/>
      <c r="AQ275" s="3"/>
      <c r="AR275" s="3"/>
      <c r="AS275" s="3"/>
      <c r="AT275" s="3"/>
      <c r="AU275" s="3"/>
      <c r="AV275" s="3"/>
      <c r="AW275" s="3"/>
      <c r="AX275" s="3"/>
      <c r="AY275" s="3"/>
    </row>
    <row r="276" spans="1:51" ht="12.95" customHeight="1">
      <c r="D276" s="4" t="s">
        <v>581</v>
      </c>
      <c r="E276" s="4"/>
      <c r="L276" s="1522" t="s">
        <v>2632</v>
      </c>
      <c r="M276" s="1516"/>
      <c r="N276" s="1516"/>
      <c r="O276" s="1516"/>
      <c r="P276" s="1516"/>
      <c r="Q276" s="1516"/>
      <c r="R276" s="1516"/>
      <c r="S276" s="1516"/>
      <c r="U276" s="33" t="s">
        <v>86</v>
      </c>
      <c r="V276" s="1547" t="s">
        <v>2626</v>
      </c>
      <c r="W276" s="1463"/>
      <c r="X276" s="4" t="s">
        <v>584</v>
      </c>
      <c r="AB276" s="1516">
        <v>95521</v>
      </c>
      <c r="AC276" s="1516"/>
      <c r="AD276" s="1516"/>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522" t="s">
        <v>2638</v>
      </c>
      <c r="M277" s="1516"/>
      <c r="N277" s="1516"/>
      <c r="O277" s="1516"/>
      <c r="P277" s="1516"/>
      <c r="Q277" s="1516"/>
      <c r="R277" s="1516"/>
      <c r="S277" s="1516"/>
      <c r="T277" s="1516"/>
      <c r="U277" s="1516"/>
      <c r="V277" s="1516"/>
      <c r="W277" s="1516"/>
      <c r="X277" s="1516"/>
      <c r="Y277" s="1516"/>
      <c r="Z277" s="1516"/>
      <c r="AA277" s="1516"/>
      <c r="AB277" s="1516"/>
      <c r="AC277" s="1516"/>
      <c r="AD277" s="1516"/>
      <c r="AI277" s="4"/>
      <c r="AJ277" s="4"/>
      <c r="AK277" s="3"/>
      <c r="AL277" s="3"/>
      <c r="AM277" s="3"/>
      <c r="AN277" s="3"/>
      <c r="AO277" s="3"/>
      <c r="AP277" s="3"/>
      <c r="AQ277" s="3"/>
      <c r="AR277" s="3"/>
      <c r="AS277" s="3"/>
      <c r="AT277" s="3"/>
    </row>
    <row r="278" spans="1:51" ht="12.95" customHeight="1">
      <c r="D278" s="4" t="s">
        <v>88</v>
      </c>
      <c r="E278" s="4"/>
      <c r="F278" s="4"/>
      <c r="L278" s="1496" t="s">
        <v>2639</v>
      </c>
      <c r="M278" s="1496"/>
      <c r="N278" s="1496"/>
      <c r="O278" s="1496"/>
      <c r="P278" s="1496"/>
      <c r="Q278" s="1496"/>
      <c r="R278" s="4" t="s">
        <v>206</v>
      </c>
      <c r="S278" s="4"/>
      <c r="T278" s="1463"/>
      <c r="U278" s="1463"/>
      <c r="V278" s="1463"/>
      <c r="W278" s="4" t="s">
        <v>89</v>
      </c>
      <c r="Y278" s="1496"/>
      <c r="Z278" s="1496"/>
      <c r="AA278" s="1496"/>
      <c r="AB278" s="1496"/>
      <c r="AC278" s="1496"/>
      <c r="AD278" s="1496"/>
    </row>
    <row r="279" spans="1:51" ht="12.95" customHeight="1">
      <c r="D279" s="4" t="s">
        <v>90</v>
      </c>
      <c r="E279" s="4"/>
      <c r="F279" s="4"/>
      <c r="L279" s="1542" t="s">
        <v>2644</v>
      </c>
      <c r="M279" s="1542"/>
      <c r="N279" s="1542"/>
      <c r="O279" s="1542"/>
      <c r="P279" s="1542"/>
      <c r="Q279" s="1542"/>
      <c r="R279" s="1542"/>
      <c r="S279" s="1542"/>
      <c r="T279" s="1542"/>
      <c r="U279" s="1542"/>
      <c r="V279" s="1542"/>
      <c r="W279" s="1542"/>
      <c r="X279" s="1542"/>
      <c r="Y279" s="1542"/>
      <c r="Z279" s="1542"/>
      <c r="AA279" s="1542"/>
      <c r="AB279" s="1542"/>
      <c r="AC279" s="1542"/>
      <c r="AD279" s="1542"/>
      <c r="AF279" s="4"/>
      <c r="AG279" s="4"/>
      <c r="AH279" s="4"/>
      <c r="AI279" s="4"/>
      <c r="AJ279" s="4"/>
      <c r="AU279" s="3"/>
      <c r="AV279" s="3"/>
      <c r="AW279" s="3"/>
      <c r="AX279" s="3"/>
      <c r="AY279" s="3"/>
    </row>
    <row r="280" spans="1:51" ht="12.95" customHeight="1">
      <c r="D280" s="3" t="s">
        <v>624</v>
      </c>
      <c r="E280" s="3"/>
      <c r="F280" s="3"/>
      <c r="G280" s="3"/>
      <c r="H280" s="3"/>
      <c r="I280" s="3"/>
      <c r="L280" s="1547" t="s">
        <v>2640</v>
      </c>
      <c r="M280" s="1547"/>
      <c r="N280" s="1547"/>
      <c r="O280" s="1547"/>
      <c r="P280" s="1547"/>
      <c r="Q280" s="1547"/>
      <c r="R280" s="1547"/>
      <c r="S280" s="1547"/>
      <c r="T280" s="1547"/>
      <c r="U280" s="1547"/>
      <c r="V280" s="1547"/>
      <c r="W280" s="1547"/>
      <c r="X280" s="1547"/>
      <c r="Y280" s="1547"/>
      <c r="Z280" s="1547"/>
      <c r="AA280" s="1547"/>
      <c r="AB280" s="1547"/>
      <c r="AC280" s="1547"/>
      <c r="AD280" s="1547"/>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535" t="s">
        <v>542</v>
      </c>
      <c r="B282" s="1535"/>
      <c r="C282" s="1535"/>
      <c r="D282" s="1535"/>
      <c r="E282" s="1535"/>
      <c r="F282" s="1535"/>
      <c r="G282" s="1535"/>
      <c r="H282" s="1535"/>
      <c r="I282" s="1535"/>
      <c r="J282" s="1535"/>
      <c r="K282" s="1535"/>
      <c r="L282" s="1535"/>
      <c r="M282" s="1535"/>
      <c r="N282" s="1535"/>
      <c r="O282" s="1535"/>
      <c r="P282" s="1535"/>
      <c r="Q282" s="1535"/>
      <c r="R282" s="1535"/>
      <c r="S282" s="1535"/>
      <c r="T282" s="1535"/>
      <c r="U282" s="1535"/>
      <c r="V282" s="1535"/>
      <c r="W282" s="1535"/>
      <c r="X282" s="1535"/>
      <c r="Y282" s="1535"/>
      <c r="Z282" s="1535"/>
      <c r="AA282" s="1535"/>
      <c r="AB282" s="1535"/>
      <c r="AC282" s="1535"/>
      <c r="AD282" s="1535"/>
      <c r="AE282" s="1535"/>
      <c r="AF282" s="1535"/>
      <c r="AG282" s="1535"/>
      <c r="AH282" s="1535"/>
      <c r="AI282" s="1535"/>
      <c r="AJ282" s="1535"/>
      <c r="AK282" s="1535"/>
      <c r="AL282" s="1535"/>
      <c r="AM282" s="1535"/>
      <c r="AN282" s="1535"/>
      <c r="AO282" s="1535"/>
      <c r="AP282" s="1535"/>
      <c r="AQ282" s="1535"/>
      <c r="AR282" s="1535"/>
      <c r="AS282" s="1535"/>
      <c r="AT282" s="1535"/>
      <c r="AU282" s="95"/>
      <c r="AV282" s="95"/>
      <c r="AW282" s="95"/>
      <c r="AX282" s="95"/>
      <c r="AY282" s="95"/>
    </row>
    <row r="283" spans="1:51" ht="12.95" customHeight="1">
      <c r="A283" s="1535"/>
      <c r="B283" s="1535"/>
      <c r="C283" s="1535"/>
      <c r="D283" s="1535"/>
      <c r="E283" s="1535"/>
      <c r="F283" s="1535"/>
      <c r="G283" s="1535"/>
      <c r="H283" s="1535"/>
      <c r="I283" s="1535"/>
      <c r="J283" s="1535"/>
      <c r="K283" s="1535"/>
      <c r="L283" s="1535"/>
      <c r="M283" s="1535"/>
      <c r="N283" s="1535"/>
      <c r="O283" s="1535"/>
      <c r="P283" s="1535"/>
      <c r="Q283" s="1535"/>
      <c r="R283" s="1535"/>
      <c r="S283" s="1535"/>
      <c r="T283" s="1535"/>
      <c r="U283" s="1535"/>
      <c r="V283" s="1535"/>
      <c r="W283" s="1535"/>
      <c r="X283" s="1535"/>
      <c r="Y283" s="1535"/>
      <c r="Z283" s="1535"/>
      <c r="AA283" s="1535"/>
      <c r="AB283" s="1535"/>
      <c r="AC283" s="1535"/>
      <c r="AD283" s="1535"/>
      <c r="AE283" s="1535"/>
      <c r="AF283" s="1535"/>
      <c r="AG283" s="1535"/>
      <c r="AH283" s="1535"/>
      <c r="AI283" s="1535"/>
      <c r="AJ283" s="1535"/>
      <c r="AK283" s="1535"/>
      <c r="AL283" s="1535"/>
      <c r="AM283" s="1535"/>
      <c r="AN283" s="1535"/>
      <c r="AO283" s="1535"/>
      <c r="AP283" s="1535"/>
      <c r="AQ283" s="1535"/>
      <c r="AR283" s="1535"/>
      <c r="AS283" s="1535"/>
      <c r="AT283" s="1535"/>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420" t="s">
        <v>2637</v>
      </c>
      <c r="I287" s="1420"/>
      <c r="J287" s="1420"/>
      <c r="K287" s="1420"/>
      <c r="L287" s="1420"/>
      <c r="M287" s="1420"/>
      <c r="N287" s="1420"/>
      <c r="O287" s="1420"/>
      <c r="P287" s="1420"/>
      <c r="Q287" s="1420"/>
      <c r="R287" s="1420"/>
      <c r="T287" s="3" t="s">
        <v>568</v>
      </c>
      <c r="V287" s="3"/>
      <c r="W287" s="3"/>
      <c r="X287" s="3"/>
      <c r="Y287" s="3"/>
      <c r="AA287" s="1420" t="s">
        <v>2645</v>
      </c>
      <c r="AB287" s="1420"/>
      <c r="AC287" s="1420"/>
      <c r="AD287" s="1420"/>
      <c r="AE287" s="1420"/>
      <c r="AF287" s="1420"/>
      <c r="AG287" s="1420"/>
      <c r="AH287" s="1420"/>
      <c r="AI287" s="1420"/>
      <c r="AJ287" s="1420"/>
      <c r="AK287" s="1420"/>
    </row>
    <row r="288" spans="1:51" ht="12.95" customHeight="1">
      <c r="B288" s="3" t="s">
        <v>472</v>
      </c>
      <c r="C288" s="3"/>
      <c r="D288" s="3"/>
      <c r="E288" s="3"/>
      <c r="F288" s="3"/>
      <c r="H288" s="1401" t="s">
        <v>2630</v>
      </c>
      <c r="I288" s="1401"/>
      <c r="J288" s="1401"/>
      <c r="K288" s="1401"/>
      <c r="L288" s="1401"/>
      <c r="M288" s="1401"/>
      <c r="N288" s="1401"/>
      <c r="O288" s="1401"/>
      <c r="P288" s="1401"/>
      <c r="Q288" s="1401"/>
      <c r="R288" s="1401"/>
      <c r="T288" s="3" t="s">
        <v>472</v>
      </c>
      <c r="V288" s="3"/>
      <c r="W288" s="3"/>
      <c r="X288" s="3"/>
      <c r="Y288" s="3"/>
      <c r="AA288" s="1401" t="s">
        <v>2646</v>
      </c>
      <c r="AB288" s="1401"/>
      <c r="AC288" s="1401"/>
      <c r="AD288" s="1401"/>
      <c r="AE288" s="1401"/>
      <c r="AF288" s="1401"/>
      <c r="AG288" s="1401"/>
      <c r="AH288" s="1401"/>
      <c r="AI288" s="1401"/>
      <c r="AJ288" s="1401"/>
      <c r="AK288" s="1401"/>
    </row>
    <row r="289" spans="2:37" ht="12.95" customHeight="1">
      <c r="B289" s="3" t="s">
        <v>473</v>
      </c>
      <c r="C289" s="3"/>
      <c r="D289" s="3"/>
      <c r="E289" s="3"/>
      <c r="F289" s="3"/>
      <c r="H289" s="1401" t="s">
        <v>2641</v>
      </c>
      <c r="I289" s="1401"/>
      <c r="J289" s="1401"/>
      <c r="K289" s="1401"/>
      <c r="L289" s="1401"/>
      <c r="M289" s="1401"/>
      <c r="N289" s="1401"/>
      <c r="O289" s="1401"/>
      <c r="P289" s="1401"/>
      <c r="Q289" s="1401"/>
      <c r="R289" s="1401"/>
      <c r="T289" s="3" t="s">
        <v>75</v>
      </c>
      <c r="V289" s="3"/>
      <c r="W289" s="3"/>
      <c r="X289" s="3"/>
      <c r="Y289" s="3"/>
      <c r="AA289" s="1401" t="s">
        <v>2647</v>
      </c>
      <c r="AB289" s="1401"/>
      <c r="AC289" s="1401"/>
      <c r="AD289" s="1401"/>
      <c r="AE289" s="1401"/>
      <c r="AF289" s="1401"/>
      <c r="AG289" s="1401"/>
      <c r="AH289" s="1401"/>
      <c r="AI289" s="1401"/>
      <c r="AJ289" s="1401"/>
      <c r="AK289" s="1401"/>
    </row>
    <row r="290" spans="2:37" ht="12.95" customHeight="1">
      <c r="B290" s="3" t="s">
        <v>87</v>
      </c>
      <c r="C290" s="3"/>
      <c r="D290" s="3"/>
      <c r="E290" s="3"/>
      <c r="F290" s="3"/>
      <c r="H290" s="1401" t="s">
        <v>2633</v>
      </c>
      <c r="I290" s="1401"/>
      <c r="J290" s="1401"/>
      <c r="K290" s="1401"/>
      <c r="L290" s="1401"/>
      <c r="M290" s="1401"/>
      <c r="N290" s="1401"/>
      <c r="O290" s="1401"/>
      <c r="P290" s="1401"/>
      <c r="Q290" s="1401"/>
      <c r="R290" s="1401"/>
      <c r="T290" s="3" t="s">
        <v>87</v>
      </c>
      <c r="V290" s="3"/>
      <c r="W290" s="3"/>
      <c r="X290" s="3"/>
      <c r="Y290" s="3"/>
      <c r="AA290" s="1401" t="s">
        <v>2648</v>
      </c>
      <c r="AB290" s="1401"/>
      <c r="AC290" s="1401"/>
      <c r="AD290" s="1401"/>
      <c r="AE290" s="1401"/>
      <c r="AF290" s="1401"/>
      <c r="AG290" s="1401"/>
      <c r="AH290" s="1401"/>
      <c r="AI290" s="1401"/>
      <c r="AJ290" s="1401"/>
      <c r="AK290" s="1401"/>
    </row>
    <row r="291" spans="2:37" ht="12.95" customHeight="1">
      <c r="B291" s="3" t="s">
        <v>88</v>
      </c>
      <c r="C291" s="3"/>
      <c r="D291" s="3"/>
      <c r="E291" s="3"/>
      <c r="F291" s="3"/>
      <c r="G291" s="3"/>
      <c r="H291" s="1545" t="s">
        <v>2642</v>
      </c>
      <c r="I291" s="1545"/>
      <c r="J291" s="1545"/>
      <c r="K291" s="1545"/>
      <c r="L291" s="1545"/>
      <c r="M291" s="1545"/>
      <c r="N291" s="4" t="s">
        <v>206</v>
      </c>
      <c r="O291" s="4"/>
      <c r="P291" s="1516"/>
      <c r="Q291" s="1516"/>
      <c r="R291" s="1516"/>
      <c r="S291" s="3"/>
      <c r="T291" s="3" t="s">
        <v>88</v>
      </c>
      <c r="V291" s="3"/>
      <c r="W291" s="3"/>
      <c r="X291" s="3"/>
      <c r="Y291" s="3"/>
      <c r="AA291" s="1545">
        <v>6507990045</v>
      </c>
      <c r="AB291" s="1545"/>
      <c r="AC291" s="1545"/>
      <c r="AD291" s="1545"/>
      <c r="AE291" s="1545"/>
      <c r="AF291" s="1545"/>
      <c r="AG291" s="4" t="s">
        <v>206</v>
      </c>
      <c r="AH291" s="4"/>
      <c r="AI291" s="1516"/>
      <c r="AJ291" s="1516"/>
      <c r="AK291" s="1516"/>
    </row>
    <row r="292" spans="2:37" ht="12.95" customHeight="1">
      <c r="B292" s="3" t="s">
        <v>89</v>
      </c>
      <c r="C292" s="3"/>
      <c r="D292" s="3"/>
      <c r="E292" s="3"/>
      <c r="F292" s="3"/>
      <c r="G292" s="3"/>
      <c r="H292" s="1496" t="s">
        <v>2643</v>
      </c>
      <c r="I292" s="1496"/>
      <c r="J292" s="1496"/>
      <c r="K292" s="1496"/>
      <c r="L292" s="1496"/>
      <c r="M292" s="1496"/>
      <c r="N292" s="4"/>
      <c r="O292" s="4"/>
      <c r="P292" s="35"/>
      <c r="Q292" s="35"/>
      <c r="R292" s="35"/>
      <c r="S292" s="3"/>
      <c r="T292" s="3" t="s">
        <v>89</v>
      </c>
      <c r="V292" s="3"/>
      <c r="W292" s="3"/>
      <c r="X292" s="3"/>
      <c r="Y292" s="3"/>
      <c r="AA292" s="1496"/>
      <c r="AB292" s="1496"/>
      <c r="AC292" s="1496"/>
      <c r="AD292" s="1496"/>
      <c r="AE292" s="1496"/>
      <c r="AF292" s="1496"/>
      <c r="AG292" s="4"/>
      <c r="AH292" s="4"/>
      <c r="AI292" s="35"/>
      <c r="AJ292" s="35"/>
      <c r="AK292" s="35"/>
    </row>
    <row r="293" spans="2:37" ht="12.95" customHeight="1">
      <c r="B293" s="3" t="s">
        <v>76</v>
      </c>
      <c r="C293" s="3"/>
      <c r="D293" s="3"/>
      <c r="E293" s="3"/>
      <c r="F293" s="3"/>
      <c r="G293" s="3"/>
      <c r="H293" s="1401" t="s">
        <v>2634</v>
      </c>
      <c r="I293" s="1401"/>
      <c r="J293" s="1401"/>
      <c r="K293" s="1401"/>
      <c r="L293" s="1401"/>
      <c r="M293" s="1401"/>
      <c r="N293" s="1420"/>
      <c r="O293" s="1420"/>
      <c r="P293" s="1420"/>
      <c r="Q293" s="1420"/>
      <c r="R293" s="1420"/>
      <c r="S293" s="3"/>
      <c r="T293" s="3" t="s">
        <v>76</v>
      </c>
      <c r="V293" s="3"/>
      <c r="W293" s="3"/>
      <c r="X293" s="3"/>
      <c r="Y293" s="3"/>
      <c r="AA293" s="1401" t="s">
        <v>2649</v>
      </c>
      <c r="AB293" s="1401"/>
      <c r="AC293" s="1401"/>
      <c r="AD293" s="1401"/>
      <c r="AE293" s="1401"/>
      <c r="AF293" s="1401"/>
      <c r="AG293" s="1420"/>
      <c r="AH293" s="1420"/>
      <c r="AI293" s="1420"/>
      <c r="AJ293" s="1420"/>
      <c r="AK293" s="1420"/>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420" t="s">
        <v>2650</v>
      </c>
      <c r="I295" s="1420"/>
      <c r="J295" s="1420"/>
      <c r="K295" s="1420"/>
      <c r="L295" s="1420"/>
      <c r="M295" s="1420"/>
      <c r="N295" s="1420"/>
      <c r="O295" s="1420"/>
      <c r="P295" s="1420"/>
      <c r="Q295" s="1420"/>
      <c r="R295" s="1420"/>
      <c r="T295" s="3" t="s">
        <v>364</v>
      </c>
      <c r="V295" s="3"/>
      <c r="W295" s="3"/>
      <c r="X295" s="3"/>
      <c r="Y295" s="3"/>
      <c r="AA295" s="1420" t="s">
        <v>2655</v>
      </c>
      <c r="AB295" s="1420"/>
      <c r="AC295" s="1420"/>
      <c r="AD295" s="1420"/>
      <c r="AE295" s="1420"/>
      <c r="AF295" s="1420"/>
      <c r="AG295" s="1420"/>
      <c r="AH295" s="1420"/>
      <c r="AI295" s="1420"/>
      <c r="AJ295" s="1420"/>
      <c r="AK295" s="1420"/>
    </row>
    <row r="296" spans="2:37" ht="12.95" customHeight="1">
      <c r="B296" s="3" t="s">
        <v>472</v>
      </c>
      <c r="C296" s="3"/>
      <c r="D296" s="3"/>
      <c r="E296" s="3"/>
      <c r="F296" s="3"/>
      <c r="H296" s="1401" t="s">
        <v>2651</v>
      </c>
      <c r="I296" s="1401"/>
      <c r="J296" s="1401"/>
      <c r="K296" s="1401"/>
      <c r="L296" s="1401"/>
      <c r="M296" s="1401"/>
      <c r="N296" s="1401"/>
      <c r="O296" s="1401"/>
      <c r="P296" s="1401"/>
      <c r="Q296" s="1401"/>
      <c r="R296" s="1401"/>
      <c r="T296" s="3" t="s">
        <v>472</v>
      </c>
      <c r="V296" s="3"/>
      <c r="W296" s="3"/>
      <c r="X296" s="3"/>
      <c r="Y296" s="3"/>
      <c r="AA296" s="1401" t="s">
        <v>2630</v>
      </c>
      <c r="AB296" s="1401"/>
      <c r="AC296" s="1401"/>
      <c r="AD296" s="1401"/>
      <c r="AE296" s="1401"/>
      <c r="AF296" s="1401"/>
      <c r="AG296" s="1401"/>
      <c r="AH296" s="1401"/>
      <c r="AI296" s="1401"/>
      <c r="AJ296" s="1401"/>
      <c r="AK296" s="1401"/>
    </row>
    <row r="297" spans="2:37" ht="12.95" customHeight="1">
      <c r="B297" s="3" t="s">
        <v>473</v>
      </c>
      <c r="C297" s="3"/>
      <c r="D297" s="3"/>
      <c r="E297" s="3"/>
      <c r="F297" s="3"/>
      <c r="H297" s="1401" t="s">
        <v>2652</v>
      </c>
      <c r="I297" s="1401"/>
      <c r="J297" s="1401"/>
      <c r="K297" s="1401"/>
      <c r="L297" s="1401"/>
      <c r="M297" s="1401"/>
      <c r="N297" s="1401"/>
      <c r="O297" s="1401"/>
      <c r="P297" s="1401"/>
      <c r="Q297" s="1401"/>
      <c r="R297" s="1401"/>
      <c r="T297" s="3" t="s">
        <v>75</v>
      </c>
      <c r="V297" s="3"/>
      <c r="W297" s="3"/>
      <c r="X297" s="3"/>
      <c r="Y297" s="3"/>
      <c r="AA297" s="1401" t="s">
        <v>2641</v>
      </c>
      <c r="AB297" s="1401"/>
      <c r="AC297" s="1401"/>
      <c r="AD297" s="1401"/>
      <c r="AE297" s="1401"/>
      <c r="AF297" s="1401"/>
      <c r="AG297" s="1401"/>
      <c r="AH297" s="1401"/>
      <c r="AI297" s="1401"/>
      <c r="AJ297" s="1401"/>
      <c r="AK297" s="1401"/>
    </row>
    <row r="298" spans="2:37" ht="12.95" customHeight="1">
      <c r="B298" s="3" t="s">
        <v>87</v>
      </c>
      <c r="C298" s="3"/>
      <c r="D298" s="3"/>
      <c r="E298" s="3"/>
      <c r="F298" s="3"/>
      <c r="H298" s="1401" t="s">
        <v>2653</v>
      </c>
      <c r="I298" s="1401"/>
      <c r="J298" s="1401"/>
      <c r="K298" s="1401"/>
      <c r="L298" s="1401"/>
      <c r="M298" s="1401"/>
      <c r="N298" s="1401"/>
      <c r="O298" s="1401"/>
      <c r="P298" s="1401"/>
      <c r="Q298" s="1401"/>
      <c r="R298" s="1401"/>
      <c r="T298" s="3" t="s">
        <v>87</v>
      </c>
      <c r="V298" s="3"/>
      <c r="W298" s="3"/>
      <c r="X298" s="3"/>
      <c r="Y298" s="3"/>
      <c r="AA298" s="1401" t="s">
        <v>2633</v>
      </c>
      <c r="AB298" s="1401"/>
      <c r="AC298" s="1401"/>
      <c r="AD298" s="1401"/>
      <c r="AE298" s="1401"/>
      <c r="AF298" s="1401"/>
      <c r="AG298" s="1401"/>
      <c r="AH298" s="1401"/>
      <c r="AI298" s="1401"/>
      <c r="AJ298" s="1401"/>
      <c r="AK298" s="1401"/>
    </row>
    <row r="299" spans="2:37" ht="12.95" customHeight="1">
      <c r="B299" s="3" t="s">
        <v>88</v>
      </c>
      <c r="C299" s="3"/>
      <c r="D299" s="3"/>
      <c r="E299" s="3"/>
      <c r="F299" s="3"/>
      <c r="G299" s="3"/>
      <c r="H299" s="1545">
        <v>9512156212</v>
      </c>
      <c r="I299" s="1545"/>
      <c r="J299" s="1545"/>
      <c r="K299" s="1545"/>
      <c r="L299" s="1545"/>
      <c r="M299" s="1545"/>
      <c r="N299" s="4" t="s">
        <v>206</v>
      </c>
      <c r="O299" s="4"/>
      <c r="P299" s="1516"/>
      <c r="Q299" s="1516"/>
      <c r="R299" s="1516"/>
      <c r="S299" s="3"/>
      <c r="T299" s="3" t="s">
        <v>88</v>
      </c>
      <c r="V299" s="3"/>
      <c r="W299" s="3"/>
      <c r="X299" s="3"/>
      <c r="Y299" s="3"/>
      <c r="AA299" s="1545" t="s">
        <v>2642</v>
      </c>
      <c r="AB299" s="1545"/>
      <c r="AC299" s="1545"/>
      <c r="AD299" s="1545"/>
      <c r="AE299" s="1545"/>
      <c r="AF299" s="1545"/>
      <c r="AG299" s="4" t="s">
        <v>206</v>
      </c>
      <c r="AH299" s="4"/>
      <c r="AI299" s="1516"/>
      <c r="AJ299" s="1516"/>
      <c r="AK299" s="1516"/>
    </row>
    <row r="300" spans="2:37" ht="12.95" customHeight="1">
      <c r="B300" s="3" t="s">
        <v>89</v>
      </c>
      <c r="C300" s="3"/>
      <c r="D300" s="3"/>
      <c r="E300" s="3"/>
      <c r="F300" s="3"/>
      <c r="G300" s="3"/>
      <c r="H300" s="1496"/>
      <c r="I300" s="1496"/>
      <c r="J300" s="1496"/>
      <c r="K300" s="1496"/>
      <c r="L300" s="1496"/>
      <c r="M300" s="1496"/>
      <c r="N300" s="4"/>
      <c r="O300" s="4"/>
      <c r="P300" s="35"/>
      <c r="Q300" s="35"/>
      <c r="R300" s="35"/>
      <c r="S300" s="3"/>
      <c r="T300" s="3" t="s">
        <v>89</v>
      </c>
      <c r="V300" s="3"/>
      <c r="W300" s="3"/>
      <c r="X300" s="3"/>
      <c r="Y300" s="3"/>
      <c r="AA300" s="1496" t="s">
        <v>2643</v>
      </c>
      <c r="AB300" s="1496"/>
      <c r="AC300" s="1496"/>
      <c r="AD300" s="1496"/>
      <c r="AE300" s="1496"/>
      <c r="AF300" s="1496"/>
      <c r="AG300" s="4"/>
      <c r="AH300" s="4"/>
      <c r="AI300" s="35"/>
      <c r="AJ300" s="35"/>
      <c r="AK300" s="35"/>
    </row>
    <row r="301" spans="2:37" ht="12.95" customHeight="1">
      <c r="B301" s="3" t="s">
        <v>76</v>
      </c>
      <c r="C301" s="3"/>
      <c r="D301" s="3"/>
      <c r="E301" s="3"/>
      <c r="F301" s="3"/>
      <c r="G301" s="3"/>
      <c r="H301" s="1401" t="s">
        <v>2654</v>
      </c>
      <c r="I301" s="1401"/>
      <c r="J301" s="1401"/>
      <c r="K301" s="1401"/>
      <c r="L301" s="1401"/>
      <c r="M301" s="1401"/>
      <c r="N301" s="1420"/>
      <c r="O301" s="1420"/>
      <c r="P301" s="1420"/>
      <c r="Q301" s="1420"/>
      <c r="R301" s="1420"/>
      <c r="S301" s="3"/>
      <c r="T301" s="3" t="s">
        <v>76</v>
      </c>
      <c r="V301" s="3"/>
      <c r="W301" s="3"/>
      <c r="X301" s="3"/>
      <c r="Y301" s="3"/>
      <c r="AA301" s="1401" t="s">
        <v>2634</v>
      </c>
      <c r="AB301" s="1401"/>
      <c r="AC301" s="1401"/>
      <c r="AD301" s="1401"/>
      <c r="AE301" s="1401"/>
      <c r="AF301" s="1401"/>
      <c r="AG301" s="1420"/>
      <c r="AH301" s="1420"/>
      <c r="AI301" s="1420"/>
      <c r="AJ301" s="1420"/>
      <c r="AK301" s="1420"/>
    </row>
    <row r="302" spans="2:37" ht="12.95" customHeight="1"/>
    <row r="303" spans="2:37" ht="12.95" customHeight="1">
      <c r="B303" s="3" t="s">
        <v>77</v>
      </c>
      <c r="C303" s="3"/>
      <c r="D303" s="3"/>
      <c r="E303" s="3"/>
      <c r="F303" s="3"/>
      <c r="H303" s="1420" t="s">
        <v>2656</v>
      </c>
      <c r="I303" s="1420"/>
      <c r="J303" s="1420"/>
      <c r="K303" s="1420"/>
      <c r="L303" s="1420"/>
      <c r="M303" s="1420"/>
      <c r="N303" s="1420"/>
      <c r="O303" s="1420"/>
      <c r="P303" s="1420"/>
      <c r="Q303" s="1420"/>
      <c r="R303" s="1420"/>
      <c r="T303" s="4" t="s">
        <v>879</v>
      </c>
      <c r="V303" s="3"/>
      <c r="W303" s="3"/>
      <c r="X303" s="3"/>
      <c r="Y303" s="3"/>
      <c r="AA303" s="1420" t="s">
        <v>2660</v>
      </c>
      <c r="AB303" s="1420"/>
      <c r="AC303" s="1420"/>
      <c r="AD303" s="1420"/>
      <c r="AE303" s="1420"/>
      <c r="AF303" s="1420"/>
      <c r="AG303" s="1420"/>
      <c r="AH303" s="1420"/>
      <c r="AI303" s="1420"/>
      <c r="AJ303" s="1420"/>
      <c r="AK303" s="1420"/>
    </row>
    <row r="304" spans="2:37" ht="12.95" customHeight="1">
      <c r="B304" s="3" t="s">
        <v>472</v>
      </c>
      <c r="C304" s="3"/>
      <c r="D304" s="3"/>
      <c r="E304" s="3"/>
      <c r="F304" s="3"/>
      <c r="H304" s="1401" t="s">
        <v>2657</v>
      </c>
      <c r="I304" s="1401"/>
      <c r="J304" s="1401"/>
      <c r="K304" s="1401"/>
      <c r="L304" s="1401"/>
      <c r="M304" s="1401"/>
      <c r="N304" s="1401"/>
      <c r="O304" s="1401"/>
      <c r="P304" s="1401"/>
      <c r="Q304" s="1401"/>
      <c r="R304" s="1401"/>
      <c r="T304" s="3" t="s">
        <v>472</v>
      </c>
      <c r="V304" s="3"/>
      <c r="W304" s="3"/>
      <c r="X304" s="3"/>
      <c r="Y304" s="3"/>
      <c r="AA304" s="1401" t="s">
        <v>2661</v>
      </c>
      <c r="AB304" s="1401"/>
      <c r="AC304" s="1401"/>
      <c r="AD304" s="1401"/>
      <c r="AE304" s="1401"/>
      <c r="AF304" s="1401"/>
      <c r="AG304" s="1401"/>
      <c r="AH304" s="1401"/>
      <c r="AI304" s="1401"/>
      <c r="AJ304" s="1401"/>
      <c r="AK304" s="1401"/>
    </row>
    <row r="305" spans="2:37" ht="12.95" customHeight="1">
      <c r="B305" s="3" t="s">
        <v>473</v>
      </c>
      <c r="C305" s="3"/>
      <c r="D305" s="3"/>
      <c r="E305" s="3"/>
      <c r="F305" s="3"/>
      <c r="H305" s="1401" t="s">
        <v>2658</v>
      </c>
      <c r="I305" s="1401"/>
      <c r="J305" s="1401"/>
      <c r="K305" s="1401"/>
      <c r="L305" s="1401"/>
      <c r="M305" s="1401"/>
      <c r="N305" s="1401"/>
      <c r="O305" s="1401"/>
      <c r="P305" s="1401"/>
      <c r="Q305" s="1401"/>
      <c r="R305" s="1401"/>
      <c r="T305" s="3" t="s">
        <v>75</v>
      </c>
      <c r="V305" s="3"/>
      <c r="W305" s="3"/>
      <c r="X305" s="3"/>
      <c r="Y305" s="3"/>
      <c r="AA305" s="1401" t="s">
        <v>2641</v>
      </c>
      <c r="AB305" s="1401"/>
      <c r="AC305" s="1401"/>
      <c r="AD305" s="1401"/>
      <c r="AE305" s="1401"/>
      <c r="AF305" s="1401"/>
      <c r="AG305" s="1401"/>
      <c r="AH305" s="1401"/>
      <c r="AI305" s="1401"/>
      <c r="AJ305" s="1401"/>
      <c r="AK305" s="1401"/>
    </row>
    <row r="306" spans="2:37" ht="12.95" customHeight="1">
      <c r="B306" s="3" t="s">
        <v>87</v>
      </c>
      <c r="C306" s="3"/>
      <c r="D306" s="3"/>
      <c r="E306" s="3"/>
      <c r="F306" s="3"/>
      <c r="H306" s="1401" t="s">
        <v>2659</v>
      </c>
      <c r="I306" s="1401"/>
      <c r="J306" s="1401"/>
      <c r="K306" s="1401"/>
      <c r="L306" s="1401"/>
      <c r="M306" s="1401"/>
      <c r="N306" s="1401"/>
      <c r="O306" s="1401"/>
      <c r="P306" s="1401"/>
      <c r="Q306" s="1401"/>
      <c r="R306" s="1401"/>
      <c r="T306" s="3" t="s">
        <v>87</v>
      </c>
      <c r="V306" s="3"/>
      <c r="W306" s="3"/>
      <c r="X306" s="3"/>
      <c r="Y306" s="3"/>
      <c r="AA306" s="1401" t="s">
        <v>2662</v>
      </c>
      <c r="AB306" s="1401"/>
      <c r="AC306" s="1401"/>
      <c r="AD306" s="1401"/>
      <c r="AE306" s="1401"/>
      <c r="AF306" s="1401"/>
      <c r="AG306" s="1401"/>
      <c r="AH306" s="1401"/>
      <c r="AI306" s="1401"/>
      <c r="AJ306" s="1401"/>
      <c r="AK306" s="1401"/>
    </row>
    <row r="307" spans="2:37" ht="12.95" customHeight="1">
      <c r="B307" s="3" t="s">
        <v>88</v>
      </c>
      <c r="C307" s="3"/>
      <c r="D307" s="3"/>
      <c r="E307" s="3"/>
      <c r="F307" s="3"/>
      <c r="G307" s="3"/>
      <c r="H307" s="1545">
        <v>2082875353</v>
      </c>
      <c r="I307" s="1545"/>
      <c r="J307" s="1545"/>
      <c r="K307" s="1545"/>
      <c r="L307" s="1545"/>
      <c r="M307" s="1545"/>
      <c r="N307" s="4" t="s">
        <v>206</v>
      </c>
      <c r="O307" s="4"/>
      <c r="P307" s="1516">
        <v>6</v>
      </c>
      <c r="Q307" s="1516"/>
      <c r="R307" s="1516"/>
      <c r="S307" s="3"/>
      <c r="T307" s="3" t="s">
        <v>88</v>
      </c>
      <c r="V307" s="3"/>
      <c r="W307" s="3"/>
      <c r="X307" s="3"/>
      <c r="Y307" s="3"/>
      <c r="AA307" s="1545">
        <v>7078221857</v>
      </c>
      <c r="AB307" s="1545"/>
      <c r="AC307" s="1545"/>
      <c r="AD307" s="1545"/>
      <c r="AE307" s="1545"/>
      <c r="AF307" s="1545"/>
      <c r="AG307" s="4" t="s">
        <v>206</v>
      </c>
      <c r="AH307" s="4"/>
      <c r="AI307" s="1516"/>
      <c r="AJ307" s="1516"/>
      <c r="AK307" s="1516"/>
    </row>
    <row r="308" spans="2:37" ht="12.95" customHeight="1">
      <c r="B308" s="3" t="s">
        <v>89</v>
      </c>
      <c r="C308" s="3"/>
      <c r="D308" s="3"/>
      <c r="E308" s="3"/>
      <c r="F308" s="3"/>
      <c r="G308" s="3"/>
      <c r="H308" s="1496"/>
      <c r="I308" s="1496"/>
      <c r="J308" s="1496"/>
      <c r="K308" s="1496"/>
      <c r="L308" s="1496"/>
      <c r="M308" s="1496"/>
      <c r="N308" s="4"/>
      <c r="O308" s="4"/>
      <c r="P308" s="35"/>
      <c r="Q308" s="35"/>
      <c r="R308" s="35"/>
      <c r="S308" s="3"/>
      <c r="T308" s="3" t="s">
        <v>89</v>
      </c>
      <c r="V308" s="3"/>
      <c r="W308" s="3"/>
      <c r="X308" s="3"/>
      <c r="Y308" s="3"/>
      <c r="AA308" s="1496"/>
      <c r="AB308" s="1496"/>
      <c r="AC308" s="1496"/>
      <c r="AD308" s="1496"/>
      <c r="AE308" s="1496"/>
      <c r="AF308" s="1496"/>
      <c r="AG308" s="4"/>
      <c r="AH308" s="4"/>
      <c r="AI308" s="35"/>
      <c r="AJ308" s="35"/>
      <c r="AK308" s="35"/>
    </row>
    <row r="309" spans="2:37" ht="12.95" customHeight="1">
      <c r="B309" s="3" t="s">
        <v>76</v>
      </c>
      <c r="C309" s="3"/>
      <c r="D309" s="3"/>
      <c r="E309" s="3"/>
      <c r="F309" s="3"/>
      <c r="G309" s="3"/>
      <c r="H309" s="1401" t="s">
        <v>2664</v>
      </c>
      <c r="I309" s="1401"/>
      <c r="J309" s="1401"/>
      <c r="K309" s="1401"/>
      <c r="L309" s="1401"/>
      <c r="M309" s="1401"/>
      <c r="N309" s="1420"/>
      <c r="O309" s="1420"/>
      <c r="P309" s="1420"/>
      <c r="Q309" s="1420"/>
      <c r="R309" s="1420"/>
      <c r="S309" s="3"/>
      <c r="T309" s="3" t="s">
        <v>76</v>
      </c>
      <c r="V309" s="3"/>
      <c r="W309" s="3"/>
      <c r="X309" s="3"/>
      <c r="Y309" s="3"/>
      <c r="AA309" s="1401" t="s">
        <v>2663</v>
      </c>
      <c r="AB309" s="1401"/>
      <c r="AC309" s="1401"/>
      <c r="AD309" s="1401"/>
      <c r="AE309" s="1401"/>
      <c r="AF309" s="1401"/>
      <c r="AG309" s="1420"/>
      <c r="AH309" s="1420"/>
      <c r="AI309" s="1420"/>
      <c r="AJ309" s="1420"/>
      <c r="AK309" s="1420"/>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420"/>
      <c r="I311" s="1420"/>
      <c r="J311" s="1420"/>
      <c r="K311" s="1420"/>
      <c r="L311" s="1420"/>
      <c r="M311" s="1420"/>
      <c r="N311" s="1420"/>
      <c r="O311" s="1420"/>
      <c r="P311" s="1420"/>
      <c r="Q311" s="1420"/>
      <c r="R311" s="1420"/>
      <c r="S311" s="3"/>
      <c r="T311" s="3" t="s">
        <v>365</v>
      </c>
      <c r="V311" s="3"/>
      <c r="W311" s="3"/>
      <c r="X311" s="3"/>
      <c r="Y311" s="3"/>
      <c r="AA311" s="1420" t="s">
        <v>2665</v>
      </c>
      <c r="AB311" s="1420"/>
      <c r="AC311" s="1420"/>
      <c r="AD311" s="1420"/>
      <c r="AE311" s="1420"/>
      <c r="AF311" s="1420"/>
      <c r="AG311" s="1420"/>
      <c r="AH311" s="1420"/>
      <c r="AI311" s="1420"/>
      <c r="AJ311" s="1420"/>
      <c r="AK311" s="1420"/>
    </row>
    <row r="312" spans="2:37" ht="12.95" customHeight="1">
      <c r="B312" s="3" t="s">
        <v>472</v>
      </c>
      <c r="C312" s="3"/>
      <c r="D312" s="3"/>
      <c r="E312" s="3"/>
      <c r="F312" s="3"/>
      <c r="H312" s="1401"/>
      <c r="I312" s="1401"/>
      <c r="J312" s="1401"/>
      <c r="K312" s="1401"/>
      <c r="L312" s="1401"/>
      <c r="M312" s="1401"/>
      <c r="N312" s="1401"/>
      <c r="O312" s="1401"/>
      <c r="P312" s="1401"/>
      <c r="Q312" s="1401"/>
      <c r="R312" s="1401"/>
      <c r="S312" s="3"/>
      <c r="T312" s="3" t="s">
        <v>472</v>
      </c>
      <c r="V312" s="3"/>
      <c r="W312" s="3"/>
      <c r="X312" s="3"/>
      <c r="Y312" s="3"/>
      <c r="AA312" s="1401" t="s">
        <v>2666</v>
      </c>
      <c r="AB312" s="1401"/>
      <c r="AC312" s="1401"/>
      <c r="AD312" s="1401"/>
      <c r="AE312" s="1401"/>
      <c r="AF312" s="1401"/>
      <c r="AG312" s="1401"/>
      <c r="AH312" s="1401"/>
      <c r="AI312" s="1401"/>
      <c r="AJ312" s="1401"/>
      <c r="AK312" s="1401"/>
    </row>
    <row r="313" spans="2:37" ht="12.95" customHeight="1">
      <c r="B313" s="3" t="s">
        <v>473</v>
      </c>
      <c r="C313" s="3"/>
      <c r="D313" s="3"/>
      <c r="E313" s="3"/>
      <c r="F313" s="3"/>
      <c r="H313" s="1401"/>
      <c r="I313" s="1401"/>
      <c r="J313" s="1401"/>
      <c r="K313" s="1401"/>
      <c r="L313" s="1401"/>
      <c r="M313" s="1401"/>
      <c r="N313" s="1401"/>
      <c r="O313" s="1401"/>
      <c r="P313" s="1401"/>
      <c r="Q313" s="1401"/>
      <c r="R313" s="1401"/>
      <c r="S313" s="3"/>
      <c r="T313" s="3" t="s">
        <v>75</v>
      </c>
      <c r="V313" s="3"/>
      <c r="W313" s="3"/>
      <c r="X313" s="3"/>
      <c r="Y313" s="3"/>
      <c r="AA313" s="1401" t="s">
        <v>2667</v>
      </c>
      <c r="AB313" s="1401"/>
      <c r="AC313" s="1401"/>
      <c r="AD313" s="1401"/>
      <c r="AE313" s="1401"/>
      <c r="AF313" s="1401"/>
      <c r="AG313" s="1401"/>
      <c r="AH313" s="1401"/>
      <c r="AI313" s="1401"/>
      <c r="AJ313" s="1401"/>
      <c r="AK313" s="1401"/>
    </row>
    <row r="314" spans="2:37" ht="12.95" customHeight="1">
      <c r="B314" s="3" t="s">
        <v>87</v>
      </c>
      <c r="C314" s="3"/>
      <c r="D314" s="3"/>
      <c r="E314" s="3"/>
      <c r="F314" s="3"/>
      <c r="H314" s="1401"/>
      <c r="I314" s="1401"/>
      <c r="J314" s="1401"/>
      <c r="K314" s="1401"/>
      <c r="L314" s="1401"/>
      <c r="M314" s="1401"/>
      <c r="N314" s="1401"/>
      <c r="O314" s="1401"/>
      <c r="P314" s="1401"/>
      <c r="Q314" s="1401"/>
      <c r="R314" s="1401"/>
      <c r="S314" s="3"/>
      <c r="T314" s="3" t="s">
        <v>87</v>
      </c>
      <c r="V314" s="3"/>
      <c r="W314" s="3"/>
      <c r="X314" s="3"/>
      <c r="Y314" s="3"/>
      <c r="AA314" s="1401" t="s">
        <v>2668</v>
      </c>
      <c r="AB314" s="1401"/>
      <c r="AC314" s="1401"/>
      <c r="AD314" s="1401"/>
      <c r="AE314" s="1401"/>
      <c r="AF314" s="1401"/>
      <c r="AG314" s="1401"/>
      <c r="AH314" s="1401"/>
      <c r="AI314" s="1401"/>
      <c r="AJ314" s="1401"/>
      <c r="AK314" s="1401"/>
    </row>
    <row r="315" spans="2:37" ht="12.95" customHeight="1">
      <c r="B315" s="3" t="s">
        <v>88</v>
      </c>
      <c r="C315" s="3"/>
      <c r="D315" s="3"/>
      <c r="E315" s="3"/>
      <c r="F315" s="3"/>
      <c r="G315" s="3"/>
      <c r="H315" s="1545"/>
      <c r="I315" s="1545"/>
      <c r="J315" s="1545"/>
      <c r="K315" s="1545"/>
      <c r="L315" s="1545"/>
      <c r="M315" s="1545"/>
      <c r="N315" s="4" t="s">
        <v>206</v>
      </c>
      <c r="O315" s="4"/>
      <c r="P315" s="1516"/>
      <c r="Q315" s="1516"/>
      <c r="R315" s="1516"/>
      <c r="S315" s="3"/>
      <c r="T315" s="3" t="s">
        <v>88</v>
      </c>
      <c r="V315" s="3"/>
      <c r="W315" s="3"/>
      <c r="X315" s="3"/>
      <c r="Y315" s="3"/>
      <c r="AA315" s="1545">
        <v>3108604550</v>
      </c>
      <c r="AB315" s="1545"/>
      <c r="AC315" s="1545"/>
      <c r="AD315" s="1545"/>
      <c r="AE315" s="1545"/>
      <c r="AF315" s="1545"/>
      <c r="AG315" s="4" t="s">
        <v>206</v>
      </c>
      <c r="AH315" s="4"/>
      <c r="AI315" s="1516"/>
      <c r="AJ315" s="1516"/>
      <c r="AK315" s="1516"/>
    </row>
    <row r="316" spans="2:37" ht="12.95" customHeight="1">
      <c r="B316" s="3" t="s">
        <v>89</v>
      </c>
      <c r="C316" s="3"/>
      <c r="D316" s="3"/>
      <c r="E316" s="3"/>
      <c r="F316" s="3"/>
      <c r="G316" s="3"/>
      <c r="H316" s="1496"/>
      <c r="I316" s="1496"/>
      <c r="J316" s="1496"/>
      <c r="K316" s="1496"/>
      <c r="L316" s="1496"/>
      <c r="M316" s="1496"/>
      <c r="N316" s="4"/>
      <c r="O316" s="4"/>
      <c r="P316" s="35"/>
      <c r="Q316" s="35"/>
      <c r="R316" s="35"/>
      <c r="S316" s="3"/>
      <c r="T316" s="3" t="s">
        <v>89</v>
      </c>
      <c r="V316" s="3"/>
      <c r="W316" s="3"/>
      <c r="X316" s="3"/>
      <c r="Y316" s="3"/>
      <c r="AA316" s="1496"/>
      <c r="AB316" s="1496"/>
      <c r="AC316" s="1496"/>
      <c r="AD316" s="1496"/>
      <c r="AE316" s="1496"/>
      <c r="AF316" s="1496"/>
      <c r="AG316" s="4"/>
      <c r="AH316" s="4"/>
      <c r="AI316" s="35"/>
      <c r="AJ316" s="35"/>
      <c r="AK316" s="35"/>
    </row>
    <row r="317" spans="2:37" ht="12.95" customHeight="1">
      <c r="B317" s="3" t="s">
        <v>76</v>
      </c>
      <c r="C317" s="3"/>
      <c r="D317" s="3"/>
      <c r="E317" s="3"/>
      <c r="F317" s="3"/>
      <c r="G317" s="3"/>
      <c r="H317" s="1401"/>
      <c r="I317" s="1401"/>
      <c r="J317" s="1401"/>
      <c r="K317" s="1401"/>
      <c r="L317" s="1401"/>
      <c r="M317" s="1401"/>
      <c r="N317" s="1420"/>
      <c r="O317" s="1420"/>
      <c r="P317" s="1420"/>
      <c r="Q317" s="1420"/>
      <c r="R317" s="1420"/>
      <c r="S317" s="3"/>
      <c r="T317" s="3" t="s">
        <v>76</v>
      </c>
      <c r="V317" s="3"/>
      <c r="W317" s="3"/>
      <c r="X317" s="3"/>
      <c r="Y317" s="3"/>
      <c r="AA317" s="1401" t="s">
        <v>2669</v>
      </c>
      <c r="AB317" s="1401"/>
      <c r="AC317" s="1401"/>
      <c r="AD317" s="1401"/>
      <c r="AE317" s="1401"/>
      <c r="AF317" s="1401"/>
      <c r="AG317" s="1420"/>
      <c r="AH317" s="1420"/>
      <c r="AI317" s="1420"/>
      <c r="AJ317" s="1420"/>
      <c r="AK317" s="1420"/>
    </row>
    <row r="318" spans="2:37" ht="12.95" customHeight="1"/>
    <row r="319" spans="2:37" ht="12.95" customHeight="1">
      <c r="B319" s="4" t="s">
        <v>909</v>
      </c>
      <c r="C319" s="3"/>
      <c r="D319" s="3"/>
      <c r="E319" s="3"/>
      <c r="F319" s="3"/>
      <c r="H319" s="1420"/>
      <c r="I319" s="1420"/>
      <c r="J319" s="1420"/>
      <c r="K319" s="1420"/>
      <c r="L319" s="1420"/>
      <c r="M319" s="1420"/>
      <c r="N319" s="1420"/>
      <c r="O319" s="1420"/>
      <c r="P319" s="1420"/>
      <c r="Q319" s="1420"/>
      <c r="R319" s="1420"/>
      <c r="T319" s="3" t="s">
        <v>366</v>
      </c>
      <c r="V319" s="3"/>
      <c r="W319" s="3"/>
      <c r="X319" s="3"/>
      <c r="Y319" s="3"/>
      <c r="AA319" s="1420" t="s">
        <v>2670</v>
      </c>
      <c r="AB319" s="1420"/>
      <c r="AC319" s="1420"/>
      <c r="AD319" s="1420"/>
      <c r="AE319" s="1420"/>
      <c r="AF319" s="1420"/>
      <c r="AG319" s="1420"/>
      <c r="AH319" s="1420"/>
      <c r="AI319" s="1420"/>
      <c r="AJ319" s="1420"/>
      <c r="AK319" s="1420"/>
    </row>
    <row r="320" spans="2:37" ht="12.95" customHeight="1">
      <c r="B320" s="3" t="s">
        <v>472</v>
      </c>
      <c r="C320" s="3"/>
      <c r="D320" s="3"/>
      <c r="E320" s="3"/>
      <c r="F320" s="3"/>
      <c r="H320" s="1401"/>
      <c r="I320" s="1401"/>
      <c r="J320" s="1401"/>
      <c r="K320" s="1401"/>
      <c r="L320" s="1401"/>
      <c r="M320" s="1401"/>
      <c r="N320" s="1401"/>
      <c r="O320" s="1401"/>
      <c r="P320" s="1401"/>
      <c r="Q320" s="1401"/>
      <c r="R320" s="1401"/>
      <c r="T320" s="3" t="s">
        <v>472</v>
      </c>
      <c r="V320" s="3"/>
      <c r="W320" s="3"/>
      <c r="X320" s="3"/>
      <c r="Y320" s="3"/>
      <c r="AA320" s="1401" t="s">
        <v>2671</v>
      </c>
      <c r="AB320" s="1401"/>
      <c r="AC320" s="1401"/>
      <c r="AD320" s="1401"/>
      <c r="AE320" s="1401"/>
      <c r="AF320" s="1401"/>
      <c r="AG320" s="1401"/>
      <c r="AH320" s="1401"/>
      <c r="AI320" s="1401"/>
      <c r="AJ320" s="1401"/>
      <c r="AK320" s="1401"/>
    </row>
    <row r="321" spans="2:37" ht="12.95" customHeight="1">
      <c r="B321" s="3" t="s">
        <v>473</v>
      </c>
      <c r="C321" s="3"/>
      <c r="D321" s="3"/>
      <c r="E321" s="3"/>
      <c r="F321" s="3"/>
      <c r="H321" s="1401"/>
      <c r="I321" s="1401"/>
      <c r="J321" s="1401"/>
      <c r="K321" s="1401"/>
      <c r="L321" s="1401"/>
      <c r="M321" s="1401"/>
      <c r="N321" s="1401"/>
      <c r="O321" s="1401"/>
      <c r="P321" s="1401"/>
      <c r="Q321" s="1401"/>
      <c r="R321" s="1401"/>
      <c r="T321" s="3" t="s">
        <v>75</v>
      </c>
      <c r="V321" s="3"/>
      <c r="W321" s="3"/>
      <c r="X321" s="3"/>
      <c r="Y321" s="3"/>
      <c r="AA321" s="1401" t="s">
        <v>2672</v>
      </c>
      <c r="AB321" s="1401"/>
      <c r="AC321" s="1401"/>
      <c r="AD321" s="1401"/>
      <c r="AE321" s="1401"/>
      <c r="AF321" s="1401"/>
      <c r="AG321" s="1401"/>
      <c r="AH321" s="1401"/>
      <c r="AI321" s="1401"/>
      <c r="AJ321" s="1401"/>
      <c r="AK321" s="1401"/>
    </row>
    <row r="322" spans="2:37" ht="12.95" customHeight="1">
      <c r="B322" s="3" t="s">
        <v>87</v>
      </c>
      <c r="C322" s="3"/>
      <c r="D322" s="3"/>
      <c r="E322" s="3"/>
      <c r="F322" s="3"/>
      <c r="H322" s="1401"/>
      <c r="I322" s="1401"/>
      <c r="J322" s="1401"/>
      <c r="K322" s="1401"/>
      <c r="L322" s="1401"/>
      <c r="M322" s="1401"/>
      <c r="N322" s="1401"/>
      <c r="O322" s="1401"/>
      <c r="P322" s="1401"/>
      <c r="Q322" s="1401"/>
      <c r="R322" s="1401"/>
      <c r="T322" s="3" t="s">
        <v>87</v>
      </c>
      <c r="V322" s="3"/>
      <c r="W322" s="3"/>
      <c r="X322" s="3"/>
      <c r="Y322" s="3"/>
      <c r="AA322" s="1401" t="s">
        <v>2673</v>
      </c>
      <c r="AB322" s="1401"/>
      <c r="AC322" s="1401"/>
      <c r="AD322" s="1401"/>
      <c r="AE322" s="1401"/>
      <c r="AF322" s="1401"/>
      <c r="AG322" s="1401"/>
      <c r="AH322" s="1401"/>
      <c r="AI322" s="1401"/>
      <c r="AJ322" s="1401"/>
      <c r="AK322" s="1401"/>
    </row>
    <row r="323" spans="2:37" ht="12.95" customHeight="1">
      <c r="B323" s="3" t="s">
        <v>88</v>
      </c>
      <c r="C323" s="3"/>
      <c r="D323" s="3"/>
      <c r="E323" s="3"/>
      <c r="F323" s="3"/>
      <c r="G323" s="3"/>
      <c r="H323" s="1545"/>
      <c r="I323" s="1545"/>
      <c r="J323" s="1545"/>
      <c r="K323" s="1545"/>
      <c r="L323" s="1545"/>
      <c r="M323" s="1545"/>
      <c r="N323" s="4" t="s">
        <v>206</v>
      </c>
      <c r="O323" s="4"/>
      <c r="P323" s="1516"/>
      <c r="Q323" s="1516"/>
      <c r="R323" s="1516"/>
      <c r="S323" s="3"/>
      <c r="T323" s="3" t="s">
        <v>88</v>
      </c>
      <c r="V323" s="3"/>
      <c r="W323" s="3"/>
      <c r="X323" s="3"/>
      <c r="Y323" s="3"/>
      <c r="AA323" s="1545">
        <v>9163726100</v>
      </c>
      <c r="AB323" s="1545"/>
      <c r="AC323" s="1545"/>
      <c r="AD323" s="1545"/>
      <c r="AE323" s="1545"/>
      <c r="AF323" s="1545"/>
      <c r="AG323" s="4" t="s">
        <v>206</v>
      </c>
      <c r="AH323" s="4"/>
      <c r="AI323" s="1516"/>
      <c r="AJ323" s="1516"/>
      <c r="AK323" s="1516"/>
    </row>
    <row r="324" spans="2:37" ht="12.95" customHeight="1">
      <c r="B324" s="3" t="s">
        <v>89</v>
      </c>
      <c r="C324" s="3"/>
      <c r="D324" s="3"/>
      <c r="E324" s="3"/>
      <c r="F324" s="3"/>
      <c r="G324" s="3"/>
      <c r="H324" s="1496"/>
      <c r="I324" s="1496"/>
      <c r="J324" s="1496"/>
      <c r="K324" s="1496"/>
      <c r="L324" s="1496"/>
      <c r="M324" s="1496"/>
      <c r="N324" s="4"/>
      <c r="O324" s="4"/>
      <c r="P324" s="35"/>
      <c r="Q324" s="35"/>
      <c r="R324" s="35"/>
      <c r="S324" s="3"/>
      <c r="T324" s="3" t="s">
        <v>89</v>
      </c>
      <c r="V324" s="3"/>
      <c r="W324" s="3"/>
      <c r="X324" s="3"/>
      <c r="Y324" s="3"/>
      <c r="AA324" s="1496">
        <v>9164916108</v>
      </c>
      <c r="AB324" s="1496"/>
      <c r="AC324" s="1496"/>
      <c r="AD324" s="1496"/>
      <c r="AE324" s="1496"/>
      <c r="AF324" s="1496"/>
      <c r="AG324" s="4"/>
      <c r="AH324" s="4"/>
      <c r="AI324" s="35"/>
      <c r="AJ324" s="35"/>
      <c r="AK324" s="35"/>
    </row>
    <row r="325" spans="2:37" ht="12.95" customHeight="1">
      <c r="B325" s="3" t="s">
        <v>76</v>
      </c>
      <c r="C325" s="3"/>
      <c r="D325" s="3"/>
      <c r="E325" s="3"/>
      <c r="F325" s="3"/>
      <c r="G325" s="3"/>
      <c r="H325" s="1401"/>
      <c r="I325" s="1401"/>
      <c r="J325" s="1401"/>
      <c r="K325" s="1401"/>
      <c r="L325" s="1401"/>
      <c r="M325" s="1401"/>
      <c r="N325" s="1420"/>
      <c r="O325" s="1420"/>
      <c r="P325" s="1420"/>
      <c r="Q325" s="1420"/>
      <c r="R325" s="1420"/>
      <c r="S325" s="3"/>
      <c r="T325" s="3" t="s">
        <v>76</v>
      </c>
      <c r="V325" s="3"/>
      <c r="W325" s="3"/>
      <c r="X325" s="3"/>
      <c r="Y325" s="3"/>
      <c r="AA325" s="1401" t="s">
        <v>2674</v>
      </c>
      <c r="AB325" s="1401"/>
      <c r="AC325" s="1401"/>
      <c r="AD325" s="1401"/>
      <c r="AE325" s="1401"/>
      <c r="AF325" s="1401"/>
      <c r="AG325" s="1420"/>
      <c r="AH325" s="1420"/>
      <c r="AI325" s="1420"/>
      <c r="AJ325" s="1420"/>
      <c r="AK325" s="1420"/>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420"/>
      <c r="I327" s="1420"/>
      <c r="J327" s="1420"/>
      <c r="K327" s="1420"/>
      <c r="L327" s="1420"/>
      <c r="M327" s="1420"/>
      <c r="N327" s="1420"/>
      <c r="O327" s="1420"/>
      <c r="P327" s="1420"/>
      <c r="Q327" s="1420"/>
      <c r="R327" s="1420"/>
      <c r="T327" s="3" t="s">
        <v>368</v>
      </c>
      <c r="V327" s="3"/>
      <c r="W327" s="3"/>
      <c r="X327" s="3"/>
      <c r="Y327" s="3"/>
      <c r="AA327" s="1420"/>
      <c r="AB327" s="1420"/>
      <c r="AC327" s="1420"/>
      <c r="AD327" s="1420"/>
      <c r="AE327" s="1420"/>
      <c r="AF327" s="1420"/>
      <c r="AG327" s="1420"/>
      <c r="AH327" s="1420"/>
      <c r="AI327" s="1420"/>
      <c r="AJ327" s="1420"/>
      <c r="AK327" s="1420"/>
    </row>
    <row r="328" spans="2:37" ht="12.95" customHeight="1">
      <c r="B328" s="3" t="s">
        <v>472</v>
      </c>
      <c r="C328" s="3"/>
      <c r="D328" s="3"/>
      <c r="E328" s="3"/>
      <c r="F328" s="3"/>
      <c r="H328" s="1401"/>
      <c r="I328" s="1401"/>
      <c r="J328" s="1401"/>
      <c r="K328" s="1401"/>
      <c r="L328" s="1401"/>
      <c r="M328" s="1401"/>
      <c r="N328" s="1401"/>
      <c r="O328" s="1401"/>
      <c r="P328" s="1401"/>
      <c r="Q328" s="1401"/>
      <c r="R328" s="1401"/>
      <c r="T328" s="3" t="s">
        <v>472</v>
      </c>
      <c r="V328" s="3"/>
      <c r="W328" s="3"/>
      <c r="X328" s="3"/>
      <c r="Y328" s="3"/>
      <c r="AA328" s="1401"/>
      <c r="AB328" s="1401"/>
      <c r="AC328" s="1401"/>
      <c r="AD328" s="1401"/>
      <c r="AE328" s="1401"/>
      <c r="AF328" s="1401"/>
      <c r="AG328" s="1401"/>
      <c r="AH328" s="1401"/>
      <c r="AI328" s="1401"/>
      <c r="AJ328" s="1401"/>
      <c r="AK328" s="1401"/>
    </row>
    <row r="329" spans="2:37" ht="12.95" customHeight="1">
      <c r="B329" s="3" t="s">
        <v>473</v>
      </c>
      <c r="C329" s="3"/>
      <c r="D329" s="3"/>
      <c r="E329" s="3"/>
      <c r="F329" s="3"/>
      <c r="H329" s="1401"/>
      <c r="I329" s="1401"/>
      <c r="J329" s="1401"/>
      <c r="K329" s="1401"/>
      <c r="L329" s="1401"/>
      <c r="M329" s="1401"/>
      <c r="N329" s="1401"/>
      <c r="O329" s="1401"/>
      <c r="P329" s="1401"/>
      <c r="Q329" s="1401"/>
      <c r="R329" s="1401"/>
      <c r="T329" s="3" t="s">
        <v>75</v>
      </c>
      <c r="V329" s="3"/>
      <c r="W329" s="3"/>
      <c r="X329" s="3"/>
      <c r="Y329" s="3"/>
      <c r="AA329" s="1401"/>
      <c r="AB329" s="1401"/>
      <c r="AC329" s="1401"/>
      <c r="AD329" s="1401"/>
      <c r="AE329" s="1401"/>
      <c r="AF329" s="1401"/>
      <c r="AG329" s="1401"/>
      <c r="AH329" s="1401"/>
      <c r="AI329" s="1401"/>
      <c r="AJ329" s="1401"/>
      <c r="AK329" s="1401"/>
    </row>
    <row r="330" spans="2:37" ht="12.95" customHeight="1">
      <c r="B330" s="3" t="s">
        <v>87</v>
      </c>
      <c r="C330" s="3"/>
      <c r="D330" s="3"/>
      <c r="E330" s="3"/>
      <c r="F330" s="3"/>
      <c r="H330" s="1401"/>
      <c r="I330" s="1401"/>
      <c r="J330" s="1401"/>
      <c r="K330" s="1401"/>
      <c r="L330" s="1401"/>
      <c r="M330" s="1401"/>
      <c r="N330" s="1401"/>
      <c r="O330" s="1401"/>
      <c r="P330" s="1401"/>
      <c r="Q330" s="1401"/>
      <c r="R330" s="1401"/>
      <c r="T330" s="3" t="s">
        <v>87</v>
      </c>
      <c r="V330" s="3"/>
      <c r="W330" s="3"/>
      <c r="X330" s="3"/>
      <c r="Y330" s="3"/>
      <c r="AA330" s="1401"/>
      <c r="AB330" s="1401"/>
      <c r="AC330" s="1401"/>
      <c r="AD330" s="1401"/>
      <c r="AE330" s="1401"/>
      <c r="AF330" s="1401"/>
      <c r="AG330" s="1401"/>
      <c r="AH330" s="1401"/>
      <c r="AI330" s="1401"/>
      <c r="AJ330" s="1401"/>
      <c r="AK330" s="1401"/>
    </row>
    <row r="331" spans="2:37" ht="12.95" customHeight="1">
      <c r="B331" s="3" t="s">
        <v>88</v>
      </c>
      <c r="C331" s="3"/>
      <c r="D331" s="3"/>
      <c r="E331" s="3"/>
      <c r="F331" s="3"/>
      <c r="G331" s="3"/>
      <c r="H331" s="1545"/>
      <c r="I331" s="1545"/>
      <c r="J331" s="1545"/>
      <c r="K331" s="1545"/>
      <c r="L331" s="1545"/>
      <c r="M331" s="1545"/>
      <c r="N331" s="4" t="s">
        <v>206</v>
      </c>
      <c r="O331" s="4"/>
      <c r="P331" s="1516"/>
      <c r="Q331" s="1516"/>
      <c r="R331" s="1516"/>
      <c r="S331" s="3"/>
      <c r="T331" s="3" t="s">
        <v>88</v>
      </c>
      <c r="V331" s="3"/>
      <c r="W331" s="3"/>
      <c r="X331" s="3"/>
      <c r="Y331" s="3"/>
      <c r="AA331" s="1545"/>
      <c r="AB331" s="1545"/>
      <c r="AC331" s="1545"/>
      <c r="AD331" s="1545"/>
      <c r="AE331" s="1545"/>
      <c r="AF331" s="1545"/>
      <c r="AG331" s="4" t="s">
        <v>206</v>
      </c>
      <c r="AH331" s="4"/>
      <c r="AI331" s="1516"/>
      <c r="AJ331" s="1516"/>
      <c r="AK331" s="1516"/>
    </row>
    <row r="332" spans="2:37" ht="12.95" customHeight="1">
      <c r="B332" s="3" t="s">
        <v>89</v>
      </c>
      <c r="C332" s="3"/>
      <c r="D332" s="3"/>
      <c r="E332" s="3"/>
      <c r="F332" s="3"/>
      <c r="G332" s="3"/>
      <c r="H332" s="1496"/>
      <c r="I332" s="1496"/>
      <c r="J332" s="1496"/>
      <c r="K332" s="1496"/>
      <c r="L332" s="1496"/>
      <c r="M332" s="1496"/>
      <c r="N332" s="4"/>
      <c r="O332" s="4"/>
      <c r="P332" s="35"/>
      <c r="Q332" s="35"/>
      <c r="R332" s="35"/>
      <c r="S332" s="3"/>
      <c r="T332" s="3" t="s">
        <v>89</v>
      </c>
      <c r="V332" s="3"/>
      <c r="W332" s="3"/>
      <c r="X332" s="3"/>
      <c r="Y332" s="3"/>
      <c r="AA332" s="1496"/>
      <c r="AB332" s="1496"/>
      <c r="AC332" s="1496"/>
      <c r="AD332" s="1496"/>
      <c r="AE332" s="1496"/>
      <c r="AF332" s="1496"/>
      <c r="AG332" s="4"/>
      <c r="AH332" s="4"/>
      <c r="AI332" s="35"/>
      <c r="AJ332" s="35"/>
      <c r="AK332" s="35"/>
    </row>
    <row r="333" spans="2:37" ht="12.95" customHeight="1">
      <c r="B333" s="3" t="s">
        <v>76</v>
      </c>
      <c r="C333" s="3"/>
      <c r="D333" s="3"/>
      <c r="E333" s="3"/>
      <c r="F333" s="3"/>
      <c r="G333" s="3"/>
      <c r="H333" s="1401"/>
      <c r="I333" s="1401"/>
      <c r="J333" s="1401"/>
      <c r="K333" s="1401"/>
      <c r="L333" s="1401"/>
      <c r="M333" s="1401"/>
      <c r="N333" s="1420"/>
      <c r="O333" s="1420"/>
      <c r="P333" s="1420"/>
      <c r="Q333" s="1420"/>
      <c r="R333" s="1420"/>
      <c r="S333" s="3"/>
      <c r="T333" s="3" t="s">
        <v>76</v>
      </c>
      <c r="V333" s="3"/>
      <c r="W333" s="3"/>
      <c r="X333" s="3"/>
      <c r="Y333" s="3"/>
      <c r="AA333" s="1401"/>
      <c r="AB333" s="1401"/>
      <c r="AC333" s="1401"/>
      <c r="AD333" s="1401"/>
      <c r="AE333" s="1401"/>
      <c r="AF333" s="1401"/>
      <c r="AG333" s="1420"/>
      <c r="AH333" s="1420"/>
      <c r="AI333" s="1420"/>
      <c r="AJ333" s="1420"/>
      <c r="AK333" s="1420"/>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20" t="s">
        <v>2675</v>
      </c>
      <c r="I335" s="1420"/>
      <c r="J335" s="1420"/>
      <c r="K335" s="1420"/>
      <c r="L335" s="1420"/>
      <c r="M335" s="1420"/>
      <c r="N335" s="1420"/>
      <c r="O335" s="1420"/>
      <c r="P335" s="1420"/>
      <c r="Q335" s="1420"/>
      <c r="R335" s="1420"/>
      <c r="T335" s="204" t="s">
        <v>887</v>
      </c>
      <c r="V335" s="3"/>
      <c r="W335" s="3"/>
      <c r="X335" s="3"/>
      <c r="Y335" s="3"/>
      <c r="AA335" s="1420" t="s">
        <v>2682</v>
      </c>
      <c r="AB335" s="1420"/>
      <c r="AC335" s="1420"/>
      <c r="AD335" s="1420"/>
      <c r="AE335" s="1420"/>
      <c r="AF335" s="1420"/>
      <c r="AG335" s="1420"/>
      <c r="AH335" s="1420"/>
      <c r="AI335" s="1420"/>
      <c r="AJ335" s="1420"/>
      <c r="AK335" s="1420"/>
    </row>
    <row r="336" spans="2:37" ht="12.95" customHeight="1">
      <c r="B336" s="3" t="s">
        <v>472</v>
      </c>
      <c r="C336" s="3"/>
      <c r="D336" s="3"/>
      <c r="E336" s="3"/>
      <c r="F336" s="3"/>
      <c r="H336" s="1401" t="s">
        <v>2676</v>
      </c>
      <c r="I336" s="1401"/>
      <c r="J336" s="1401"/>
      <c r="K336" s="1401"/>
      <c r="L336" s="1401"/>
      <c r="M336" s="1401"/>
      <c r="N336" s="1401"/>
      <c r="O336" s="1401"/>
      <c r="P336" s="1401"/>
      <c r="Q336" s="1401"/>
      <c r="R336" s="1401"/>
      <c r="T336" s="3" t="s">
        <v>472</v>
      </c>
      <c r="V336" s="3"/>
      <c r="W336" s="3"/>
      <c r="X336" s="3"/>
      <c r="Y336" s="3"/>
      <c r="AA336" s="1401" t="s">
        <v>2630</v>
      </c>
      <c r="AB336" s="1401"/>
      <c r="AC336" s="1401"/>
      <c r="AD336" s="1401"/>
      <c r="AE336" s="1401"/>
      <c r="AF336" s="1401"/>
      <c r="AG336" s="1401"/>
      <c r="AH336" s="1401"/>
      <c r="AI336" s="1401"/>
      <c r="AJ336" s="1401"/>
      <c r="AK336" s="1401"/>
    </row>
    <row r="337" spans="1:66" ht="12.95" customHeight="1">
      <c r="B337" s="3" t="s">
        <v>75</v>
      </c>
      <c r="C337" s="3"/>
      <c r="D337" s="3"/>
      <c r="E337" s="3"/>
      <c r="F337" s="3"/>
      <c r="H337" s="1401" t="s">
        <v>2677</v>
      </c>
      <c r="I337" s="1401"/>
      <c r="J337" s="1401"/>
      <c r="K337" s="1401"/>
      <c r="L337" s="1401"/>
      <c r="M337" s="1401"/>
      <c r="N337" s="1401"/>
      <c r="O337" s="1401"/>
      <c r="P337" s="1401"/>
      <c r="Q337" s="1401"/>
      <c r="R337" s="1401"/>
      <c r="T337" s="3" t="s">
        <v>75</v>
      </c>
      <c r="V337" s="3"/>
      <c r="W337" s="3"/>
      <c r="X337" s="3"/>
      <c r="Y337" s="3"/>
      <c r="AA337" s="1401" t="s">
        <v>2641</v>
      </c>
      <c r="AB337" s="1401"/>
      <c r="AC337" s="1401"/>
      <c r="AD337" s="1401"/>
      <c r="AE337" s="1401"/>
      <c r="AF337" s="1401"/>
      <c r="AG337" s="1401"/>
      <c r="AH337" s="1401"/>
      <c r="AI337" s="1401"/>
      <c r="AJ337" s="1401"/>
      <c r="AK337" s="1401"/>
    </row>
    <row r="338" spans="1:66" ht="12.95" customHeight="1">
      <c r="B338" s="3" t="s">
        <v>87</v>
      </c>
      <c r="C338" s="3"/>
      <c r="D338" s="3"/>
      <c r="E338" s="3"/>
      <c r="F338" s="3"/>
      <c r="G338" s="3"/>
      <c r="H338" s="1401" t="s">
        <v>2678</v>
      </c>
      <c r="I338" s="1401"/>
      <c r="J338" s="1401"/>
      <c r="K338" s="1401"/>
      <c r="L338" s="1401"/>
      <c r="M338" s="1401"/>
      <c r="N338" s="1401"/>
      <c r="O338" s="1401"/>
      <c r="P338" s="1401"/>
      <c r="Q338" s="1401"/>
      <c r="R338" s="1401"/>
      <c r="T338" s="3" t="s">
        <v>87</v>
      </c>
      <c r="V338" s="3"/>
      <c r="W338" s="3"/>
      <c r="X338" s="3"/>
      <c r="Y338" s="3"/>
      <c r="AA338" s="1401" t="s">
        <v>2683</v>
      </c>
      <c r="AB338" s="1401"/>
      <c r="AC338" s="1401"/>
      <c r="AD338" s="1401"/>
      <c r="AE338" s="1401"/>
      <c r="AF338" s="1401"/>
      <c r="AG338" s="1401"/>
      <c r="AH338" s="1401"/>
      <c r="AI338" s="1401"/>
      <c r="AJ338" s="1401"/>
      <c r="AK338" s="1401"/>
    </row>
    <row r="339" spans="1:66" ht="12.95" customHeight="1">
      <c r="B339" s="3" t="s">
        <v>88</v>
      </c>
      <c r="C339" s="3"/>
      <c r="D339" s="3"/>
      <c r="E339" s="3"/>
      <c r="F339" s="3"/>
      <c r="G339" s="3"/>
      <c r="H339" s="1545" t="s">
        <v>2679</v>
      </c>
      <c r="I339" s="1545"/>
      <c r="J339" s="1545"/>
      <c r="K339" s="1545"/>
      <c r="L339" s="1545"/>
      <c r="M339" s="1545"/>
      <c r="N339" s="4" t="s">
        <v>206</v>
      </c>
      <c r="O339" s="4"/>
      <c r="P339" s="1516"/>
      <c r="Q339" s="1516"/>
      <c r="R339" s="1516"/>
      <c r="S339" s="3"/>
      <c r="T339" s="3" t="s">
        <v>88</v>
      </c>
      <c r="V339" s="3"/>
      <c r="W339" s="3"/>
      <c r="X339" s="3"/>
      <c r="Y339" s="3"/>
      <c r="AA339" s="1545">
        <v>7078251528</v>
      </c>
      <c r="AB339" s="1545"/>
      <c r="AC339" s="1545"/>
      <c r="AD339" s="1545"/>
      <c r="AE339" s="1545"/>
      <c r="AF339" s="1545"/>
      <c r="AG339" s="4" t="s">
        <v>206</v>
      </c>
      <c r="AH339" s="4"/>
      <c r="AI339" s="1516"/>
      <c r="AJ339" s="1516"/>
      <c r="AK339" s="1516"/>
    </row>
    <row r="340" spans="1:66" ht="12.95" customHeight="1">
      <c r="B340" s="3" t="s">
        <v>89</v>
      </c>
      <c r="C340" s="3"/>
      <c r="D340" s="3"/>
      <c r="E340" s="3"/>
      <c r="F340" s="3"/>
      <c r="G340" s="3"/>
      <c r="H340" s="1496" t="s">
        <v>2680</v>
      </c>
      <c r="I340" s="1496"/>
      <c r="J340" s="1496"/>
      <c r="K340" s="1496"/>
      <c r="L340" s="1496"/>
      <c r="M340" s="1496"/>
      <c r="N340" s="4"/>
      <c r="O340" s="4"/>
      <c r="P340" s="35"/>
      <c r="Q340" s="35"/>
      <c r="R340" s="35"/>
      <c r="S340" s="3"/>
      <c r="T340" s="3" t="s">
        <v>89</v>
      </c>
      <c r="V340" s="3"/>
      <c r="W340" s="3"/>
      <c r="X340" s="3"/>
      <c r="Y340" s="3"/>
      <c r="AA340" s="1496">
        <v>7078229596</v>
      </c>
      <c r="AB340" s="1496"/>
      <c r="AC340" s="1496"/>
      <c r="AD340" s="1496"/>
      <c r="AE340" s="1496"/>
      <c r="AF340" s="1496"/>
      <c r="AG340" s="4"/>
      <c r="AH340" s="4"/>
      <c r="AI340" s="35"/>
      <c r="AJ340" s="35"/>
      <c r="AK340" s="35"/>
    </row>
    <row r="341" spans="1:66" ht="12.95" customHeight="1">
      <c r="B341" s="3" t="s">
        <v>76</v>
      </c>
      <c r="C341" s="3"/>
      <c r="D341" s="3"/>
      <c r="E341" s="3"/>
      <c r="F341" s="3"/>
      <c r="G341" s="3"/>
      <c r="H341" s="1401" t="s">
        <v>2681</v>
      </c>
      <c r="I341" s="1401"/>
      <c r="J341" s="1401"/>
      <c r="K341" s="1401"/>
      <c r="L341" s="1401"/>
      <c r="M341" s="1401"/>
      <c r="N341" s="1420"/>
      <c r="O341" s="1420"/>
      <c r="P341" s="1420"/>
      <c r="Q341" s="1420"/>
      <c r="R341" s="1420"/>
      <c r="S341" s="3"/>
      <c r="T341" s="3" t="s">
        <v>76</v>
      </c>
      <c r="V341" s="3"/>
      <c r="W341" s="3"/>
      <c r="X341" s="3"/>
      <c r="Y341" s="3"/>
      <c r="AA341" s="1401" t="s">
        <v>2684</v>
      </c>
      <c r="AB341" s="1401"/>
      <c r="AC341" s="1401"/>
      <c r="AD341" s="1401"/>
      <c r="AE341" s="1401"/>
      <c r="AF341" s="1401"/>
      <c r="AG341" s="1420"/>
      <c r="AH341" s="1420"/>
      <c r="AI341" s="1420"/>
      <c r="AJ341" s="1420"/>
      <c r="AK341" s="1420"/>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420"/>
      <c r="Q343" s="1420"/>
      <c r="R343" s="1420"/>
      <c r="S343" s="1420"/>
      <c r="T343" s="1420"/>
      <c r="U343" s="1420"/>
      <c r="V343" s="1420"/>
      <c r="W343" s="1420"/>
      <c r="X343" s="1420"/>
      <c r="Y343" s="1420"/>
      <c r="Z343" s="1420"/>
      <c r="AA343" s="1420"/>
      <c r="AB343" s="1420"/>
      <c r="AC343" s="1420"/>
      <c r="AD343" s="1420"/>
      <c r="AE343" s="1420"/>
      <c r="BN343" t="s">
        <v>670</v>
      </c>
    </row>
    <row r="344" spans="1:66" ht="12.95" customHeight="1">
      <c r="B344" s="4"/>
      <c r="C344" s="4"/>
      <c r="D344" s="4"/>
      <c r="E344" s="4"/>
      <c r="F344" s="4"/>
      <c r="I344" s="4" t="s">
        <v>472</v>
      </c>
      <c r="P344" s="1401"/>
      <c r="Q344" s="1401"/>
      <c r="R344" s="1401"/>
      <c r="S344" s="1401"/>
      <c r="T344" s="1401"/>
      <c r="U344" s="1401"/>
      <c r="V344" s="1401"/>
      <c r="W344" s="1401"/>
      <c r="X344" s="1401"/>
      <c r="Y344" s="1401"/>
      <c r="Z344" s="1401"/>
      <c r="AA344" s="1401"/>
      <c r="AB344" s="1401"/>
      <c r="AC344" s="1401"/>
      <c r="AD344" s="1401"/>
      <c r="AE344" s="1401"/>
      <c r="BN344" t="s">
        <v>546</v>
      </c>
    </row>
    <row r="345" spans="1:66" ht="12.95" customHeight="1">
      <c r="B345" s="4"/>
      <c r="C345" s="4"/>
      <c r="D345" s="4"/>
      <c r="E345" s="4"/>
      <c r="F345" s="4"/>
      <c r="I345" s="4" t="s">
        <v>75</v>
      </c>
      <c r="P345" s="1401"/>
      <c r="Q345" s="1401"/>
      <c r="R345" s="1401"/>
      <c r="S345" s="1401"/>
      <c r="T345" s="1401"/>
      <c r="U345" s="1401"/>
      <c r="V345" s="1401"/>
      <c r="W345" s="1401"/>
      <c r="X345" s="1401"/>
      <c r="Y345" s="1401"/>
      <c r="Z345" s="1401"/>
      <c r="AA345" s="1401"/>
      <c r="AB345" s="1401"/>
      <c r="AC345" s="1401"/>
      <c r="AD345" s="1401"/>
      <c r="AE345" s="1401"/>
    </row>
    <row r="346" spans="1:66" ht="12.95" customHeight="1">
      <c r="B346" s="4"/>
      <c r="C346" s="4"/>
      <c r="D346" s="4"/>
      <c r="E346" s="4"/>
      <c r="F346" s="4"/>
      <c r="G346" s="4"/>
      <c r="I346" s="4" t="s">
        <v>87</v>
      </c>
      <c r="P346" s="1401"/>
      <c r="Q346" s="1401"/>
      <c r="R346" s="1401"/>
      <c r="S346" s="1401"/>
      <c r="T346" s="1401"/>
      <c r="U346" s="1401"/>
      <c r="V346" s="1401"/>
      <c r="W346" s="1401"/>
      <c r="X346" s="1401"/>
      <c r="Y346" s="1401"/>
      <c r="Z346" s="1401"/>
      <c r="AA346" s="1401"/>
      <c r="AB346" s="1401"/>
      <c r="AC346" s="1401"/>
      <c r="AD346" s="1401"/>
      <c r="AE346" s="1401"/>
    </row>
    <row r="347" spans="1:66" ht="12.95" customHeight="1">
      <c r="B347" s="4"/>
      <c r="C347" s="4"/>
      <c r="D347" s="4"/>
      <c r="E347" s="4"/>
      <c r="F347" s="4"/>
      <c r="G347" s="4"/>
      <c r="H347" s="302"/>
      <c r="I347" s="4" t="s">
        <v>88</v>
      </c>
      <c r="P347" s="1496"/>
      <c r="Q347" s="1496"/>
      <c r="R347" s="1496"/>
      <c r="S347" s="1496"/>
      <c r="T347" s="1496"/>
      <c r="U347" s="1496"/>
      <c r="V347" s="1496"/>
      <c r="W347" s="1496"/>
      <c r="X347" s="1496"/>
      <c r="Y347" s="1496"/>
      <c r="Z347" s="1496"/>
      <c r="AA347" s="4" t="s">
        <v>206</v>
      </c>
      <c r="AB347" s="4"/>
      <c r="AC347" s="1463"/>
      <c r="AD347" s="1463"/>
      <c r="AE347" s="1463"/>
      <c r="AF347" s="302"/>
      <c r="AG347" s="4"/>
      <c r="AH347" s="4"/>
      <c r="AI347" s="4"/>
      <c r="AJ347" s="4"/>
      <c r="AK347" s="4"/>
    </row>
    <row r="348" spans="1:66" ht="12.95" customHeight="1">
      <c r="B348" s="4"/>
      <c r="C348" s="4"/>
      <c r="D348" s="4"/>
      <c r="E348" s="4"/>
      <c r="F348" s="4"/>
      <c r="G348" s="4"/>
      <c r="H348" s="302"/>
      <c r="I348" s="4" t="s">
        <v>89</v>
      </c>
      <c r="P348" s="1496"/>
      <c r="Q348" s="1496"/>
      <c r="R348" s="1496"/>
      <c r="S348" s="1496"/>
      <c r="T348" s="1496"/>
      <c r="U348" s="1496"/>
      <c r="V348" s="1496"/>
      <c r="W348" s="1496"/>
      <c r="X348" s="1496"/>
      <c r="Y348" s="1496"/>
      <c r="Z348" s="1496"/>
      <c r="AF348" s="302"/>
      <c r="AG348" s="4"/>
      <c r="AH348" s="4"/>
      <c r="AI348" s="35"/>
      <c r="AJ348" s="35"/>
      <c r="AK348" s="35"/>
    </row>
    <row r="349" spans="1:66" ht="12.95" customHeight="1">
      <c r="B349" s="4"/>
      <c r="C349" s="4"/>
      <c r="D349" s="4"/>
      <c r="E349" s="4"/>
      <c r="F349" s="4"/>
      <c r="G349" s="4"/>
      <c r="I349" s="4" t="s">
        <v>76</v>
      </c>
      <c r="P349" s="1420"/>
      <c r="Q349" s="1420"/>
      <c r="R349" s="1420"/>
      <c r="S349" s="1420"/>
      <c r="T349" s="1420"/>
      <c r="U349" s="1420"/>
      <c r="V349" s="1420"/>
      <c r="W349" s="1420"/>
      <c r="X349" s="1420"/>
      <c r="Y349" s="1420"/>
      <c r="Z349" s="1420"/>
      <c r="AA349" s="1420"/>
      <c r="AB349" s="1420"/>
      <c r="AC349" s="1420"/>
      <c r="AD349" s="1420"/>
      <c r="AE349" s="1420"/>
    </row>
    <row r="350" spans="1:66" ht="12.95" customHeight="1">
      <c r="T350" s="8"/>
      <c r="U350" s="8"/>
      <c r="V350" s="8"/>
      <c r="W350" s="8"/>
      <c r="X350" s="8"/>
      <c r="Y350" s="8"/>
      <c r="Z350" s="8"/>
      <c r="AU350" s="95"/>
      <c r="AV350" s="95"/>
      <c r="AW350" s="95"/>
      <c r="AX350" s="95"/>
      <c r="AY350" s="95"/>
    </row>
    <row r="351" spans="1:66" ht="12.95" customHeight="1">
      <c r="A351" s="1535" t="s">
        <v>543</v>
      </c>
      <c r="B351" s="1535"/>
      <c r="C351" s="1535"/>
      <c r="D351" s="1535"/>
      <c r="E351" s="1535"/>
      <c r="F351" s="1535"/>
      <c r="G351" s="1535"/>
      <c r="H351" s="1535"/>
      <c r="I351" s="1535"/>
      <c r="J351" s="1535"/>
      <c r="K351" s="1535"/>
      <c r="L351" s="1535"/>
      <c r="M351" s="1535"/>
      <c r="N351" s="1535"/>
      <c r="O351" s="1535"/>
      <c r="P351" s="1535"/>
      <c r="Q351" s="1535"/>
      <c r="R351" s="1535"/>
      <c r="S351" s="1535"/>
      <c r="T351" s="1535"/>
      <c r="U351" s="1535"/>
      <c r="V351" s="1535"/>
      <c r="W351" s="1535"/>
      <c r="X351" s="1535"/>
      <c r="Y351" s="1535"/>
      <c r="Z351" s="1535"/>
      <c r="AA351" s="1535"/>
      <c r="AB351" s="1535"/>
      <c r="AC351" s="1535"/>
      <c r="AD351" s="1535"/>
      <c r="AE351" s="1535"/>
      <c r="AF351" s="1535"/>
      <c r="AG351" s="1535"/>
      <c r="AH351" s="1535"/>
      <c r="AI351" s="1535"/>
      <c r="AJ351" s="1535"/>
      <c r="AK351" s="1535"/>
      <c r="AL351" s="1535"/>
      <c r="AM351" s="1535"/>
      <c r="AN351" s="1535"/>
      <c r="AO351" s="1535"/>
      <c r="AP351" s="1535"/>
      <c r="AQ351" s="1535"/>
      <c r="AR351" s="1535"/>
      <c r="AS351" s="1535"/>
      <c r="AT351" s="1535"/>
      <c r="AU351" s="95"/>
      <c r="AV351" s="95"/>
      <c r="AW351" s="95"/>
      <c r="AX351" s="95"/>
      <c r="AY351" s="95"/>
    </row>
    <row r="352" spans="1:66" ht="12.95" customHeight="1">
      <c r="A352" s="1535"/>
      <c r="B352" s="1535"/>
      <c r="C352" s="1535"/>
      <c r="D352" s="1535"/>
      <c r="E352" s="1535"/>
      <c r="F352" s="1535"/>
      <c r="G352" s="1535"/>
      <c r="H352" s="1535"/>
      <c r="I352" s="1535"/>
      <c r="J352" s="1535"/>
      <c r="K352" s="1535"/>
      <c r="L352" s="1535"/>
      <c r="M352" s="1535"/>
      <c r="N352" s="1535"/>
      <c r="O352" s="1535"/>
      <c r="P352" s="1535"/>
      <c r="Q352" s="1535"/>
      <c r="R352" s="1535"/>
      <c r="S352" s="1535"/>
      <c r="T352" s="1535"/>
      <c r="U352" s="1535"/>
      <c r="V352" s="1535"/>
      <c r="W352" s="1535"/>
      <c r="X352" s="1535"/>
      <c r="Y352" s="1535"/>
      <c r="Z352" s="1535"/>
      <c r="AA352" s="1535"/>
      <c r="AB352" s="1535"/>
      <c r="AC352" s="1535"/>
      <c r="AD352" s="1535"/>
      <c r="AE352" s="1535"/>
      <c r="AF352" s="1535"/>
      <c r="AG352" s="1535"/>
      <c r="AH352" s="1535"/>
      <c r="AI352" s="1535"/>
      <c r="AJ352" s="1535"/>
      <c r="AK352" s="1535"/>
      <c r="AL352" s="1535"/>
      <c r="AM352" s="1535"/>
      <c r="AN352" s="1535"/>
      <c r="AO352" s="1535"/>
      <c r="AP352" s="1535"/>
      <c r="AQ352" s="1535"/>
      <c r="AR352" s="1535"/>
      <c r="AS352" s="1535"/>
      <c r="AT352" s="1535"/>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2099</v>
      </c>
      <c r="M355" s="1391" t="s">
        <v>546</v>
      </c>
      <c r="N355" s="1391"/>
      <c r="P355" t="s">
        <v>1651</v>
      </c>
      <c r="AJ355" s="1391" t="s">
        <v>670</v>
      </c>
      <c r="AK355" s="1391"/>
    </row>
    <row r="356" spans="1:46" ht="12.95" customHeight="1">
      <c r="D356" s="3" t="s">
        <v>1640</v>
      </c>
      <c r="M356" s="1391" t="s">
        <v>592</v>
      </c>
      <c r="N356" s="1391"/>
      <c r="P356" s="3" t="s">
        <v>1720</v>
      </c>
      <c r="AJ356" s="1412"/>
      <c r="AK356" s="1412"/>
    </row>
    <row r="357" spans="1:46" ht="12.95" customHeight="1">
      <c r="D357" s="3" t="s">
        <v>705</v>
      </c>
      <c r="M357" s="1391" t="s">
        <v>592</v>
      </c>
      <c r="N357" s="1391"/>
      <c r="P357" t="s">
        <v>1650</v>
      </c>
      <c r="AJ357" s="1391" t="s">
        <v>670</v>
      </c>
      <c r="AK357" s="1391"/>
    </row>
    <row r="358" spans="1:46" ht="12.95" customHeight="1">
      <c r="D358" s="3" t="s">
        <v>706</v>
      </c>
      <c r="M358" s="1391" t="s">
        <v>592</v>
      </c>
      <c r="N358" s="1391"/>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91" t="s">
        <v>592</v>
      </c>
      <c r="O363" s="1391"/>
      <c r="P363" s="40"/>
      <c r="Q363" s="40"/>
      <c r="R363" s="40"/>
      <c r="S363" s="40"/>
      <c r="T363" s="40"/>
      <c r="U363" s="40"/>
      <c r="V363" s="40"/>
      <c r="W363" s="40"/>
      <c r="X363" s="40"/>
      <c r="Y363" s="40"/>
      <c r="Z363" s="40"/>
      <c r="AC363" s="40"/>
      <c r="AD363" s="40"/>
      <c r="AE363" s="40"/>
    </row>
    <row r="364" spans="1:46" ht="12.95" customHeight="1">
      <c r="E364" t="s">
        <v>370</v>
      </c>
      <c r="Y364" s="1391" t="s">
        <v>592</v>
      </c>
      <c r="Z364" s="1391"/>
    </row>
    <row r="365" spans="1:46" ht="12.95" customHeight="1">
      <c r="D365" s="4" t="s">
        <v>979</v>
      </c>
      <c r="Q365" s="1420"/>
      <c r="R365" s="1420"/>
      <c r="S365" s="1420"/>
      <c r="T365" s="1420"/>
      <c r="U365" s="1420"/>
      <c r="V365" s="1420"/>
      <c r="W365" s="1420"/>
      <c r="X365" s="1420"/>
      <c r="Y365" s="1420"/>
      <c r="Z365" s="1420"/>
      <c r="AA365" s="1420"/>
      <c r="AB365" s="1420"/>
      <c r="AC365" s="1420"/>
      <c r="AD365" s="1420"/>
      <c r="AE365" s="1420"/>
      <c r="AF365" s="1420"/>
      <c r="AG365" s="1420"/>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91" t="s">
        <v>592</v>
      </c>
      <c r="K367" s="1391"/>
      <c r="L367" s="40"/>
      <c r="M367" s="40"/>
      <c r="N367" s="40"/>
      <c r="O367" s="40"/>
      <c r="P367" s="40"/>
      <c r="Q367" s="40"/>
      <c r="R367" s="40"/>
      <c r="S367" s="40"/>
      <c r="T367" s="40"/>
      <c r="U367" s="40"/>
      <c r="V367" s="40"/>
      <c r="W367" s="40"/>
      <c r="X367" s="40"/>
      <c r="Y367" s="40"/>
      <c r="Z367" s="40"/>
      <c r="AC367" s="40"/>
      <c r="AD367" s="40"/>
      <c r="AE367" s="40"/>
    </row>
    <row r="368" spans="1:46" ht="12.95" customHeight="1">
      <c r="E368" s="1529" t="s">
        <v>707</v>
      </c>
      <c r="F368" s="1529"/>
      <c r="G368" s="1529"/>
      <c r="H368" s="1529"/>
      <c r="I368" s="1529"/>
      <c r="J368" s="1529"/>
      <c r="K368" s="1529"/>
      <c r="L368" s="1529"/>
      <c r="M368" s="1529"/>
      <c r="N368" s="1529"/>
      <c r="O368" s="1529"/>
      <c r="P368" s="1529"/>
      <c r="Q368" s="1529"/>
      <c r="R368" s="1529"/>
      <c r="S368" s="1529"/>
      <c r="T368" s="1529"/>
      <c r="U368" s="1529"/>
      <c r="V368" s="1529"/>
      <c r="W368" s="1529"/>
      <c r="X368" s="1529"/>
      <c r="Y368" s="1529"/>
      <c r="Z368" s="1529"/>
      <c r="AA368" s="1529"/>
      <c r="AB368" s="1529"/>
      <c r="AC368" s="1529"/>
      <c r="AD368" s="1529"/>
      <c r="AE368" s="1529"/>
      <c r="AF368" s="1529"/>
      <c r="AG368" s="1529"/>
      <c r="AH368" s="1529"/>
    </row>
    <row r="369" spans="1:34" ht="12.95" customHeight="1">
      <c r="E369" s="1529"/>
      <c r="F369" s="1529"/>
      <c r="G369" s="1529"/>
      <c r="H369" s="1529"/>
      <c r="I369" s="1529"/>
      <c r="J369" s="1529"/>
      <c r="K369" s="1529"/>
      <c r="L369" s="1529"/>
      <c r="M369" s="1529"/>
      <c r="N369" s="1529"/>
      <c r="O369" s="1529"/>
      <c r="P369" s="1529"/>
      <c r="Q369" s="1529"/>
      <c r="R369" s="1529"/>
      <c r="S369" s="1529"/>
      <c r="T369" s="1529"/>
      <c r="U369" s="1529"/>
      <c r="V369" s="1529"/>
      <c r="W369" s="1529"/>
      <c r="X369" s="1529"/>
      <c r="Y369" s="1529"/>
      <c r="Z369" s="1529"/>
      <c r="AA369" s="1529"/>
      <c r="AB369" s="1529"/>
      <c r="AC369" s="1529"/>
      <c r="AD369" s="1529"/>
      <c r="AE369" s="1529"/>
      <c r="AF369" s="1529"/>
      <c r="AG369" s="1529"/>
      <c r="AH369" s="1529"/>
    </row>
    <row r="370" spans="1:34" ht="12.95" customHeight="1">
      <c r="E370" s="4" t="s">
        <v>449</v>
      </c>
      <c r="F370" s="4"/>
      <c r="G370" s="4"/>
      <c r="H370" s="4"/>
      <c r="I370" s="4"/>
      <c r="J370" s="4"/>
      <c r="K370" s="4"/>
      <c r="L370" s="4"/>
      <c r="N370" s="1419"/>
      <c r="O370" s="1419"/>
      <c r="P370" s="1419"/>
      <c r="Q370" s="1419"/>
      <c r="R370" s="4"/>
      <c r="U370" s="4" t="s">
        <v>450</v>
      </c>
      <c r="V370" s="4"/>
      <c r="W370" s="4"/>
      <c r="X370" s="4"/>
      <c r="Y370" s="4"/>
      <c r="Z370" s="4"/>
      <c r="AA370" s="4"/>
      <c r="AB370" s="4"/>
      <c r="AC370" s="1419"/>
      <c r="AD370" s="1419"/>
      <c r="AE370" s="1419"/>
      <c r="AF370" s="1419"/>
    </row>
    <row r="371" spans="1:34" ht="12.95" customHeight="1">
      <c r="E371" s="4" t="s">
        <v>451</v>
      </c>
      <c r="F371" s="4"/>
      <c r="G371" s="4"/>
      <c r="H371" s="4"/>
      <c r="I371" s="4"/>
      <c r="J371" s="4"/>
      <c r="K371" s="4"/>
      <c r="L371" s="4"/>
      <c r="N371" s="1419"/>
      <c r="O371" s="1419"/>
      <c r="P371" s="1419"/>
      <c r="Q371" s="1419"/>
      <c r="R371" s="4"/>
      <c r="U371" s="4" t="s">
        <v>0</v>
      </c>
      <c r="V371" s="4"/>
      <c r="W371" s="4"/>
      <c r="X371" s="4"/>
      <c r="Y371" s="4"/>
      <c r="Z371" s="4"/>
      <c r="AA371" s="4"/>
      <c r="AB371" s="4"/>
      <c r="AC371" s="1419"/>
      <c r="AD371" s="1419"/>
      <c r="AE371" s="1419"/>
      <c r="AF371" s="1419"/>
    </row>
    <row r="372" spans="1:34" ht="12.95" customHeight="1">
      <c r="E372" s="4" t="s">
        <v>1</v>
      </c>
      <c r="F372" s="4"/>
      <c r="G372" s="4"/>
      <c r="H372" s="4"/>
      <c r="I372" s="4"/>
      <c r="J372" s="4"/>
      <c r="K372" s="4"/>
      <c r="L372" s="4"/>
      <c r="N372" s="1419"/>
      <c r="O372" s="1419"/>
      <c r="P372" s="1419"/>
      <c r="Q372" s="1419"/>
      <c r="R372" s="4"/>
      <c r="V372" s="4"/>
      <c r="W372" s="4"/>
      <c r="X372" s="4"/>
      <c r="Y372" s="4"/>
      <c r="Z372" s="4"/>
      <c r="AA372" s="4"/>
      <c r="AB372" s="4"/>
    </row>
    <row r="373" spans="1:34" ht="12.95" customHeight="1">
      <c r="E373" s="4" t="s">
        <v>2</v>
      </c>
      <c r="F373" s="4"/>
      <c r="G373" s="4"/>
      <c r="H373" s="4"/>
      <c r="I373" s="4"/>
      <c r="J373" s="4"/>
      <c r="K373" s="4"/>
      <c r="L373" s="4"/>
      <c r="N373" s="1525"/>
      <c r="O373" s="1525"/>
      <c r="P373" s="1525"/>
      <c r="Q373" s="1525"/>
      <c r="R373" s="1525"/>
      <c r="S373" s="1525"/>
      <c r="T373" s="1525"/>
      <c r="U373" s="1525"/>
      <c r="V373" s="1525"/>
      <c r="W373" s="1525"/>
      <c r="X373" s="1525"/>
      <c r="Y373" s="1525"/>
      <c r="Z373" s="1525"/>
      <c r="AA373" s="1525"/>
      <c r="AB373" s="1525"/>
      <c r="AC373" s="1525"/>
      <c r="AD373" s="1525"/>
      <c r="AE373" s="1525"/>
      <c r="AF373" s="1525"/>
    </row>
    <row r="374" spans="1:34" ht="12.95" customHeight="1">
      <c r="E374" s="4"/>
      <c r="F374" s="4"/>
      <c r="G374" s="4"/>
      <c r="H374" s="4"/>
      <c r="I374" s="4"/>
      <c r="J374" s="4"/>
      <c r="K374" s="4"/>
      <c r="L374" s="4"/>
      <c r="N374" s="1526"/>
      <c r="O374" s="1526"/>
      <c r="P374" s="1526"/>
      <c r="Q374" s="1526"/>
      <c r="R374" s="1526"/>
      <c r="S374" s="1526"/>
      <c r="T374" s="1526"/>
      <c r="U374" s="1526"/>
      <c r="V374" s="1526"/>
      <c r="W374" s="1526"/>
      <c r="X374" s="1526"/>
      <c r="Y374" s="1526"/>
      <c r="Z374" s="1526"/>
      <c r="AA374" s="1526"/>
      <c r="AB374" s="1526"/>
      <c r="AC374" s="1526"/>
      <c r="AD374" s="1526"/>
      <c r="AE374" s="1526"/>
      <c r="AF374" s="1526"/>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2085</v>
      </c>
      <c r="F377" s="4"/>
      <c r="G377" s="4"/>
      <c r="H377" s="4"/>
      <c r="I377" s="4"/>
      <c r="J377" s="4"/>
      <c r="K377" s="4"/>
      <c r="L377" s="4"/>
      <c r="N377" t="s">
        <v>2080</v>
      </c>
      <c r="R377" s="27" t="s">
        <v>305</v>
      </c>
      <c r="S377" s="1499"/>
      <c r="T377" s="1499"/>
      <c r="U377" s="1" t="s">
        <v>306</v>
      </c>
      <c r="V377" s="1499"/>
      <c r="W377" s="1499"/>
      <c r="Y377" t="s">
        <v>2080</v>
      </c>
      <c r="AC377" s="27" t="s">
        <v>305</v>
      </c>
      <c r="AD377" s="1499"/>
      <c r="AE377" s="1499"/>
      <c r="AF377" s="1" t="s">
        <v>306</v>
      </c>
      <c r="AG377" s="1499"/>
      <c r="AH377" s="1499"/>
    </row>
    <row r="378" spans="1:34" ht="12.95" customHeight="1">
      <c r="E378" s="4" t="s">
        <v>988</v>
      </c>
      <c r="F378" s="4"/>
      <c r="G378" s="4"/>
      <c r="H378" s="4"/>
      <c r="I378" s="4"/>
      <c r="J378" s="4"/>
      <c r="K378" s="4"/>
      <c r="L378" s="4"/>
      <c r="N378" s="1499"/>
      <c r="O378" s="1499"/>
      <c r="P378" s="1499"/>
    </row>
    <row r="379" spans="1:34" ht="12.95" customHeight="1">
      <c r="E379" s="204" t="s">
        <v>2086</v>
      </c>
      <c r="F379" s="4"/>
      <c r="G379" s="4"/>
      <c r="H379" s="4"/>
      <c r="I379" s="4"/>
      <c r="J379" s="4"/>
      <c r="K379" s="4"/>
      <c r="L379" s="4"/>
      <c r="AG379" s="1437" t="s">
        <v>592</v>
      </c>
      <c r="AH379" s="1437"/>
    </row>
    <row r="380" spans="1:34" ht="12.95" customHeight="1">
      <c r="E380" s="4"/>
      <c r="F380" s="4"/>
      <c r="G380" s="4" t="s">
        <v>2087</v>
      </c>
      <c r="H380" s="4"/>
      <c r="I380" s="4"/>
      <c r="J380" s="4"/>
      <c r="K380" s="4"/>
      <c r="L380" s="4"/>
      <c r="AG380" s="1437" t="s">
        <v>592</v>
      </c>
      <c r="AH380" s="1437"/>
    </row>
    <row r="381" spans="1:34" ht="12.95" customHeight="1">
      <c r="E381" s="4"/>
      <c r="F381" s="4"/>
      <c r="G381" s="320" t="s">
        <v>989</v>
      </c>
      <c r="H381" s="4"/>
      <c r="I381" s="4"/>
      <c r="J381" s="4"/>
      <c r="K381" s="4"/>
      <c r="L381" s="4"/>
      <c r="V381" s="1391" t="s">
        <v>592</v>
      </c>
      <c r="W381" s="1391"/>
      <c r="Y381" s="22" t="s">
        <v>981</v>
      </c>
    </row>
    <row r="382" spans="1:34" ht="12.95" customHeight="1">
      <c r="E382" s="4" t="s">
        <v>982</v>
      </c>
      <c r="F382" s="4"/>
      <c r="G382" s="4"/>
      <c r="H382" s="4"/>
      <c r="I382" s="4"/>
      <c r="J382" s="4"/>
      <c r="K382" s="4"/>
      <c r="L382" s="4"/>
      <c r="V382" s="1391" t="s">
        <v>592</v>
      </c>
      <c r="W382" s="1391"/>
      <c r="Y382" s="4" t="s">
        <v>983</v>
      </c>
    </row>
    <row r="383" spans="1:34" ht="12.95" customHeight="1"/>
    <row r="384" spans="1:34" ht="12.95" customHeight="1">
      <c r="A384" s="2" t="s">
        <v>78</v>
      </c>
      <c r="B384" s="2"/>
    </row>
    <row r="385" spans="4:36" ht="12.95" customHeight="1">
      <c r="D385" t="s">
        <v>428</v>
      </c>
      <c r="J385" s="1420" t="s">
        <v>2685</v>
      </c>
      <c r="K385" s="1420"/>
      <c r="L385" s="1420"/>
      <c r="M385" s="1420"/>
      <c r="N385" s="1420"/>
      <c r="O385" s="1420"/>
      <c r="P385" s="1420"/>
      <c r="Q385" s="1420"/>
      <c r="R385" s="1420"/>
      <c r="S385" s="1420"/>
      <c r="T385" s="1420"/>
      <c r="U385" s="1420"/>
      <c r="V385" s="8" t="s">
        <v>83</v>
      </c>
      <c r="W385" s="8"/>
      <c r="X385" s="8"/>
      <c r="Y385" s="8"/>
      <c r="Z385" s="8"/>
      <c r="AA385" s="8"/>
      <c r="AB385" s="8"/>
      <c r="AC385" s="1420"/>
      <c r="AD385" s="1420"/>
      <c r="AE385" s="1420"/>
      <c r="AF385" s="1420"/>
      <c r="AG385" s="1420"/>
      <c r="AH385" s="1420"/>
      <c r="AI385" s="1420"/>
      <c r="AJ385" s="1420"/>
    </row>
    <row r="386" spans="4:36" ht="12.95" customHeight="1">
      <c r="D386" s="3" t="s">
        <v>1183</v>
      </c>
      <c r="J386" s="1401"/>
      <c r="K386" s="1401"/>
      <c r="L386" s="1401"/>
      <c r="M386" s="1401"/>
      <c r="N386" s="1401"/>
      <c r="O386" s="1401"/>
      <c r="P386" s="1401"/>
      <c r="Q386" s="1401"/>
      <c r="R386" s="1401"/>
      <c r="S386" s="1401"/>
      <c r="T386" s="1401"/>
      <c r="U386" s="1401"/>
      <c r="V386" s="3" t="s">
        <v>1183</v>
      </c>
      <c r="W386" s="8"/>
      <c r="X386" s="8"/>
      <c r="Y386" s="8"/>
      <c r="Z386" s="8"/>
      <c r="AA386" s="8"/>
      <c r="AB386" s="8"/>
      <c r="AC386" s="1420"/>
      <c r="AD386" s="1420"/>
      <c r="AE386" s="1420"/>
      <c r="AF386" s="1420"/>
      <c r="AG386" s="1420"/>
      <c r="AH386" s="1420"/>
      <c r="AI386" s="1420"/>
      <c r="AJ386" s="1420"/>
    </row>
    <row r="387" spans="4:36" ht="12.95" customHeight="1">
      <c r="D387" s="3" t="s">
        <v>442</v>
      </c>
      <c r="J387" s="1401"/>
      <c r="K387" s="1401"/>
      <c r="L387" s="1401"/>
      <c r="M387" s="1401"/>
      <c r="N387" s="1401"/>
      <c r="O387" s="1401"/>
      <c r="P387" s="1401"/>
      <c r="Q387" s="1401"/>
      <c r="R387" s="1401"/>
      <c r="S387" s="1401"/>
      <c r="T387" s="1401"/>
      <c r="U387" s="1401"/>
      <c r="V387" s="3" t="s">
        <v>442</v>
      </c>
      <c r="W387" s="8"/>
      <c r="X387" s="8"/>
      <c r="Y387" s="8"/>
      <c r="Z387" s="8"/>
      <c r="AA387" s="8"/>
      <c r="AB387" s="8"/>
      <c r="AC387" s="1420"/>
      <c r="AD387" s="1420"/>
      <c r="AE387" s="1420"/>
      <c r="AF387" s="1420"/>
      <c r="AG387" s="1420"/>
      <c r="AH387" s="1420"/>
      <c r="AI387" s="1420"/>
      <c r="AJ387" s="1420"/>
    </row>
    <row r="388" spans="4:36" ht="12.95" customHeight="1">
      <c r="D388" t="s">
        <v>1179</v>
      </c>
      <c r="J388" s="1428"/>
      <c r="K388" s="1428"/>
      <c r="L388" s="1428"/>
      <c r="M388" s="1428"/>
      <c r="N388" s="1428"/>
      <c r="O388" s="1428"/>
      <c r="P388" s="1428"/>
      <c r="Q388" s="1428"/>
      <c r="R388" s="1428"/>
      <c r="S388" s="1428"/>
      <c r="T388" s="1428"/>
      <c r="U388" s="1428"/>
      <c r="V388" s="1420"/>
      <c r="W388" s="1420"/>
      <c r="X388" s="1420"/>
      <c r="Y388" s="1420"/>
      <c r="Z388" s="1420"/>
      <c r="AA388" s="1420"/>
      <c r="AB388" s="1420"/>
      <c r="AC388" s="1420"/>
      <c r="AD388" s="1420"/>
      <c r="AE388" s="1420"/>
      <c r="AF388" s="1420"/>
      <c r="AG388" s="1420"/>
      <c r="AH388" s="1420"/>
      <c r="AI388" s="1420"/>
      <c r="AJ388" s="1420"/>
    </row>
    <row r="389" spans="4:36" ht="12.95" customHeight="1">
      <c r="D389" t="s">
        <v>4</v>
      </c>
      <c r="Q389" s="1586"/>
      <c r="R389" s="1586"/>
      <c r="S389" s="1586"/>
      <c r="T389" s="1586"/>
      <c r="U389" s="1586"/>
      <c r="V389" t="s">
        <v>309</v>
      </c>
      <c r="AI389" s="1391" t="s">
        <v>670</v>
      </c>
      <c r="AJ389" s="1391"/>
    </row>
    <row r="390" spans="4:36" ht="12.95" customHeight="1">
      <c r="D390" t="s">
        <v>5</v>
      </c>
      <c r="Q390" s="1520"/>
      <c r="R390" s="1521"/>
      <c r="S390" s="1521"/>
      <c r="T390" s="1521"/>
      <c r="U390" s="1521"/>
      <c r="W390" s="21" t="s">
        <v>74</v>
      </c>
      <c r="AG390" s="1439"/>
      <c r="AH390" s="1439"/>
      <c r="AI390" s="1439"/>
      <c r="AJ390" s="1439"/>
    </row>
    <row r="391" spans="4:36" ht="12.95" customHeight="1">
      <c r="D391" t="s">
        <v>427</v>
      </c>
      <c r="Q391" s="1440">
        <v>11000000</v>
      </c>
      <c r="R391" s="1440"/>
      <c r="S391" s="1440"/>
      <c r="T391" s="1440"/>
      <c r="U391" s="1440"/>
      <c r="V391" s="3" t="s">
        <v>1182</v>
      </c>
      <c r="AG391" s="1518"/>
      <c r="AH391" s="1518"/>
      <c r="AI391" s="1518"/>
      <c r="AJ391" s="1518"/>
    </row>
    <row r="392" spans="4:36" ht="12.95" customHeight="1">
      <c r="D392" t="s">
        <v>88</v>
      </c>
      <c r="I392" s="1545"/>
      <c r="J392" s="1545"/>
      <c r="K392" s="1545"/>
      <c r="L392" s="1545"/>
      <c r="M392" s="1545"/>
      <c r="N392" s="1545"/>
      <c r="Q392" s="4" t="s">
        <v>206</v>
      </c>
      <c r="S392" s="1438"/>
      <c r="T392" s="1438"/>
      <c r="U392" s="1438"/>
      <c r="V392" t="s">
        <v>73</v>
      </c>
      <c r="AI392" s="1391" t="s">
        <v>670</v>
      </c>
      <c r="AJ392" s="1391"/>
    </row>
    <row r="393" spans="4:36" ht="12.95" customHeight="1">
      <c r="D393" t="s">
        <v>310</v>
      </c>
      <c r="Q393" s="1524"/>
      <c r="R393" s="1524"/>
      <c r="S393" s="1524"/>
      <c r="T393" s="1524"/>
      <c r="U393" s="1524"/>
      <c r="V393" t="s">
        <v>311</v>
      </c>
      <c r="AG393" s="1439"/>
      <c r="AH393" s="1439"/>
      <c r="AI393" s="1439"/>
      <c r="AJ393" s="1439"/>
    </row>
    <row r="394" spans="4:36" ht="12.95" customHeight="1">
      <c r="D394" t="s">
        <v>312</v>
      </c>
      <c r="Q394" s="1576"/>
      <c r="R394" s="1576"/>
      <c r="S394" s="1576"/>
      <c r="T394" s="1576"/>
      <c r="U394" s="1576"/>
      <c r="V394" t="s">
        <v>1164</v>
      </c>
      <c r="AG394" s="1439"/>
      <c r="AH394" s="1439"/>
      <c r="AI394" s="1439"/>
      <c r="AJ394" s="1439"/>
    </row>
    <row r="395" spans="4:36" ht="12.95" customHeight="1">
      <c r="D395" t="s">
        <v>1163</v>
      </c>
      <c r="AG395" s="1439"/>
      <c r="AH395" s="1439"/>
      <c r="AI395" s="1439"/>
      <c r="AJ395" s="1439"/>
    </row>
    <row r="396" spans="4:36" ht="12.95" customHeight="1">
      <c r="AG396" s="456"/>
      <c r="AH396" s="456"/>
      <c r="AI396" s="456"/>
      <c r="AJ396" s="456"/>
    </row>
    <row r="397" spans="4:36" ht="12.95" customHeight="1">
      <c r="D397" s="3" t="s">
        <v>2143</v>
      </c>
      <c r="AG397" s="456"/>
      <c r="AH397" s="456"/>
      <c r="AI397" s="1391" t="s">
        <v>670</v>
      </c>
      <c r="AJ397" s="1391"/>
    </row>
    <row r="398" spans="4:36" ht="12.95" customHeight="1">
      <c r="D398" s="3" t="s">
        <v>1668</v>
      </c>
      <c r="T398" s="1434"/>
      <c r="U398" s="1434"/>
      <c r="V398" s="1434"/>
      <c r="W398" s="1434"/>
      <c r="X398" s="1434"/>
      <c r="Y398" s="1434"/>
      <c r="Z398" s="1434"/>
      <c r="AA398" s="1434"/>
      <c r="AB398" s="1434"/>
      <c r="AC398" s="1434"/>
      <c r="AD398" s="1434"/>
      <c r="AE398" s="1434"/>
      <c r="AF398" s="1434"/>
      <c r="AG398" s="1434"/>
      <c r="AH398" s="1434"/>
      <c r="AI398" s="1434"/>
      <c r="AJ398" s="1434"/>
    </row>
    <row r="399" spans="4:36" ht="12.95" customHeight="1">
      <c r="D399" s="3" t="s">
        <v>1667</v>
      </c>
      <c r="T399" s="1434"/>
      <c r="U399" s="1434"/>
      <c r="V399" s="1434"/>
      <c r="W399" s="1434"/>
      <c r="X399" s="1434"/>
      <c r="Y399" s="1434"/>
      <c r="Z399" s="1434"/>
      <c r="AA399" s="1434"/>
      <c r="AB399" s="1434"/>
      <c r="AC399" s="1434"/>
      <c r="AD399" s="1434"/>
      <c r="AE399" s="1434"/>
      <c r="AF399" s="1434"/>
      <c r="AG399" s="1434"/>
      <c r="AH399" s="1434"/>
      <c r="AI399" s="1434"/>
      <c r="AJ399" s="1434"/>
    </row>
    <row r="400" spans="4:36" ht="12.95" customHeight="1">
      <c r="AG400" s="456"/>
      <c r="AH400" s="456"/>
      <c r="AI400" s="456"/>
      <c r="AJ400" s="456"/>
    </row>
    <row r="401" spans="1:36" ht="12.95" customHeight="1">
      <c r="D401" s="3" t="s">
        <v>1661</v>
      </c>
      <c r="S401" s="1434" t="s">
        <v>670</v>
      </c>
      <c r="T401" s="1434"/>
      <c r="U401" s="1434"/>
      <c r="V401" t="s">
        <v>1662</v>
      </c>
      <c r="AG401" s="1523"/>
      <c r="AH401" s="1523"/>
      <c r="AI401" s="1523"/>
      <c r="AJ401" s="1523"/>
    </row>
    <row r="402" spans="1:36" ht="12.95" customHeight="1">
      <c r="D402" s="3" t="s">
        <v>1659</v>
      </c>
      <c r="S402" s="1434" t="s">
        <v>592</v>
      </c>
      <c r="T402" s="1434"/>
      <c r="U402" s="1434"/>
      <c r="V402" t="s">
        <v>1664</v>
      </c>
      <c r="AE402" s="1517"/>
      <c r="AF402" s="1517"/>
      <c r="AG402" s="1517"/>
      <c r="AH402" s="1517"/>
      <c r="AI402" s="1517"/>
      <c r="AJ402" s="1517"/>
    </row>
    <row r="403" spans="1:36" ht="12.95" customHeight="1">
      <c r="D403" s="3" t="s">
        <v>1660</v>
      </c>
      <c r="K403" s="1519"/>
      <c r="L403" s="1519"/>
      <c r="M403" s="1519"/>
      <c r="N403" s="1519"/>
      <c r="O403" s="1519"/>
      <c r="P403" s="1519"/>
      <c r="Q403" s="1519"/>
      <c r="R403" s="1519"/>
      <c r="S403" s="1519"/>
      <c r="T403" s="1519"/>
      <c r="U403" s="1519"/>
      <c r="V403" s="1519"/>
      <c r="W403" s="1519"/>
      <c r="X403" s="1519"/>
      <c r="Y403" s="1519"/>
      <c r="Z403" s="1519"/>
      <c r="AA403" s="1519"/>
      <c r="AB403" s="1519"/>
      <c r="AC403" s="1519"/>
      <c r="AD403" s="1519"/>
      <c r="AE403" s="1519"/>
      <c r="AF403" s="1519"/>
      <c r="AG403" s="1519"/>
      <c r="AH403" s="1519"/>
      <c r="AI403" s="1519"/>
      <c r="AJ403" s="1519"/>
    </row>
    <row r="404" spans="1:36" ht="12.95" customHeight="1">
      <c r="D404" s="3" t="s">
        <v>1663</v>
      </c>
      <c r="K404" s="1519"/>
      <c r="L404" s="1519"/>
      <c r="M404" s="1519"/>
      <c r="N404" s="1519"/>
      <c r="O404" s="1519"/>
      <c r="P404" s="1519"/>
      <c r="Q404" s="1519"/>
      <c r="R404" s="1519"/>
      <c r="S404" s="1519"/>
      <c r="T404" s="1519"/>
      <c r="U404" s="1519"/>
      <c r="V404" s="1519"/>
      <c r="W404" s="1519"/>
      <c r="X404" s="1519"/>
      <c r="Y404" s="1519"/>
      <c r="Z404" s="1519"/>
      <c r="AA404" s="1519"/>
      <c r="AB404" s="1519"/>
      <c r="AC404" s="1519"/>
      <c r="AD404" s="1519"/>
      <c r="AE404" s="1519"/>
      <c r="AF404" s="1519"/>
      <c r="AG404" s="1519"/>
      <c r="AH404" s="1519"/>
      <c r="AI404" s="1519"/>
      <c r="AJ404" s="1519"/>
    </row>
    <row r="405" spans="1:36" ht="12.95" customHeight="1">
      <c r="D405" s="3" t="s">
        <v>1666</v>
      </c>
      <c r="E405" s="477"/>
      <c r="F405" s="477"/>
      <c r="G405" s="477"/>
      <c r="H405" s="477"/>
      <c r="I405" s="477"/>
      <c r="J405" s="477"/>
      <c r="K405" s="477"/>
      <c r="L405" s="477"/>
      <c r="M405" s="477"/>
      <c r="N405" s="477"/>
      <c r="O405" s="477"/>
      <c r="P405" s="477"/>
      <c r="Q405" s="477"/>
      <c r="R405" s="477"/>
      <c r="S405" s="1436" t="s">
        <v>1185</v>
      </c>
      <c r="T405" s="1436"/>
      <c r="U405" s="1436"/>
      <c r="V405" s="1436"/>
      <c r="W405" s="1436"/>
      <c r="X405" s="1436"/>
      <c r="Y405" s="1436"/>
      <c r="Z405" s="1436"/>
      <c r="AA405" s="1436"/>
      <c r="AB405" s="1436"/>
      <c r="AC405" s="1436"/>
      <c r="AD405" s="1436"/>
      <c r="AE405" s="1436"/>
      <c r="AF405" s="1436"/>
      <c r="AG405" s="1436"/>
      <c r="AH405" s="1436"/>
      <c r="AI405" s="1436"/>
      <c r="AJ405" s="1436"/>
    </row>
    <row r="406" spans="1:36" ht="12.95" customHeight="1">
      <c r="D406" s="1266" t="s">
        <v>1665</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522" t="s">
        <v>2686</v>
      </c>
      <c r="J410" s="1522"/>
      <c r="K410" s="1522"/>
      <c r="L410" s="1522"/>
      <c r="M410" s="1522"/>
      <c r="N410" s="1522"/>
      <c r="O410" s="1522"/>
      <c r="P410" s="1522"/>
      <c r="Q410" s="1522"/>
      <c r="R410" s="1522"/>
      <c r="S410" s="1522"/>
      <c r="T410" s="1522"/>
      <c r="U410" s="1522"/>
      <c r="V410" s="1522"/>
      <c r="W410" s="1522"/>
      <c r="X410" s="1522"/>
      <c r="Y410" s="1522"/>
      <c r="Z410" s="1522"/>
      <c r="AA410" s="1522"/>
      <c r="AB410" s="1522"/>
      <c r="AC410" s="1522"/>
      <c r="AD410" s="1522"/>
      <c r="AE410" s="1522"/>
    </row>
    <row r="411" spans="1:36" ht="12.95" customHeight="1">
      <c r="E411" t="s">
        <v>106</v>
      </c>
      <c r="R411" s="1391" t="s">
        <v>546</v>
      </c>
      <c r="S411" s="1391"/>
      <c r="AC411" s="27" t="s">
        <v>571</v>
      </c>
      <c r="AD411" s="1419">
        <v>6</v>
      </c>
      <c r="AE411" s="1419"/>
    </row>
    <row r="412" spans="1:36" ht="12.95" customHeight="1">
      <c r="E412" t="s">
        <v>107</v>
      </c>
      <c r="R412" s="1391" t="s">
        <v>592</v>
      </c>
      <c r="S412" s="1391"/>
      <c r="AC412" s="27" t="s">
        <v>571</v>
      </c>
      <c r="AD412" s="1419"/>
      <c r="AE412" s="1419"/>
    </row>
    <row r="413" spans="1:36" ht="12.95" customHeight="1">
      <c r="E413" t="s">
        <v>108</v>
      </c>
      <c r="S413" s="1391" t="s">
        <v>592</v>
      </c>
      <c r="T413" s="1391"/>
    </row>
    <row r="414" spans="1:36" ht="12.95" customHeight="1">
      <c r="E414" t="s">
        <v>170</v>
      </c>
      <c r="H414" s="1577" t="s">
        <v>334</v>
      </c>
      <c r="I414" s="1577"/>
      <c r="J414" s="1577"/>
      <c r="K414" s="1577"/>
      <c r="L414" s="1577"/>
      <c r="M414" s="1577"/>
      <c r="N414" s="1577"/>
      <c r="O414" s="1577"/>
      <c r="P414" s="1577"/>
      <c r="Q414" s="1577"/>
      <c r="R414" s="1577"/>
      <c r="S414" s="1577"/>
      <c r="T414" s="1577"/>
      <c r="U414" s="1577"/>
      <c r="V414" s="1577"/>
      <c r="W414" s="1577"/>
      <c r="X414" s="1577"/>
      <c r="Y414" s="1577"/>
      <c r="Z414" s="1577"/>
      <c r="AA414" s="1577"/>
      <c r="AB414" s="1577"/>
      <c r="AC414" s="1577"/>
      <c r="AD414" s="1577"/>
      <c r="AE414" s="1577"/>
    </row>
    <row r="415" spans="1:36" ht="12.95" customHeight="1">
      <c r="H415" s="1578"/>
      <c r="I415" s="1578"/>
      <c r="J415" s="1578"/>
      <c r="K415" s="1578"/>
      <c r="L415" s="1578"/>
      <c r="M415" s="1578"/>
      <c r="N415" s="1578"/>
      <c r="O415" s="1578"/>
      <c r="P415" s="1578"/>
      <c r="Q415" s="1578"/>
      <c r="R415" s="1578"/>
      <c r="S415" s="1578"/>
      <c r="T415" s="1578"/>
      <c r="U415" s="1578"/>
      <c r="V415" s="1578"/>
      <c r="W415" s="1578"/>
      <c r="X415" s="1578"/>
      <c r="Y415" s="1578"/>
      <c r="Z415" s="1578"/>
      <c r="AA415" s="1578"/>
      <c r="AB415" s="1578"/>
      <c r="AC415" s="1578"/>
      <c r="AD415" s="1578"/>
      <c r="AE415" s="1578"/>
    </row>
    <row r="416" spans="1:36" ht="12.95" customHeight="1"/>
    <row r="417" spans="1:39" ht="12.95" customHeight="1">
      <c r="A417" s="2" t="s">
        <v>591</v>
      </c>
      <c r="B417" s="2"/>
      <c r="C417" s="2"/>
      <c r="D417" s="2" t="s">
        <v>114</v>
      </c>
      <c r="AF417" s="2" t="s">
        <v>958</v>
      </c>
    </row>
    <row r="418" spans="1:39" ht="12.95" customHeight="1">
      <c r="E418" s="1499"/>
      <c r="F418" s="1499"/>
      <c r="G418" s="1499"/>
      <c r="H418" s="13" t="s">
        <v>115</v>
      </c>
      <c r="I418" s="1499"/>
      <c r="J418" s="1499"/>
      <c r="K418" s="1499"/>
      <c r="L418" t="s">
        <v>116</v>
      </c>
      <c r="N418" s="27" t="s">
        <v>576</v>
      </c>
      <c r="P418" s="1588">
        <v>0.87</v>
      </c>
      <c r="Q418" s="1588"/>
      <c r="R418" s="1588"/>
      <c r="S418" t="s">
        <v>117</v>
      </c>
      <c r="W418" s="1530">
        <f>IF(E418&gt;0,(E418*I418),(P418*43560))</f>
        <v>37897.199999999997</v>
      </c>
      <c r="X418" s="1530"/>
      <c r="Y418" s="1530"/>
      <c r="Z418" t="s">
        <v>118</v>
      </c>
      <c r="AF418" s="1589">
        <f>IFERROR(IF(P418&gt;0,(AG437/P418),(AG437/(W418/43560))),0)</f>
        <v>90.804597701149419</v>
      </c>
      <c r="AG418" s="1589"/>
      <c r="AH418" s="1589"/>
      <c r="AM418" s="3"/>
    </row>
    <row r="419" spans="1:39" ht="12.95" customHeight="1">
      <c r="E419" t="s">
        <v>51</v>
      </c>
    </row>
    <row r="420" spans="1:39" ht="12.95" customHeight="1">
      <c r="E420" s="1498"/>
      <c r="F420" s="1498"/>
      <c r="G420" s="1498"/>
      <c r="H420" s="1498"/>
      <c r="I420" s="1498"/>
      <c r="J420" s="1498"/>
      <c r="K420" s="1498"/>
      <c r="L420" s="1498"/>
      <c r="M420" s="1498"/>
      <c r="N420" s="1498"/>
      <c r="O420" s="1498"/>
      <c r="P420" s="1498"/>
      <c r="Q420" s="1498"/>
      <c r="R420" s="1498"/>
      <c r="S420" s="1498"/>
      <c r="T420" s="1498"/>
      <c r="U420" s="1498"/>
      <c r="V420" s="1498"/>
      <c r="W420" s="1498"/>
      <c r="X420" s="1498"/>
      <c r="Y420" s="1498"/>
      <c r="Z420" s="1498"/>
      <c r="AA420" s="1498"/>
      <c r="AB420" s="1498"/>
      <c r="AC420" s="1498"/>
      <c r="AD420" s="1498"/>
      <c r="AE420" s="1498"/>
      <c r="AF420" s="1498"/>
      <c r="AG420" s="1498"/>
      <c r="AH420" s="1498"/>
      <c r="AI420" s="1498"/>
      <c r="AJ420" s="1498"/>
    </row>
    <row r="421" spans="1:39" ht="12.95" customHeight="1">
      <c r="E421" s="118" t="s">
        <v>1737</v>
      </c>
      <c r="F421" s="1013"/>
      <c r="G421" s="1013"/>
      <c r="H421" s="1013"/>
      <c r="I421" s="1587">
        <v>0.87</v>
      </c>
      <c r="J421" s="1587"/>
      <c r="K421" s="1587"/>
      <c r="L421" s="1013"/>
      <c r="M421" s="118"/>
      <c r="N421" s="1013"/>
      <c r="O421" s="1013"/>
      <c r="P421" s="1835">
        <f>(DU755+DU778+DU800)/I421</f>
        <v>163.2183908045977</v>
      </c>
      <c r="Q421" s="1835"/>
      <c r="R421" s="1835"/>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391">
        <v>1</v>
      </c>
      <c r="Q424" s="1391"/>
      <c r="S424" t="s">
        <v>189</v>
      </c>
      <c r="AE424" s="1391">
        <v>1</v>
      </c>
      <c r="AF424" s="1391"/>
    </row>
    <row r="425" spans="1:39" ht="12.95" customHeight="1">
      <c r="E425" t="s">
        <v>190</v>
      </c>
      <c r="P425" s="1391">
        <v>0</v>
      </c>
      <c r="Q425" s="1391"/>
      <c r="S425" t="s">
        <v>131</v>
      </c>
      <c r="AE425" s="1391" t="s">
        <v>592</v>
      </c>
      <c r="AF425" s="1391"/>
    </row>
    <row r="426" spans="1:39" ht="12.95" customHeight="1">
      <c r="F426" s="28" t="s">
        <v>132</v>
      </c>
    </row>
    <row r="427" spans="1:39" ht="12.95" customHeight="1">
      <c r="F427" s="1527"/>
      <c r="G427" s="1527"/>
      <c r="H427" s="1527"/>
      <c r="I427" s="1527"/>
      <c r="J427" s="1527"/>
      <c r="K427" s="1527"/>
      <c r="L427" s="1527"/>
      <c r="M427" s="1527"/>
      <c r="N427" s="1527"/>
      <c r="O427" s="1527"/>
      <c r="P427" s="1527"/>
      <c r="Q427" s="1527"/>
      <c r="R427" s="1527"/>
      <c r="S427" s="1527"/>
      <c r="T427" s="1527"/>
      <c r="U427" s="1527"/>
      <c r="V427" s="1527"/>
      <c r="W427" s="1527"/>
      <c r="X427" s="1527"/>
      <c r="Y427" s="1527"/>
      <c r="Z427" s="1527"/>
      <c r="AA427" s="1527"/>
      <c r="AB427" s="1527"/>
      <c r="AC427" s="1527"/>
      <c r="AD427" s="1527"/>
      <c r="AE427" s="1527"/>
      <c r="AF427" s="1527"/>
      <c r="AG427" s="1527"/>
      <c r="AH427" s="1527"/>
    </row>
    <row r="428" spans="1:39" ht="12.95" customHeight="1">
      <c r="F428" s="1528"/>
      <c r="G428" s="1528"/>
      <c r="H428" s="1528"/>
      <c r="I428" s="1528"/>
      <c r="J428" s="1528"/>
      <c r="K428" s="1528"/>
      <c r="L428" s="1528"/>
      <c r="M428" s="1528"/>
      <c r="N428" s="1528"/>
      <c r="O428" s="1528"/>
      <c r="P428" s="1528"/>
      <c r="Q428" s="1528"/>
      <c r="R428" s="1528"/>
      <c r="S428" s="1528"/>
      <c r="T428" s="1528"/>
      <c r="U428" s="1528"/>
      <c r="V428" s="1528"/>
      <c r="W428" s="1528"/>
      <c r="X428" s="1528"/>
      <c r="Y428" s="1528"/>
      <c r="Z428" s="1528"/>
      <c r="AA428" s="1528"/>
      <c r="AB428" s="1528"/>
      <c r="AC428" s="1528"/>
      <c r="AD428" s="1528"/>
      <c r="AE428" s="1528"/>
      <c r="AF428" s="1528"/>
      <c r="AG428" s="1528"/>
      <c r="AH428" s="1528"/>
    </row>
    <row r="429" spans="1:39" ht="12.95" customHeight="1">
      <c r="E429" t="s">
        <v>609</v>
      </c>
      <c r="P429" s="1"/>
      <c r="Q429" s="1391" t="s">
        <v>546</v>
      </c>
      <c r="R429" s="1391"/>
    </row>
    <row r="430" spans="1:39" ht="12.95" customHeight="1">
      <c r="F430" t="s">
        <v>610</v>
      </c>
      <c r="P430" s="1"/>
      <c r="Q430" s="1"/>
      <c r="AF430" s="1391" t="s">
        <v>592</v>
      </c>
      <c r="AG430" s="1503"/>
    </row>
    <row r="431" spans="1:39" ht="12.95" customHeight="1"/>
    <row r="432" spans="1:39" ht="12.95" customHeight="1">
      <c r="A432" s="2"/>
      <c r="B432" s="2"/>
      <c r="C432" s="2"/>
      <c r="E432" s="4" t="s">
        <v>308</v>
      </c>
      <c r="Z432" s="1391" t="s">
        <v>670</v>
      </c>
      <c r="AA432" s="1391"/>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391" t="s">
        <v>592</v>
      </c>
      <c r="AA434" s="1391"/>
    </row>
    <row r="435" spans="1:55" ht="12.95" customHeight="1"/>
    <row r="436" spans="1:55" ht="12.95" customHeight="1">
      <c r="A436" s="2" t="s">
        <v>468</v>
      </c>
      <c r="B436" s="2"/>
      <c r="C436" s="2"/>
      <c r="D436" s="2" t="s">
        <v>765</v>
      </c>
      <c r="AF436" s="48"/>
    </row>
    <row r="437" spans="1:55" ht="12.95" customHeight="1">
      <c r="D437" s="1500" t="s">
        <v>43</v>
      </c>
      <c r="E437" s="1426"/>
      <c r="F437" s="1426"/>
      <c r="G437" s="1426"/>
      <c r="H437" s="1426"/>
      <c r="I437" s="1426"/>
      <c r="J437" s="1426"/>
      <c r="K437" s="1426"/>
      <c r="L437" s="1426"/>
      <c r="M437" s="1426"/>
      <c r="N437" s="1426"/>
      <c r="O437" s="1426"/>
      <c r="P437" s="1426"/>
      <c r="Q437" s="1426"/>
      <c r="R437" s="1426"/>
      <c r="S437" s="1426"/>
      <c r="T437" s="1426"/>
      <c r="U437" s="1426"/>
      <c r="V437" s="1426"/>
      <c r="W437" s="1426"/>
      <c r="X437" s="1426"/>
      <c r="Y437" s="1426"/>
      <c r="Z437" s="1426"/>
      <c r="AA437" s="1426"/>
      <c r="AB437" s="1426"/>
      <c r="AC437" s="1426"/>
      <c r="AD437" s="1426"/>
      <c r="AE437" s="1426"/>
      <c r="AF437" s="1427"/>
      <c r="AG437" s="1414">
        <v>79</v>
      </c>
      <c r="AH437" s="1414"/>
      <c r="AI437" s="1414"/>
      <c r="AJ437" s="1414"/>
    </row>
    <row r="438" spans="1:55" ht="12.95" customHeight="1">
      <c r="D438" s="1425" t="s">
        <v>1223</v>
      </c>
      <c r="E438" s="1501"/>
      <c r="F438" s="1501"/>
      <c r="G438" s="1501"/>
      <c r="H438" s="1501"/>
      <c r="I438" s="1501"/>
      <c r="J438" s="1501"/>
      <c r="K438" s="1501"/>
      <c r="L438" s="1501"/>
      <c r="M438" s="1501"/>
      <c r="N438" s="1501"/>
      <c r="O438" s="1501"/>
      <c r="P438" s="1501"/>
      <c r="Q438" s="1501"/>
      <c r="R438" s="1501"/>
      <c r="S438" s="1501"/>
      <c r="T438" s="1501"/>
      <c r="U438" s="1501"/>
      <c r="V438" s="1501"/>
      <c r="W438" s="1501"/>
      <c r="X438" s="1501"/>
      <c r="Y438" s="1501"/>
      <c r="Z438" s="1501"/>
      <c r="AA438" s="1501"/>
      <c r="AB438" s="1501"/>
      <c r="AC438" s="1501"/>
      <c r="AD438" s="1501"/>
      <c r="AE438" s="1501"/>
      <c r="AF438" s="1502"/>
      <c r="AG438" s="1454">
        <v>0</v>
      </c>
      <c r="AH438" s="1455"/>
      <c r="AI438" s="1455"/>
      <c r="AJ438" s="1455"/>
    </row>
    <row r="439" spans="1:55" ht="12.95" customHeight="1">
      <c r="D439" s="1425" t="s">
        <v>1032</v>
      </c>
      <c r="E439" s="1501"/>
      <c r="F439" s="1501"/>
      <c r="G439" s="1501"/>
      <c r="H439" s="1501"/>
      <c r="I439" s="1501"/>
      <c r="J439" s="1501"/>
      <c r="K439" s="1501"/>
      <c r="L439" s="1501"/>
      <c r="M439" s="1501"/>
      <c r="N439" s="1501"/>
      <c r="O439" s="1501"/>
      <c r="P439" s="1501"/>
      <c r="Q439" s="1501"/>
      <c r="R439" s="1501"/>
      <c r="S439" s="1501"/>
      <c r="T439" s="1501"/>
      <c r="U439" s="1501"/>
      <c r="V439" s="1501"/>
      <c r="W439" s="1501"/>
      <c r="X439" s="1501"/>
      <c r="Y439" s="1501"/>
      <c r="Z439" s="1501"/>
      <c r="AA439" s="1501"/>
      <c r="AB439" s="1501"/>
      <c r="AC439" s="1501"/>
      <c r="AD439" s="1501"/>
      <c r="AE439" s="1501"/>
      <c r="AF439" s="1502"/>
      <c r="AG439" s="1414">
        <v>78</v>
      </c>
      <c r="AH439" s="1414"/>
      <c r="AI439" s="1414"/>
      <c r="AJ439" s="1414"/>
    </row>
    <row r="440" spans="1:55" ht="12.95" customHeight="1">
      <c r="D440" s="1425" t="s">
        <v>1033</v>
      </c>
      <c r="E440" s="1501"/>
      <c r="F440" s="1501"/>
      <c r="G440" s="1501"/>
      <c r="H440" s="1501"/>
      <c r="I440" s="1501"/>
      <c r="J440" s="1501"/>
      <c r="K440" s="1501"/>
      <c r="L440" s="1501"/>
      <c r="M440" s="1501"/>
      <c r="N440" s="1501"/>
      <c r="O440" s="1501"/>
      <c r="P440" s="1501"/>
      <c r="Q440" s="1501"/>
      <c r="R440" s="1501"/>
      <c r="S440" s="1501"/>
      <c r="T440" s="1501"/>
      <c r="U440" s="1501"/>
      <c r="V440" s="1501"/>
      <c r="W440" s="1501"/>
      <c r="X440" s="1501"/>
      <c r="Y440" s="1501"/>
      <c r="Z440" s="1501"/>
      <c r="AA440" s="1501"/>
      <c r="AB440" s="1501"/>
      <c r="AC440" s="1501"/>
      <c r="AD440" s="1501"/>
      <c r="AE440" s="1501"/>
      <c r="AF440" s="1502"/>
      <c r="AG440" s="1414">
        <v>78</v>
      </c>
      <c r="AH440" s="1414"/>
      <c r="AI440" s="1414"/>
      <c r="AJ440" s="1414"/>
    </row>
    <row r="441" spans="1:55" ht="12.95" customHeight="1">
      <c r="D441" s="1425" t="s">
        <v>1035</v>
      </c>
      <c r="E441" s="1501"/>
      <c r="F441" s="1501"/>
      <c r="G441" s="1501"/>
      <c r="H441" s="1501"/>
      <c r="I441" s="1501"/>
      <c r="J441" s="1501"/>
      <c r="K441" s="1501"/>
      <c r="L441" s="1501"/>
      <c r="M441" s="1501"/>
      <c r="N441" s="1501"/>
      <c r="O441" s="1501"/>
      <c r="P441" s="1501"/>
      <c r="Q441" s="1501"/>
      <c r="R441" s="1501"/>
      <c r="S441" s="1501"/>
      <c r="T441" s="1501"/>
      <c r="U441" s="1501"/>
      <c r="V441" s="1501"/>
      <c r="W441" s="1501"/>
      <c r="X441" s="1501"/>
      <c r="Y441" s="1501"/>
      <c r="Z441" s="1501"/>
      <c r="AA441" s="1501"/>
      <c r="AB441" s="1501"/>
      <c r="AC441" s="1501"/>
      <c r="AD441" s="1501"/>
      <c r="AE441" s="1501"/>
      <c r="AF441" s="1502"/>
      <c r="AG441" s="1531">
        <f>IF(ISERROR(AG440/AG439),0,AG440/AG439)</f>
        <v>1</v>
      </c>
      <c r="AH441" s="1531"/>
      <c r="AI441" s="1531"/>
      <c r="AJ441" s="1531"/>
    </row>
    <row r="442" spans="1:55" ht="12.95" customHeight="1">
      <c r="D442" s="1425" t="s">
        <v>1034</v>
      </c>
      <c r="E442" s="1501"/>
      <c r="F442" s="1501"/>
      <c r="G442" s="1501"/>
      <c r="H442" s="1501"/>
      <c r="I442" s="1501"/>
      <c r="J442" s="1501"/>
      <c r="K442" s="1501"/>
      <c r="L442" s="1501"/>
      <c r="M442" s="1501"/>
      <c r="N442" s="1501"/>
      <c r="O442" s="1501"/>
      <c r="P442" s="1501"/>
      <c r="Q442" s="1501"/>
      <c r="R442" s="1501"/>
      <c r="S442" s="1501"/>
      <c r="T442" s="1501"/>
      <c r="U442" s="1501"/>
      <c r="V442" s="1501"/>
      <c r="W442" s="1501"/>
      <c r="X442" s="1501"/>
      <c r="Y442" s="1501"/>
      <c r="Z442" s="1501"/>
      <c r="AA442" s="1501"/>
      <c r="AB442" s="1501"/>
      <c r="AC442" s="1501"/>
      <c r="AD442" s="1501"/>
      <c r="AE442" s="1501"/>
      <c r="AF442" s="1502"/>
      <c r="AG442" s="1456">
        <v>72717</v>
      </c>
      <c r="AH442" s="1456"/>
      <c r="AI442" s="1456"/>
      <c r="AJ442" s="1456"/>
    </row>
    <row r="443" spans="1:55" ht="12.95" customHeight="1">
      <c r="D443" s="1425" t="s">
        <v>1036</v>
      </c>
      <c r="E443" s="1501"/>
      <c r="F443" s="1501"/>
      <c r="G443" s="1501"/>
      <c r="H443" s="1501"/>
      <c r="I443" s="1501"/>
      <c r="J443" s="1501"/>
      <c r="K443" s="1501"/>
      <c r="L443" s="1501"/>
      <c r="M443" s="1501"/>
      <c r="N443" s="1501"/>
      <c r="O443" s="1501"/>
      <c r="P443" s="1501"/>
      <c r="Q443" s="1501"/>
      <c r="R443" s="1501"/>
      <c r="S443" s="1501"/>
      <c r="T443" s="1501"/>
      <c r="U443" s="1501"/>
      <c r="V443" s="1501"/>
      <c r="W443" s="1501"/>
      <c r="X443" s="1501"/>
      <c r="Y443" s="1501"/>
      <c r="Z443" s="1501"/>
      <c r="AA443" s="1501"/>
      <c r="AB443" s="1501"/>
      <c r="AC443" s="1501"/>
      <c r="AD443" s="1501"/>
      <c r="AE443" s="1501"/>
      <c r="AF443" s="1502"/>
      <c r="AG443" s="1456">
        <v>72717</v>
      </c>
      <c r="AH443" s="1456"/>
      <c r="AI443" s="1456"/>
      <c r="AJ443" s="1456"/>
    </row>
    <row r="444" spans="1:55" ht="12.95" customHeight="1">
      <c r="D444" s="1425" t="s">
        <v>1037</v>
      </c>
      <c r="E444" s="1501"/>
      <c r="F444" s="1501"/>
      <c r="G444" s="1501"/>
      <c r="H444" s="1501"/>
      <c r="I444" s="1501"/>
      <c r="J444" s="1501"/>
      <c r="K444" s="1501"/>
      <c r="L444" s="1501"/>
      <c r="M444" s="1501"/>
      <c r="N444" s="1501"/>
      <c r="O444" s="1501"/>
      <c r="P444" s="1501"/>
      <c r="Q444" s="1501"/>
      <c r="R444" s="1501"/>
      <c r="S444" s="1501"/>
      <c r="T444" s="1501"/>
      <c r="U444" s="1501"/>
      <c r="V444" s="1501"/>
      <c r="W444" s="1501"/>
      <c r="X444" s="1501"/>
      <c r="Y444" s="1501"/>
      <c r="Z444" s="1501"/>
      <c r="AA444" s="1501"/>
      <c r="AB444" s="1501"/>
      <c r="AC444" s="1501"/>
      <c r="AD444" s="1501"/>
      <c r="AE444" s="1501"/>
      <c r="AF444" s="1502"/>
      <c r="AG444" s="1531">
        <f>IF(ISERROR(AG443/AG442),0,AG443/AG442)</f>
        <v>1</v>
      </c>
      <c r="AH444" s="1531"/>
      <c r="AI444" s="1531"/>
      <c r="AJ444" s="1531"/>
    </row>
    <row r="445" spans="1:55" ht="12.95" customHeight="1">
      <c r="D445" s="1425" t="s">
        <v>1038</v>
      </c>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1501"/>
      <c r="AE445" s="1501"/>
      <c r="AF445" s="1502"/>
      <c r="AG445" s="1531">
        <f>MIN(IF(AG441&gt;AG444,AG444,AG441),1)</f>
        <v>1</v>
      </c>
      <c r="AH445" s="1531"/>
      <c r="AI445" s="1531"/>
      <c r="AJ445" s="1531"/>
    </row>
    <row r="446" spans="1:55" ht="12.95" customHeight="1">
      <c r="D446" s="1425" t="s">
        <v>2088</v>
      </c>
      <c r="E446" s="1426"/>
      <c r="F446" s="1426"/>
      <c r="G446" s="1426"/>
      <c r="H446" s="1426"/>
      <c r="I446" s="1426"/>
      <c r="J446" s="1426"/>
      <c r="K446" s="1426"/>
      <c r="L446" s="1426"/>
      <c r="M446" s="1426"/>
      <c r="N446" s="1426"/>
      <c r="O446" s="1426"/>
      <c r="P446" s="1426"/>
      <c r="Q446" s="1426"/>
      <c r="R446" s="1426"/>
      <c r="S446" s="1426"/>
      <c r="T446" s="1426"/>
      <c r="U446" s="1426"/>
      <c r="V446" s="1426"/>
      <c r="W446" s="1426"/>
      <c r="X446" s="1426"/>
      <c r="Y446" s="1426"/>
      <c r="Z446" s="1426"/>
      <c r="AA446" s="1426"/>
      <c r="AB446" s="1426"/>
      <c r="AC446" s="1426"/>
      <c r="AD446" s="1426"/>
      <c r="AE446" s="1426"/>
      <c r="AF446" s="1427"/>
      <c r="AG446" s="1456">
        <v>0</v>
      </c>
      <c r="AH446" s="1456"/>
      <c r="AI446" s="1456"/>
      <c r="AJ446" s="1456"/>
      <c r="AZ446" s="34"/>
      <c r="BA446" s="34"/>
      <c r="BB446" s="34"/>
      <c r="BC446" s="34"/>
    </row>
    <row r="447" spans="1:55" ht="12.95" customHeight="1">
      <c r="D447" s="1500" t="s">
        <v>570</v>
      </c>
      <c r="E447" s="1426"/>
      <c r="F447" s="1426"/>
      <c r="G447" s="1426"/>
      <c r="H447" s="1426"/>
      <c r="I447" s="1426"/>
      <c r="J447" s="1426"/>
      <c r="K447" s="1426"/>
      <c r="L447" s="1426"/>
      <c r="M447" s="1426"/>
      <c r="N447" s="1426"/>
      <c r="O447" s="1426"/>
      <c r="P447" s="1426"/>
      <c r="Q447" s="1426"/>
      <c r="R447" s="1426"/>
      <c r="S447" s="1426"/>
      <c r="T447" s="1426"/>
      <c r="U447" s="1426"/>
      <c r="V447" s="1426"/>
      <c r="W447" s="1426"/>
      <c r="X447" s="1426"/>
      <c r="Y447" s="1426"/>
      <c r="Z447" s="1426"/>
      <c r="AA447" s="1426"/>
      <c r="AB447" s="1426"/>
      <c r="AC447" s="1426"/>
      <c r="AD447" s="1426"/>
      <c r="AE447" s="1426"/>
      <c r="AF447" s="1427"/>
      <c r="AG447" s="1456">
        <v>0</v>
      </c>
      <c r="AH447" s="1456"/>
      <c r="AI447" s="1456"/>
      <c r="AJ447" s="1456"/>
      <c r="AZ447" s="3"/>
      <c r="BA447" s="3"/>
      <c r="BB447" s="3"/>
      <c r="BC447" s="3"/>
    </row>
    <row r="448" spans="1:55" ht="12.95" customHeight="1">
      <c r="D448" s="1425" t="s">
        <v>1206</v>
      </c>
      <c r="E448" s="1426"/>
      <c r="F448" s="1426"/>
      <c r="G448" s="1426"/>
      <c r="H448" s="1426"/>
      <c r="I448" s="1426"/>
      <c r="J448" s="1426"/>
      <c r="K448" s="1426"/>
      <c r="L448" s="1426"/>
      <c r="M448" s="1426"/>
      <c r="N448" s="1426"/>
      <c r="O448" s="1426"/>
      <c r="P448" s="1426"/>
      <c r="Q448" s="1426"/>
      <c r="R448" s="1426"/>
      <c r="S448" s="1426"/>
      <c r="T448" s="1426"/>
      <c r="U448" s="1426"/>
      <c r="V448" s="1426"/>
      <c r="W448" s="1426"/>
      <c r="X448" s="1426"/>
      <c r="Y448" s="1426"/>
      <c r="Z448" s="1426"/>
      <c r="AA448" s="1426"/>
      <c r="AB448" s="1426"/>
      <c r="AC448" s="1426"/>
      <c r="AD448" s="1426"/>
      <c r="AE448" s="1426"/>
      <c r="AF448" s="1427"/>
      <c r="AG448" s="1456">
        <v>4655</v>
      </c>
      <c r="AH448" s="1456"/>
      <c r="AI448" s="1456"/>
      <c r="AJ448" s="1456"/>
      <c r="AZ448" s="3"/>
      <c r="BA448" s="3"/>
      <c r="BB448" s="3"/>
      <c r="BC448" s="3"/>
    </row>
    <row r="449" spans="1:55" ht="12.95" customHeight="1">
      <c r="D449" s="1425" t="s">
        <v>1039</v>
      </c>
      <c r="E449" s="1426"/>
      <c r="F449" s="1426"/>
      <c r="G449" s="1426"/>
      <c r="H449" s="1426"/>
      <c r="I449" s="1426"/>
      <c r="J449" s="1426"/>
      <c r="K449" s="1426"/>
      <c r="L449" s="1426"/>
      <c r="M449" s="1426"/>
      <c r="N449" s="1426"/>
      <c r="O449" s="1426"/>
      <c r="P449" s="1426"/>
      <c r="Q449" s="1426"/>
      <c r="R449" s="1426"/>
      <c r="S449" s="1426"/>
      <c r="T449" s="1426"/>
      <c r="U449" s="1426"/>
      <c r="V449" s="1426"/>
      <c r="W449" s="1426"/>
      <c r="X449" s="1426"/>
      <c r="Y449" s="1426"/>
      <c r="Z449" s="1426"/>
      <c r="AA449" s="1426"/>
      <c r="AB449" s="1426"/>
      <c r="AC449" s="1426"/>
      <c r="AD449" s="1426"/>
      <c r="AE449" s="1426"/>
      <c r="AF449" s="1427"/>
      <c r="AG449" s="1456">
        <v>22733</v>
      </c>
      <c r="AH449" s="1456"/>
      <c r="AI449" s="1456"/>
      <c r="AJ449" s="1456"/>
      <c r="BB449" s="3"/>
      <c r="BC449" s="3"/>
    </row>
    <row r="450" spans="1:55" ht="12.95" customHeight="1">
      <c r="D450" s="1573" t="s">
        <v>1040</v>
      </c>
      <c r="E450" s="1574"/>
      <c r="F450" s="1574"/>
      <c r="G450" s="1574"/>
      <c r="H450" s="1574"/>
      <c r="I450" s="1574"/>
      <c r="J450" s="1574"/>
      <c r="K450" s="1574"/>
      <c r="L450" s="1574"/>
      <c r="M450" s="1574"/>
      <c r="N450" s="1574"/>
      <c r="O450" s="1574"/>
      <c r="P450" s="1574"/>
      <c r="Q450" s="1574"/>
      <c r="R450" s="1574"/>
      <c r="S450" s="1574"/>
      <c r="T450" s="1574"/>
      <c r="U450" s="1574"/>
      <c r="V450" s="1574"/>
      <c r="W450" s="1574"/>
      <c r="X450" s="1574"/>
      <c r="Y450" s="1574"/>
      <c r="Z450" s="1574"/>
      <c r="AA450" s="1574"/>
      <c r="AB450" s="1574"/>
      <c r="AC450" s="1574"/>
      <c r="AD450" s="1574"/>
      <c r="AE450" s="1574"/>
      <c r="AF450" s="1575"/>
      <c r="AG450" s="1435">
        <f>AG442+AG446+AG448+AG449</f>
        <v>100105</v>
      </c>
      <c r="AH450" s="1435"/>
      <c r="AI450" s="1435"/>
      <c r="AJ450" s="1435"/>
      <c r="AZ450" s="3"/>
      <c r="BA450" s="3"/>
      <c r="BB450" s="3"/>
      <c r="BC450" s="3"/>
    </row>
    <row r="451" spans="1:55" ht="12.95" customHeight="1">
      <c r="D451" s="1582" t="s">
        <v>1207</v>
      </c>
      <c r="E451" s="1582"/>
      <c r="F451" s="1582"/>
      <c r="G451" s="1582"/>
      <c r="H451" s="1582"/>
      <c r="I451" s="1582"/>
      <c r="J451" s="1582"/>
      <c r="K451" s="1582"/>
      <c r="L451" s="1582"/>
      <c r="M451" s="1582"/>
      <c r="N451" s="1582"/>
      <c r="O451" s="1582"/>
      <c r="P451" s="1582"/>
      <c r="Q451" s="1582"/>
      <c r="R451" s="1582"/>
      <c r="S451" s="1582"/>
      <c r="T451" s="1582"/>
      <c r="U451" s="1582"/>
      <c r="V451" s="1582"/>
      <c r="W451" s="1582"/>
      <c r="X451" s="1582"/>
      <c r="Y451" s="1582"/>
      <c r="Z451" s="1582"/>
      <c r="AA451" s="1582"/>
      <c r="AB451" s="1582"/>
      <c r="AC451" s="1582"/>
      <c r="AD451" s="1582"/>
      <c r="AE451" s="1582"/>
      <c r="AF451" s="1582"/>
      <c r="AG451" s="1582"/>
      <c r="AH451" s="1582"/>
      <c r="AI451" s="1582"/>
      <c r="AJ451" s="1582"/>
      <c r="AZ451" s="3"/>
      <c r="BA451" s="3"/>
      <c r="BB451" s="3"/>
      <c r="BC451" s="3"/>
    </row>
    <row r="452" spans="1:55" ht="12.95" customHeight="1">
      <c r="D452" s="1583"/>
      <c r="E452" s="1583"/>
      <c r="F452" s="1583"/>
      <c r="G452" s="1583"/>
      <c r="H452" s="1583"/>
      <c r="I452" s="1583"/>
      <c r="J452" s="1583"/>
      <c r="K452" s="1583"/>
      <c r="L452" s="1583"/>
      <c r="M452" s="1583"/>
      <c r="N452" s="1583"/>
      <c r="O452" s="1583"/>
      <c r="P452" s="1583"/>
      <c r="Q452" s="1583"/>
      <c r="R452" s="1583"/>
      <c r="S452" s="1583"/>
      <c r="T452" s="1583"/>
      <c r="U452" s="1583"/>
      <c r="V452" s="1583"/>
      <c r="W452" s="1583"/>
      <c r="X452" s="1583"/>
      <c r="Y452" s="1583"/>
      <c r="Z452" s="1583"/>
      <c r="AA452" s="1583"/>
      <c r="AB452" s="1583"/>
      <c r="AC452" s="1583"/>
      <c r="AD452" s="1583"/>
      <c r="AE452" s="1583"/>
      <c r="AF452" s="1583"/>
      <c r="AG452" s="1583"/>
      <c r="AH452" s="1583"/>
      <c r="AI452" s="1583"/>
      <c r="AJ452" s="1583"/>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403">
        <f>IF(AG437=0,"",'Sources and Uses Budget'!B105/Application!AG437)</f>
        <v>1050082.4936708861</v>
      </c>
      <c r="AD454" s="1403"/>
      <c r="AE454" s="1403"/>
      <c r="AF454" s="1403"/>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403">
        <f>IF(AG437=0,"",'Sources and Uses Budget'!C105/Application!AG437)</f>
        <v>1050082.4936708861</v>
      </c>
      <c r="AD455" s="1403"/>
      <c r="AE455" s="1403"/>
      <c r="AF455" s="1403"/>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403">
        <f>IF(AG437=0,"",('Sources and Uses Budget'!$S$107+'Sources and Uses Budget'!$T$107)/Application!AG437)</f>
        <v>898763.84810126584</v>
      </c>
      <c r="AD456" s="1403"/>
      <c r="AE456" s="1403"/>
      <c r="AF456" s="1403"/>
      <c r="AG456" s="177"/>
      <c r="AH456" s="177"/>
      <c r="AI456" s="177"/>
      <c r="AJ456" s="183"/>
      <c r="AZ456" s="3"/>
      <c r="BA456" s="3"/>
      <c r="BB456" s="3"/>
      <c r="BC456" s="3"/>
    </row>
    <row r="457" spans="1:55" ht="12.95" customHeight="1">
      <c r="D457" s="177"/>
      <c r="E457" s="177"/>
      <c r="F457" s="1404"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04"/>
      <c r="H457" s="1404"/>
      <c r="I457" s="1404"/>
      <c r="J457" s="1404"/>
      <c r="K457" s="1404"/>
      <c r="L457" s="1404"/>
      <c r="M457" s="1404"/>
      <c r="N457" s="1404"/>
      <c r="O457" s="1404"/>
      <c r="P457" s="1404"/>
      <c r="Q457" s="1404"/>
      <c r="R457" s="1404"/>
      <c r="S457" s="1404"/>
      <c r="T457" s="1404"/>
      <c r="U457" s="1404"/>
      <c r="V457" s="1404"/>
      <c r="W457" s="1404"/>
      <c r="X457" s="1404"/>
      <c r="Y457" s="1404"/>
      <c r="Z457" s="1404"/>
      <c r="AA457" s="1404"/>
      <c r="AB457" s="1404"/>
      <c r="AC457" s="515"/>
      <c r="AD457" s="177"/>
      <c r="AE457" s="177"/>
      <c r="AF457" s="177"/>
      <c r="AG457" s="177"/>
      <c r="AH457" s="177"/>
      <c r="AI457" s="177"/>
      <c r="AJ457" s="183"/>
      <c r="AZ457" s="3"/>
      <c r="BA457" s="3"/>
      <c r="BB457" s="3"/>
      <c r="BC457" s="3"/>
    </row>
    <row r="458" spans="1:55" ht="12.95" customHeight="1">
      <c r="A458" s="2"/>
      <c r="D458" s="2"/>
      <c r="E458" s="177"/>
      <c r="F458" s="1404"/>
      <c r="G458" s="1404"/>
      <c r="H458" s="1404"/>
      <c r="I458" s="1404"/>
      <c r="J458" s="1404"/>
      <c r="K458" s="1404"/>
      <c r="L458" s="1404"/>
      <c r="M458" s="1404"/>
      <c r="N458" s="1404"/>
      <c r="O458" s="1404"/>
      <c r="P458" s="1404"/>
      <c r="Q458" s="1404"/>
      <c r="R458" s="1404"/>
      <c r="S458" s="1404"/>
      <c r="T458" s="1404"/>
      <c r="U458" s="1404"/>
      <c r="V458" s="1404"/>
      <c r="W458" s="1404"/>
      <c r="X458" s="1404"/>
      <c r="Y458" s="1404"/>
      <c r="Z458" s="1404"/>
      <c r="AA458" s="1404"/>
      <c r="AB458" s="1404"/>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74" t="s">
        <v>2100</v>
      </c>
      <c r="E465" s="1406"/>
      <c r="F465" s="1406"/>
      <c r="G465" s="1406"/>
      <c r="H465" s="1406"/>
      <c r="I465" s="1406"/>
      <c r="J465" s="1406"/>
      <c r="K465" s="1406"/>
      <c r="L465" s="1406"/>
      <c r="M465" s="1406"/>
      <c r="N465" s="1406"/>
      <c r="O465" s="1406"/>
      <c r="P465" s="1406"/>
      <c r="Q465" s="1406"/>
      <c r="R465" s="1406"/>
      <c r="S465" s="1406"/>
      <c r="T465" s="1406"/>
      <c r="U465" s="1406"/>
      <c r="V465" s="1407"/>
      <c r="W465" s="1377">
        <v>24</v>
      </c>
      <c r="X465" s="1378"/>
      <c r="Y465" s="1379"/>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405" t="s">
        <v>694</v>
      </c>
      <c r="E466" s="1406"/>
      <c r="F466" s="1406"/>
      <c r="G466" s="1406"/>
      <c r="H466" s="1406"/>
      <c r="I466" s="1406"/>
      <c r="J466" s="1406"/>
      <c r="K466" s="1406"/>
      <c r="L466" s="1406"/>
      <c r="M466" s="1406"/>
      <c r="N466" s="1406"/>
      <c r="O466" s="1406"/>
      <c r="P466" s="1406"/>
      <c r="Q466" s="1406"/>
      <c r="R466" s="1406"/>
      <c r="S466" s="1406"/>
      <c r="T466" s="1406"/>
      <c r="U466" s="1406"/>
      <c r="V466" s="1407"/>
      <c r="W466" s="1377">
        <v>0</v>
      </c>
      <c r="X466" s="1378"/>
      <c r="Y466" s="1379"/>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405" t="s">
        <v>695</v>
      </c>
      <c r="E467" s="1406"/>
      <c r="F467" s="1406"/>
      <c r="G467" s="1406"/>
      <c r="H467" s="1406"/>
      <c r="I467" s="1406"/>
      <c r="J467" s="1406"/>
      <c r="K467" s="1406"/>
      <c r="L467" s="1406"/>
      <c r="M467" s="1406"/>
      <c r="N467" s="1406"/>
      <c r="O467" s="1406"/>
      <c r="P467" s="1406"/>
      <c r="Q467" s="1406"/>
      <c r="R467" s="1406"/>
      <c r="S467" s="1406"/>
      <c r="T467" s="1406"/>
      <c r="U467" s="1406"/>
      <c r="V467" s="1407"/>
      <c r="W467" s="1377">
        <v>0</v>
      </c>
      <c r="X467" s="1378"/>
      <c r="Y467" s="1379"/>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405" t="s">
        <v>696</v>
      </c>
      <c r="E468" s="1406"/>
      <c r="F468" s="1406"/>
      <c r="G468" s="1406"/>
      <c r="H468" s="1406"/>
      <c r="I468" s="1406"/>
      <c r="J468" s="1406"/>
      <c r="K468" s="1406"/>
      <c r="L468" s="1406"/>
      <c r="M468" s="1406"/>
      <c r="N468" s="1406"/>
      <c r="O468" s="1406"/>
      <c r="P468" s="1406"/>
      <c r="Q468" s="1406"/>
      <c r="R468" s="1406"/>
      <c r="S468" s="1406"/>
      <c r="T468" s="1406"/>
      <c r="U468" s="1406"/>
      <c r="V468" s="1407"/>
      <c r="W468" s="1377">
        <v>0</v>
      </c>
      <c r="X468" s="1378"/>
      <c r="Y468" s="1379"/>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405" t="s">
        <v>882</v>
      </c>
      <c r="E469" s="1406"/>
      <c r="F469" s="1406"/>
      <c r="G469" s="1406"/>
      <c r="H469" s="1406"/>
      <c r="I469" s="1406"/>
      <c r="J469" s="1406"/>
      <c r="K469" s="1406"/>
      <c r="L469" s="1406"/>
      <c r="M469" s="1406"/>
      <c r="N469" s="1406"/>
      <c r="O469" s="1406"/>
      <c r="P469" s="1406"/>
      <c r="Q469" s="1406"/>
      <c r="R469" s="1406"/>
      <c r="S469" s="1406"/>
      <c r="T469" s="1406"/>
      <c r="U469" s="1406"/>
      <c r="V469" s="1407"/>
      <c r="W469" s="1377">
        <v>0</v>
      </c>
      <c r="X469" s="1378"/>
      <c r="Y469" s="1379"/>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405" t="s">
        <v>697</v>
      </c>
      <c r="E470" s="1406"/>
      <c r="F470" s="1406"/>
      <c r="G470" s="1406"/>
      <c r="H470" s="1406"/>
      <c r="I470" s="1406"/>
      <c r="J470" s="1406"/>
      <c r="K470" s="1406"/>
      <c r="L470" s="1406"/>
      <c r="M470" s="1406"/>
      <c r="N470" s="1406"/>
      <c r="O470" s="1406"/>
      <c r="P470" s="1406"/>
      <c r="Q470" s="1406"/>
      <c r="R470" s="1406"/>
      <c r="S470" s="1406"/>
      <c r="T470" s="1406"/>
      <c r="U470" s="1406"/>
      <c r="V470" s="1407"/>
      <c r="W470" s="1377">
        <v>0</v>
      </c>
      <c r="X470" s="1378"/>
      <c r="Y470" s="1379"/>
      <c r="Z470" s="184"/>
      <c r="AA470" s="184"/>
      <c r="AB470" s="184"/>
      <c r="AC470" s="184"/>
      <c r="AD470" s="177"/>
      <c r="AE470" s="177"/>
      <c r="AF470" s="177"/>
      <c r="AG470" s="177"/>
      <c r="AH470" s="177"/>
      <c r="AI470" s="177"/>
      <c r="AJ470" s="183"/>
      <c r="AZ470" s="3"/>
      <c r="BA470" s="3" t="str">
        <f>AG591</f>
        <v>No</v>
      </c>
      <c r="BB470" s="3"/>
      <c r="BC470" s="3"/>
    </row>
    <row r="471" spans="1:55" ht="12.95" customHeight="1">
      <c r="A471" s="3"/>
      <c r="B471" s="3"/>
      <c r="C471" s="3"/>
      <c r="D471" s="1405" t="s">
        <v>1013</v>
      </c>
      <c r="E471" s="1406"/>
      <c r="F471" s="1406"/>
      <c r="G471" s="1406"/>
      <c r="H471" s="1406"/>
      <c r="I471" s="1406"/>
      <c r="J471" s="1406"/>
      <c r="K471" s="1406"/>
      <c r="L471" s="1406"/>
      <c r="M471" s="1406"/>
      <c r="N471" s="1406"/>
      <c r="O471" s="1406"/>
      <c r="P471" s="1406"/>
      <c r="Q471" s="1406"/>
      <c r="R471" s="1406"/>
      <c r="S471" s="1406"/>
      <c r="T471" s="1406"/>
      <c r="U471" s="1406"/>
      <c r="V471" s="1407"/>
      <c r="W471" s="1377">
        <v>0</v>
      </c>
      <c r="X471" s="1378"/>
      <c r="Y471" s="1379"/>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74" t="s">
        <v>2191</v>
      </c>
      <c r="E472" s="1375"/>
      <c r="F472" s="1375"/>
      <c r="G472" s="1375"/>
      <c r="H472" s="1375"/>
      <c r="I472" s="1375"/>
      <c r="J472" s="1375"/>
      <c r="K472" s="1375"/>
      <c r="L472" s="1375"/>
      <c r="M472" s="1375"/>
      <c r="N472" s="1375"/>
      <c r="O472" s="1375"/>
      <c r="P472" s="1375"/>
      <c r="Q472" s="1375"/>
      <c r="R472" s="1375"/>
      <c r="S472" s="1375"/>
      <c r="T472" s="1375"/>
      <c r="U472" s="1375"/>
      <c r="V472" s="1376"/>
      <c r="W472" s="1377">
        <v>0</v>
      </c>
      <c r="X472" s="1378"/>
      <c r="Y472" s="1379"/>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74" t="s">
        <v>1655</v>
      </c>
      <c r="E473" s="1406"/>
      <c r="F473" s="1406"/>
      <c r="G473" s="1406"/>
      <c r="H473" s="1406"/>
      <c r="I473" s="1406"/>
      <c r="J473" s="1406"/>
      <c r="K473" s="1406"/>
      <c r="L473" s="1406"/>
      <c r="M473" s="1406"/>
      <c r="N473" s="1406"/>
      <c r="O473" s="1406"/>
      <c r="P473" s="1406"/>
      <c r="Q473" s="1406"/>
      <c r="R473" s="1406"/>
      <c r="S473" s="1406"/>
      <c r="T473" s="1406"/>
      <c r="U473" s="1406"/>
      <c r="V473" s="1407"/>
      <c r="W473" s="1377">
        <v>0</v>
      </c>
      <c r="X473" s="1378"/>
      <c r="Y473" s="1379"/>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60"/>
      <c r="H474" s="1661"/>
      <c r="I474" s="1661"/>
      <c r="J474" s="1661"/>
      <c r="K474" s="1661"/>
      <c r="L474" s="1661"/>
      <c r="M474" s="1661"/>
      <c r="N474" s="1661"/>
      <c r="O474" s="1661"/>
      <c r="P474" s="1661"/>
      <c r="Q474" s="1661"/>
      <c r="R474" s="1661"/>
      <c r="S474" s="1661"/>
      <c r="T474" s="1661"/>
      <c r="U474" s="1661"/>
      <c r="V474" s="1662"/>
      <c r="W474" s="1377">
        <v>0</v>
      </c>
      <c r="X474" s="1378"/>
      <c r="Y474" s="1379"/>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535" t="s">
        <v>811</v>
      </c>
      <c r="B480" s="1535"/>
      <c r="C480" s="1535"/>
      <c r="D480" s="1535"/>
      <c r="E480" s="1535"/>
      <c r="F480" s="1535"/>
      <c r="G480" s="1535"/>
      <c r="H480" s="1535"/>
      <c r="I480" s="1535"/>
      <c r="J480" s="1535"/>
      <c r="K480" s="1535"/>
      <c r="L480" s="1535"/>
      <c r="M480" s="1535"/>
      <c r="N480" s="1535"/>
      <c r="O480" s="1535"/>
      <c r="P480" s="1535"/>
      <c r="Q480" s="1535"/>
      <c r="R480" s="1535"/>
      <c r="S480" s="1535"/>
      <c r="T480" s="1535"/>
      <c r="U480" s="1535"/>
      <c r="V480" s="1535"/>
      <c r="W480" s="1535"/>
      <c r="X480" s="1535"/>
      <c r="Y480" s="1535"/>
      <c r="Z480" s="1535"/>
      <c r="AA480" s="1535"/>
      <c r="AB480" s="1535"/>
      <c r="AC480" s="1535"/>
      <c r="AD480" s="1535"/>
      <c r="AE480" s="1535"/>
      <c r="AF480" s="1535"/>
      <c r="AG480" s="1535"/>
      <c r="AH480" s="1535"/>
      <c r="AI480" s="1535"/>
      <c r="AJ480" s="1535"/>
      <c r="AK480" s="1535"/>
      <c r="AL480" s="1535"/>
      <c r="AM480" s="1535"/>
      <c r="AN480" s="1535"/>
      <c r="AO480" s="1535"/>
      <c r="AP480" s="1535"/>
      <c r="AQ480" s="1535"/>
      <c r="AR480" s="1535"/>
      <c r="AS480" s="1535"/>
      <c r="AT480" s="1535"/>
      <c r="AU480" s="95"/>
      <c r="AV480" s="95"/>
      <c r="AW480" s="95"/>
      <c r="AX480" s="95"/>
      <c r="AY480" s="95"/>
      <c r="AZ480" s="3"/>
      <c r="BB480" s="3"/>
      <c r="BC480" s="3"/>
    </row>
    <row r="481" spans="1:55" ht="12.95" customHeight="1">
      <c r="A481" s="1535"/>
      <c r="B481" s="1535"/>
      <c r="C481" s="1535"/>
      <c r="D481" s="1535"/>
      <c r="E481" s="1535"/>
      <c r="F481" s="1535"/>
      <c r="G481" s="1535"/>
      <c r="H481" s="1535"/>
      <c r="I481" s="1535"/>
      <c r="J481" s="1535"/>
      <c r="K481" s="1535"/>
      <c r="L481" s="1535"/>
      <c r="M481" s="1535"/>
      <c r="N481" s="1535"/>
      <c r="O481" s="1535"/>
      <c r="P481" s="1535"/>
      <c r="Q481" s="1535"/>
      <c r="R481" s="1535"/>
      <c r="S481" s="1535"/>
      <c r="T481" s="1535"/>
      <c r="U481" s="1535"/>
      <c r="V481" s="1535"/>
      <c r="W481" s="1535"/>
      <c r="X481" s="1535"/>
      <c r="Y481" s="1535"/>
      <c r="Z481" s="1535"/>
      <c r="AA481" s="1535"/>
      <c r="AB481" s="1535"/>
      <c r="AC481" s="1535"/>
      <c r="AD481" s="1535"/>
      <c r="AE481" s="1535"/>
      <c r="AF481" s="1535"/>
      <c r="AG481" s="1535"/>
      <c r="AH481" s="1535"/>
      <c r="AI481" s="1535"/>
      <c r="AJ481" s="1535"/>
      <c r="AK481" s="1535"/>
      <c r="AL481" s="1535"/>
      <c r="AM481" s="1535"/>
      <c r="AN481" s="1535"/>
      <c r="AO481" s="1535"/>
      <c r="AP481" s="1535"/>
      <c r="AQ481" s="1535"/>
      <c r="AR481" s="1535"/>
      <c r="AS481" s="1535"/>
      <c r="AT481" s="1535"/>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415" t="s">
        <v>393</v>
      </c>
      <c r="R485" s="1416"/>
      <c r="S485" s="1416"/>
      <c r="T485" s="1416"/>
      <c r="U485" s="1416"/>
      <c r="V485" s="1416"/>
      <c r="W485" s="1416"/>
      <c r="X485" s="1416"/>
      <c r="Y485" s="1416"/>
      <c r="Z485" s="1416"/>
      <c r="AA485" s="1416"/>
      <c r="AB485" s="1416"/>
      <c r="AC485" s="1416"/>
      <c r="AD485" s="1416"/>
      <c r="AE485" s="1416"/>
      <c r="AF485" s="1416"/>
      <c r="AG485" s="1416"/>
      <c r="AH485" s="1416"/>
      <c r="AI485" s="1416"/>
      <c r="AJ485" s="1416"/>
      <c r="AK485" s="1417"/>
      <c r="AZ485" s="3"/>
      <c r="BB485" s="3"/>
      <c r="BC485" s="3"/>
    </row>
    <row r="486" spans="1:55" ht="12.95" customHeight="1">
      <c r="B486" s="45" t="s">
        <v>394</v>
      </c>
      <c r="C486" s="5"/>
      <c r="D486" s="5"/>
      <c r="E486" s="5"/>
      <c r="F486" s="5"/>
      <c r="G486" s="5"/>
      <c r="H486" s="5"/>
      <c r="I486" s="5"/>
      <c r="J486" s="5"/>
      <c r="K486" s="5"/>
      <c r="L486" s="5"/>
      <c r="M486" s="5"/>
      <c r="N486" s="5"/>
      <c r="O486" s="5"/>
      <c r="P486" s="5"/>
      <c r="Q486" s="1400" t="s">
        <v>2687</v>
      </c>
      <c r="R486" s="1401"/>
      <c r="S486" s="1401"/>
      <c r="T486" s="1401"/>
      <c r="U486" s="1401"/>
      <c r="V486" s="1401"/>
      <c r="W486" s="1401"/>
      <c r="X486" s="1401"/>
      <c r="Y486" s="1401"/>
      <c r="Z486" s="1401"/>
      <c r="AA486" s="1401"/>
      <c r="AB486" s="1401"/>
      <c r="AC486" s="1401"/>
      <c r="AD486" s="1401"/>
      <c r="AE486" s="1401"/>
      <c r="AF486" s="1401"/>
      <c r="AG486" s="1401"/>
      <c r="AH486" s="1401"/>
      <c r="AI486" s="1401"/>
      <c r="AJ486" s="1401"/>
      <c r="AK486" s="1402"/>
      <c r="AZ486" s="3"/>
      <c r="BB486" s="3"/>
      <c r="BC486" s="3"/>
    </row>
    <row r="487" spans="1:55" ht="12.95" customHeight="1">
      <c r="B487" s="45" t="s">
        <v>395</v>
      </c>
      <c r="C487" s="5"/>
      <c r="D487" s="5"/>
      <c r="E487" s="5"/>
      <c r="F487" s="5"/>
      <c r="G487" s="5"/>
      <c r="H487" s="5"/>
      <c r="I487" s="5"/>
      <c r="J487" s="5"/>
      <c r="K487" s="5"/>
      <c r="L487" s="5"/>
      <c r="M487" s="5"/>
      <c r="N487" s="5"/>
      <c r="O487" s="5"/>
      <c r="P487" s="5"/>
      <c r="Q487" s="1400" t="s">
        <v>2687</v>
      </c>
      <c r="R487" s="1401"/>
      <c r="S487" s="1401"/>
      <c r="T487" s="1401"/>
      <c r="U487" s="1401"/>
      <c r="V487" s="1401"/>
      <c r="W487" s="1401"/>
      <c r="X487" s="1401"/>
      <c r="Y487" s="1401"/>
      <c r="Z487" s="1401"/>
      <c r="AA487" s="1401"/>
      <c r="AB487" s="1401"/>
      <c r="AC487" s="1401"/>
      <c r="AD487" s="1401"/>
      <c r="AE487" s="1401"/>
      <c r="AF487" s="1401"/>
      <c r="AG487" s="1401"/>
      <c r="AH487" s="1401"/>
      <c r="AI487" s="1401"/>
      <c r="AJ487" s="1401"/>
      <c r="AK487" s="1402"/>
      <c r="AZ487" s="3"/>
      <c r="BB487" s="3"/>
      <c r="BC487" s="3"/>
    </row>
    <row r="488" spans="1:55" ht="12.95" customHeight="1">
      <c r="B488" s="45" t="s">
        <v>396</v>
      </c>
      <c r="C488" s="5"/>
      <c r="D488" s="5"/>
      <c r="E488" s="5"/>
      <c r="F488" s="5"/>
      <c r="G488" s="5"/>
      <c r="H488" s="5"/>
      <c r="I488" s="5"/>
      <c r="J488" s="5"/>
      <c r="K488" s="5"/>
      <c r="L488" s="5"/>
      <c r="M488" s="5"/>
      <c r="N488" s="5"/>
      <c r="O488" s="5"/>
      <c r="P488" s="5"/>
      <c r="Q488" s="1400" t="s">
        <v>2687</v>
      </c>
      <c r="R488" s="1401"/>
      <c r="S488" s="1401"/>
      <c r="T488" s="1401"/>
      <c r="U488" s="1401"/>
      <c r="V488" s="1401"/>
      <c r="W488" s="1401"/>
      <c r="X488" s="1401"/>
      <c r="Y488" s="1401"/>
      <c r="Z488" s="1401"/>
      <c r="AA488" s="1401"/>
      <c r="AB488" s="1401"/>
      <c r="AC488" s="1401"/>
      <c r="AD488" s="1401"/>
      <c r="AE488" s="1401"/>
      <c r="AF488" s="1401"/>
      <c r="AG488" s="1401"/>
      <c r="AH488" s="1401"/>
      <c r="AI488" s="1401"/>
      <c r="AJ488" s="1401"/>
      <c r="AK488" s="1402"/>
      <c r="AZ488" s="3"/>
      <c r="BA488" s="3"/>
      <c r="BB488" s="3"/>
      <c r="BC488" s="3"/>
    </row>
    <row r="489" spans="1:55" ht="12.95" customHeight="1">
      <c r="B489" s="1444" t="s">
        <v>397</v>
      </c>
      <c r="C489" s="1445"/>
      <c r="D489" s="1445"/>
      <c r="E489" s="1445"/>
      <c r="F489" s="1445"/>
      <c r="G489" s="1445"/>
      <c r="H489" s="1445"/>
      <c r="I489" s="1445"/>
      <c r="J489" s="1445"/>
      <c r="K489" s="1445"/>
      <c r="L489" s="1445"/>
      <c r="M489" s="1445"/>
      <c r="N489" s="1445"/>
      <c r="O489" s="1445"/>
      <c r="P489" s="1446"/>
      <c r="Q489" s="1450" t="s">
        <v>670</v>
      </c>
      <c r="R489" s="1451"/>
      <c r="S489" s="1567" t="s">
        <v>166</v>
      </c>
      <c r="T489" s="1568"/>
      <c r="U489" s="1568"/>
      <c r="V489" s="1568"/>
      <c r="W489" s="1568"/>
      <c r="X489" s="1568"/>
      <c r="Y489" s="1568"/>
      <c r="Z489" s="1568"/>
      <c r="AA489" s="1568"/>
      <c r="AB489" s="1568"/>
      <c r="AC489" s="1568"/>
      <c r="AD489" s="1568"/>
      <c r="AE489" s="1568"/>
      <c r="AF489" s="1568"/>
      <c r="AG489" s="1568"/>
      <c r="AH489" s="1568"/>
      <c r="AI489" s="1568"/>
      <c r="AJ489" s="1568"/>
      <c r="AK489" s="1569"/>
      <c r="AZ489" s="3"/>
      <c r="BA489" s="3"/>
      <c r="BB489" s="3"/>
      <c r="BC489" s="3"/>
    </row>
    <row r="490" spans="1:55" ht="12.95" customHeight="1">
      <c r="B490" s="1447"/>
      <c r="C490" s="1448"/>
      <c r="D490" s="1448"/>
      <c r="E490" s="1448"/>
      <c r="F490" s="1448"/>
      <c r="G490" s="1448"/>
      <c r="H490" s="1448"/>
      <c r="I490" s="1448"/>
      <c r="J490" s="1448"/>
      <c r="K490" s="1448"/>
      <c r="L490" s="1448"/>
      <c r="M490" s="1448"/>
      <c r="N490" s="1448"/>
      <c r="O490" s="1448"/>
      <c r="P490" s="1449"/>
      <c r="Q490" s="1452"/>
      <c r="R490" s="1453"/>
      <c r="S490" s="1570"/>
      <c r="T490" s="1528"/>
      <c r="U490" s="1528"/>
      <c r="V490" s="1528"/>
      <c r="W490" s="1528"/>
      <c r="X490" s="1528"/>
      <c r="Y490" s="1528"/>
      <c r="Z490" s="1528"/>
      <c r="AA490" s="1528"/>
      <c r="AB490" s="1528"/>
      <c r="AC490" s="1528"/>
      <c r="AD490" s="1528"/>
      <c r="AE490" s="1528"/>
      <c r="AF490" s="1528"/>
      <c r="AG490" s="1528"/>
      <c r="AH490" s="1528"/>
      <c r="AI490" s="1528"/>
      <c r="AJ490" s="1528"/>
      <c r="AK490" s="1571"/>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408" t="s">
        <v>670</v>
      </c>
      <c r="R491" s="1409"/>
      <c r="S491" s="1409"/>
      <c r="T491" s="1409"/>
      <c r="U491" s="1409"/>
      <c r="V491" s="1409"/>
      <c r="W491" s="1409"/>
      <c r="X491" s="1409"/>
      <c r="Y491" s="1409"/>
      <c r="Z491" s="1409"/>
      <c r="AA491" s="1409"/>
      <c r="AB491" s="1409"/>
      <c r="AC491" s="1409"/>
      <c r="AD491" s="1409"/>
      <c r="AE491" s="1409"/>
      <c r="AF491" s="1409"/>
      <c r="AG491" s="1409"/>
      <c r="AH491" s="1409"/>
      <c r="AI491" s="1409"/>
      <c r="AJ491" s="1409"/>
      <c r="AK491" s="1410"/>
      <c r="AZ491" s="3"/>
      <c r="BA491" s="3"/>
      <c r="BB491" s="3"/>
      <c r="BC491" s="3"/>
    </row>
    <row r="492" spans="1:55" ht="12.95" customHeight="1">
      <c r="B492" s="45" t="s">
        <v>398</v>
      </c>
      <c r="C492" s="5"/>
      <c r="D492" s="5"/>
      <c r="E492" s="5"/>
      <c r="F492" s="5"/>
      <c r="G492" s="5"/>
      <c r="H492" s="5"/>
      <c r="I492" s="5"/>
      <c r="J492" s="5"/>
      <c r="K492" s="5"/>
      <c r="L492" s="5"/>
      <c r="M492" s="5"/>
      <c r="N492" s="5"/>
      <c r="O492" s="5"/>
      <c r="P492" s="5"/>
      <c r="Q492" s="1400" t="s">
        <v>2688</v>
      </c>
      <c r="R492" s="1401"/>
      <c r="S492" s="1401"/>
      <c r="T492" s="1401"/>
      <c r="U492" s="1401"/>
      <c r="V492" s="1401"/>
      <c r="W492" s="1401"/>
      <c r="X492" s="1401"/>
      <c r="Y492" s="1401"/>
      <c r="Z492" s="1401"/>
      <c r="AA492" s="1401"/>
      <c r="AB492" s="1401"/>
      <c r="AC492" s="1401"/>
      <c r="AD492" s="1401"/>
      <c r="AE492" s="1401"/>
      <c r="AF492" s="1401"/>
      <c r="AG492" s="1401"/>
      <c r="AH492" s="1401"/>
      <c r="AI492" s="1401"/>
      <c r="AJ492" s="1401"/>
      <c r="AK492" s="1402"/>
      <c r="AZ492" s="3"/>
      <c r="BA492" s="3"/>
      <c r="BB492" s="3"/>
      <c r="BC492" s="3"/>
    </row>
    <row r="493" spans="1:55" ht="12.95" customHeight="1">
      <c r="B493" s="45" t="s">
        <v>399</v>
      </c>
      <c r="C493" s="5"/>
      <c r="D493" s="5"/>
      <c r="E493" s="5"/>
      <c r="F493" s="5"/>
      <c r="G493" s="5"/>
      <c r="H493" s="5"/>
      <c r="I493" s="5"/>
      <c r="J493" s="5"/>
      <c r="K493" s="5"/>
      <c r="L493" s="5"/>
      <c r="M493" s="5"/>
      <c r="N493" s="5"/>
      <c r="O493" s="5"/>
      <c r="P493" s="5"/>
      <c r="Q493" s="1400">
        <v>106</v>
      </c>
      <c r="R493" s="1401"/>
      <c r="S493" s="1401"/>
      <c r="T493" s="1401"/>
      <c r="U493" s="1401"/>
      <c r="V493" s="1401"/>
      <c r="W493" s="1401"/>
      <c r="X493" s="1401"/>
      <c r="Y493" s="1401"/>
      <c r="Z493" s="1401"/>
      <c r="AA493" s="1401"/>
      <c r="AB493" s="1401"/>
      <c r="AC493" s="1401"/>
      <c r="AD493" s="1401"/>
      <c r="AE493" s="1401"/>
      <c r="AF493" s="1401"/>
      <c r="AG493" s="1401"/>
      <c r="AH493" s="1401"/>
      <c r="AI493" s="1401"/>
      <c r="AJ493" s="1401"/>
      <c r="AK493" s="1402"/>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400">
        <v>54</v>
      </c>
      <c r="R494" s="1401"/>
      <c r="S494" s="1401"/>
      <c r="T494" s="1401"/>
      <c r="U494" s="1401"/>
      <c r="V494" s="1401"/>
      <c r="W494" s="1401"/>
      <c r="X494" s="1401"/>
      <c r="Y494" s="1401"/>
      <c r="Z494" s="1401"/>
      <c r="AA494" s="1401"/>
      <c r="AB494" s="1401"/>
      <c r="AC494" s="1401"/>
      <c r="AD494" s="1401"/>
      <c r="AE494" s="1401"/>
      <c r="AF494" s="1401"/>
      <c r="AG494" s="1401"/>
      <c r="AH494" s="1401"/>
      <c r="AI494" s="1401"/>
      <c r="AJ494" s="1401"/>
      <c r="AK494" s="1402"/>
      <c r="AZ494" s="3"/>
      <c r="BA494" s="3"/>
      <c r="BB494" s="3"/>
      <c r="BC494" s="3"/>
    </row>
    <row r="495" spans="1:55" ht="12.95" customHeight="1">
      <c r="B495" s="121" t="s">
        <v>1670</v>
      </c>
      <c r="C495" s="5"/>
      <c r="D495" s="5"/>
      <c r="E495" s="5"/>
      <c r="F495" s="5"/>
      <c r="G495" s="5"/>
      <c r="H495" s="5"/>
      <c r="I495" s="5"/>
      <c r="J495" s="5"/>
      <c r="K495" s="5"/>
      <c r="L495" s="5"/>
      <c r="M495" s="1411">
        <v>54</v>
      </c>
      <c r="N495" s="1412"/>
      <c r="O495" s="1412"/>
      <c r="P495" s="1413"/>
      <c r="Q495" s="121" t="s">
        <v>1671</v>
      </c>
      <c r="R495" s="5"/>
      <c r="S495" s="5"/>
      <c r="T495" s="5"/>
      <c r="U495" s="5"/>
      <c r="V495" s="5"/>
      <c r="W495" s="5"/>
      <c r="X495" s="5"/>
      <c r="Y495" s="5"/>
      <c r="Z495" s="5"/>
      <c r="AA495" s="5"/>
      <c r="AB495" s="5"/>
      <c r="AC495" s="5"/>
      <c r="AD495" s="5"/>
      <c r="AE495" s="5"/>
      <c r="AF495" s="5"/>
      <c r="AG495" s="5"/>
      <c r="AH495" s="1411"/>
      <c r="AI495" s="1412"/>
      <c r="AJ495" s="1412"/>
      <c r="AK495" s="1413"/>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15" t="s">
        <v>401</v>
      </c>
      <c r="AD499" s="1416"/>
      <c r="AE499" s="1416"/>
      <c r="AF499" s="1416"/>
      <c r="AG499" s="1416"/>
      <c r="AH499" s="1416"/>
      <c r="AI499" s="1416"/>
      <c r="AJ499" s="1416"/>
      <c r="AK499" s="1417"/>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15" t="s">
        <v>402</v>
      </c>
      <c r="AD500" s="1416"/>
      <c r="AE500" s="1416"/>
      <c r="AF500" s="1416"/>
      <c r="AG500" s="50" t="s">
        <v>403</v>
      </c>
      <c r="AH500" s="1416" t="s">
        <v>404</v>
      </c>
      <c r="AI500" s="1416"/>
      <c r="AJ500" s="1416"/>
      <c r="AK500" s="1417"/>
      <c r="AZ500" s="3"/>
      <c r="BA500" s="3"/>
      <c r="BB500" s="3"/>
      <c r="BC500" s="3"/>
      <c r="BD500" s="3"/>
      <c r="BE500" s="3"/>
      <c r="BF500" s="3"/>
      <c r="BG500" s="3"/>
      <c r="BH500" s="3"/>
      <c r="BI500" s="3"/>
      <c r="BJ500" s="3"/>
      <c r="BK500" s="3"/>
      <c r="BL500" s="3"/>
      <c r="BM500" s="3"/>
      <c r="BN500" s="3"/>
    </row>
    <row r="501" spans="1:66" ht="12.95" customHeight="1">
      <c r="B501" s="1380" t="s">
        <v>405</v>
      </c>
      <c r="C501" s="1381"/>
      <c r="D501" s="1381"/>
      <c r="E501" s="1381"/>
      <c r="F501" s="1381"/>
      <c r="G501" s="1381"/>
      <c r="H501" s="1382"/>
      <c r="I501" s="42" t="s">
        <v>406</v>
      </c>
      <c r="J501" s="42"/>
      <c r="K501" s="42"/>
      <c r="L501" s="42"/>
      <c r="M501" s="42"/>
      <c r="N501" s="42"/>
      <c r="O501" s="42"/>
      <c r="P501" s="42"/>
      <c r="Q501" s="42"/>
      <c r="R501" s="42"/>
      <c r="S501" s="42"/>
      <c r="T501" s="42"/>
      <c r="U501" s="42"/>
      <c r="V501" s="42"/>
      <c r="W501" s="42"/>
      <c r="AC501" s="1418">
        <v>6</v>
      </c>
      <c r="AD501" s="1419"/>
      <c r="AE501" s="1419"/>
      <c r="AF501" s="1419"/>
      <c r="AG501" s="13" t="s">
        <v>403</v>
      </c>
      <c r="AH501" s="1428">
        <v>2023</v>
      </c>
      <c r="AI501" s="1428"/>
      <c r="AJ501" s="1428"/>
      <c r="AK501" s="1429"/>
      <c r="AZ501" s="3"/>
      <c r="BA501" s="3"/>
      <c r="BB501" s="3"/>
      <c r="BC501" s="3"/>
      <c r="BD501" s="3"/>
      <c r="BE501" s="3"/>
      <c r="BF501" s="3"/>
      <c r="BG501" s="3"/>
      <c r="BH501" s="3"/>
      <c r="BI501" s="3"/>
      <c r="BJ501" s="3"/>
      <c r="BK501" s="3"/>
      <c r="BL501" s="3"/>
      <c r="BM501" s="3"/>
      <c r="BN501" s="3"/>
    </row>
    <row r="502" spans="1:66" ht="12.95" customHeight="1">
      <c r="B502" s="1383"/>
      <c r="C502" s="1384"/>
      <c r="D502" s="1384"/>
      <c r="E502" s="1384"/>
      <c r="F502" s="1384"/>
      <c r="G502" s="1384"/>
      <c r="H502" s="1385"/>
      <c r="I502" s="48" t="s">
        <v>407</v>
      </c>
      <c r="J502" s="48"/>
      <c r="K502" s="48"/>
      <c r="L502" s="48"/>
      <c r="M502" s="48"/>
      <c r="N502" s="48"/>
      <c r="O502" s="48"/>
      <c r="P502" s="48"/>
      <c r="Q502" s="48"/>
      <c r="R502" s="48"/>
      <c r="S502" s="48"/>
      <c r="T502" s="48"/>
      <c r="U502" s="48"/>
      <c r="V502" s="48"/>
      <c r="W502" s="48"/>
      <c r="X502" s="48"/>
      <c r="Y502" s="48"/>
      <c r="Z502" s="48"/>
      <c r="AA502" s="48"/>
      <c r="AB502" s="48"/>
      <c r="AC502" s="1418" t="s">
        <v>592</v>
      </c>
      <c r="AD502" s="1419"/>
      <c r="AE502" s="1419"/>
      <c r="AF502" s="1419"/>
      <c r="AG502" s="38" t="s">
        <v>403</v>
      </c>
      <c r="AH502" s="1428"/>
      <c r="AI502" s="1428"/>
      <c r="AJ502" s="1428"/>
      <c r="AK502" s="1429"/>
      <c r="AZ502" s="3"/>
      <c r="BA502" s="3"/>
      <c r="BB502" s="3"/>
      <c r="BC502" s="3"/>
      <c r="BD502" s="3"/>
      <c r="BE502" s="3"/>
      <c r="BF502" s="3"/>
      <c r="BG502" s="3"/>
      <c r="BH502" s="3"/>
      <c r="BI502" s="3"/>
      <c r="BJ502" s="3"/>
      <c r="BK502" s="3"/>
      <c r="BL502" s="3"/>
      <c r="BM502" s="3"/>
      <c r="BN502" s="3"/>
    </row>
    <row r="503" spans="1:66" ht="12.95" customHeight="1">
      <c r="B503" s="1380" t="s">
        <v>408</v>
      </c>
      <c r="C503" s="1381"/>
      <c r="D503" s="1381"/>
      <c r="E503" s="1381"/>
      <c r="F503" s="1381"/>
      <c r="G503" s="1381"/>
      <c r="H503" s="1382"/>
      <c r="I503" s="42" t="s">
        <v>409</v>
      </c>
      <c r="J503" s="42"/>
      <c r="K503" s="42"/>
      <c r="L503" s="42"/>
      <c r="M503" s="42"/>
      <c r="N503" s="42"/>
      <c r="O503" s="42"/>
      <c r="P503" s="42"/>
      <c r="Q503" s="42"/>
      <c r="R503" s="42"/>
      <c r="S503" s="42"/>
      <c r="T503" s="42"/>
      <c r="U503" s="42"/>
      <c r="V503" s="42"/>
      <c r="W503" s="42"/>
      <c r="AC503" s="1418" t="s">
        <v>592</v>
      </c>
      <c r="AD503" s="1419"/>
      <c r="AE503" s="1419"/>
      <c r="AF503" s="1419"/>
      <c r="AG503" s="13" t="s">
        <v>403</v>
      </c>
      <c r="AH503" s="1428"/>
      <c r="AI503" s="1428"/>
      <c r="AJ503" s="1428"/>
      <c r="AK503" s="1429"/>
      <c r="AZ503" s="3"/>
      <c r="BA503" s="3"/>
      <c r="BB503" s="3"/>
      <c r="BC503" s="3"/>
      <c r="BD503" s="3"/>
      <c r="BE503" s="3"/>
      <c r="BF503" s="3"/>
      <c r="BG503" s="3"/>
      <c r="BH503" s="3"/>
      <c r="BI503" s="3"/>
      <c r="BJ503" s="3"/>
      <c r="BK503" s="3"/>
      <c r="BL503" s="3"/>
      <c r="BM503" s="3"/>
      <c r="BN503" s="3"/>
    </row>
    <row r="504" spans="1:66" ht="12.95" customHeight="1">
      <c r="B504" s="1383"/>
      <c r="C504" s="1384"/>
      <c r="D504" s="1384"/>
      <c r="E504" s="1384"/>
      <c r="F504" s="1384"/>
      <c r="G504" s="1384"/>
      <c r="H504" s="1385"/>
      <c r="I504" t="s">
        <v>410</v>
      </c>
      <c r="AC504" s="1418" t="s">
        <v>592</v>
      </c>
      <c r="AD504" s="1419"/>
      <c r="AE504" s="1419"/>
      <c r="AF504" s="1419"/>
      <c r="AG504" s="13" t="s">
        <v>403</v>
      </c>
      <c r="AH504" s="1428"/>
      <c r="AI504" s="1428"/>
      <c r="AJ504" s="1428"/>
      <c r="AK504" s="1429"/>
      <c r="AZ504" s="3"/>
      <c r="BA504" s="3"/>
      <c r="BB504" s="3"/>
      <c r="BC504" s="3"/>
      <c r="BD504" s="3"/>
      <c r="BE504" s="3"/>
      <c r="BF504" s="3"/>
      <c r="BG504" s="3"/>
      <c r="BH504" s="3"/>
      <c r="BI504" s="3"/>
      <c r="BJ504" s="3"/>
      <c r="BK504" s="3"/>
      <c r="BL504" s="3"/>
      <c r="BM504" s="3"/>
      <c r="BN504" s="3"/>
    </row>
    <row r="505" spans="1:66" ht="12.95" customHeight="1">
      <c r="B505" s="1383"/>
      <c r="C505" s="1384"/>
      <c r="D505" s="1384"/>
      <c r="E505" s="1384"/>
      <c r="F505" s="1384"/>
      <c r="G505" s="1384"/>
      <c r="H505" s="1385"/>
      <c r="I505" t="s">
        <v>411</v>
      </c>
      <c r="AC505" s="1418" t="s">
        <v>592</v>
      </c>
      <c r="AD505" s="1419"/>
      <c r="AE505" s="1419"/>
      <c r="AF505" s="1419"/>
      <c r="AG505" s="13" t="s">
        <v>403</v>
      </c>
      <c r="AH505" s="1428"/>
      <c r="AI505" s="1428"/>
      <c r="AJ505" s="1428"/>
      <c r="AK505" s="1429"/>
      <c r="AZ505" s="3"/>
      <c r="BA505" s="3"/>
      <c r="BB505" s="3"/>
      <c r="BC505" s="3"/>
      <c r="BD505" s="3"/>
      <c r="BE505" s="3"/>
      <c r="BF505" s="3"/>
      <c r="BG505" s="3"/>
      <c r="BH505" s="3"/>
      <c r="BI505" s="3"/>
      <c r="BJ505" s="3"/>
      <c r="BK505" s="3"/>
      <c r="BL505" s="3"/>
      <c r="BM505" s="3"/>
      <c r="BN505" s="3"/>
    </row>
    <row r="506" spans="1:66" ht="12.95" customHeight="1">
      <c r="B506" s="1383"/>
      <c r="C506" s="1384"/>
      <c r="D506" s="1384"/>
      <c r="E506" s="1384"/>
      <c r="F506" s="1384"/>
      <c r="G506" s="1384"/>
      <c r="H506" s="1385"/>
      <c r="I506" t="s">
        <v>412</v>
      </c>
      <c r="AC506" s="1418">
        <v>5</v>
      </c>
      <c r="AD506" s="1419"/>
      <c r="AE506" s="1419"/>
      <c r="AF506" s="1419"/>
      <c r="AG506" s="13" t="s">
        <v>403</v>
      </c>
      <c r="AH506" s="1428">
        <v>2026</v>
      </c>
      <c r="AI506" s="1428"/>
      <c r="AJ506" s="1428"/>
      <c r="AK506" s="1429"/>
      <c r="AZ506" s="3"/>
      <c r="BA506" s="3"/>
      <c r="BB506" s="3"/>
      <c r="BC506" s="3"/>
      <c r="BD506" s="3"/>
      <c r="BE506" s="3"/>
      <c r="BF506" s="3"/>
      <c r="BG506" s="3"/>
      <c r="BH506" s="3"/>
      <c r="BI506" s="3"/>
      <c r="BJ506" s="3"/>
      <c r="BK506" s="3"/>
      <c r="BL506" s="3"/>
      <c r="BM506" s="3"/>
      <c r="BN506" s="3"/>
    </row>
    <row r="507" spans="1:66" ht="12.95" customHeight="1">
      <c r="B507" s="1383"/>
      <c r="C507" s="1384"/>
      <c r="D507" s="1384"/>
      <c r="E507" s="1384"/>
      <c r="F507" s="1384"/>
      <c r="G507" s="1384"/>
      <c r="H507" s="1385"/>
      <c r="I507" s="3" t="s">
        <v>413</v>
      </c>
      <c r="AC507" s="1359">
        <v>5</v>
      </c>
      <c r="AD507" s="1360"/>
      <c r="AE507" s="1360"/>
      <c r="AF507" s="1360"/>
      <c r="AG507" s="13" t="s">
        <v>403</v>
      </c>
      <c r="AH507" s="1428">
        <v>2026</v>
      </c>
      <c r="AI507" s="1428"/>
      <c r="AJ507" s="1428"/>
      <c r="AK507" s="1429"/>
      <c r="AZ507" s="3"/>
      <c r="BA507" s="3"/>
      <c r="BB507" s="3"/>
      <c r="BC507" s="3"/>
      <c r="BD507" s="3"/>
      <c r="BE507" s="3"/>
      <c r="BF507" s="3"/>
      <c r="BG507" s="3"/>
      <c r="BH507" s="3"/>
      <c r="BI507" s="3"/>
      <c r="BJ507" s="3"/>
      <c r="BK507" s="3"/>
      <c r="BL507" s="3"/>
      <c r="BM507" s="3"/>
      <c r="BN507" s="3"/>
    </row>
    <row r="508" spans="1:66" ht="12.95" customHeight="1">
      <c r="B508" s="1383"/>
      <c r="C508" s="1384"/>
      <c r="D508" s="1384"/>
      <c r="E508" s="1384"/>
      <c r="F508" s="1384"/>
      <c r="G508" s="1384"/>
      <c r="H508" s="1385"/>
      <c r="I508" s="896" t="s">
        <v>170</v>
      </c>
      <c r="J508" s="48"/>
      <c r="K508" s="48"/>
      <c r="L508" s="1433" t="s">
        <v>334</v>
      </c>
      <c r="M508" s="1434"/>
      <c r="N508" s="1434"/>
      <c r="O508" s="1434"/>
      <c r="P508" s="1434"/>
      <c r="Q508" s="1434"/>
      <c r="R508" s="1434"/>
      <c r="S508" s="1434"/>
      <c r="T508" s="1434"/>
      <c r="U508" s="1434"/>
      <c r="V508" s="1434"/>
      <c r="W508" s="1434"/>
      <c r="X508" s="1434"/>
      <c r="Y508" s="1434"/>
      <c r="Z508" s="1434"/>
      <c r="AA508" s="1434"/>
      <c r="AB508" s="1581"/>
      <c r="AC508" s="1418" t="s">
        <v>592</v>
      </c>
      <c r="AD508" s="1419"/>
      <c r="AE508" s="1419"/>
      <c r="AF508" s="1419"/>
      <c r="AG508" s="38" t="s">
        <v>403</v>
      </c>
      <c r="AH508" s="1428"/>
      <c r="AI508" s="1428"/>
      <c r="AJ508" s="1428"/>
      <c r="AK508" s="1429"/>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414" t="s">
        <v>670</v>
      </c>
      <c r="AD509" s="1414"/>
      <c r="AE509" s="1414"/>
      <c r="AF509" s="1414"/>
      <c r="AG509" s="13"/>
      <c r="AH509" s="1389"/>
      <c r="AI509" s="1389"/>
      <c r="AJ509" s="1389"/>
      <c r="AK509" s="1390"/>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59"/>
      <c r="AD510" s="1360"/>
      <c r="AE510" s="1360"/>
      <c r="AF510" s="1361"/>
      <c r="AG510" s="13"/>
      <c r="AH510" s="1389"/>
      <c r="AI510" s="1389"/>
      <c r="AJ510" s="1389"/>
      <c r="AK510" s="1390"/>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441">
        <v>0.5</v>
      </c>
      <c r="AD512" s="1442"/>
      <c r="AE512" s="1442"/>
      <c r="AF512" s="1443"/>
      <c r="AG512" s="38"/>
      <c r="AH512" s="1584"/>
      <c r="AI512" s="1584"/>
      <c r="AJ512" s="1584"/>
      <c r="AK512" s="1585"/>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834" t="s">
        <v>402</v>
      </c>
      <c r="AD513" s="1579"/>
      <c r="AE513" s="1579"/>
      <c r="AF513" s="1579"/>
      <c r="AG513" s="38" t="s">
        <v>403</v>
      </c>
      <c r="AH513" s="1579" t="s">
        <v>404</v>
      </c>
      <c r="AI513" s="1579"/>
      <c r="AJ513" s="1579"/>
      <c r="AK513" s="1580"/>
      <c r="AZ513" s="3"/>
      <c r="BA513" s="3"/>
      <c r="BB513" s="3"/>
      <c r="BC513" s="3"/>
      <c r="BD513" s="3"/>
      <c r="BE513" s="3"/>
      <c r="BF513" s="3"/>
      <c r="BG513" s="3"/>
      <c r="BH513" s="3"/>
      <c r="BI513" s="3"/>
      <c r="BJ513" s="3"/>
      <c r="BK513" s="3"/>
      <c r="BL513" s="3"/>
      <c r="BM513" s="3"/>
      <c r="BN513" s="3" t="s">
        <v>2105</v>
      </c>
    </row>
    <row r="514" spans="2:66" ht="12.95" customHeight="1">
      <c r="B514" s="1380" t="s">
        <v>414</v>
      </c>
      <c r="C514" s="1381"/>
      <c r="D514" s="1381"/>
      <c r="E514" s="1381"/>
      <c r="F514" s="1381"/>
      <c r="G514" s="1381"/>
      <c r="H514" s="1382"/>
      <c r="I514" s="42" t="s">
        <v>415</v>
      </c>
      <c r="J514" s="42"/>
      <c r="K514" s="42"/>
      <c r="L514" s="42"/>
      <c r="M514" s="42"/>
      <c r="N514" s="42"/>
      <c r="O514" s="42"/>
      <c r="P514" s="42"/>
      <c r="Q514" s="42"/>
      <c r="R514" s="42"/>
      <c r="S514" s="42"/>
      <c r="T514" s="42"/>
      <c r="U514" s="42"/>
      <c r="V514" s="42"/>
      <c r="W514" s="42"/>
      <c r="AC514" s="1418">
        <v>9</v>
      </c>
      <c r="AD514" s="1419"/>
      <c r="AE514" s="1419"/>
      <c r="AF514" s="1419"/>
      <c r="AG514" s="13" t="s">
        <v>403</v>
      </c>
      <c r="AH514" s="1428">
        <v>2025</v>
      </c>
      <c r="AI514" s="1428"/>
      <c r="AJ514" s="1428"/>
      <c r="AK514" s="1429"/>
      <c r="AZ514" s="3"/>
      <c r="BA514" s="3"/>
      <c r="BB514" s="3"/>
      <c r="BC514" s="3"/>
      <c r="BD514" s="3"/>
      <c r="BE514" s="3"/>
      <c r="BF514" s="3"/>
      <c r="BG514" s="3"/>
      <c r="BH514" s="3"/>
      <c r="BI514" s="3"/>
      <c r="BJ514" s="3"/>
      <c r="BK514" s="3"/>
      <c r="BL514" s="3"/>
      <c r="BM514" s="3"/>
      <c r="BN514" s="3" t="s">
        <v>2106</v>
      </c>
    </row>
    <row r="515" spans="2:66" ht="12.95" customHeight="1">
      <c r="B515" s="1383"/>
      <c r="C515" s="1384"/>
      <c r="D515" s="1384"/>
      <c r="E515" s="1384"/>
      <c r="F515" s="1384"/>
      <c r="G515" s="1384"/>
      <c r="H515" s="1385"/>
      <c r="I515" t="s">
        <v>416</v>
      </c>
      <c r="AC515" s="1418">
        <v>9</v>
      </c>
      <c r="AD515" s="1419"/>
      <c r="AE515" s="1419"/>
      <c r="AF515" s="1419"/>
      <c r="AG515" s="13" t="s">
        <v>403</v>
      </c>
      <c r="AH515" s="1428">
        <v>2025</v>
      </c>
      <c r="AI515" s="1428"/>
      <c r="AJ515" s="1428"/>
      <c r="AK515" s="1429"/>
      <c r="AZ515" s="3"/>
      <c r="BA515" s="3"/>
      <c r="BB515" s="3"/>
      <c r="BC515" s="3"/>
      <c r="BD515" s="3"/>
      <c r="BE515" s="3"/>
      <c r="BF515" s="3"/>
      <c r="BG515" s="3"/>
      <c r="BH515" s="3"/>
      <c r="BI515" s="3"/>
      <c r="BJ515" s="3"/>
      <c r="BK515" s="3"/>
      <c r="BL515" s="3"/>
      <c r="BM515" s="3"/>
      <c r="BN515" s="3" t="s">
        <v>2107</v>
      </c>
    </row>
    <row r="516" spans="2:66" ht="12.95" customHeight="1">
      <c r="B516" s="1383"/>
      <c r="C516" s="1384"/>
      <c r="D516" s="1384"/>
      <c r="E516" s="1384"/>
      <c r="F516" s="1384"/>
      <c r="G516" s="1384"/>
      <c r="H516" s="1385"/>
      <c r="I516" s="48" t="s">
        <v>417</v>
      </c>
      <c r="J516" s="48"/>
      <c r="K516" s="48"/>
      <c r="L516" s="48"/>
      <c r="M516" s="48"/>
      <c r="N516" s="48"/>
      <c r="O516" s="48"/>
      <c r="P516" s="48"/>
      <c r="Q516" s="48"/>
      <c r="R516" s="48"/>
      <c r="S516" s="48"/>
      <c r="T516" s="48"/>
      <c r="U516" s="48"/>
      <c r="V516" s="48"/>
      <c r="W516" s="48"/>
      <c r="X516" s="48"/>
      <c r="Y516" s="48"/>
      <c r="Z516" s="48"/>
      <c r="AA516" s="48"/>
      <c r="AB516" s="48"/>
      <c r="AC516" s="1418">
        <v>5</v>
      </c>
      <c r="AD516" s="1419"/>
      <c r="AE516" s="1419"/>
      <c r="AF516" s="1419"/>
      <c r="AG516" s="38" t="s">
        <v>403</v>
      </c>
      <c r="AH516" s="1428">
        <v>2026</v>
      </c>
      <c r="AI516" s="1428"/>
      <c r="AJ516" s="1428"/>
      <c r="AK516" s="1429"/>
      <c r="AZ516" s="3"/>
      <c r="BA516" s="3"/>
      <c r="BB516" s="3"/>
      <c r="BC516" s="3"/>
      <c r="BD516" s="3"/>
      <c r="BE516" s="3"/>
      <c r="BF516" s="3"/>
      <c r="BG516" s="3"/>
      <c r="BH516" s="3"/>
      <c r="BI516" s="3"/>
      <c r="BJ516" s="3"/>
      <c r="BK516" s="3"/>
      <c r="BL516" s="3"/>
      <c r="BM516" s="3"/>
      <c r="BN516" s="3" t="s">
        <v>2108</v>
      </c>
    </row>
    <row r="517" spans="2:66" ht="12.95" customHeight="1">
      <c r="B517" s="1380" t="s">
        <v>418</v>
      </c>
      <c r="C517" s="1381"/>
      <c r="D517" s="1381"/>
      <c r="E517" s="1381"/>
      <c r="F517" s="1381"/>
      <c r="G517" s="1381"/>
      <c r="H517" s="1382"/>
      <c r="I517" s="42" t="s">
        <v>415</v>
      </c>
      <c r="J517" s="42"/>
      <c r="K517" s="42"/>
      <c r="L517" s="42"/>
      <c r="M517" s="42"/>
      <c r="N517" s="42"/>
      <c r="O517" s="42"/>
      <c r="P517" s="42"/>
      <c r="Q517" s="42"/>
      <c r="R517" s="42"/>
      <c r="S517" s="42"/>
      <c r="T517" s="42"/>
      <c r="U517" s="42"/>
      <c r="V517" s="42"/>
      <c r="W517" s="42"/>
      <c r="X517" s="42"/>
      <c r="Y517" s="42"/>
      <c r="Z517" s="42"/>
      <c r="AA517" s="42"/>
      <c r="AB517" s="42"/>
      <c r="AC517" s="1359">
        <v>9</v>
      </c>
      <c r="AD517" s="1360"/>
      <c r="AE517" s="1360"/>
      <c r="AF517" s="1360"/>
      <c r="AG517" s="129" t="s">
        <v>403</v>
      </c>
      <c r="AH517" s="1428">
        <v>2025</v>
      </c>
      <c r="AI517" s="1428"/>
      <c r="AJ517" s="1428"/>
      <c r="AK517" s="1429"/>
      <c r="AZ517" s="3"/>
      <c r="BB517" s="3"/>
      <c r="BC517" s="3"/>
      <c r="BD517" s="3"/>
      <c r="BE517" s="3"/>
      <c r="BF517" s="3"/>
      <c r="BG517" s="3"/>
      <c r="BH517" s="3"/>
      <c r="BI517" s="3"/>
      <c r="BJ517" s="3"/>
      <c r="BK517" s="3"/>
      <c r="BL517" s="3"/>
      <c r="BM517" s="3"/>
      <c r="BN517" s="3" t="s">
        <v>2109</v>
      </c>
    </row>
    <row r="518" spans="2:66" ht="12.95" customHeight="1">
      <c r="B518" s="1383"/>
      <c r="C518" s="1384"/>
      <c r="D518" s="1384"/>
      <c r="E518" s="1384"/>
      <c r="F518" s="1384"/>
      <c r="G518" s="1384"/>
      <c r="H518" s="1385"/>
      <c r="I518" t="s">
        <v>416</v>
      </c>
      <c r="AC518" s="1418">
        <v>9</v>
      </c>
      <c r="AD518" s="1419"/>
      <c r="AE518" s="1419"/>
      <c r="AF518" s="1419"/>
      <c r="AG518" s="13" t="s">
        <v>403</v>
      </c>
      <c r="AH518" s="1428">
        <v>2025</v>
      </c>
      <c r="AI518" s="1428"/>
      <c r="AJ518" s="1428"/>
      <c r="AK518" s="1429"/>
      <c r="BB518" s="3"/>
      <c r="BC518" s="3"/>
      <c r="BD518" s="3"/>
      <c r="BE518" s="3"/>
      <c r="BF518" s="3"/>
      <c r="BG518" s="3"/>
      <c r="BH518" s="3"/>
      <c r="BI518" s="3"/>
      <c r="BJ518" s="3"/>
      <c r="BK518" s="3"/>
      <c r="BL518" s="3"/>
      <c r="BM518" s="3"/>
      <c r="BN518" s="3" t="s">
        <v>2110</v>
      </c>
    </row>
    <row r="519" spans="2:66" ht="12.95" customHeight="1">
      <c r="B519" s="1386"/>
      <c r="C519" s="1387"/>
      <c r="D519" s="1387"/>
      <c r="E519" s="1387"/>
      <c r="F519" s="1387"/>
      <c r="G519" s="1387"/>
      <c r="H519" s="1388"/>
      <c r="I519" s="48" t="s">
        <v>417</v>
      </c>
      <c r="J519" s="48"/>
      <c r="K519" s="48"/>
      <c r="L519" s="48"/>
      <c r="M519" s="48"/>
      <c r="N519" s="48"/>
      <c r="O519" s="48"/>
      <c r="P519" s="48"/>
      <c r="Q519" s="48"/>
      <c r="R519" s="48"/>
      <c r="S519" s="48"/>
      <c r="T519" s="48"/>
      <c r="U519" s="48"/>
      <c r="V519" s="48"/>
      <c r="W519" s="48"/>
      <c r="X519" s="48"/>
      <c r="Y519" s="48"/>
      <c r="Z519" s="48"/>
      <c r="AA519" s="48"/>
      <c r="AB519" s="48"/>
      <c r="AC519" s="1418">
        <v>5</v>
      </c>
      <c r="AD519" s="1419"/>
      <c r="AE519" s="1419"/>
      <c r="AF519" s="1419"/>
      <c r="AG519" s="38" t="s">
        <v>403</v>
      </c>
      <c r="AH519" s="1428">
        <v>2026</v>
      </c>
      <c r="AI519" s="1428"/>
      <c r="AJ519" s="1428"/>
      <c r="AK519" s="1429"/>
      <c r="BB519" s="3"/>
      <c r="BC519" s="3"/>
      <c r="BD519" s="3"/>
      <c r="BE519" s="3"/>
      <c r="BF519" s="3"/>
      <c r="BG519" s="3"/>
      <c r="BH519" s="3"/>
      <c r="BI519" s="3"/>
      <c r="BJ519" s="3"/>
      <c r="BK519" s="3"/>
      <c r="BL519" s="3"/>
      <c r="BM519" s="3"/>
      <c r="BN519" s="3" t="s">
        <v>2111</v>
      </c>
    </row>
    <row r="520" spans="2:66" ht="12.95" customHeight="1">
      <c r="B520" s="1380" t="s">
        <v>419</v>
      </c>
      <c r="C520" s="1381"/>
      <c r="D520" s="1381"/>
      <c r="E520" s="1381"/>
      <c r="F520" s="1381"/>
      <c r="G520" s="1381"/>
      <c r="H520" s="1382"/>
      <c r="I520" s="41" t="s">
        <v>420</v>
      </c>
      <c r="J520" s="42"/>
      <c r="K520" s="42"/>
      <c r="L520" s="42"/>
      <c r="M520" s="42"/>
      <c r="N520" s="42"/>
      <c r="O520" s="1433" t="s">
        <v>2718</v>
      </c>
      <c r="P520" s="1434"/>
      <c r="Q520" s="1434"/>
      <c r="R520" s="1434"/>
      <c r="S520" s="1434"/>
      <c r="T520" s="1434"/>
      <c r="U520" s="1434"/>
      <c r="V520" s="1434"/>
      <c r="W520" s="1434"/>
      <c r="X520" s="1434"/>
      <c r="Y520" s="1434"/>
      <c r="Z520" s="1434"/>
      <c r="AA520" s="1434"/>
      <c r="AB520" s="58"/>
      <c r="AC520" s="1359" t="s">
        <v>592</v>
      </c>
      <c r="AD520" s="1360"/>
      <c r="AE520" s="1360"/>
      <c r="AF520" s="1360"/>
      <c r="AG520" s="129" t="s">
        <v>403</v>
      </c>
      <c r="AH520" s="1428"/>
      <c r="AI520" s="1428"/>
      <c r="AJ520" s="1428"/>
      <c r="AK520" s="1429"/>
      <c r="AZ520" s="3"/>
      <c r="BB520" s="3"/>
      <c r="BC520" s="3"/>
      <c r="BD520" s="3"/>
      <c r="BE520" s="3"/>
      <c r="BF520" s="3"/>
      <c r="BG520" s="3"/>
      <c r="BH520" s="3"/>
      <c r="BI520" s="3"/>
      <c r="BJ520" s="3"/>
      <c r="BK520" s="3"/>
      <c r="BL520" s="3"/>
      <c r="BM520" s="3"/>
      <c r="BN520" s="3" t="s">
        <v>2112</v>
      </c>
    </row>
    <row r="521" spans="2:66" ht="12.95" customHeight="1">
      <c r="B521" s="1383"/>
      <c r="C521" s="1384"/>
      <c r="D521" s="1384"/>
      <c r="E521" s="1384"/>
      <c r="F521" s="1384"/>
      <c r="G521" s="1384"/>
      <c r="H521" s="1385"/>
      <c r="I521" s="114" t="s">
        <v>421</v>
      </c>
      <c r="AB521" s="65"/>
      <c r="AC521" s="1418">
        <v>3</v>
      </c>
      <c r="AD521" s="1419"/>
      <c r="AE521" s="1419"/>
      <c r="AF521" s="1419"/>
      <c r="AG521" s="13" t="s">
        <v>403</v>
      </c>
      <c r="AH521" s="1428">
        <v>2023</v>
      </c>
      <c r="AI521" s="1428"/>
      <c r="AJ521" s="1428"/>
      <c r="AK521" s="1429"/>
      <c r="AZ521" s="3"/>
      <c r="BB521" s="3"/>
      <c r="BC521" s="3"/>
      <c r="BD521" s="3"/>
      <c r="BE521" s="3"/>
      <c r="BF521" s="3"/>
      <c r="BG521" s="3"/>
      <c r="BH521" s="3"/>
      <c r="BI521" s="3"/>
      <c r="BJ521" s="3"/>
      <c r="BK521" s="3"/>
      <c r="BL521" s="3"/>
      <c r="BM521" s="3"/>
      <c r="BN521" s="3" t="s">
        <v>2113</v>
      </c>
    </row>
    <row r="522" spans="2:66" ht="12.95" customHeight="1">
      <c r="B522" s="1383"/>
      <c r="C522" s="1384"/>
      <c r="D522" s="1384"/>
      <c r="E522" s="1384"/>
      <c r="F522" s="1384"/>
      <c r="G522" s="1384"/>
      <c r="H522" s="1385"/>
      <c r="I522" s="47" t="s">
        <v>422</v>
      </c>
      <c r="J522" s="48"/>
      <c r="K522" s="48"/>
      <c r="L522" s="48"/>
      <c r="M522" s="48"/>
      <c r="N522" s="48"/>
      <c r="O522" s="48"/>
      <c r="P522" s="48"/>
      <c r="Q522" s="48"/>
      <c r="R522" s="48"/>
      <c r="S522" s="48"/>
      <c r="T522" s="48"/>
      <c r="U522" s="48"/>
      <c r="V522" s="48"/>
      <c r="W522" s="48"/>
      <c r="X522" s="48"/>
      <c r="Y522" s="48"/>
      <c r="Z522" s="48"/>
      <c r="AA522" s="48"/>
      <c r="AB522" s="49"/>
      <c r="AC522" s="1418">
        <v>3</v>
      </c>
      <c r="AD522" s="1419"/>
      <c r="AE522" s="1419"/>
      <c r="AF522" s="1419"/>
      <c r="AG522" s="38" t="s">
        <v>403</v>
      </c>
      <c r="AH522" s="1428">
        <v>2023</v>
      </c>
      <c r="AI522" s="1428"/>
      <c r="AJ522" s="1428"/>
      <c r="AK522" s="1429"/>
      <c r="AZ522" s="3"/>
      <c r="BA522" s="3"/>
      <c r="BB522" s="3"/>
      <c r="BC522" s="3"/>
      <c r="BD522" s="3"/>
      <c r="BE522" s="3"/>
      <c r="BF522" s="3"/>
      <c r="BG522" s="3"/>
      <c r="BH522" s="3"/>
      <c r="BI522" s="3"/>
      <c r="BJ522" s="3"/>
      <c r="BK522" s="3"/>
      <c r="BL522" s="3"/>
      <c r="BM522" s="3"/>
      <c r="BN522" s="3" t="s">
        <v>2114</v>
      </c>
    </row>
    <row r="523" spans="2:66" ht="12.95" customHeight="1">
      <c r="B523" s="1383"/>
      <c r="C523" s="1384"/>
      <c r="D523" s="1384"/>
      <c r="E523" s="1384"/>
      <c r="F523" s="1384"/>
      <c r="G523" s="1384"/>
      <c r="H523" s="1385"/>
      <c r="I523" s="42" t="s">
        <v>423</v>
      </c>
      <c r="J523" s="42"/>
      <c r="K523" s="42"/>
      <c r="L523" s="42"/>
      <c r="M523" s="42"/>
      <c r="N523" s="42"/>
      <c r="O523" s="1433" t="s">
        <v>2719</v>
      </c>
      <c r="P523" s="1434"/>
      <c r="Q523" s="1434"/>
      <c r="R523" s="1434"/>
      <c r="S523" s="1434"/>
      <c r="T523" s="1434"/>
      <c r="U523" s="1434"/>
      <c r="V523" s="1434"/>
      <c r="W523" s="1434"/>
      <c r="X523" s="1434"/>
      <c r="Y523" s="1434"/>
      <c r="Z523" s="1434"/>
      <c r="AA523" s="1434"/>
      <c r="AC523" s="1418" t="s">
        <v>592</v>
      </c>
      <c r="AD523" s="1419"/>
      <c r="AE523" s="1419"/>
      <c r="AF523" s="1419"/>
      <c r="AG523" s="13" t="s">
        <v>403</v>
      </c>
      <c r="AH523" s="1428"/>
      <c r="AI523" s="1428"/>
      <c r="AJ523" s="1428"/>
      <c r="AK523" s="1429"/>
      <c r="AZ523" s="3"/>
      <c r="BA523" s="3"/>
      <c r="BB523" s="3"/>
      <c r="BC523" s="3"/>
      <c r="BD523" s="3"/>
      <c r="BE523" s="3"/>
      <c r="BF523" s="3"/>
      <c r="BG523" s="3"/>
      <c r="BH523" s="3"/>
      <c r="BI523" s="3"/>
      <c r="BJ523" s="3"/>
      <c r="BK523" s="3"/>
      <c r="BL523" s="3"/>
      <c r="BM523" s="3"/>
      <c r="BN523" s="3" t="s">
        <v>2115</v>
      </c>
    </row>
    <row r="524" spans="2:66" ht="12.95" customHeight="1">
      <c r="B524" s="1383"/>
      <c r="C524" s="1384"/>
      <c r="D524" s="1384"/>
      <c r="E524" s="1384"/>
      <c r="F524" s="1384"/>
      <c r="G524" s="1384"/>
      <c r="H524" s="1385"/>
      <c r="I524" t="s">
        <v>421</v>
      </c>
      <c r="AC524" s="1418">
        <v>4</v>
      </c>
      <c r="AD524" s="1419"/>
      <c r="AE524" s="1419"/>
      <c r="AF524" s="1419"/>
      <c r="AG524" s="13" t="s">
        <v>403</v>
      </c>
      <c r="AH524" s="1428">
        <v>2024</v>
      </c>
      <c r="AI524" s="1428"/>
      <c r="AJ524" s="1428"/>
      <c r="AK524" s="1429"/>
      <c r="AZ524" s="3"/>
      <c r="BA524" s="3"/>
      <c r="BB524" s="3"/>
      <c r="BC524" s="3"/>
      <c r="BD524" s="3"/>
      <c r="BE524" s="3"/>
      <c r="BF524" s="3"/>
      <c r="BG524" s="3"/>
      <c r="BH524" s="3"/>
      <c r="BI524" s="3"/>
      <c r="BJ524" s="3"/>
      <c r="BK524" s="3"/>
      <c r="BL524" s="3"/>
      <c r="BM524" s="3"/>
      <c r="BN524" s="3" t="s">
        <v>2116</v>
      </c>
    </row>
    <row r="525" spans="2:66" ht="12.95" customHeight="1">
      <c r="B525" s="1383"/>
      <c r="C525" s="1384"/>
      <c r="D525" s="1384"/>
      <c r="E525" s="1384"/>
      <c r="F525" s="1384"/>
      <c r="G525" s="1384"/>
      <c r="H525" s="1385"/>
      <c r="I525" s="48" t="s">
        <v>422</v>
      </c>
      <c r="J525" s="48"/>
      <c r="K525" s="48"/>
      <c r="L525" s="48"/>
      <c r="M525" s="48"/>
      <c r="N525" s="48"/>
      <c r="O525" s="48"/>
      <c r="P525" s="48"/>
      <c r="Q525" s="48"/>
      <c r="R525" s="48"/>
      <c r="S525" s="48"/>
      <c r="T525" s="48"/>
      <c r="U525" s="48"/>
      <c r="V525" s="48"/>
      <c r="W525" s="48"/>
      <c r="X525" s="48"/>
      <c r="Y525" s="48"/>
      <c r="Z525" s="48"/>
      <c r="AA525" s="48"/>
      <c r="AB525" s="48"/>
      <c r="AC525" s="1418">
        <v>4</v>
      </c>
      <c r="AD525" s="1419"/>
      <c r="AE525" s="1419"/>
      <c r="AF525" s="1419"/>
      <c r="AG525" s="38" t="s">
        <v>403</v>
      </c>
      <c r="AH525" s="1428">
        <v>2024</v>
      </c>
      <c r="AI525" s="1428"/>
      <c r="AJ525" s="1428"/>
      <c r="AK525" s="1429"/>
      <c r="AZ525" s="3"/>
      <c r="BA525" s="3"/>
      <c r="BB525" s="3"/>
      <c r="BC525" s="3"/>
      <c r="BD525" s="3"/>
      <c r="BE525" s="3"/>
      <c r="BF525" s="3"/>
      <c r="BG525" s="3"/>
      <c r="BH525" s="3"/>
      <c r="BI525" s="3"/>
      <c r="BJ525" s="3"/>
      <c r="BK525" s="3"/>
      <c r="BL525" s="3"/>
      <c r="BM525" s="3"/>
      <c r="BN525" s="3" t="s">
        <v>2117</v>
      </c>
    </row>
    <row r="526" spans="2:66" ht="12.95" customHeight="1">
      <c r="B526" s="1383"/>
      <c r="C526" s="1384"/>
      <c r="D526" s="1384"/>
      <c r="E526" s="1384"/>
      <c r="F526" s="1384"/>
      <c r="G526" s="1384"/>
      <c r="H526" s="1385"/>
      <c r="I526" s="42" t="s">
        <v>423</v>
      </c>
      <c r="J526" s="42"/>
      <c r="K526" s="42"/>
      <c r="L526" s="42"/>
      <c r="M526" s="42"/>
      <c r="N526" s="42"/>
      <c r="O526" s="1433" t="s">
        <v>334</v>
      </c>
      <c r="P526" s="1434"/>
      <c r="Q526" s="1434"/>
      <c r="R526" s="1434"/>
      <c r="S526" s="1434"/>
      <c r="T526" s="1434"/>
      <c r="U526" s="1434"/>
      <c r="V526" s="1434"/>
      <c r="W526" s="1434"/>
      <c r="X526" s="1434"/>
      <c r="Y526" s="1434"/>
      <c r="Z526" s="1434"/>
      <c r="AA526" s="1434"/>
      <c r="AC526" s="1418" t="s">
        <v>592</v>
      </c>
      <c r="AD526" s="1419"/>
      <c r="AE526" s="1419"/>
      <c r="AF526" s="1419"/>
      <c r="AG526" s="13" t="s">
        <v>403</v>
      </c>
      <c r="AH526" s="1428"/>
      <c r="AI526" s="1428"/>
      <c r="AJ526" s="1428"/>
      <c r="AK526" s="1429"/>
      <c r="AZ526" s="3"/>
      <c r="BA526" s="3"/>
      <c r="BB526" s="3"/>
      <c r="BC526" s="3"/>
      <c r="BD526" s="3"/>
      <c r="BE526" s="3"/>
      <c r="BF526" s="3"/>
      <c r="BG526" s="3"/>
      <c r="BH526" s="3"/>
      <c r="BI526" s="3"/>
      <c r="BJ526" s="3"/>
      <c r="BK526" s="3"/>
      <c r="BL526" s="3"/>
      <c r="BM526" s="3"/>
      <c r="BN526" s="3" t="s">
        <v>2118</v>
      </c>
    </row>
    <row r="527" spans="2:66" ht="12.95" customHeight="1">
      <c r="B527" s="1383"/>
      <c r="C527" s="1384"/>
      <c r="D527" s="1384"/>
      <c r="E527" s="1384"/>
      <c r="F527" s="1384"/>
      <c r="G527" s="1384"/>
      <c r="H527" s="1385"/>
      <c r="I527" t="s">
        <v>421</v>
      </c>
      <c r="AC527" s="1418" t="s">
        <v>592</v>
      </c>
      <c r="AD527" s="1419"/>
      <c r="AE527" s="1419"/>
      <c r="AF527" s="1419"/>
      <c r="AG527" s="13" t="s">
        <v>403</v>
      </c>
      <c r="AH527" s="1428"/>
      <c r="AI527" s="1428"/>
      <c r="AJ527" s="1428"/>
      <c r="AK527" s="1429"/>
      <c r="AZ527" s="3"/>
      <c r="BA527" s="3"/>
      <c r="BB527" s="3"/>
      <c r="BC527" s="3"/>
      <c r="BD527" s="3"/>
      <c r="BE527" s="3"/>
      <c r="BF527" s="3"/>
      <c r="BG527" s="3"/>
      <c r="BH527" s="3"/>
      <c r="BI527" s="3"/>
      <c r="BJ527" s="3"/>
      <c r="BK527" s="3"/>
      <c r="BL527" s="3"/>
      <c r="BM527" s="3"/>
      <c r="BN527" s="3" t="s">
        <v>2119</v>
      </c>
    </row>
    <row r="528" spans="2:66" ht="12.95" customHeight="1">
      <c r="B528" s="1383"/>
      <c r="C528" s="1384"/>
      <c r="D528" s="1384"/>
      <c r="E528" s="1384"/>
      <c r="F528" s="1384"/>
      <c r="G528" s="1384"/>
      <c r="H528" s="1385"/>
      <c r="I528" s="48" t="s">
        <v>422</v>
      </c>
      <c r="J528" s="48"/>
      <c r="K528" s="48"/>
      <c r="L528" s="48"/>
      <c r="M528" s="48"/>
      <c r="N528" s="48"/>
      <c r="O528" s="48"/>
      <c r="P528" s="48"/>
      <c r="Q528" s="48"/>
      <c r="R528" s="48"/>
      <c r="S528" s="48"/>
      <c r="T528" s="48"/>
      <c r="U528" s="48"/>
      <c r="V528" s="48"/>
      <c r="W528" s="48"/>
      <c r="X528" s="48"/>
      <c r="Y528" s="48"/>
      <c r="Z528" s="48"/>
      <c r="AA528" s="48"/>
      <c r="AB528" s="48"/>
      <c r="AC528" s="1418" t="s">
        <v>592</v>
      </c>
      <c r="AD528" s="1419"/>
      <c r="AE528" s="1419"/>
      <c r="AF528" s="1419"/>
      <c r="AG528" s="38" t="s">
        <v>403</v>
      </c>
      <c r="AH528" s="1428"/>
      <c r="AI528" s="1428"/>
      <c r="AJ528" s="1428"/>
      <c r="AK528" s="1429"/>
      <c r="AZ528" s="3"/>
      <c r="BA528" s="3"/>
      <c r="BB528" s="3"/>
      <c r="BC528" s="3"/>
      <c r="BD528" s="3"/>
      <c r="BE528" s="3"/>
      <c r="BF528" s="3"/>
      <c r="BG528" s="3"/>
      <c r="BH528" s="3"/>
      <c r="BI528" s="3"/>
      <c r="BJ528" s="3"/>
      <c r="BK528" s="3"/>
      <c r="BL528" s="3"/>
      <c r="BM528" s="3"/>
      <c r="BN528" s="3" t="s">
        <v>2120</v>
      </c>
    </row>
    <row r="529" spans="1:66" ht="12.95" customHeight="1">
      <c r="B529" s="1383"/>
      <c r="C529" s="1384"/>
      <c r="D529" s="1384"/>
      <c r="E529" s="1384"/>
      <c r="F529" s="1384"/>
      <c r="G529" s="1384"/>
      <c r="H529" s="1385"/>
      <c r="I529" s="42" t="s">
        <v>423</v>
      </c>
      <c r="J529" s="42"/>
      <c r="K529" s="42"/>
      <c r="L529" s="42"/>
      <c r="M529" s="42"/>
      <c r="N529" s="42"/>
      <c r="O529" s="1433" t="s">
        <v>334</v>
      </c>
      <c r="P529" s="1434"/>
      <c r="Q529" s="1434"/>
      <c r="R529" s="1434"/>
      <c r="S529" s="1434"/>
      <c r="T529" s="1434"/>
      <c r="U529" s="1434"/>
      <c r="V529" s="1434"/>
      <c r="W529" s="1434"/>
      <c r="X529" s="1434"/>
      <c r="Y529" s="1434"/>
      <c r="Z529" s="1434"/>
      <c r="AA529" s="1434"/>
      <c r="AC529" s="1418" t="s">
        <v>592</v>
      </c>
      <c r="AD529" s="1419"/>
      <c r="AE529" s="1419"/>
      <c r="AF529" s="1419"/>
      <c r="AG529" s="13" t="s">
        <v>403</v>
      </c>
      <c r="AH529" s="1428"/>
      <c r="AI529" s="1428"/>
      <c r="AJ529" s="1428"/>
      <c r="AK529" s="1429"/>
      <c r="AZ529" s="3"/>
      <c r="BA529" s="3"/>
      <c r="BB529" s="3"/>
      <c r="BC529" s="3"/>
      <c r="BD529" s="3"/>
      <c r="BE529" s="3"/>
      <c r="BF529" s="3"/>
      <c r="BG529" s="3"/>
      <c r="BH529" s="3"/>
      <c r="BI529" s="3"/>
      <c r="BJ529" s="3"/>
      <c r="BK529" s="3"/>
      <c r="BL529" s="3"/>
      <c r="BM529" s="3"/>
      <c r="BN529" s="3" t="s">
        <v>2121</v>
      </c>
    </row>
    <row r="530" spans="1:66" ht="12.95" customHeight="1">
      <c r="B530" s="1383"/>
      <c r="C530" s="1384"/>
      <c r="D530" s="1384"/>
      <c r="E530" s="1384"/>
      <c r="F530" s="1384"/>
      <c r="G530" s="1384"/>
      <c r="H530" s="1385"/>
      <c r="I530" t="s">
        <v>421</v>
      </c>
      <c r="AC530" s="1418" t="s">
        <v>592</v>
      </c>
      <c r="AD530" s="1419"/>
      <c r="AE530" s="1419"/>
      <c r="AF530" s="1419"/>
      <c r="AG530" s="13" t="s">
        <v>403</v>
      </c>
      <c r="AH530" s="1428"/>
      <c r="AI530" s="1428"/>
      <c r="AJ530" s="1428"/>
      <c r="AK530" s="1429"/>
      <c r="AZ530" s="3"/>
      <c r="BA530" s="3"/>
      <c r="BB530" s="3"/>
      <c r="BC530" s="3"/>
      <c r="BD530" s="3"/>
      <c r="BE530" s="3"/>
      <c r="BF530" s="3"/>
      <c r="BG530" s="3"/>
      <c r="BH530" s="3"/>
      <c r="BI530" s="3"/>
      <c r="BJ530" s="3"/>
      <c r="BK530" s="3"/>
      <c r="BL530" s="3"/>
      <c r="BM530" s="3"/>
      <c r="BN530" s="3" t="s">
        <v>2122</v>
      </c>
    </row>
    <row r="531" spans="1:66" ht="12.95" customHeight="1">
      <c r="B531" s="1383"/>
      <c r="C531" s="1384"/>
      <c r="D531" s="1384"/>
      <c r="E531" s="1384"/>
      <c r="F531" s="1384"/>
      <c r="G531" s="1384"/>
      <c r="H531" s="1385"/>
      <c r="I531" s="48" t="s">
        <v>422</v>
      </c>
      <c r="J531" s="48"/>
      <c r="K531" s="48"/>
      <c r="L531" s="48"/>
      <c r="M531" s="48"/>
      <c r="N531" s="48"/>
      <c r="O531" s="48"/>
      <c r="P531" s="48"/>
      <c r="Q531" s="48"/>
      <c r="R531" s="48"/>
      <c r="S531" s="48"/>
      <c r="T531" s="48"/>
      <c r="U531" s="48"/>
      <c r="V531" s="48"/>
      <c r="W531" s="48"/>
      <c r="X531" s="48"/>
      <c r="Y531" s="48"/>
      <c r="Z531" s="48"/>
      <c r="AA531" s="48"/>
      <c r="AB531" s="48"/>
      <c r="AC531" s="1418" t="s">
        <v>592</v>
      </c>
      <c r="AD531" s="1419"/>
      <c r="AE531" s="1419"/>
      <c r="AF531" s="1419"/>
      <c r="AG531" s="38" t="s">
        <v>403</v>
      </c>
      <c r="AH531" s="1428"/>
      <c r="AI531" s="1428"/>
      <c r="AJ531" s="1428"/>
      <c r="AK531" s="1429"/>
      <c r="AZ531" s="3"/>
      <c r="BA531" s="3"/>
      <c r="BB531" s="3"/>
      <c r="BC531" s="3"/>
      <c r="BD531" s="3"/>
      <c r="BE531" s="3"/>
      <c r="BF531" s="3"/>
      <c r="BG531" s="3"/>
      <c r="BH531" s="3"/>
      <c r="BI531" s="3"/>
      <c r="BJ531" s="3"/>
      <c r="BK531" s="3"/>
      <c r="BL531" s="3"/>
      <c r="BM531" s="3"/>
      <c r="BN531" s="3" t="s">
        <v>2123</v>
      </c>
    </row>
    <row r="532" spans="1:66" ht="12.95" customHeight="1">
      <c r="B532" s="1383"/>
      <c r="C532" s="1384"/>
      <c r="D532" s="1384"/>
      <c r="E532" s="1384"/>
      <c r="F532" s="1384"/>
      <c r="G532" s="1384"/>
      <c r="H532" s="1385"/>
      <c r="I532" s="42" t="s">
        <v>423</v>
      </c>
      <c r="J532" s="42"/>
      <c r="K532" s="42"/>
      <c r="L532" s="42"/>
      <c r="M532" s="42"/>
      <c r="N532" s="42"/>
      <c r="O532" s="1433" t="s">
        <v>334</v>
      </c>
      <c r="P532" s="1434"/>
      <c r="Q532" s="1434"/>
      <c r="R532" s="1434"/>
      <c r="S532" s="1434"/>
      <c r="T532" s="1434"/>
      <c r="U532" s="1434"/>
      <c r="V532" s="1434"/>
      <c r="W532" s="1434"/>
      <c r="X532" s="1434"/>
      <c r="Y532" s="1434"/>
      <c r="Z532" s="1434"/>
      <c r="AA532" s="1434"/>
      <c r="AC532" s="1418" t="s">
        <v>592</v>
      </c>
      <c r="AD532" s="1419"/>
      <c r="AE532" s="1419"/>
      <c r="AF532" s="1419"/>
      <c r="AG532" s="13" t="s">
        <v>403</v>
      </c>
      <c r="AH532" s="1428"/>
      <c r="AI532" s="1428"/>
      <c r="AJ532" s="1428"/>
      <c r="AK532" s="1429"/>
      <c r="AZ532" s="3"/>
      <c r="BA532" s="3"/>
      <c r="BB532" s="3"/>
      <c r="BC532" s="3"/>
      <c r="BD532" s="3"/>
      <c r="BE532" s="3"/>
      <c r="BF532" s="3"/>
      <c r="BG532" s="3"/>
      <c r="BH532" s="3"/>
      <c r="BI532" s="3"/>
      <c r="BJ532" s="3"/>
      <c r="BK532" s="3"/>
      <c r="BL532" s="3"/>
      <c r="BM532" s="3"/>
      <c r="BN532" s="3" t="s">
        <v>2124</v>
      </c>
    </row>
    <row r="533" spans="1:66" ht="12.95" customHeight="1">
      <c r="B533" s="1383"/>
      <c r="C533" s="1384"/>
      <c r="D533" s="1384"/>
      <c r="E533" s="1384"/>
      <c r="F533" s="1384"/>
      <c r="G533" s="1384"/>
      <c r="H533" s="1385"/>
      <c r="I533" t="s">
        <v>421</v>
      </c>
      <c r="AC533" s="1418" t="s">
        <v>592</v>
      </c>
      <c r="AD533" s="1419"/>
      <c r="AE533" s="1419"/>
      <c r="AF533" s="1419"/>
      <c r="AG533" s="38" t="s">
        <v>403</v>
      </c>
      <c r="AH533" s="1428"/>
      <c r="AI533" s="1428"/>
      <c r="AJ533" s="1428"/>
      <c r="AK533" s="1429"/>
      <c r="AZ533" s="3"/>
      <c r="BA533" s="3"/>
      <c r="BB533" s="3"/>
      <c r="BC533" s="3"/>
      <c r="BD533" s="3"/>
      <c r="BE533" s="3"/>
      <c r="BF533" s="3"/>
      <c r="BG533" s="3"/>
      <c r="BH533" s="3"/>
      <c r="BI533" s="3"/>
      <c r="BJ533" s="3"/>
      <c r="BK533" s="3"/>
      <c r="BL533" s="3"/>
      <c r="BM533" s="3"/>
      <c r="BN533" s="3" t="s">
        <v>2125</v>
      </c>
    </row>
    <row r="534" spans="1:66" ht="12.95" customHeight="1">
      <c r="B534" s="1383"/>
      <c r="C534" s="1384"/>
      <c r="D534" s="1384"/>
      <c r="E534" s="1384"/>
      <c r="F534" s="1384"/>
      <c r="G534" s="1384"/>
      <c r="H534" s="1385"/>
      <c r="I534" s="48" t="s">
        <v>422</v>
      </c>
      <c r="J534" s="48"/>
      <c r="K534" s="48"/>
      <c r="L534" s="48"/>
      <c r="M534" s="48"/>
      <c r="N534" s="48"/>
      <c r="O534" s="48"/>
      <c r="P534" s="48"/>
      <c r="Q534" s="48"/>
      <c r="R534" s="48"/>
      <c r="S534" s="48"/>
      <c r="T534" s="48"/>
      <c r="U534" s="48"/>
      <c r="V534" s="48"/>
      <c r="W534" s="48"/>
      <c r="X534" s="48"/>
      <c r="Y534" s="48"/>
      <c r="Z534" s="48"/>
      <c r="AA534" s="48"/>
      <c r="AB534" s="48"/>
      <c r="AC534" s="1418" t="s">
        <v>592</v>
      </c>
      <c r="AD534" s="1419"/>
      <c r="AE534" s="1419"/>
      <c r="AF534" s="1419"/>
      <c r="AG534" s="13" t="s">
        <v>403</v>
      </c>
      <c r="AH534" s="1428"/>
      <c r="AI534" s="1428"/>
      <c r="AJ534" s="1428"/>
      <c r="AK534" s="1429"/>
      <c r="AZ534" s="3"/>
      <c r="BA534" s="3"/>
      <c r="BB534" s="3"/>
      <c r="BC534" s="3"/>
      <c r="BD534" s="3"/>
      <c r="BE534" s="3"/>
      <c r="BF534" s="3"/>
      <c r="BG534" s="3"/>
      <c r="BH534" s="3"/>
      <c r="BI534" s="3"/>
      <c r="BJ534" s="3"/>
      <c r="BK534" s="3"/>
      <c r="BL534" s="3"/>
      <c r="BM534" s="3"/>
      <c r="BN534" s="3" t="s">
        <v>2126</v>
      </c>
    </row>
    <row r="535" spans="1:66" ht="12.95" customHeight="1">
      <c r="B535" s="1383"/>
      <c r="C535" s="1384"/>
      <c r="D535" s="1384"/>
      <c r="E535" s="1384"/>
      <c r="F535" s="1384"/>
      <c r="G535" s="1384"/>
      <c r="H535" s="1385"/>
      <c r="I535" s="42" t="s">
        <v>423</v>
      </c>
      <c r="J535" s="42"/>
      <c r="K535" s="42"/>
      <c r="L535" s="42"/>
      <c r="M535" s="42"/>
      <c r="N535" s="42"/>
      <c r="O535" s="1433" t="s">
        <v>334</v>
      </c>
      <c r="P535" s="1434"/>
      <c r="Q535" s="1434"/>
      <c r="R535" s="1434"/>
      <c r="S535" s="1434"/>
      <c r="T535" s="1434"/>
      <c r="U535" s="1434"/>
      <c r="V535" s="1434"/>
      <c r="W535" s="1434"/>
      <c r="X535" s="1434"/>
      <c r="Y535" s="1434"/>
      <c r="Z535" s="1434"/>
      <c r="AA535" s="1434"/>
      <c r="AC535" s="1418" t="s">
        <v>592</v>
      </c>
      <c r="AD535" s="1419"/>
      <c r="AE535" s="1419"/>
      <c r="AF535" s="1419"/>
      <c r="AG535" s="38" t="s">
        <v>403</v>
      </c>
      <c r="AH535" s="1428"/>
      <c r="AI535" s="1428"/>
      <c r="AJ535" s="1428"/>
      <c r="AK535" s="1429"/>
      <c r="AZ535" s="3"/>
      <c r="BA535" s="3"/>
      <c r="BB535" s="3"/>
      <c r="BC535" s="3"/>
      <c r="BD535" s="3"/>
      <c r="BE535" s="3"/>
      <c r="BF535" s="3"/>
      <c r="BG535" s="3"/>
      <c r="BH535" s="3"/>
      <c r="BI535" s="3"/>
      <c r="BJ535" s="3"/>
      <c r="BK535" s="3"/>
      <c r="BL535" s="3"/>
      <c r="BM535" s="3"/>
      <c r="BN535" s="3" t="s">
        <v>2127</v>
      </c>
    </row>
    <row r="536" spans="1:66" ht="12.95" customHeight="1">
      <c r="B536" s="1383"/>
      <c r="C536" s="1384"/>
      <c r="D536" s="1384"/>
      <c r="E536" s="1384"/>
      <c r="F536" s="1384"/>
      <c r="G536" s="1384"/>
      <c r="H536" s="1385"/>
      <c r="I536" t="s">
        <v>421</v>
      </c>
      <c r="AC536" s="1418" t="s">
        <v>592</v>
      </c>
      <c r="AD536" s="1419"/>
      <c r="AE536" s="1419"/>
      <c r="AF536" s="1419"/>
      <c r="AG536" s="13" t="s">
        <v>403</v>
      </c>
      <c r="AH536" s="1428"/>
      <c r="AI536" s="1428"/>
      <c r="AJ536" s="1428"/>
      <c r="AK536" s="1429"/>
      <c r="AZ536" s="3"/>
      <c r="BA536" s="3"/>
      <c r="BB536" s="3"/>
      <c r="BC536" s="3"/>
      <c r="BD536" s="3"/>
      <c r="BE536" s="3"/>
      <c r="BF536" s="3"/>
      <c r="BG536" s="3"/>
      <c r="BH536" s="3"/>
      <c r="BI536" s="3"/>
      <c r="BJ536" s="3"/>
      <c r="BK536" s="3"/>
      <c r="BL536" s="3"/>
      <c r="BM536" s="3"/>
      <c r="BN536" s="3" t="s">
        <v>2128</v>
      </c>
    </row>
    <row r="537" spans="1:66" ht="12.95" customHeight="1">
      <c r="B537" s="1383"/>
      <c r="C537" s="1384"/>
      <c r="D537" s="1384"/>
      <c r="E537" s="1384"/>
      <c r="F537" s="1384"/>
      <c r="G537" s="1384"/>
      <c r="H537" s="1385"/>
      <c r="I537" s="48" t="s">
        <v>422</v>
      </c>
      <c r="J537" s="48"/>
      <c r="K537" s="48"/>
      <c r="L537" s="48"/>
      <c r="M537" s="48"/>
      <c r="N537" s="48"/>
      <c r="O537" s="48"/>
      <c r="P537" s="48"/>
      <c r="Q537" s="48"/>
      <c r="R537" s="48"/>
      <c r="S537" s="48"/>
      <c r="T537" s="48"/>
      <c r="U537" s="48"/>
      <c r="V537" s="48"/>
      <c r="W537" s="48"/>
      <c r="X537" s="48"/>
      <c r="Y537" s="48"/>
      <c r="Z537" s="48"/>
      <c r="AA537" s="48"/>
      <c r="AB537" s="48"/>
      <c r="AC537" s="1418" t="s">
        <v>592</v>
      </c>
      <c r="AD537" s="1419"/>
      <c r="AE537" s="1419"/>
      <c r="AF537" s="1419"/>
      <c r="AG537" s="38" t="s">
        <v>403</v>
      </c>
      <c r="AH537" s="1428"/>
      <c r="AI537" s="1428"/>
      <c r="AJ537" s="1428"/>
      <c r="AK537" s="1429"/>
      <c r="AZ537" s="3"/>
      <c r="BA537" s="3"/>
      <c r="BB537" s="3"/>
      <c r="BC537" s="3"/>
      <c r="BD537" s="3"/>
      <c r="BE537" s="3"/>
      <c r="BF537" s="3"/>
      <c r="BG537" s="3"/>
      <c r="BH537" s="3"/>
      <c r="BI537" s="3"/>
      <c r="BJ537" s="3"/>
      <c r="BK537" s="3"/>
      <c r="BL537" s="3"/>
      <c r="BM537" s="3"/>
      <c r="BN537" s="3" t="s">
        <v>2129</v>
      </c>
    </row>
    <row r="538" spans="1:66" ht="12.95" customHeight="1">
      <c r="B538" s="1383"/>
      <c r="C538" s="1384"/>
      <c r="D538" s="1384"/>
      <c r="E538" s="1384"/>
      <c r="F538" s="1384"/>
      <c r="G538" s="1384"/>
      <c r="H538" s="1385"/>
      <c r="I538" s="42" t="s">
        <v>563</v>
      </c>
      <c r="J538" s="42"/>
      <c r="K538" s="42"/>
      <c r="L538" s="42"/>
      <c r="M538" s="42"/>
      <c r="N538" s="42"/>
      <c r="O538" s="42"/>
      <c r="P538" s="42"/>
      <c r="Q538" s="42"/>
      <c r="R538" s="42"/>
      <c r="S538" s="42"/>
      <c r="T538" s="42"/>
      <c r="U538" s="42"/>
      <c r="V538" s="42"/>
      <c r="W538" s="42"/>
      <c r="AC538" s="1335">
        <v>5</v>
      </c>
      <c r="AD538" s="1336"/>
      <c r="AE538" s="1336"/>
      <c r="AF538" s="1336"/>
      <c r="AG538" s="38" t="s">
        <v>403</v>
      </c>
      <c r="AH538" s="1337">
        <v>2027</v>
      </c>
      <c r="AI538" s="1337"/>
      <c r="AJ538" s="1337"/>
      <c r="AK538" s="1338"/>
      <c r="AZ538" s="3"/>
      <c r="BA538" s="3"/>
      <c r="BB538" s="3"/>
      <c r="BC538" s="3"/>
      <c r="BD538" s="3"/>
      <c r="BE538" s="3"/>
      <c r="BF538" s="3"/>
      <c r="BG538" s="3"/>
      <c r="BH538" s="3"/>
      <c r="BI538" s="3"/>
      <c r="BJ538" s="3"/>
      <c r="BK538" s="3"/>
      <c r="BL538" s="3"/>
      <c r="BM538" s="3"/>
      <c r="BN538" s="3"/>
    </row>
    <row r="539" spans="1:66" ht="12.95" customHeight="1">
      <c r="B539" s="1383"/>
      <c r="C539" s="1384"/>
      <c r="D539" s="1384"/>
      <c r="E539" s="1384"/>
      <c r="F539" s="1384"/>
      <c r="G539" s="1384"/>
      <c r="H539" s="1385"/>
      <c r="I539" t="s">
        <v>564</v>
      </c>
      <c r="AC539" s="1335">
        <v>5</v>
      </c>
      <c r="AD539" s="1336"/>
      <c r="AE539" s="1336"/>
      <c r="AF539" s="1336"/>
      <c r="AG539" s="13" t="s">
        <v>403</v>
      </c>
      <c r="AH539" s="1337">
        <v>2026</v>
      </c>
      <c r="AI539" s="1337"/>
      <c r="AJ539" s="1337"/>
      <c r="AK539" s="1338"/>
      <c r="AZ539" s="3"/>
      <c r="BA539" s="3"/>
      <c r="BB539" s="3"/>
      <c r="BC539" s="3"/>
      <c r="BD539" s="3"/>
      <c r="BE539" s="3"/>
      <c r="BF539" s="3"/>
      <c r="BG539" s="3"/>
      <c r="BH539" s="3"/>
      <c r="BI539" s="3"/>
      <c r="BJ539" s="3"/>
      <c r="BK539" s="3"/>
      <c r="BL539" s="3"/>
      <c r="BM539" s="3"/>
      <c r="BN539" s="3"/>
    </row>
    <row r="540" spans="1:66" ht="12.95" customHeight="1">
      <c r="B540" s="1383"/>
      <c r="C540" s="1384"/>
      <c r="D540" s="1384"/>
      <c r="E540" s="1384"/>
      <c r="F540" s="1384"/>
      <c r="G540" s="1384"/>
      <c r="H540" s="1385"/>
      <c r="I540" t="s">
        <v>565</v>
      </c>
      <c r="AC540" s="1335">
        <v>11</v>
      </c>
      <c r="AD540" s="1336"/>
      <c r="AE540" s="1336"/>
      <c r="AF540" s="1336"/>
      <c r="AG540" s="38" t="s">
        <v>403</v>
      </c>
      <c r="AH540" s="1337">
        <v>2027</v>
      </c>
      <c r="AI540" s="1337"/>
      <c r="AJ540" s="1337"/>
      <c r="AK540" s="1338"/>
      <c r="AZ540" s="3"/>
      <c r="BA540" s="3"/>
      <c r="BB540" s="3"/>
      <c r="BC540" s="3"/>
      <c r="BD540" s="3"/>
      <c r="BE540" s="3"/>
      <c r="BF540" s="3"/>
      <c r="BG540" s="3"/>
      <c r="BH540" s="3"/>
      <c r="BI540" s="3"/>
      <c r="BJ540" s="3"/>
      <c r="BK540" s="3"/>
      <c r="BL540" s="3"/>
      <c r="BM540" s="3"/>
      <c r="BN540" s="3"/>
    </row>
    <row r="541" spans="1:66" ht="12.95" customHeight="1">
      <c r="B541" s="1383"/>
      <c r="C541" s="1384"/>
      <c r="D541" s="1384"/>
      <c r="E541" s="1384"/>
      <c r="F541" s="1384"/>
      <c r="G541" s="1384"/>
      <c r="H541" s="1385"/>
      <c r="I541" t="s">
        <v>566</v>
      </c>
      <c r="AC541" s="1335">
        <v>12</v>
      </c>
      <c r="AD541" s="1336"/>
      <c r="AE541" s="1336"/>
      <c r="AF541" s="1336"/>
      <c r="AG541" s="38" t="s">
        <v>403</v>
      </c>
      <c r="AH541" s="1337">
        <v>2027</v>
      </c>
      <c r="AI541" s="1337"/>
      <c r="AJ541" s="1337"/>
      <c r="AK541" s="1338"/>
      <c r="AZ541" s="3"/>
      <c r="BA541" s="3"/>
      <c r="BB541" s="3"/>
      <c r="BC541" s="3"/>
      <c r="BD541" s="3"/>
      <c r="BE541" s="3"/>
      <c r="BF541" s="3"/>
      <c r="BG541" s="3"/>
      <c r="BH541" s="3"/>
      <c r="BI541" s="3"/>
      <c r="BJ541" s="3"/>
      <c r="BK541" s="3"/>
      <c r="BL541" s="3"/>
      <c r="BM541" s="3"/>
      <c r="BN541" s="3"/>
    </row>
    <row r="542" spans="1:66" ht="12.95" customHeight="1">
      <c r="B542" s="1386"/>
      <c r="C542" s="1387"/>
      <c r="D542" s="1387"/>
      <c r="E542" s="1387"/>
      <c r="F542" s="1387"/>
      <c r="G542" s="1387"/>
      <c r="H542" s="1388"/>
      <c r="I542" s="48" t="s">
        <v>452</v>
      </c>
      <c r="J542" s="48"/>
      <c r="K542" s="48"/>
      <c r="L542" s="48"/>
      <c r="M542" s="48"/>
      <c r="N542" s="48"/>
      <c r="O542" s="48"/>
      <c r="P542" s="48"/>
      <c r="Q542" s="48"/>
      <c r="R542" s="48"/>
      <c r="S542" s="48"/>
      <c r="T542" s="48"/>
      <c r="U542" s="48"/>
      <c r="V542" s="48"/>
      <c r="W542" s="48"/>
      <c r="X542" s="48"/>
      <c r="Y542" s="48"/>
      <c r="Z542" s="48"/>
      <c r="AA542" s="48"/>
      <c r="AB542" s="48"/>
      <c r="AC542" s="1335">
        <v>12</v>
      </c>
      <c r="AD542" s="1336"/>
      <c r="AE542" s="1336"/>
      <c r="AF542" s="1336"/>
      <c r="AG542" s="38" t="s">
        <v>403</v>
      </c>
      <c r="AH542" s="1337">
        <v>2027</v>
      </c>
      <c r="AI542" s="1337"/>
      <c r="AJ542" s="1337"/>
      <c r="AK542" s="1338"/>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0" t="s">
        <v>544</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380" t="s">
        <v>2103</v>
      </c>
      <c r="C551" s="1381"/>
      <c r="D551" s="1381"/>
      <c r="E551" s="1381"/>
      <c r="F551" s="1381"/>
      <c r="G551" s="1381"/>
      <c r="H551" s="1381"/>
      <c r="I551" s="1381"/>
      <c r="J551" s="1381"/>
      <c r="K551" s="1381"/>
      <c r="L551" s="1382"/>
      <c r="M551" s="1380" t="s">
        <v>2104</v>
      </c>
      <c r="N551" s="1381"/>
      <c r="O551" s="1381"/>
      <c r="P551" s="1382"/>
      <c r="Q551" s="1380" t="s">
        <v>2130</v>
      </c>
      <c r="R551" s="1381"/>
      <c r="S551" s="1382"/>
      <c r="T551" s="1380" t="s">
        <v>2131</v>
      </c>
      <c r="U551" s="1381"/>
      <c r="V551" s="1382"/>
      <c r="W551" s="1380" t="s">
        <v>454</v>
      </c>
      <c r="X551" s="1381"/>
      <c r="Y551" s="1382"/>
      <c r="Z551" s="1380" t="s">
        <v>1852</v>
      </c>
      <c r="AA551" s="1381"/>
      <c r="AB551" s="1381"/>
      <c r="AC551" s="1381"/>
      <c r="AD551" s="1382"/>
      <c r="AE551" s="1380" t="s">
        <v>1677</v>
      </c>
      <c r="AF551" s="1381"/>
      <c r="AG551" s="1381"/>
      <c r="AH551" s="1382"/>
      <c r="AI551" s="1380" t="s">
        <v>1678</v>
      </c>
      <c r="AJ551" s="1381"/>
      <c r="AK551" s="1381"/>
      <c r="AL551" s="1382"/>
      <c r="AM551" s="1380" t="s">
        <v>455</v>
      </c>
      <c r="AN551" s="1381"/>
      <c r="AO551" s="1381"/>
      <c r="AP551" s="1381"/>
      <c r="AQ551" s="1381"/>
      <c r="AR551" s="1381"/>
      <c r="AS551" s="1382"/>
      <c r="BB551" s="3"/>
      <c r="BC551" s="3"/>
      <c r="BD551" s="3"/>
      <c r="BE551" s="3"/>
      <c r="BF551" s="3"/>
      <c r="BG551" s="3"/>
      <c r="BH551" s="3" t="s">
        <v>582</v>
      </c>
      <c r="BI551" s="3" t="str">
        <f>AG657</f>
        <v>Yes</v>
      </c>
    </row>
    <row r="552" spans="1:61" ht="12.95" customHeight="1">
      <c r="B552" s="1383"/>
      <c r="C552" s="1384"/>
      <c r="D552" s="1384"/>
      <c r="E552" s="1384"/>
      <c r="F552" s="1384"/>
      <c r="G552" s="1384"/>
      <c r="H552" s="1384"/>
      <c r="I552" s="1384"/>
      <c r="J552" s="1384"/>
      <c r="K552" s="1384"/>
      <c r="L552" s="1385"/>
      <c r="M552" s="1383"/>
      <c r="N552" s="1384"/>
      <c r="O552" s="1384"/>
      <c r="P552" s="1385"/>
      <c r="Q552" s="1383"/>
      <c r="R552" s="1384"/>
      <c r="S552" s="1385"/>
      <c r="T552" s="1383"/>
      <c r="U552" s="1384"/>
      <c r="V552" s="1385"/>
      <c r="W552" s="1383"/>
      <c r="X552" s="1384"/>
      <c r="Y552" s="1385"/>
      <c r="Z552" s="1383"/>
      <c r="AA552" s="1384"/>
      <c r="AB552" s="1384"/>
      <c r="AC552" s="1384"/>
      <c r="AD552" s="1385"/>
      <c r="AE552" s="1383"/>
      <c r="AF552" s="1384"/>
      <c r="AG552" s="1384"/>
      <c r="AH552" s="1385"/>
      <c r="AI552" s="1383"/>
      <c r="AJ552" s="1384"/>
      <c r="AK552" s="1384"/>
      <c r="AL552" s="1385"/>
      <c r="AM552" s="1383"/>
      <c r="AN552" s="1384"/>
      <c r="AO552" s="1384"/>
      <c r="AP552" s="1384"/>
      <c r="AQ552" s="1384"/>
      <c r="AR552" s="1384"/>
      <c r="AS552" s="1385"/>
      <c r="AU552" s="1147"/>
      <c r="BB552" s="3"/>
      <c r="BC552" s="3"/>
      <c r="BD552" s="3"/>
      <c r="BE552" s="3"/>
      <c r="BF552" s="3"/>
      <c r="BG552" s="3"/>
      <c r="BH552" s="3"/>
      <c r="BI552" s="3"/>
    </row>
    <row r="553" spans="1:61" ht="12.95" customHeight="1">
      <c r="B553" s="1386"/>
      <c r="C553" s="1387"/>
      <c r="D553" s="1387"/>
      <c r="E553" s="1387"/>
      <c r="F553" s="1387"/>
      <c r="G553" s="1387"/>
      <c r="H553" s="1387"/>
      <c r="I553" s="1387"/>
      <c r="J553" s="1387"/>
      <c r="K553" s="1387"/>
      <c r="L553" s="1388"/>
      <c r="M553" s="1386"/>
      <c r="N553" s="1387"/>
      <c r="O553" s="1387"/>
      <c r="P553" s="1388"/>
      <c r="Q553" s="1386"/>
      <c r="R553" s="1387"/>
      <c r="S553" s="1388"/>
      <c r="T553" s="1386"/>
      <c r="U553" s="1387"/>
      <c r="V553" s="1388"/>
      <c r="W553" s="1386"/>
      <c r="X553" s="1387"/>
      <c r="Y553" s="1388"/>
      <c r="Z553" s="1386"/>
      <c r="AA553" s="1387"/>
      <c r="AB553" s="1387"/>
      <c r="AC553" s="1387"/>
      <c r="AD553" s="1388"/>
      <c r="AE553" s="1386"/>
      <c r="AF553" s="1387"/>
      <c r="AG553" s="1387"/>
      <c r="AH553" s="1388"/>
      <c r="AI553" s="1386"/>
      <c r="AJ553" s="1387"/>
      <c r="AK553" s="1387"/>
      <c r="AL553" s="1388"/>
      <c r="AM553" s="1386"/>
      <c r="AN553" s="1387"/>
      <c r="AO553" s="1387"/>
      <c r="AP553" s="1387"/>
      <c r="AQ553" s="1387"/>
      <c r="AR553" s="1387"/>
      <c r="AS553" s="1388"/>
      <c r="AU553" s="1147"/>
      <c r="BB553" s="3"/>
      <c r="BC553" s="3"/>
      <c r="BD553" s="3"/>
      <c r="BE553" s="3"/>
      <c r="BF553" s="3"/>
      <c r="BG553" s="3"/>
      <c r="BH553" s="3"/>
      <c r="BI553" s="3"/>
    </row>
    <row r="554" spans="1:61" ht="12.95" customHeight="1">
      <c r="B554" s="51" t="s">
        <v>112</v>
      </c>
      <c r="C554" s="1471" t="s">
        <v>2689</v>
      </c>
      <c r="D554" s="1471"/>
      <c r="E554" s="1471"/>
      <c r="F554" s="1471"/>
      <c r="G554" s="1471"/>
      <c r="H554" s="1471"/>
      <c r="I554" s="1471"/>
      <c r="J554" s="1471"/>
      <c r="K554" s="1471"/>
      <c r="L554" s="1471"/>
      <c r="M554" s="1471" t="s">
        <v>2120</v>
      </c>
      <c r="N554" s="1471"/>
      <c r="O554" s="1471"/>
      <c r="P554" s="1471"/>
      <c r="Q554" s="1396">
        <v>24</v>
      </c>
      <c r="R554" s="1396"/>
      <c r="S554" s="1397"/>
      <c r="T554" s="1395">
        <v>24</v>
      </c>
      <c r="U554" s="1396"/>
      <c r="V554" s="1397"/>
      <c r="W554" s="1493">
        <v>6.0600000000000001E-2</v>
      </c>
      <c r="X554" s="1494"/>
      <c r="Y554" s="1495"/>
      <c r="Z554" s="1398" t="s">
        <v>2720</v>
      </c>
      <c r="AA554" s="1398"/>
      <c r="AB554" s="1398"/>
      <c r="AC554" s="1398"/>
      <c r="AD554" s="1398"/>
      <c r="AE554" s="1392"/>
      <c r="AF554" s="1393"/>
      <c r="AG554" s="1393"/>
      <c r="AH554" s="1394"/>
      <c r="AI554" s="1430"/>
      <c r="AJ554" s="1431"/>
      <c r="AK554" s="1431"/>
      <c r="AL554" s="1432"/>
      <c r="AM554" s="1457">
        <v>23780680</v>
      </c>
      <c r="AN554" s="1458"/>
      <c r="AO554" s="1458"/>
      <c r="AP554" s="1458"/>
      <c r="AQ554" s="1458"/>
      <c r="AR554" s="1458"/>
      <c r="AS554" s="1459"/>
      <c r="AT554" s="1148"/>
      <c r="AU554" s="1147"/>
      <c r="BB554" s="3"/>
      <c r="BC554" s="3"/>
      <c r="BD554" s="3"/>
      <c r="BE554" s="3"/>
      <c r="BF554" s="3"/>
      <c r="BG554" s="3"/>
      <c r="BH554" s="3"/>
      <c r="BI554" s="3"/>
    </row>
    <row r="555" spans="1:61" ht="12.95" customHeight="1">
      <c r="B555" s="52" t="s">
        <v>113</v>
      </c>
      <c r="C555" s="1399" t="s">
        <v>2690</v>
      </c>
      <c r="D555" s="1399"/>
      <c r="E555" s="1399"/>
      <c r="F555" s="1399"/>
      <c r="G555" s="1399"/>
      <c r="H555" s="1399"/>
      <c r="I555" s="1399"/>
      <c r="J555" s="1399"/>
      <c r="K555" s="1399"/>
      <c r="L555" s="1399"/>
      <c r="M555" s="1471" t="s">
        <v>2119</v>
      </c>
      <c r="N555" s="1471"/>
      <c r="O555" s="1471"/>
      <c r="P555" s="1471"/>
      <c r="Q555" s="1395">
        <v>24</v>
      </c>
      <c r="R555" s="1396"/>
      <c r="S555" s="1397"/>
      <c r="T555" s="1395">
        <v>24</v>
      </c>
      <c r="U555" s="1396"/>
      <c r="V555" s="1397"/>
      <c r="W555" s="1493">
        <v>6.5000000000000002E-2</v>
      </c>
      <c r="X555" s="1494"/>
      <c r="Y555" s="1495"/>
      <c r="Z555" s="1398" t="s">
        <v>2720</v>
      </c>
      <c r="AA555" s="1398"/>
      <c r="AB555" s="1398"/>
      <c r="AC555" s="1398"/>
      <c r="AD555" s="1398"/>
      <c r="AE555" s="1392"/>
      <c r="AF555" s="1393"/>
      <c r="AG555" s="1393"/>
      <c r="AH555" s="1394"/>
      <c r="AI555" s="1430"/>
      <c r="AJ555" s="1431"/>
      <c r="AK555" s="1431"/>
      <c r="AL555" s="1432"/>
      <c r="AM555" s="1457">
        <v>29161923</v>
      </c>
      <c r="AN555" s="1458"/>
      <c r="AO555" s="1458"/>
      <c r="AP555" s="1458"/>
      <c r="AQ555" s="1458"/>
      <c r="AR555" s="1458"/>
      <c r="AS555" s="1459"/>
      <c r="AT555" s="1148" t="str">
        <f>IF(AND(NOT(C554=""),C555="",NOT(C556="")),"!","")</f>
        <v/>
      </c>
      <c r="AU555" s="1147"/>
      <c r="BB555" s="3"/>
      <c r="BC555" s="3"/>
      <c r="BD555" s="3"/>
      <c r="BE555" s="3"/>
      <c r="BF555" s="3"/>
      <c r="BG555" s="3"/>
      <c r="BH555" s="3"/>
      <c r="BI555" s="3"/>
    </row>
    <row r="556" spans="1:61" ht="12.95" customHeight="1">
      <c r="B556" s="52" t="s">
        <v>119</v>
      </c>
      <c r="C556" s="1399" t="s">
        <v>2691</v>
      </c>
      <c r="D556" s="1399"/>
      <c r="E556" s="1399"/>
      <c r="F556" s="1399"/>
      <c r="G556" s="1399"/>
      <c r="H556" s="1399"/>
      <c r="I556" s="1399"/>
      <c r="J556" s="1399"/>
      <c r="K556" s="1399"/>
      <c r="L556" s="1399"/>
      <c r="M556" s="1471" t="s">
        <v>2111</v>
      </c>
      <c r="N556" s="1471"/>
      <c r="O556" s="1471"/>
      <c r="P556" s="1471"/>
      <c r="Q556" s="1395"/>
      <c r="R556" s="1396"/>
      <c r="S556" s="1397"/>
      <c r="T556" s="1395"/>
      <c r="U556" s="1396"/>
      <c r="V556" s="1397"/>
      <c r="W556" s="1493"/>
      <c r="X556" s="1494"/>
      <c r="Y556" s="1495"/>
      <c r="Z556" s="1398" t="s">
        <v>1185</v>
      </c>
      <c r="AA556" s="1398"/>
      <c r="AB556" s="1398"/>
      <c r="AC556" s="1398"/>
      <c r="AD556" s="1398"/>
      <c r="AE556" s="1392"/>
      <c r="AF556" s="1393"/>
      <c r="AG556" s="1393"/>
      <c r="AH556" s="1394"/>
      <c r="AI556" s="1430"/>
      <c r="AJ556" s="1431"/>
      <c r="AK556" s="1431"/>
      <c r="AL556" s="1432"/>
      <c r="AM556" s="1457">
        <f>+AO641-AM554-AM555-AM557-AM558</f>
        <v>14113914</v>
      </c>
      <c r="AN556" s="1458"/>
      <c r="AO556" s="1458"/>
      <c r="AP556" s="1458"/>
      <c r="AQ556" s="1458"/>
      <c r="AR556" s="1458"/>
      <c r="AS556" s="1459"/>
      <c r="AT556" s="1148" t="str">
        <f>IF(AND(NOT(C555=""),C556="",NOT(C557="")),"!","")</f>
        <v/>
      </c>
      <c r="AU556" s="1147"/>
      <c r="BB556" s="3"/>
      <c r="BC556" s="3"/>
      <c r="BD556" s="3"/>
      <c r="BE556" s="3"/>
      <c r="BF556" s="3"/>
      <c r="BG556" s="3"/>
      <c r="BH556" s="3"/>
      <c r="BI556" s="3"/>
    </row>
    <row r="557" spans="1:61" ht="12.95" customHeight="1">
      <c r="B557" s="52" t="s">
        <v>582</v>
      </c>
      <c r="C557" s="1399" t="s">
        <v>2692</v>
      </c>
      <c r="D557" s="1399"/>
      <c r="E557" s="1399"/>
      <c r="F557" s="1399"/>
      <c r="G557" s="1399"/>
      <c r="H557" s="1399"/>
      <c r="I557" s="1399"/>
      <c r="J557" s="1399"/>
      <c r="K557" s="1399"/>
      <c r="L557" s="1399"/>
      <c r="M557" s="1471" t="s">
        <v>2116</v>
      </c>
      <c r="N557" s="1471"/>
      <c r="O557" s="1471"/>
      <c r="P557" s="1471"/>
      <c r="Q557" s="1395">
        <v>660</v>
      </c>
      <c r="R557" s="1396"/>
      <c r="S557" s="1397"/>
      <c r="T557" s="1395">
        <v>660</v>
      </c>
      <c r="U557" s="1396"/>
      <c r="V557" s="1397"/>
      <c r="W557" s="1493">
        <v>0.03</v>
      </c>
      <c r="X557" s="1494"/>
      <c r="Y557" s="1495"/>
      <c r="Z557" s="1398" t="s">
        <v>1185</v>
      </c>
      <c r="AA557" s="1398"/>
      <c r="AB557" s="1398"/>
      <c r="AC557" s="1398"/>
      <c r="AD557" s="1398"/>
      <c r="AE557" s="1392"/>
      <c r="AF557" s="1393"/>
      <c r="AG557" s="1393"/>
      <c r="AH557" s="1394"/>
      <c r="AI557" s="1430"/>
      <c r="AJ557" s="1431"/>
      <c r="AK557" s="1431"/>
      <c r="AL557" s="1432"/>
      <c r="AM557" s="1457">
        <v>8000000</v>
      </c>
      <c r="AN557" s="1458"/>
      <c r="AO557" s="1458"/>
      <c r="AP557" s="1458"/>
      <c r="AQ557" s="1458"/>
      <c r="AR557" s="1458"/>
      <c r="AS557" s="1459"/>
      <c r="AT557" s="1148" t="str">
        <f>IF(AND(NOT(C556=""),C557="",NOT(C558="")),"!","")</f>
        <v/>
      </c>
      <c r="AU557" s="1147"/>
      <c r="BB557" s="3"/>
      <c r="BC557" s="3"/>
      <c r="BD557" s="3"/>
      <c r="BE557" s="3"/>
      <c r="BF557" s="3"/>
      <c r="BG557" s="3"/>
      <c r="BH557" s="3"/>
      <c r="BI557" s="3"/>
    </row>
    <row r="558" spans="1:61" ht="12.95" customHeight="1">
      <c r="B558" s="52" t="s">
        <v>764</v>
      </c>
      <c r="C558" s="1399" t="s">
        <v>2693</v>
      </c>
      <c r="D558" s="1399"/>
      <c r="E558" s="1399"/>
      <c r="F558" s="1399"/>
      <c r="G558" s="1399"/>
      <c r="H558" s="1399"/>
      <c r="I558" s="1399"/>
      <c r="J558" s="1399"/>
      <c r="K558" s="1399"/>
      <c r="L558" s="1399"/>
      <c r="M558" s="1471" t="s">
        <v>2116</v>
      </c>
      <c r="N558" s="1471"/>
      <c r="O558" s="1471"/>
      <c r="P558" s="1471"/>
      <c r="Q558" s="1395">
        <v>660</v>
      </c>
      <c r="R558" s="1396"/>
      <c r="S558" s="1397"/>
      <c r="T558" s="1395">
        <v>660</v>
      </c>
      <c r="U558" s="1396"/>
      <c r="V558" s="1397"/>
      <c r="W558" s="1493">
        <v>0.03</v>
      </c>
      <c r="X558" s="1494"/>
      <c r="Y558" s="1495"/>
      <c r="Z558" s="1398" t="s">
        <v>1185</v>
      </c>
      <c r="AA558" s="1398"/>
      <c r="AB558" s="1398"/>
      <c r="AC558" s="1398"/>
      <c r="AD558" s="1398"/>
      <c r="AE558" s="1392"/>
      <c r="AF558" s="1393"/>
      <c r="AG558" s="1393"/>
      <c r="AH558" s="1394"/>
      <c r="AI558" s="1430"/>
      <c r="AJ558" s="1431"/>
      <c r="AK558" s="1431"/>
      <c r="AL558" s="1432"/>
      <c r="AM558" s="1457">
        <v>7900000</v>
      </c>
      <c r="AN558" s="1458"/>
      <c r="AO558" s="1458"/>
      <c r="AP558" s="1458"/>
      <c r="AQ558" s="1458"/>
      <c r="AR558" s="1458"/>
      <c r="AS558" s="1459"/>
      <c r="AT558" s="1148" t="str">
        <f t="shared" ref="AT558:AT565" si="0">IF(AND(NOT(C557=""),C558="",NOT(C559="")),"!","")</f>
        <v/>
      </c>
      <c r="AU558" s="1147"/>
      <c r="BB558" s="3"/>
      <c r="BC558" s="3"/>
      <c r="BD558" s="3"/>
      <c r="BE558" s="3"/>
      <c r="BF558" s="3"/>
      <c r="BG558" s="3"/>
      <c r="BH558" s="3" t="s">
        <v>764</v>
      </c>
      <c r="BI558" s="3">
        <f>N665</f>
        <v>0</v>
      </c>
    </row>
    <row r="559" spans="1:61" ht="12.95" customHeight="1">
      <c r="B559" s="52" t="s">
        <v>585</v>
      </c>
      <c r="C559" s="1399"/>
      <c r="D559" s="1399"/>
      <c r="E559" s="1399"/>
      <c r="F559" s="1399"/>
      <c r="G559" s="1399"/>
      <c r="H559" s="1399"/>
      <c r="I559" s="1399"/>
      <c r="J559" s="1399"/>
      <c r="K559" s="1399"/>
      <c r="L559" s="1399"/>
      <c r="M559" s="1471" t="s">
        <v>1185</v>
      </c>
      <c r="N559" s="1471"/>
      <c r="O559" s="1471"/>
      <c r="P559" s="1471"/>
      <c r="Q559" s="1395"/>
      <c r="R559" s="1396"/>
      <c r="S559" s="1397"/>
      <c r="T559" s="1395"/>
      <c r="U559" s="1396"/>
      <c r="V559" s="1397"/>
      <c r="W559" s="1493"/>
      <c r="X559" s="1494"/>
      <c r="Y559" s="1495"/>
      <c r="Z559" s="1398" t="s">
        <v>1185</v>
      </c>
      <c r="AA559" s="1398"/>
      <c r="AB559" s="1398"/>
      <c r="AC559" s="1398"/>
      <c r="AD559" s="1398"/>
      <c r="AE559" s="1392"/>
      <c r="AF559" s="1393"/>
      <c r="AG559" s="1393"/>
      <c r="AH559" s="1394"/>
      <c r="AI559" s="1430"/>
      <c r="AJ559" s="1431"/>
      <c r="AK559" s="1431"/>
      <c r="AL559" s="1432"/>
      <c r="AM559" s="1457"/>
      <c r="AN559" s="1458"/>
      <c r="AO559" s="1458"/>
      <c r="AP559" s="1458"/>
      <c r="AQ559" s="1458"/>
      <c r="AR559" s="1458"/>
      <c r="AS559" s="1459"/>
      <c r="AT559" s="1148" t="str">
        <f t="shared" si="0"/>
        <v/>
      </c>
      <c r="AU559" s="1147"/>
      <c r="BB559" s="3"/>
      <c r="BC559" s="3"/>
      <c r="BD559" s="3"/>
      <c r="BE559" s="3"/>
      <c r="BF559" s="3"/>
      <c r="BG559" s="3"/>
      <c r="BH559" s="3" t="s">
        <v>585</v>
      </c>
      <c r="BI559" s="3" t="str">
        <f>AG665</f>
        <v>No</v>
      </c>
    </row>
    <row r="560" spans="1:61" ht="12.95" customHeight="1">
      <c r="B560" s="52" t="s">
        <v>456</v>
      </c>
      <c r="C560" s="1399"/>
      <c r="D560" s="1399"/>
      <c r="E560" s="1399"/>
      <c r="F560" s="1399"/>
      <c r="G560" s="1399"/>
      <c r="H560" s="1399"/>
      <c r="I560" s="1399"/>
      <c r="J560" s="1399"/>
      <c r="K560" s="1399"/>
      <c r="L560" s="1399"/>
      <c r="M560" s="1471" t="s">
        <v>1185</v>
      </c>
      <c r="N560" s="1471"/>
      <c r="O560" s="1471"/>
      <c r="P560" s="1471"/>
      <c r="Q560" s="1395"/>
      <c r="R560" s="1396"/>
      <c r="S560" s="1397"/>
      <c r="T560" s="1395"/>
      <c r="U560" s="1396"/>
      <c r="V560" s="1397"/>
      <c r="W560" s="1493"/>
      <c r="X560" s="1494"/>
      <c r="Y560" s="1495"/>
      <c r="Z560" s="1398" t="s">
        <v>1185</v>
      </c>
      <c r="AA560" s="1398"/>
      <c r="AB560" s="1398"/>
      <c r="AC560" s="1398"/>
      <c r="AD560" s="1398"/>
      <c r="AE560" s="1392"/>
      <c r="AF560" s="1393"/>
      <c r="AG560" s="1393"/>
      <c r="AH560" s="1394"/>
      <c r="AI560" s="1430"/>
      <c r="AJ560" s="1431"/>
      <c r="AK560" s="1431"/>
      <c r="AL560" s="1432"/>
      <c r="AM560" s="1457"/>
      <c r="AN560" s="1458"/>
      <c r="AO560" s="1458"/>
      <c r="AP560" s="1458"/>
      <c r="AQ560" s="1458"/>
      <c r="AR560" s="1458"/>
      <c r="AS560" s="1459"/>
      <c r="AT560" s="1148" t="str">
        <f t="shared" si="0"/>
        <v/>
      </c>
      <c r="AU560" s="1147"/>
      <c r="BB560" s="3"/>
      <c r="BC560" s="3"/>
      <c r="BD560" s="3"/>
      <c r="BE560" s="3"/>
      <c r="BF560" s="3"/>
      <c r="BG560" s="3"/>
      <c r="BH560" s="3"/>
      <c r="BI560" s="3"/>
    </row>
    <row r="561" spans="1:61" ht="12.95" customHeight="1">
      <c r="B561" s="52" t="s">
        <v>457</v>
      </c>
      <c r="C561" s="1399"/>
      <c r="D561" s="1399"/>
      <c r="E561" s="1399"/>
      <c r="F561" s="1399"/>
      <c r="G561" s="1399"/>
      <c r="H561" s="1399"/>
      <c r="I561" s="1399"/>
      <c r="J561" s="1399"/>
      <c r="K561" s="1399"/>
      <c r="L561" s="1399"/>
      <c r="M561" s="1471" t="s">
        <v>1185</v>
      </c>
      <c r="N561" s="1471"/>
      <c r="O561" s="1471"/>
      <c r="P561" s="1471"/>
      <c r="Q561" s="1395"/>
      <c r="R561" s="1396"/>
      <c r="S561" s="1397"/>
      <c r="T561" s="1395"/>
      <c r="U561" s="1396"/>
      <c r="V561" s="1397"/>
      <c r="W561" s="1493"/>
      <c r="X561" s="1494"/>
      <c r="Y561" s="1495"/>
      <c r="Z561" s="1398" t="s">
        <v>1185</v>
      </c>
      <c r="AA561" s="1398"/>
      <c r="AB561" s="1398"/>
      <c r="AC561" s="1398"/>
      <c r="AD561" s="1398"/>
      <c r="AE561" s="1392"/>
      <c r="AF561" s="1393"/>
      <c r="AG561" s="1393"/>
      <c r="AH561" s="1394"/>
      <c r="AI561" s="1430"/>
      <c r="AJ561" s="1431"/>
      <c r="AK561" s="1431"/>
      <c r="AL561" s="1432"/>
      <c r="AM561" s="1457"/>
      <c r="AN561" s="1458"/>
      <c r="AO561" s="1458"/>
      <c r="AP561" s="1458"/>
      <c r="AQ561" s="1458"/>
      <c r="AR561" s="1458"/>
      <c r="AS561" s="1459"/>
      <c r="AT561" s="1148" t="str">
        <f t="shared" si="0"/>
        <v/>
      </c>
      <c r="AU561" s="1147"/>
      <c r="BB561" s="3"/>
      <c r="BC561" s="3"/>
      <c r="BD561" s="3"/>
      <c r="BE561" s="3"/>
      <c r="BF561" s="3"/>
      <c r="BG561" s="3"/>
      <c r="BH561" s="3"/>
      <c r="BI561" s="3"/>
    </row>
    <row r="562" spans="1:61" ht="12.95" customHeight="1">
      <c r="B562" s="52" t="s">
        <v>462</v>
      </c>
      <c r="C562" s="1399"/>
      <c r="D562" s="1399"/>
      <c r="E562" s="1399"/>
      <c r="F562" s="1399"/>
      <c r="G562" s="1399"/>
      <c r="H562" s="1399"/>
      <c r="I562" s="1399"/>
      <c r="J562" s="1399"/>
      <c r="K562" s="1399"/>
      <c r="L562" s="1399"/>
      <c r="M562" s="1471" t="s">
        <v>1185</v>
      </c>
      <c r="N562" s="1471"/>
      <c r="O562" s="1471"/>
      <c r="P562" s="1471"/>
      <c r="Q562" s="1395"/>
      <c r="R562" s="1396"/>
      <c r="S562" s="1397"/>
      <c r="T562" s="1395"/>
      <c r="U562" s="1396"/>
      <c r="V562" s="1397"/>
      <c r="W562" s="1493"/>
      <c r="X562" s="1494"/>
      <c r="Y562" s="1495"/>
      <c r="Z562" s="1398" t="s">
        <v>1185</v>
      </c>
      <c r="AA562" s="1398"/>
      <c r="AB562" s="1398"/>
      <c r="AC562" s="1398"/>
      <c r="AD562" s="1398"/>
      <c r="AE562" s="1392"/>
      <c r="AF562" s="1393"/>
      <c r="AG562" s="1393"/>
      <c r="AH562" s="1394"/>
      <c r="AI562" s="1430"/>
      <c r="AJ562" s="1431"/>
      <c r="AK562" s="1431"/>
      <c r="AL562" s="1432"/>
      <c r="AM562" s="1457"/>
      <c r="AN562" s="1458"/>
      <c r="AO562" s="1458"/>
      <c r="AP562" s="1458"/>
      <c r="AQ562" s="1458"/>
      <c r="AR562" s="1458"/>
      <c r="AS562" s="1459"/>
      <c r="AT562" s="1148" t="str">
        <f t="shared" si="0"/>
        <v/>
      </c>
      <c r="AU562" s="1147"/>
      <c r="BB562" s="3"/>
      <c r="BC562" s="3"/>
      <c r="BD562" s="3"/>
      <c r="BE562" s="3"/>
      <c r="BF562" s="3"/>
      <c r="BG562" s="3"/>
      <c r="BH562" s="3"/>
      <c r="BI562" s="3"/>
    </row>
    <row r="563" spans="1:61" ht="12.95" customHeight="1">
      <c r="B563" s="52" t="s">
        <v>647</v>
      </c>
      <c r="C563" s="1399"/>
      <c r="D563" s="1399"/>
      <c r="E563" s="1399"/>
      <c r="F563" s="1399"/>
      <c r="G563" s="1399"/>
      <c r="H563" s="1399"/>
      <c r="I563" s="1399"/>
      <c r="J563" s="1399"/>
      <c r="K563" s="1399"/>
      <c r="L563" s="1399"/>
      <c r="M563" s="1471" t="s">
        <v>1185</v>
      </c>
      <c r="N563" s="1471"/>
      <c r="O563" s="1471"/>
      <c r="P563" s="1471"/>
      <c r="Q563" s="1395"/>
      <c r="R563" s="1396"/>
      <c r="S563" s="1397"/>
      <c r="T563" s="1395"/>
      <c r="U563" s="1396"/>
      <c r="V563" s="1397"/>
      <c r="W563" s="1493"/>
      <c r="X563" s="1494"/>
      <c r="Y563" s="1495"/>
      <c r="Z563" s="1398" t="s">
        <v>1185</v>
      </c>
      <c r="AA563" s="1398"/>
      <c r="AB563" s="1398"/>
      <c r="AC563" s="1398"/>
      <c r="AD563" s="1398"/>
      <c r="AE563" s="1392"/>
      <c r="AF563" s="1393"/>
      <c r="AG563" s="1393"/>
      <c r="AH563" s="1394"/>
      <c r="AI563" s="1430"/>
      <c r="AJ563" s="1431"/>
      <c r="AK563" s="1431"/>
      <c r="AL563" s="1432"/>
      <c r="AM563" s="1457"/>
      <c r="AN563" s="1458"/>
      <c r="AO563" s="1458"/>
      <c r="AP563" s="1458"/>
      <c r="AQ563" s="1458"/>
      <c r="AR563" s="1458"/>
      <c r="AS563" s="1459"/>
      <c r="AT563" s="1148" t="str">
        <f t="shared" si="0"/>
        <v/>
      </c>
      <c r="BB563" s="3"/>
      <c r="BC563" s="3"/>
      <c r="BD563" s="3"/>
      <c r="BE563" s="3"/>
      <c r="BF563" s="3"/>
      <c r="BG563" s="3"/>
      <c r="BH563" s="3"/>
      <c r="BI563" s="3"/>
    </row>
    <row r="564" spans="1:61" ht="12.95" customHeight="1">
      <c r="B564" s="52" t="s">
        <v>362</v>
      </c>
      <c r="C564" s="1399"/>
      <c r="D564" s="1399"/>
      <c r="E564" s="1399"/>
      <c r="F564" s="1399"/>
      <c r="G564" s="1399"/>
      <c r="H564" s="1399"/>
      <c r="I564" s="1399"/>
      <c r="J564" s="1399"/>
      <c r="K564" s="1399"/>
      <c r="L564" s="1399"/>
      <c r="M564" s="1471" t="s">
        <v>1185</v>
      </c>
      <c r="N564" s="1471"/>
      <c r="O564" s="1471"/>
      <c r="P564" s="1471"/>
      <c r="Q564" s="1395"/>
      <c r="R564" s="1396"/>
      <c r="S564" s="1397"/>
      <c r="T564" s="1395"/>
      <c r="U564" s="1396"/>
      <c r="V564" s="1397"/>
      <c r="W564" s="1493"/>
      <c r="X564" s="1494"/>
      <c r="Y564" s="1495"/>
      <c r="Z564" s="1398" t="s">
        <v>1185</v>
      </c>
      <c r="AA564" s="1398"/>
      <c r="AB564" s="1398"/>
      <c r="AC564" s="1398"/>
      <c r="AD564" s="1398"/>
      <c r="AE564" s="1392"/>
      <c r="AF564" s="1393"/>
      <c r="AG564" s="1393"/>
      <c r="AH564" s="1394"/>
      <c r="AI564" s="1430"/>
      <c r="AJ564" s="1431"/>
      <c r="AK564" s="1431"/>
      <c r="AL564" s="1432"/>
      <c r="AM564" s="1457"/>
      <c r="AN564" s="1458"/>
      <c r="AO564" s="1458"/>
      <c r="AP564" s="1458"/>
      <c r="AQ564" s="1458"/>
      <c r="AR564" s="1458"/>
      <c r="AS564" s="1459"/>
      <c r="AT564" s="1148" t="str">
        <f t="shared" si="0"/>
        <v/>
      </c>
      <c r="BB564" s="3"/>
      <c r="BC564" s="3"/>
      <c r="BD564" s="3"/>
      <c r="BE564" s="3"/>
      <c r="BF564" s="3"/>
      <c r="BG564" s="3"/>
      <c r="BH564" s="3"/>
      <c r="BI564" s="3"/>
    </row>
    <row r="565" spans="1:61" ht="12.95" customHeight="1">
      <c r="B565" s="52" t="s">
        <v>363</v>
      </c>
      <c r="C565" s="1399"/>
      <c r="D565" s="1399"/>
      <c r="E565" s="1399"/>
      <c r="F565" s="1399"/>
      <c r="G565" s="1399"/>
      <c r="H565" s="1399"/>
      <c r="I565" s="1399"/>
      <c r="J565" s="1399"/>
      <c r="K565" s="1399"/>
      <c r="L565" s="1399"/>
      <c r="M565" s="1471" t="s">
        <v>1185</v>
      </c>
      <c r="N565" s="1471"/>
      <c r="O565" s="1471"/>
      <c r="P565" s="1471"/>
      <c r="Q565" s="1395"/>
      <c r="R565" s="1396"/>
      <c r="S565" s="1397"/>
      <c r="T565" s="1395"/>
      <c r="U565" s="1396"/>
      <c r="V565" s="1397"/>
      <c r="W565" s="1493"/>
      <c r="X565" s="1494"/>
      <c r="Y565" s="1495"/>
      <c r="Z565" s="1398" t="s">
        <v>1185</v>
      </c>
      <c r="AA565" s="1398"/>
      <c r="AB565" s="1398"/>
      <c r="AC565" s="1398"/>
      <c r="AD565" s="1398"/>
      <c r="AE565" s="1392"/>
      <c r="AF565" s="1393"/>
      <c r="AG565" s="1393"/>
      <c r="AH565" s="1394"/>
      <c r="AI565" s="1430"/>
      <c r="AJ565" s="1431"/>
      <c r="AK565" s="1431"/>
      <c r="AL565" s="1432"/>
      <c r="AM565" s="1457"/>
      <c r="AN565" s="1458"/>
      <c r="AO565" s="1458"/>
      <c r="AP565" s="1458"/>
      <c r="AQ565" s="1458"/>
      <c r="AR565" s="1458"/>
      <c r="AS565" s="1459"/>
      <c r="AT565" s="1148" t="str">
        <f t="shared" si="0"/>
        <v/>
      </c>
      <c r="BB565" s="3"/>
      <c r="BC565" s="3"/>
      <c r="BD565" s="3"/>
      <c r="BE565" s="3"/>
      <c r="BF565" s="3"/>
      <c r="BG565" s="3"/>
      <c r="BH565" s="3"/>
      <c r="BI565" s="3"/>
    </row>
    <row r="566" spans="1:61" ht="12.95" customHeight="1">
      <c r="B566" s="1421" t="s">
        <v>127</v>
      </c>
      <c r="C566" s="1422"/>
      <c r="D566" s="1422"/>
      <c r="E566" s="1422"/>
      <c r="F566" s="1422"/>
      <c r="G566" s="1422"/>
      <c r="H566" s="1422"/>
      <c r="I566" s="1422"/>
      <c r="J566" s="1422"/>
      <c r="K566" s="1422"/>
      <c r="L566" s="1422"/>
      <c r="M566" s="1422"/>
      <c r="N566" s="1422"/>
      <c r="O566" s="1422"/>
      <c r="P566" s="1422"/>
      <c r="Q566" s="1422"/>
      <c r="R566" s="1422"/>
      <c r="S566" s="1422"/>
      <c r="T566" s="1422"/>
      <c r="U566" s="1423"/>
      <c r="V566" s="1422"/>
      <c r="W566" s="1422"/>
      <c r="X566" s="1422"/>
      <c r="Y566" s="1422"/>
      <c r="Z566" s="1422"/>
      <c r="AA566" s="1422"/>
      <c r="AB566" s="1422"/>
      <c r="AC566" s="1422"/>
      <c r="AD566" s="1422"/>
      <c r="AE566" s="1422"/>
      <c r="AF566" s="1422"/>
      <c r="AG566" s="1422"/>
      <c r="AH566" s="1422"/>
      <c r="AI566" s="1422"/>
      <c r="AJ566" s="1422"/>
      <c r="AK566" s="1422"/>
      <c r="AL566" s="1424"/>
      <c r="AM566" s="1464">
        <f>SUM(AM554:AS565)</f>
        <v>82956517</v>
      </c>
      <c r="AN566" s="1465"/>
      <c r="AO566" s="1465"/>
      <c r="AP566" s="1465"/>
      <c r="AQ566" s="1465"/>
      <c r="AR566" s="1465"/>
      <c r="AS566" s="1466"/>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476" t="str">
        <f>C554</f>
        <v>Citi Bank TE Loan</v>
      </c>
      <c r="H568" s="1476"/>
      <c r="I568" s="1476"/>
      <c r="J568" s="1476"/>
      <c r="K568" s="1476"/>
      <c r="L568" s="1476"/>
      <c r="M568" s="1476"/>
      <c r="N568" s="1476"/>
      <c r="O568" s="1476"/>
      <c r="P568" s="1476"/>
      <c r="Q568" s="1476"/>
      <c r="R568" s="1476"/>
      <c r="S568" s="8"/>
      <c r="T568" s="55" t="s">
        <v>113</v>
      </c>
      <c r="U568" t="s">
        <v>464</v>
      </c>
      <c r="Z568" s="1476" t="str">
        <f>C555</f>
        <v>Citi Bank Taxable Loan</v>
      </c>
      <c r="AA568" s="1476"/>
      <c r="AB568" s="1476"/>
      <c r="AC568" s="1476"/>
      <c r="AD568" s="1476"/>
      <c r="AE568" s="1476"/>
      <c r="AF568" s="1476"/>
      <c r="AG568" s="1476"/>
      <c r="AH568" s="1476"/>
      <c r="AI568" s="1476"/>
      <c r="AJ568" s="1476"/>
      <c r="AK568" s="1476"/>
      <c r="BB568" s="3"/>
      <c r="BC568" s="3"/>
      <c r="BD568" s="3"/>
      <c r="BE568" s="3"/>
      <c r="BF568" s="3"/>
      <c r="BG568" s="3"/>
      <c r="BH568" s="3"/>
      <c r="BI568" s="3"/>
    </row>
    <row r="569" spans="1:61" ht="12.95" customHeight="1">
      <c r="A569" s="22"/>
      <c r="B569" t="s">
        <v>85</v>
      </c>
      <c r="G569" s="1420" t="s">
        <v>2694</v>
      </c>
      <c r="H569" s="1420"/>
      <c r="I569" s="1420"/>
      <c r="J569" s="1420"/>
      <c r="K569" s="1420"/>
      <c r="L569" s="1420"/>
      <c r="M569" s="1420"/>
      <c r="N569" s="1420"/>
      <c r="O569" s="1420"/>
      <c r="P569" s="1420"/>
      <c r="Q569" s="1420"/>
      <c r="R569" s="1420"/>
      <c r="S569" s="8"/>
      <c r="T569" s="22"/>
      <c r="U569" t="s">
        <v>85</v>
      </c>
      <c r="Z569" s="1420" t="s">
        <v>2694</v>
      </c>
      <c r="AA569" s="1420"/>
      <c r="AB569" s="1420"/>
      <c r="AC569" s="1420"/>
      <c r="AD569" s="1420"/>
      <c r="AE569" s="1420"/>
      <c r="AF569" s="1420"/>
      <c r="AG569" s="1420"/>
      <c r="AH569" s="1420"/>
      <c r="AI569" s="1420"/>
      <c r="AJ569" s="1420"/>
      <c r="AK569" s="1420"/>
      <c r="BB569" s="3"/>
      <c r="BC569" s="3"/>
      <c r="BD569" s="3"/>
      <c r="BE569" s="3"/>
      <c r="BF569" s="3"/>
      <c r="BG569" s="3"/>
      <c r="BH569" s="3"/>
      <c r="BI569" s="3"/>
    </row>
    <row r="570" spans="1:61" ht="12.95" customHeight="1">
      <c r="A570" s="22"/>
      <c r="B570" t="s">
        <v>581</v>
      </c>
      <c r="G570" s="1420" t="s">
        <v>2695</v>
      </c>
      <c r="H570" s="1420"/>
      <c r="I570" s="1420"/>
      <c r="J570" s="1420"/>
      <c r="K570" s="1420"/>
      <c r="L570" s="1420"/>
      <c r="M570" s="1420"/>
      <c r="N570" s="1420"/>
      <c r="O570" s="1420"/>
      <c r="P570" s="1420"/>
      <c r="Q570" s="1420"/>
      <c r="R570" s="1420"/>
      <c r="T570" s="22"/>
      <c r="U570" t="s">
        <v>581</v>
      </c>
      <c r="Z570" s="1401" t="s">
        <v>2695</v>
      </c>
      <c r="AA570" s="1401"/>
      <c r="AB570" s="1401"/>
      <c r="AC570" s="1401"/>
      <c r="AD570" s="1401"/>
      <c r="AE570" s="1401"/>
      <c r="AF570" s="1401"/>
      <c r="AG570" s="1401"/>
      <c r="AH570" s="1401"/>
      <c r="AI570" s="1401"/>
      <c r="AJ570" s="1401"/>
      <c r="AK570" s="1401"/>
      <c r="BB570" s="3"/>
      <c r="BC570" s="3"/>
      <c r="BD570" s="3"/>
      <c r="BE570" s="3"/>
      <c r="BF570" s="3"/>
      <c r="BG570" s="3"/>
      <c r="BH570" s="3"/>
      <c r="BI570" s="3"/>
    </row>
    <row r="571" spans="1:61" ht="12.95" customHeight="1">
      <c r="A571" s="22"/>
      <c r="B571" t="s">
        <v>17</v>
      </c>
      <c r="G571" s="1420" t="s">
        <v>2696</v>
      </c>
      <c r="H571" s="1420"/>
      <c r="I571" s="1420"/>
      <c r="J571" s="1420"/>
      <c r="K571" s="1420"/>
      <c r="L571" s="1420"/>
      <c r="M571" s="1420"/>
      <c r="N571" s="1420"/>
      <c r="O571" s="1420"/>
      <c r="P571" s="1420"/>
      <c r="Q571" s="1420"/>
      <c r="R571" s="1420"/>
      <c r="S571" s="8"/>
      <c r="T571" s="22"/>
      <c r="U571" t="s">
        <v>17</v>
      </c>
      <c r="Z571" s="1401" t="s">
        <v>2696</v>
      </c>
      <c r="AA571" s="1401"/>
      <c r="AB571" s="1401"/>
      <c r="AC571" s="1401"/>
      <c r="AD571" s="1401"/>
      <c r="AE571" s="1401"/>
      <c r="AF571" s="1401"/>
      <c r="AG571" s="1401"/>
      <c r="AH571" s="1401"/>
      <c r="AI571" s="1401"/>
      <c r="AJ571" s="1401"/>
      <c r="AK571" s="1401"/>
      <c r="BB571" s="3"/>
      <c r="BC571" s="3"/>
      <c r="BD571" s="3"/>
      <c r="BE571" s="3"/>
      <c r="BF571" s="3"/>
      <c r="BG571" s="3"/>
      <c r="BH571" s="3"/>
      <c r="BI571" s="3"/>
    </row>
    <row r="572" spans="1:61" ht="12.95" customHeight="1">
      <c r="A572" s="22"/>
      <c r="B572" t="s">
        <v>316</v>
      </c>
      <c r="G572" s="1496" t="s">
        <v>2697</v>
      </c>
      <c r="H572" s="1496"/>
      <c r="I572" s="1496"/>
      <c r="J572" s="1496"/>
      <c r="K572" s="1496"/>
      <c r="L572" s="1496"/>
      <c r="O572" s="33" t="s">
        <v>206</v>
      </c>
      <c r="P572" s="1463"/>
      <c r="Q572" s="1463"/>
      <c r="R572" s="1463"/>
      <c r="S572" s="10"/>
      <c r="T572" s="22"/>
      <c r="U572" t="s">
        <v>316</v>
      </c>
      <c r="Z572" s="1496" t="s">
        <v>2697</v>
      </c>
      <c r="AA572" s="1496"/>
      <c r="AB572" s="1496"/>
      <c r="AC572" s="1496"/>
      <c r="AD572" s="1496"/>
      <c r="AE572" s="1496"/>
      <c r="AH572" s="33" t="s">
        <v>206</v>
      </c>
      <c r="AI572" s="1463"/>
      <c r="AJ572" s="1463"/>
      <c r="AK572" s="1463"/>
      <c r="BB572" s="3"/>
      <c r="BC572" s="3"/>
      <c r="BD572" s="3"/>
      <c r="BE572" s="3"/>
      <c r="BF572" s="3"/>
      <c r="BG572" s="3"/>
      <c r="BH572" s="3"/>
      <c r="BI572" s="3"/>
    </row>
    <row r="573" spans="1:61" ht="12.95" customHeight="1">
      <c r="A573" s="22"/>
      <c r="B573" t="s">
        <v>18</v>
      </c>
      <c r="H573" s="1420" t="s">
        <v>2698</v>
      </c>
      <c r="I573" s="1420"/>
      <c r="J573" s="1420"/>
      <c r="K573" s="1420"/>
      <c r="L573" s="1420"/>
      <c r="M573" s="1420"/>
      <c r="N573" s="1420"/>
      <c r="O573" s="1420"/>
      <c r="P573" s="1420"/>
      <c r="Q573" s="1420"/>
      <c r="R573" s="1420"/>
      <c r="S573" s="8"/>
      <c r="T573" s="22"/>
      <c r="U573" t="s">
        <v>18</v>
      </c>
      <c r="AA573" s="1420" t="s">
        <v>2698</v>
      </c>
      <c r="AB573" s="1420"/>
      <c r="AC573" s="1420"/>
      <c r="AD573" s="1420"/>
      <c r="AE573" s="1420"/>
      <c r="AF573" s="1420"/>
      <c r="AG573" s="1420"/>
      <c r="AH573" s="1420"/>
      <c r="AI573" s="1420"/>
      <c r="AJ573" s="1420"/>
      <c r="AK573" s="1420"/>
      <c r="BB573" s="3"/>
      <c r="BC573" s="3"/>
      <c r="BD573" s="3"/>
      <c r="BE573" s="3"/>
      <c r="BF573" s="3"/>
      <c r="BG573" s="3"/>
      <c r="BH573" s="3"/>
      <c r="BI573" s="3"/>
    </row>
    <row r="574" spans="1:61" ht="12.95" customHeight="1">
      <c r="A574" s="22"/>
      <c r="B574" s="320" t="s">
        <v>1186</v>
      </c>
      <c r="H574" s="8"/>
      <c r="I574" s="8"/>
      <c r="J574" s="8"/>
      <c r="K574" s="8"/>
      <c r="L574" s="8"/>
      <c r="M574" s="1627"/>
      <c r="N574" s="1627"/>
      <c r="O574" s="1627"/>
      <c r="P574" s="1627"/>
      <c r="Q574" s="1627"/>
      <c r="R574" s="1627"/>
      <c r="S574" s="8"/>
      <c r="T574" s="22"/>
      <c r="U574" s="320" t="s">
        <v>1186</v>
      </c>
      <c r="AA574" s="8"/>
      <c r="AB574" s="8"/>
      <c r="AC574" s="8"/>
      <c r="AD574" s="8"/>
      <c r="AE574" s="8"/>
      <c r="AF574" s="1627"/>
      <c r="AG574" s="1627"/>
      <c r="AH574" s="1627"/>
      <c r="AI574" s="1627"/>
      <c r="AJ574" s="1627"/>
      <c r="AK574" s="1627"/>
      <c r="BB574" s="3"/>
      <c r="BC574" s="3"/>
      <c r="BD574" s="3"/>
      <c r="BE574" s="3"/>
      <c r="BF574" s="3"/>
      <c r="BG574" s="3"/>
      <c r="BH574" s="3"/>
      <c r="BI574" s="3"/>
    </row>
    <row r="575" spans="1:61" ht="12.95" customHeight="1">
      <c r="A575" s="22"/>
      <c r="B575" t="s">
        <v>20</v>
      </c>
      <c r="N575" s="1391" t="s">
        <v>546</v>
      </c>
      <c r="O575" s="1391"/>
      <c r="T575" s="22"/>
      <c r="U575" t="s">
        <v>20</v>
      </c>
      <c r="AG575" s="1391" t="s">
        <v>546</v>
      </c>
      <c r="AH575" s="1391"/>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476" t="str">
        <f>C556</f>
        <v>Boston Financial Tax Credit Equity</v>
      </c>
      <c r="H577" s="1476"/>
      <c r="I577" s="1476"/>
      <c r="J577" s="1476"/>
      <c r="K577" s="1476"/>
      <c r="L577" s="1476"/>
      <c r="M577" s="1476"/>
      <c r="N577" s="1476"/>
      <c r="O577" s="1476"/>
      <c r="P577" s="1476"/>
      <c r="Q577" s="1476"/>
      <c r="R577" s="1476"/>
      <c r="T577" s="55" t="s">
        <v>582</v>
      </c>
      <c r="U577" t="s">
        <v>464</v>
      </c>
      <c r="Z577" s="1476" t="str">
        <f>C557</f>
        <v>City of Mountain View</v>
      </c>
      <c r="AA577" s="1476"/>
      <c r="AB577" s="1476"/>
      <c r="AC577" s="1476"/>
      <c r="AD577" s="1476"/>
      <c r="AE577" s="1476"/>
      <c r="AF577" s="1476"/>
      <c r="AG577" s="1476"/>
      <c r="AH577" s="1476"/>
      <c r="AI577" s="1476"/>
      <c r="AJ577" s="1476"/>
      <c r="AK577" s="1476"/>
      <c r="BB577" s="3"/>
      <c r="BC577" s="3"/>
    </row>
    <row r="578" spans="1:55" ht="12.95" customHeight="1">
      <c r="A578" s="22"/>
      <c r="B578" t="s">
        <v>85</v>
      </c>
      <c r="G578" s="1420" t="s">
        <v>2666</v>
      </c>
      <c r="H578" s="1420"/>
      <c r="I578" s="1420"/>
      <c r="J578" s="1420"/>
      <c r="K578" s="1420"/>
      <c r="L578" s="1420"/>
      <c r="M578" s="1420"/>
      <c r="N578" s="1420"/>
      <c r="O578" s="1420"/>
      <c r="P578" s="1420"/>
      <c r="Q578" s="1420"/>
      <c r="R578" s="1420"/>
      <c r="T578" s="22"/>
      <c r="U578" t="s">
        <v>85</v>
      </c>
      <c r="Z578" s="1420" t="s">
        <v>2702</v>
      </c>
      <c r="AA578" s="1420"/>
      <c r="AB578" s="1420"/>
      <c r="AC578" s="1420"/>
      <c r="AD578" s="1420"/>
      <c r="AE578" s="1420"/>
      <c r="AF578" s="1420"/>
      <c r="AG578" s="1420"/>
      <c r="AH578" s="1420"/>
      <c r="AI578" s="1420"/>
      <c r="AJ578" s="1420"/>
      <c r="AK578" s="1420"/>
      <c r="BB578" s="3"/>
      <c r="BC578" s="3"/>
    </row>
    <row r="579" spans="1:55" ht="12.95" customHeight="1">
      <c r="A579" s="22"/>
      <c r="B579" t="s">
        <v>581</v>
      </c>
      <c r="G579" s="1401" t="s">
        <v>2667</v>
      </c>
      <c r="H579" s="1401"/>
      <c r="I579" s="1401"/>
      <c r="J579" s="1401"/>
      <c r="K579" s="1401"/>
      <c r="L579" s="1401"/>
      <c r="M579" s="1401"/>
      <c r="N579" s="1401"/>
      <c r="O579" s="1401"/>
      <c r="P579" s="1401"/>
      <c r="Q579" s="1401"/>
      <c r="R579" s="1401"/>
      <c r="T579" s="22"/>
      <c r="U579" t="s">
        <v>581</v>
      </c>
      <c r="Z579" s="1401" t="s">
        <v>2703</v>
      </c>
      <c r="AA579" s="1401"/>
      <c r="AB579" s="1401"/>
      <c r="AC579" s="1401"/>
      <c r="AD579" s="1401"/>
      <c r="AE579" s="1401"/>
      <c r="AF579" s="1401"/>
      <c r="AG579" s="1401"/>
      <c r="AH579" s="1401"/>
      <c r="AI579" s="1401"/>
      <c r="AJ579" s="1401"/>
      <c r="AK579" s="1401"/>
      <c r="BB579" s="3"/>
      <c r="BC579" s="3"/>
    </row>
    <row r="580" spans="1:55" ht="12.95" customHeight="1">
      <c r="A580" s="22"/>
      <c r="B580" t="s">
        <v>17</v>
      </c>
      <c r="G580" s="1401" t="s">
        <v>2699</v>
      </c>
      <c r="H580" s="1401"/>
      <c r="I580" s="1401"/>
      <c r="J580" s="1401"/>
      <c r="K580" s="1401"/>
      <c r="L580" s="1401"/>
      <c r="M580" s="1401"/>
      <c r="N580" s="1401"/>
      <c r="O580" s="1401"/>
      <c r="P580" s="1401"/>
      <c r="Q580" s="1401"/>
      <c r="R580" s="1401"/>
      <c r="T580" s="22"/>
      <c r="U580" t="s">
        <v>17</v>
      </c>
      <c r="Z580" s="1401" t="s">
        <v>2704</v>
      </c>
      <c r="AA580" s="1401"/>
      <c r="AB580" s="1401"/>
      <c r="AC580" s="1401"/>
      <c r="AD580" s="1401"/>
      <c r="AE580" s="1401"/>
      <c r="AF580" s="1401"/>
      <c r="AG580" s="1401"/>
      <c r="AH580" s="1401"/>
      <c r="AI580" s="1401"/>
      <c r="AJ580" s="1401"/>
      <c r="AK580" s="1401"/>
      <c r="BB580" s="3"/>
      <c r="BC580" s="3"/>
    </row>
    <row r="581" spans="1:55" ht="12.95" customHeight="1">
      <c r="A581" s="22"/>
      <c r="B581" t="s">
        <v>316</v>
      </c>
      <c r="G581" s="1496" t="s">
        <v>2700</v>
      </c>
      <c r="H581" s="1496"/>
      <c r="I581" s="1496"/>
      <c r="J581" s="1496"/>
      <c r="K581" s="1496"/>
      <c r="L581" s="1496"/>
      <c r="O581" s="33" t="s">
        <v>206</v>
      </c>
      <c r="P581" s="1463"/>
      <c r="Q581" s="1463"/>
      <c r="R581" s="1463"/>
      <c r="T581" s="22"/>
      <c r="U581" t="s">
        <v>316</v>
      </c>
      <c r="Z581" s="1496">
        <v>6509036459</v>
      </c>
      <c r="AA581" s="1496"/>
      <c r="AB581" s="1496"/>
      <c r="AC581" s="1496"/>
      <c r="AD581" s="1496"/>
      <c r="AE581" s="1496"/>
      <c r="AH581" s="33" t="s">
        <v>206</v>
      </c>
      <c r="AI581" s="1463"/>
      <c r="AJ581" s="1463"/>
      <c r="AK581" s="1463"/>
      <c r="BB581" s="3"/>
      <c r="BC581" s="3"/>
    </row>
    <row r="582" spans="1:55" ht="12.95" customHeight="1">
      <c r="A582" s="22"/>
      <c r="B582" t="s">
        <v>18</v>
      </c>
      <c r="H582" s="1420" t="s">
        <v>2701</v>
      </c>
      <c r="I582" s="1420"/>
      <c r="J582" s="1420"/>
      <c r="K582" s="1420"/>
      <c r="L582" s="1420"/>
      <c r="M582" s="1420"/>
      <c r="N582" s="1420"/>
      <c r="O582" s="1420"/>
      <c r="P582" s="1420"/>
      <c r="Q582" s="1420"/>
      <c r="R582" s="1420"/>
      <c r="T582" s="22"/>
      <c r="U582" t="s">
        <v>18</v>
      </c>
      <c r="AA582" s="1420" t="s">
        <v>2705</v>
      </c>
      <c r="AB582" s="1420"/>
      <c r="AC582" s="1420"/>
      <c r="AD582" s="1420"/>
      <c r="AE582" s="1420"/>
      <c r="AF582" s="1420"/>
      <c r="AG582" s="1420"/>
      <c r="AH582" s="1420"/>
      <c r="AI582" s="1420"/>
      <c r="AJ582" s="1420"/>
      <c r="AK582" s="1420"/>
      <c r="BB582" s="3"/>
      <c r="BC582" s="3"/>
    </row>
    <row r="583" spans="1:55" ht="12.95" customHeight="1">
      <c r="A583" s="22"/>
      <c r="B583" t="s">
        <v>20</v>
      </c>
      <c r="N583" s="1391" t="s">
        <v>546</v>
      </c>
      <c r="O583" s="1391"/>
      <c r="T583" s="22"/>
      <c r="U583" t="s">
        <v>20</v>
      </c>
      <c r="AG583" s="1391" t="s">
        <v>546</v>
      </c>
      <c r="AH583" s="1391"/>
      <c r="BB583" s="3"/>
      <c r="BC583" s="3"/>
    </row>
    <row r="584" spans="1:55" ht="12.95" customHeight="1">
      <c r="A584" s="22"/>
      <c r="T584" s="22"/>
      <c r="BB584" s="3"/>
      <c r="BC584" s="3"/>
    </row>
    <row r="585" spans="1:55" ht="12.95" customHeight="1">
      <c r="A585" s="55" t="s">
        <v>764</v>
      </c>
      <c r="B585" t="s">
        <v>464</v>
      </c>
      <c r="G585" s="1476" t="str">
        <f>C558</f>
        <v>County of Santa Clara - Measure A</v>
      </c>
      <c r="H585" s="1476"/>
      <c r="I585" s="1476"/>
      <c r="J585" s="1476"/>
      <c r="K585" s="1476"/>
      <c r="L585" s="1476"/>
      <c r="M585" s="1476"/>
      <c r="N585" s="1476"/>
      <c r="O585" s="1476"/>
      <c r="P585" s="1476"/>
      <c r="Q585" s="1476"/>
      <c r="R585" s="1476"/>
      <c r="T585" s="55" t="s">
        <v>585</v>
      </c>
      <c r="U585" t="s">
        <v>464</v>
      </c>
      <c r="Z585" s="1476">
        <f>C559</f>
        <v>0</v>
      </c>
      <c r="AA585" s="1476"/>
      <c r="AB585" s="1476"/>
      <c r="AC585" s="1476"/>
      <c r="AD585" s="1476"/>
      <c r="AE585" s="1476"/>
      <c r="AF585" s="1476"/>
      <c r="AG585" s="1476"/>
      <c r="AH585" s="1476"/>
      <c r="AI585" s="1476"/>
      <c r="AJ585" s="1476"/>
      <c r="AK585" s="1476"/>
      <c r="BB585" s="3"/>
      <c r="BC585" s="3"/>
    </row>
    <row r="586" spans="1:55" ht="12.95" customHeight="1">
      <c r="A586" s="22"/>
      <c r="B586" t="s">
        <v>85</v>
      </c>
      <c r="G586" s="1420" t="s">
        <v>2706</v>
      </c>
      <c r="H586" s="1420"/>
      <c r="I586" s="1420"/>
      <c r="J586" s="1420"/>
      <c r="K586" s="1420"/>
      <c r="L586" s="1420"/>
      <c r="M586" s="1420"/>
      <c r="N586" s="1420"/>
      <c r="O586" s="1420"/>
      <c r="P586" s="1420"/>
      <c r="Q586" s="1420"/>
      <c r="R586" s="1420"/>
      <c r="T586" s="22"/>
      <c r="U586" t="s">
        <v>85</v>
      </c>
      <c r="Z586" s="1420"/>
      <c r="AA586" s="1420"/>
      <c r="AB586" s="1420"/>
      <c r="AC586" s="1420"/>
      <c r="AD586" s="1420"/>
      <c r="AE586" s="1420"/>
      <c r="AF586" s="1420"/>
      <c r="AG586" s="1420"/>
      <c r="AH586" s="1420"/>
      <c r="AI586" s="1420"/>
      <c r="AJ586" s="1420"/>
      <c r="AK586" s="1420"/>
      <c r="BB586" s="3"/>
      <c r="BC586" s="3"/>
    </row>
    <row r="587" spans="1:55" ht="12.95" customHeight="1">
      <c r="A587" s="22"/>
      <c r="B587" t="s">
        <v>581</v>
      </c>
      <c r="G587" s="1420" t="s">
        <v>2707</v>
      </c>
      <c r="H587" s="1420"/>
      <c r="I587" s="1420"/>
      <c r="J587" s="1420"/>
      <c r="K587" s="1420"/>
      <c r="L587" s="1420"/>
      <c r="M587" s="1420"/>
      <c r="N587" s="1420"/>
      <c r="O587" s="1420"/>
      <c r="P587" s="1420"/>
      <c r="Q587" s="1420"/>
      <c r="R587" s="1420"/>
      <c r="T587" s="22"/>
      <c r="U587" t="s">
        <v>581</v>
      </c>
      <c r="Z587" s="1401"/>
      <c r="AA587" s="1401"/>
      <c r="AB587" s="1401"/>
      <c r="AC587" s="1401"/>
      <c r="AD587" s="1401"/>
      <c r="AE587" s="1401"/>
      <c r="AF587" s="1401"/>
      <c r="AG587" s="1401"/>
      <c r="AH587" s="1401"/>
      <c r="AI587" s="1401"/>
      <c r="AJ587" s="1401"/>
      <c r="AK587" s="1401"/>
      <c r="BB587" s="3"/>
      <c r="BC587" s="3"/>
    </row>
    <row r="588" spans="1:55" ht="12.95" customHeight="1">
      <c r="A588" s="22"/>
      <c r="B588" t="s">
        <v>17</v>
      </c>
      <c r="G588" s="1420" t="s">
        <v>2708</v>
      </c>
      <c r="H588" s="1420"/>
      <c r="I588" s="1420"/>
      <c r="J588" s="1420"/>
      <c r="K588" s="1420"/>
      <c r="L588" s="1420"/>
      <c r="M588" s="1420"/>
      <c r="N588" s="1420"/>
      <c r="O588" s="1420"/>
      <c r="P588" s="1420"/>
      <c r="Q588" s="1420"/>
      <c r="R588" s="1420"/>
      <c r="T588" s="22"/>
      <c r="U588" t="s">
        <v>17</v>
      </c>
      <c r="Z588" s="1401"/>
      <c r="AA588" s="1401"/>
      <c r="AB588" s="1401"/>
      <c r="AC588" s="1401"/>
      <c r="AD588" s="1401"/>
      <c r="AE588" s="1401"/>
      <c r="AF588" s="1401"/>
      <c r="AG588" s="1401"/>
      <c r="AH588" s="1401"/>
      <c r="AI588" s="1401"/>
      <c r="AJ588" s="1401"/>
      <c r="AK588" s="1401"/>
    </row>
    <row r="589" spans="1:55" ht="12.95" customHeight="1">
      <c r="A589" s="22"/>
      <c r="B589" t="s">
        <v>316</v>
      </c>
      <c r="G589" s="1496">
        <v>4082786412</v>
      </c>
      <c r="H589" s="1496"/>
      <c r="I589" s="1496"/>
      <c r="J589" s="1496"/>
      <c r="K589" s="1496"/>
      <c r="L589" s="1496"/>
      <c r="O589" s="33" t="s">
        <v>206</v>
      </c>
      <c r="P589" s="1463"/>
      <c r="Q589" s="1463"/>
      <c r="R589" s="1463"/>
      <c r="T589" s="22"/>
      <c r="U589" t="s">
        <v>316</v>
      </c>
      <c r="Z589" s="1496"/>
      <c r="AA589" s="1496"/>
      <c r="AB589" s="1496"/>
      <c r="AC589" s="1496"/>
      <c r="AD589" s="1496"/>
      <c r="AE589" s="1496"/>
      <c r="AH589" s="33" t="s">
        <v>206</v>
      </c>
      <c r="AI589" s="1463"/>
      <c r="AJ589" s="1463"/>
      <c r="AK589" s="1463"/>
      <c r="AZ589" s="3"/>
      <c r="BA589" s="3"/>
      <c r="BB589" s="3"/>
      <c r="BC589" s="3"/>
    </row>
    <row r="590" spans="1:55" ht="12.95" customHeight="1">
      <c r="A590" s="22"/>
      <c r="B590" t="s">
        <v>18</v>
      </c>
      <c r="H590" s="1420" t="s">
        <v>2705</v>
      </c>
      <c r="I590" s="1420"/>
      <c r="J590" s="1420"/>
      <c r="K590" s="1420"/>
      <c r="L590" s="1420"/>
      <c r="M590" s="1420"/>
      <c r="N590" s="1420"/>
      <c r="O590" s="1420"/>
      <c r="P590" s="1420"/>
      <c r="Q590" s="1420"/>
      <c r="R590" s="1420"/>
      <c r="T590" s="22"/>
      <c r="U590" t="s">
        <v>18</v>
      </c>
      <c r="AA590" s="1420"/>
      <c r="AB590" s="1420"/>
      <c r="AC590" s="1420"/>
      <c r="AD590" s="1420"/>
      <c r="AE590" s="1420"/>
      <c r="AF590" s="1420"/>
      <c r="AG590" s="1420"/>
      <c r="AH590" s="1420"/>
      <c r="AI590" s="1420"/>
      <c r="AJ590" s="1420"/>
      <c r="AK590" s="1420"/>
      <c r="AZ590" s="3"/>
      <c r="BA590" s="3"/>
      <c r="BB590" s="3"/>
      <c r="BC590" s="3"/>
    </row>
    <row r="591" spans="1:55" ht="12.95" customHeight="1">
      <c r="A591" s="22"/>
      <c r="B591" t="s">
        <v>20</v>
      </c>
      <c r="N591" s="1391" t="s">
        <v>546</v>
      </c>
      <c r="O591" s="1391"/>
      <c r="T591" s="22"/>
      <c r="U591" t="s">
        <v>20</v>
      </c>
      <c r="AG591" s="1391" t="s">
        <v>670</v>
      </c>
      <c r="AH591" s="1391"/>
      <c r="AZ591" s="3"/>
      <c r="BA591" s="3"/>
      <c r="BB591" s="3"/>
      <c r="BC591" s="3"/>
    </row>
    <row r="592" spans="1:55" ht="12.95" customHeight="1">
      <c r="A592" s="22"/>
      <c r="T592" s="22"/>
      <c r="AZ592" s="3"/>
      <c r="BA592" s="3"/>
      <c r="BB592" s="3"/>
      <c r="BC592" s="3"/>
    </row>
    <row r="593" spans="1:55" ht="12.95" customHeight="1">
      <c r="A593" s="55" t="s">
        <v>456</v>
      </c>
      <c r="B593" t="s">
        <v>464</v>
      </c>
      <c r="G593" s="1476">
        <f>C560</f>
        <v>0</v>
      </c>
      <c r="H593" s="1476"/>
      <c r="I593" s="1476"/>
      <c r="J593" s="1476"/>
      <c r="K593" s="1476"/>
      <c r="L593" s="1476"/>
      <c r="M593" s="1476"/>
      <c r="N593" s="1476"/>
      <c r="O593" s="1476"/>
      <c r="P593" s="1476"/>
      <c r="Q593" s="1476"/>
      <c r="R593" s="1476"/>
      <c r="T593" s="55" t="s">
        <v>457</v>
      </c>
      <c r="U593" t="s">
        <v>464</v>
      </c>
      <c r="Z593" s="1476">
        <f>C561</f>
        <v>0</v>
      </c>
      <c r="AA593" s="1476"/>
      <c r="AB593" s="1476"/>
      <c r="AC593" s="1476"/>
      <c r="AD593" s="1476"/>
      <c r="AE593" s="1476"/>
      <c r="AF593" s="1476"/>
      <c r="AG593" s="1476"/>
      <c r="AH593" s="1476"/>
      <c r="AI593" s="1476"/>
      <c r="AJ593" s="1476"/>
      <c r="AK593" s="1476"/>
      <c r="AZ593" s="3"/>
      <c r="BA593" s="3"/>
      <c r="BB593" s="3"/>
      <c r="BC593" s="3"/>
    </row>
    <row r="594" spans="1:55" s="4" customFormat="1" ht="12.95" customHeight="1">
      <c r="A594" s="22"/>
      <c r="B594" t="s">
        <v>85</v>
      </c>
      <c r="C594"/>
      <c r="D594"/>
      <c r="E594"/>
      <c r="F594"/>
      <c r="G594" s="1420"/>
      <c r="H594" s="1420"/>
      <c r="I594" s="1420"/>
      <c r="J594" s="1420"/>
      <c r="K594" s="1420"/>
      <c r="L594" s="1420"/>
      <c r="M594" s="1420"/>
      <c r="N594" s="1420"/>
      <c r="O594" s="1420"/>
      <c r="P594" s="1420"/>
      <c r="Q594" s="1420"/>
      <c r="R594" s="1420"/>
      <c r="S594"/>
      <c r="T594" s="22"/>
      <c r="U594" t="s">
        <v>85</v>
      </c>
      <c r="V594"/>
      <c r="W594"/>
      <c r="X594"/>
      <c r="Y594"/>
      <c r="Z594" s="1420"/>
      <c r="AA594" s="1420"/>
      <c r="AB594" s="1420"/>
      <c r="AC594" s="1420"/>
      <c r="AD594" s="1420"/>
      <c r="AE594" s="1420"/>
      <c r="AF594" s="1420"/>
      <c r="AG594" s="1420"/>
      <c r="AH594" s="1420"/>
      <c r="AI594" s="1420"/>
      <c r="AJ594" s="1420"/>
      <c r="AK594" s="1420"/>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420"/>
      <c r="H595" s="1420"/>
      <c r="I595" s="1420"/>
      <c r="J595" s="1420"/>
      <c r="K595" s="1420"/>
      <c r="L595" s="1420"/>
      <c r="M595" s="1420"/>
      <c r="N595" s="1420"/>
      <c r="O595" s="1420"/>
      <c r="P595" s="1420"/>
      <c r="Q595" s="1420"/>
      <c r="R595" s="1420"/>
      <c r="S595"/>
      <c r="T595" s="22"/>
      <c r="U595" t="s">
        <v>581</v>
      </c>
      <c r="V595"/>
      <c r="W595"/>
      <c r="X595"/>
      <c r="Y595"/>
      <c r="Z595" s="1401"/>
      <c r="AA595" s="1401"/>
      <c r="AB595" s="1401"/>
      <c r="AC595" s="1401"/>
      <c r="AD595" s="1401"/>
      <c r="AE595" s="1401"/>
      <c r="AF595" s="1401"/>
      <c r="AG595" s="1401"/>
      <c r="AH595" s="1401"/>
      <c r="AI595" s="1401"/>
      <c r="AJ595" s="1401"/>
      <c r="AK595" s="1401"/>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20"/>
      <c r="H596" s="1420"/>
      <c r="I596" s="1420"/>
      <c r="J596" s="1420"/>
      <c r="K596" s="1420"/>
      <c r="L596" s="1420"/>
      <c r="M596" s="1420"/>
      <c r="N596" s="1420"/>
      <c r="O596" s="1420"/>
      <c r="P596" s="1420"/>
      <c r="Q596" s="1420"/>
      <c r="R596" s="1420"/>
      <c r="S596"/>
      <c r="T596" s="22"/>
      <c r="U596" t="s">
        <v>17</v>
      </c>
      <c r="V596"/>
      <c r="W596"/>
      <c r="X596"/>
      <c r="Y596"/>
      <c r="Z596" s="1401"/>
      <c r="AA596" s="1401"/>
      <c r="AB596" s="1401"/>
      <c r="AC596" s="1401"/>
      <c r="AD596" s="1401"/>
      <c r="AE596" s="1401"/>
      <c r="AF596" s="1401"/>
      <c r="AG596" s="1401"/>
      <c r="AH596" s="1401"/>
      <c r="AI596" s="1401"/>
      <c r="AJ596" s="1401"/>
      <c r="AK596" s="1401"/>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496"/>
      <c r="H597" s="1496"/>
      <c r="I597" s="1496"/>
      <c r="J597" s="1496"/>
      <c r="K597" s="1496"/>
      <c r="L597" s="1496"/>
      <c r="M597"/>
      <c r="N597"/>
      <c r="O597" s="33" t="s">
        <v>206</v>
      </c>
      <c r="P597" s="1463"/>
      <c r="Q597" s="1463"/>
      <c r="R597" s="1463"/>
      <c r="S597"/>
      <c r="T597" s="22"/>
      <c r="U597" t="s">
        <v>316</v>
      </c>
      <c r="V597"/>
      <c r="W597"/>
      <c r="X597"/>
      <c r="Y597"/>
      <c r="Z597" s="1496"/>
      <c r="AA597" s="1496"/>
      <c r="AB597" s="1496"/>
      <c r="AC597" s="1496"/>
      <c r="AD597" s="1496"/>
      <c r="AE597" s="1496"/>
      <c r="AF597"/>
      <c r="AG597"/>
      <c r="AH597" s="33" t="s">
        <v>206</v>
      </c>
      <c r="AI597" s="1463"/>
      <c r="AJ597" s="1463"/>
      <c r="AK597" s="1463"/>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20"/>
      <c r="I598" s="1420"/>
      <c r="J598" s="1420"/>
      <c r="K598" s="1420"/>
      <c r="L598" s="1420"/>
      <c r="M598" s="1420"/>
      <c r="N598" s="1420"/>
      <c r="O598" s="1420"/>
      <c r="P598" s="1420"/>
      <c r="Q598" s="1420"/>
      <c r="R598" s="1420"/>
      <c r="S598"/>
      <c r="T598" s="22"/>
      <c r="U598" t="s">
        <v>18</v>
      </c>
      <c r="V598"/>
      <c r="W598"/>
      <c r="X598"/>
      <c r="Y598"/>
      <c r="Z598"/>
      <c r="AA598" s="1420"/>
      <c r="AB598" s="1420"/>
      <c r="AC598" s="1420"/>
      <c r="AD598" s="1420"/>
      <c r="AE598" s="1420"/>
      <c r="AF598" s="1420"/>
      <c r="AG598" s="1420"/>
      <c r="AH598" s="1420"/>
      <c r="AI598" s="1420"/>
      <c r="AJ598" s="1420"/>
      <c r="AK598" s="1420"/>
      <c r="AL598"/>
      <c r="AM598"/>
      <c r="AN598"/>
      <c r="AO598"/>
      <c r="AP598"/>
      <c r="AQ598"/>
      <c r="AR598"/>
      <c r="AS598"/>
      <c r="AT598"/>
      <c r="AU598"/>
      <c r="AV598"/>
      <c r="AW598"/>
      <c r="AX598"/>
      <c r="AY598"/>
      <c r="BB598" s="3"/>
      <c r="BC598" s="3"/>
    </row>
    <row r="599" spans="1:55" ht="12.95" customHeight="1">
      <c r="A599" s="22"/>
      <c r="B599" t="s">
        <v>20</v>
      </c>
      <c r="N599" s="1391" t="s">
        <v>670</v>
      </c>
      <c r="O599" s="1391"/>
      <c r="T599" s="22"/>
      <c r="U599" t="s">
        <v>20</v>
      </c>
      <c r="AG599" s="1391" t="s">
        <v>670</v>
      </c>
      <c r="AH599" s="1391"/>
      <c r="BB599" s="3"/>
      <c r="BC599" s="3"/>
    </row>
    <row r="600" spans="1:55" ht="12.95" customHeight="1">
      <c r="A600" s="22"/>
      <c r="T600" s="22"/>
      <c r="BB600" s="3"/>
      <c r="BC600" s="3"/>
    </row>
    <row r="601" spans="1:55" ht="12.95" customHeight="1">
      <c r="A601" s="55" t="s">
        <v>462</v>
      </c>
      <c r="B601" t="s">
        <v>464</v>
      </c>
      <c r="G601" s="1476">
        <f>C562</f>
        <v>0</v>
      </c>
      <c r="H601" s="1476"/>
      <c r="I601" s="1476"/>
      <c r="J601" s="1476"/>
      <c r="K601" s="1476"/>
      <c r="L601" s="1476"/>
      <c r="M601" s="1476"/>
      <c r="N601" s="1476"/>
      <c r="O601" s="1476"/>
      <c r="P601" s="1476"/>
      <c r="Q601" s="1476"/>
      <c r="R601" s="1476"/>
      <c r="T601" s="55" t="s">
        <v>647</v>
      </c>
      <c r="U601" t="s">
        <v>464</v>
      </c>
      <c r="Z601" s="1476">
        <f>C563</f>
        <v>0</v>
      </c>
      <c r="AA601" s="1476"/>
      <c r="AB601" s="1476"/>
      <c r="AC601" s="1476"/>
      <c r="AD601" s="1476"/>
      <c r="AE601" s="1476"/>
      <c r="AF601" s="1476"/>
      <c r="AG601" s="1476"/>
      <c r="AH601" s="1476"/>
      <c r="AI601" s="1476"/>
      <c r="AJ601" s="1476"/>
      <c r="AK601" s="1476"/>
      <c r="BB601" s="3"/>
      <c r="BC601" s="3"/>
    </row>
    <row r="602" spans="1:55" ht="12.95" customHeight="1">
      <c r="A602" s="22"/>
      <c r="B602" t="s">
        <v>85</v>
      </c>
      <c r="G602" s="1420"/>
      <c r="H602" s="1420"/>
      <c r="I602" s="1420"/>
      <c r="J602" s="1420"/>
      <c r="K602" s="1420"/>
      <c r="L602" s="1420"/>
      <c r="M602" s="1420"/>
      <c r="N602" s="1420"/>
      <c r="O602" s="1420"/>
      <c r="P602" s="1420"/>
      <c r="Q602" s="1420"/>
      <c r="R602" s="1420"/>
      <c r="T602" s="22"/>
      <c r="U602" t="s">
        <v>85</v>
      </c>
      <c r="Z602" s="1420"/>
      <c r="AA602" s="1420"/>
      <c r="AB602" s="1420"/>
      <c r="AC602" s="1420"/>
      <c r="AD602" s="1420"/>
      <c r="AE602" s="1420"/>
      <c r="AF602" s="1420"/>
      <c r="AG602" s="1420"/>
      <c r="AH602" s="1420"/>
      <c r="AI602" s="1420"/>
      <c r="AJ602" s="1420"/>
      <c r="AK602" s="1420"/>
      <c r="AZ602" s="3"/>
      <c r="BA602" s="3"/>
      <c r="BB602" s="3"/>
      <c r="BC602" s="3"/>
    </row>
    <row r="603" spans="1:55" ht="12.95" customHeight="1">
      <c r="A603" s="22"/>
      <c r="B603" t="s">
        <v>581</v>
      </c>
      <c r="G603" s="1420"/>
      <c r="H603" s="1420"/>
      <c r="I603" s="1420"/>
      <c r="J603" s="1420"/>
      <c r="K603" s="1420"/>
      <c r="L603" s="1420"/>
      <c r="M603" s="1420"/>
      <c r="N603" s="1420"/>
      <c r="O603" s="1420"/>
      <c r="P603" s="1420"/>
      <c r="Q603" s="1420"/>
      <c r="R603" s="1420"/>
      <c r="T603" s="22"/>
      <c r="U603" t="s">
        <v>581</v>
      </c>
      <c r="Z603" s="1401"/>
      <c r="AA603" s="1401"/>
      <c r="AB603" s="1401"/>
      <c r="AC603" s="1401"/>
      <c r="AD603" s="1401"/>
      <c r="AE603" s="1401"/>
      <c r="AF603" s="1401"/>
      <c r="AG603" s="1401"/>
      <c r="AH603" s="1401"/>
      <c r="AI603" s="1401"/>
      <c r="AJ603" s="1401"/>
      <c r="AK603" s="1401"/>
      <c r="AZ603" s="3"/>
      <c r="BA603" s="3"/>
      <c r="BB603" s="3"/>
      <c r="BC603" s="3"/>
    </row>
    <row r="604" spans="1:55" ht="12.95" customHeight="1">
      <c r="A604" s="22"/>
      <c r="B604" t="s">
        <v>17</v>
      </c>
      <c r="G604" s="1420"/>
      <c r="H604" s="1420"/>
      <c r="I604" s="1420"/>
      <c r="J604" s="1420"/>
      <c r="K604" s="1420"/>
      <c r="L604" s="1420"/>
      <c r="M604" s="1420"/>
      <c r="N604" s="1420"/>
      <c r="O604" s="1420"/>
      <c r="P604" s="1420"/>
      <c r="Q604" s="1420"/>
      <c r="R604" s="1420"/>
      <c r="T604" s="22"/>
      <c r="U604" t="s">
        <v>17</v>
      </c>
      <c r="Z604" s="1401"/>
      <c r="AA604" s="1401"/>
      <c r="AB604" s="1401"/>
      <c r="AC604" s="1401"/>
      <c r="AD604" s="1401"/>
      <c r="AE604" s="1401"/>
      <c r="AF604" s="1401"/>
      <c r="AG604" s="1401"/>
      <c r="AH604" s="1401"/>
      <c r="AI604" s="1401"/>
      <c r="AJ604" s="1401"/>
      <c r="AK604" s="1401"/>
      <c r="AZ604" s="3"/>
      <c r="BA604" s="3"/>
      <c r="BB604" s="3"/>
      <c r="BC604" s="3"/>
    </row>
    <row r="605" spans="1:55" s="4" customFormat="1" ht="12.95" customHeight="1">
      <c r="A605" s="22"/>
      <c r="B605" t="s">
        <v>316</v>
      </c>
      <c r="C605"/>
      <c r="D605"/>
      <c r="E605"/>
      <c r="F605"/>
      <c r="G605" s="1496"/>
      <c r="H605" s="1496"/>
      <c r="I605" s="1496"/>
      <c r="J605" s="1496"/>
      <c r="K605" s="1496"/>
      <c r="L605" s="1496"/>
      <c r="M605"/>
      <c r="N605"/>
      <c r="O605" s="33" t="s">
        <v>206</v>
      </c>
      <c r="P605" s="1463"/>
      <c r="Q605" s="1463"/>
      <c r="R605" s="1463"/>
      <c r="S605"/>
      <c r="T605" s="22"/>
      <c r="U605" t="s">
        <v>316</v>
      </c>
      <c r="V605"/>
      <c r="W605"/>
      <c r="X605"/>
      <c r="Y605"/>
      <c r="Z605" s="1496"/>
      <c r="AA605" s="1496"/>
      <c r="AB605" s="1496"/>
      <c r="AC605" s="1496"/>
      <c r="AD605" s="1496"/>
      <c r="AE605" s="1496"/>
      <c r="AF605"/>
      <c r="AG605"/>
      <c r="AH605" s="33" t="s">
        <v>206</v>
      </c>
      <c r="AI605" s="1463"/>
      <c r="AJ605" s="1463"/>
      <c r="AK605" s="1463"/>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20"/>
      <c r="I606" s="1420"/>
      <c r="J606" s="1420"/>
      <c r="K606" s="1420"/>
      <c r="L606" s="1420"/>
      <c r="M606" s="1420"/>
      <c r="N606" s="1420"/>
      <c r="O606" s="1420"/>
      <c r="P606" s="1420"/>
      <c r="Q606" s="1420"/>
      <c r="R606" s="1420"/>
      <c r="S606"/>
      <c r="T606" s="22"/>
      <c r="U606" t="s">
        <v>18</v>
      </c>
      <c r="V606"/>
      <c r="W606"/>
      <c r="X606"/>
      <c r="Y606"/>
      <c r="Z606"/>
      <c r="AA606" s="1420"/>
      <c r="AB606" s="1420"/>
      <c r="AC606" s="1420"/>
      <c r="AD606" s="1420"/>
      <c r="AE606" s="1420"/>
      <c r="AF606" s="1420"/>
      <c r="AG606" s="1420"/>
      <c r="AH606" s="1420"/>
      <c r="AI606" s="1420"/>
      <c r="AJ606" s="1420"/>
      <c r="AK606" s="1420"/>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91" t="s">
        <v>670</v>
      </c>
      <c r="O607" s="1391"/>
      <c r="P607"/>
      <c r="Q607"/>
      <c r="R607"/>
      <c r="S607"/>
      <c r="T607" s="22"/>
      <c r="U607" t="s">
        <v>20</v>
      </c>
      <c r="V607"/>
      <c r="W607"/>
      <c r="X607"/>
      <c r="Y607"/>
      <c r="Z607"/>
      <c r="AA607"/>
      <c r="AB607"/>
      <c r="AC607"/>
      <c r="AD607"/>
      <c r="AE607"/>
      <c r="AF607"/>
      <c r="AG607" s="1391" t="s">
        <v>670</v>
      </c>
      <c r="AH607" s="1391"/>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476">
        <f>C564</f>
        <v>0</v>
      </c>
      <c r="H609" s="1476"/>
      <c r="I609" s="1476"/>
      <c r="J609" s="1476"/>
      <c r="K609" s="1476"/>
      <c r="L609" s="1476"/>
      <c r="M609" s="1476"/>
      <c r="N609" s="1476"/>
      <c r="O609" s="1476"/>
      <c r="P609" s="1476"/>
      <c r="Q609" s="1476"/>
      <c r="R609" s="1476"/>
      <c r="T609" s="55" t="s">
        <v>363</v>
      </c>
      <c r="U609" t="s">
        <v>464</v>
      </c>
      <c r="Z609" s="1476">
        <f>C565</f>
        <v>0</v>
      </c>
      <c r="AA609" s="1476"/>
      <c r="AB609" s="1476"/>
      <c r="AC609" s="1476"/>
      <c r="AD609" s="1476"/>
      <c r="AE609" s="1476"/>
      <c r="AF609" s="1476"/>
      <c r="AG609" s="1476"/>
      <c r="AH609" s="1476"/>
      <c r="AI609" s="1476"/>
      <c r="AJ609" s="1476"/>
      <c r="AK609" s="1476"/>
      <c r="AZ609" s="3"/>
      <c r="BA609" s="3"/>
      <c r="BB609" s="3"/>
      <c r="BC609" s="3"/>
    </row>
    <row r="610" spans="1:55" ht="12.95" customHeight="1">
      <c r="B610" t="s">
        <v>85</v>
      </c>
      <c r="G610" s="1420"/>
      <c r="H610" s="1420"/>
      <c r="I610" s="1420"/>
      <c r="J610" s="1420"/>
      <c r="K610" s="1420"/>
      <c r="L610" s="1420"/>
      <c r="M610" s="1420"/>
      <c r="N610" s="1420"/>
      <c r="O610" s="1420"/>
      <c r="P610" s="1420"/>
      <c r="Q610" s="1420"/>
      <c r="R610" s="1420"/>
      <c r="U610" t="s">
        <v>85</v>
      </c>
      <c r="Z610" s="1420"/>
      <c r="AA610" s="1420"/>
      <c r="AB610" s="1420"/>
      <c r="AC610" s="1420"/>
      <c r="AD610" s="1420"/>
      <c r="AE610" s="1420"/>
      <c r="AF610" s="1420"/>
      <c r="AG610" s="1420"/>
      <c r="AH610" s="1420"/>
      <c r="AI610" s="1420"/>
      <c r="AJ610" s="1420"/>
      <c r="AK610" s="1420"/>
      <c r="AZ610" s="3"/>
      <c r="BA610" s="3"/>
      <c r="BB610" s="3"/>
      <c r="BC610" s="3"/>
    </row>
    <row r="611" spans="1:55" ht="12.95" customHeight="1">
      <c r="B611" t="s">
        <v>581</v>
      </c>
      <c r="G611" s="1420"/>
      <c r="H611" s="1420"/>
      <c r="I611" s="1420"/>
      <c r="J611" s="1420"/>
      <c r="K611" s="1420"/>
      <c r="L611" s="1420"/>
      <c r="M611" s="1420"/>
      <c r="N611" s="1420"/>
      <c r="O611" s="1420"/>
      <c r="P611" s="1420"/>
      <c r="Q611" s="1420"/>
      <c r="R611" s="1420"/>
      <c r="U611" t="s">
        <v>581</v>
      </c>
      <c r="Z611" s="1401"/>
      <c r="AA611" s="1401"/>
      <c r="AB611" s="1401"/>
      <c r="AC611" s="1401"/>
      <c r="AD611" s="1401"/>
      <c r="AE611" s="1401"/>
      <c r="AF611" s="1401"/>
      <c r="AG611" s="1401"/>
      <c r="AH611" s="1401"/>
      <c r="AI611" s="1401"/>
      <c r="AJ611" s="1401"/>
      <c r="AK611" s="1401"/>
      <c r="AZ611" s="3"/>
      <c r="BA611" s="3"/>
      <c r="BB611" s="3"/>
      <c r="BC611" s="3"/>
    </row>
    <row r="612" spans="1:55" ht="12.95" customHeight="1">
      <c r="B612" t="s">
        <v>17</v>
      </c>
      <c r="G612" s="1420"/>
      <c r="H612" s="1420"/>
      <c r="I612" s="1420"/>
      <c r="J612" s="1420"/>
      <c r="K612" s="1420"/>
      <c r="L612" s="1420"/>
      <c r="M612" s="1420"/>
      <c r="N612" s="1420"/>
      <c r="O612" s="1420"/>
      <c r="P612" s="1420"/>
      <c r="Q612" s="1420"/>
      <c r="R612" s="1420"/>
      <c r="U612" t="s">
        <v>17</v>
      </c>
      <c r="Z612" s="1401"/>
      <c r="AA612" s="1401"/>
      <c r="AB612" s="1401"/>
      <c r="AC612" s="1401"/>
      <c r="AD612" s="1401"/>
      <c r="AE612" s="1401"/>
      <c r="AF612" s="1401"/>
      <c r="AG612" s="1401"/>
      <c r="AH612" s="1401"/>
      <c r="AI612" s="1401"/>
      <c r="AJ612" s="1401"/>
      <c r="AK612" s="1401"/>
      <c r="AZ612" s="3"/>
      <c r="BA612" s="3"/>
      <c r="BB612" s="3"/>
      <c r="BC612" s="3"/>
    </row>
    <row r="613" spans="1:55" ht="12.95" customHeight="1">
      <c r="B613" t="s">
        <v>316</v>
      </c>
      <c r="G613" s="1496"/>
      <c r="H613" s="1496"/>
      <c r="I613" s="1496"/>
      <c r="J613" s="1496"/>
      <c r="K613" s="1496"/>
      <c r="L613" s="1496"/>
      <c r="O613" s="33" t="s">
        <v>206</v>
      </c>
      <c r="P613" s="1463"/>
      <c r="Q613" s="1463"/>
      <c r="R613" s="1463"/>
      <c r="U613" t="s">
        <v>316</v>
      </c>
      <c r="Z613" s="1496"/>
      <c r="AA613" s="1496"/>
      <c r="AB613" s="1496"/>
      <c r="AC613" s="1496"/>
      <c r="AD613" s="1496"/>
      <c r="AE613" s="1496"/>
      <c r="AH613" s="33" t="s">
        <v>206</v>
      </c>
      <c r="AI613" s="1463"/>
      <c r="AJ613" s="1463"/>
      <c r="AK613" s="1463"/>
      <c r="AZ613" s="3"/>
      <c r="BA613" s="3"/>
      <c r="BB613" s="3"/>
      <c r="BC613" s="3"/>
    </row>
    <row r="614" spans="1:55" ht="12.95" customHeight="1">
      <c r="B614" t="s">
        <v>18</v>
      </c>
      <c r="H614" s="1420"/>
      <c r="I614" s="1420"/>
      <c r="J614" s="1420"/>
      <c r="K614" s="1420"/>
      <c r="L614" s="1420"/>
      <c r="M614" s="1420"/>
      <c r="N614" s="1420"/>
      <c r="O614" s="1420"/>
      <c r="P614" s="1420"/>
      <c r="Q614" s="1420"/>
      <c r="R614" s="1420"/>
      <c r="U614" t="s">
        <v>18</v>
      </c>
      <c r="AA614" s="1420"/>
      <c r="AB614" s="1420"/>
      <c r="AC614" s="1420"/>
      <c r="AD614" s="1420"/>
      <c r="AE614" s="1420"/>
      <c r="AF614" s="1420"/>
      <c r="AG614" s="1420"/>
      <c r="AH614" s="1420"/>
      <c r="AI614" s="1420"/>
      <c r="AJ614" s="1420"/>
      <c r="AK614" s="1420"/>
      <c r="AU614" s="899"/>
      <c r="AV614" s="899"/>
      <c r="AW614" s="899"/>
      <c r="AX614" s="899"/>
      <c r="AY614" s="899"/>
      <c r="AZ614" s="3"/>
      <c r="BA614" s="3"/>
      <c r="BB614" s="3"/>
      <c r="BC614" s="3"/>
    </row>
    <row r="615" spans="1:55" ht="12.95" customHeight="1">
      <c r="B615" t="s">
        <v>20</v>
      </c>
      <c r="N615" s="1391" t="s">
        <v>670</v>
      </c>
      <c r="O615" s="1391"/>
      <c r="U615" t="s">
        <v>20</v>
      </c>
      <c r="AG615" s="1391" t="s">
        <v>670</v>
      </c>
      <c r="AH615" s="1391"/>
      <c r="AU615" s="899"/>
      <c r="AV615" s="899"/>
      <c r="AW615" s="899"/>
      <c r="AX615" s="899"/>
      <c r="AY615" s="899"/>
      <c r="AZ615" s="3"/>
      <c r="BA615" s="3"/>
      <c r="BB615" s="3"/>
      <c r="BC615" s="3"/>
    </row>
    <row r="616" spans="1:55" ht="12.95" customHeight="1">
      <c r="AZ616" s="3"/>
      <c r="BA616" s="3"/>
      <c r="BB616" s="3"/>
      <c r="BC616" s="3"/>
    </row>
    <row r="617" spans="1:55" ht="12.95" customHeight="1">
      <c r="A617" s="1270" t="s">
        <v>545</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2.95"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2"/>
      <c r="C623" s="2"/>
      <c r="AU623" s="3"/>
      <c r="AZ623" s="3"/>
      <c r="BA623" s="3"/>
      <c r="BB623" s="3"/>
      <c r="BC623" s="3"/>
    </row>
    <row r="624" spans="1:55" ht="12.95" customHeight="1">
      <c r="B624" s="1663" t="s">
        <v>2103</v>
      </c>
      <c r="C624" s="1663"/>
      <c r="D624" s="1663"/>
      <c r="E624" s="1663"/>
      <c r="F624" s="1663"/>
      <c r="G624" s="1663"/>
      <c r="H624" s="1663"/>
      <c r="I624" s="1663"/>
      <c r="J624" s="1663"/>
      <c r="K624" s="1663"/>
      <c r="L624" s="1663"/>
      <c r="M624" s="1665" t="s">
        <v>2104</v>
      </c>
      <c r="N624" s="1665"/>
      <c r="O624" s="1665"/>
      <c r="P624" s="1665"/>
      <c r="Q624" s="1665" t="s">
        <v>1853</v>
      </c>
      <c r="R624" s="1665"/>
      <c r="S624" s="1665"/>
      <c r="T624" s="1665" t="s">
        <v>1851</v>
      </c>
      <c r="U624" s="1665"/>
      <c r="V624" s="1665"/>
      <c r="W624" s="1664" t="s">
        <v>454</v>
      </c>
      <c r="X624" s="1664"/>
      <c r="Y624" s="1664"/>
      <c r="Z624" s="1381" t="s">
        <v>2133</v>
      </c>
      <c r="AA624" s="1381"/>
      <c r="AB624" s="1382"/>
      <c r="AC624" s="1675" t="s">
        <v>1677</v>
      </c>
      <c r="AD624" s="1676"/>
      <c r="AE624" s="1677"/>
      <c r="AF624" s="1380" t="s">
        <v>1931</v>
      </c>
      <c r="AG624" s="1381"/>
      <c r="AH624" s="1381"/>
      <c r="AI624" s="1381"/>
      <c r="AJ624" s="1382"/>
      <c r="AK624" s="1666" t="s">
        <v>1932</v>
      </c>
      <c r="AL624" s="1667"/>
      <c r="AM624" s="1667"/>
      <c r="AN624" s="1668"/>
      <c r="AO624" s="1665" t="s">
        <v>455</v>
      </c>
      <c r="AP624" s="1665"/>
      <c r="AQ624" s="1665"/>
      <c r="AR624" s="1665"/>
      <c r="AS624" s="1665"/>
      <c r="AU624" s="3"/>
      <c r="AZ624" s="3"/>
      <c r="BA624" s="3"/>
      <c r="BB624" s="3"/>
      <c r="BC624" s="3"/>
    </row>
    <row r="625" spans="2:157" ht="12.95" customHeight="1">
      <c r="B625" s="1663"/>
      <c r="C625" s="1663"/>
      <c r="D625" s="1663"/>
      <c r="E625" s="1663"/>
      <c r="F625" s="1663"/>
      <c r="G625" s="1663"/>
      <c r="H625" s="1663"/>
      <c r="I625" s="1663"/>
      <c r="J625" s="1663"/>
      <c r="K625" s="1663"/>
      <c r="L625" s="1663"/>
      <c r="M625" s="1665"/>
      <c r="N625" s="1665"/>
      <c r="O625" s="1665"/>
      <c r="P625" s="1665"/>
      <c r="Q625" s="1665"/>
      <c r="R625" s="1665"/>
      <c r="S625" s="1665"/>
      <c r="T625" s="1665"/>
      <c r="U625" s="1665"/>
      <c r="V625" s="1665"/>
      <c r="W625" s="1664"/>
      <c r="X625" s="1664"/>
      <c r="Y625" s="1664"/>
      <c r="Z625" s="1384"/>
      <c r="AA625" s="1384"/>
      <c r="AB625" s="1385"/>
      <c r="AC625" s="1678"/>
      <c r="AD625" s="1679"/>
      <c r="AE625" s="1680"/>
      <c r="AF625" s="1383"/>
      <c r="AG625" s="1384"/>
      <c r="AH625" s="1384"/>
      <c r="AI625" s="1384"/>
      <c r="AJ625" s="1385"/>
      <c r="AK625" s="1669"/>
      <c r="AL625" s="1670"/>
      <c r="AM625" s="1670"/>
      <c r="AN625" s="1671"/>
      <c r="AO625" s="1665"/>
      <c r="AP625" s="1665"/>
      <c r="AQ625" s="1665"/>
      <c r="AR625" s="1665"/>
      <c r="AS625" s="1665"/>
      <c r="AU625" s="3"/>
      <c r="AZ625" s="3"/>
      <c r="BA625" s="3"/>
      <c r="BB625" s="3"/>
      <c r="BC625" s="3"/>
      <c r="BD625" s="3"/>
    </row>
    <row r="626" spans="2:157" ht="12.95" customHeight="1">
      <c r="B626" s="1663"/>
      <c r="C626" s="1663"/>
      <c r="D626" s="1663"/>
      <c r="E626" s="1663"/>
      <c r="F626" s="1663"/>
      <c r="G626" s="1663"/>
      <c r="H626" s="1663"/>
      <c r="I626" s="1663"/>
      <c r="J626" s="1663"/>
      <c r="K626" s="1663"/>
      <c r="L626" s="1663"/>
      <c r="M626" s="1665"/>
      <c r="N626" s="1665"/>
      <c r="O626" s="1665"/>
      <c r="P626" s="1665"/>
      <c r="Q626" s="1665"/>
      <c r="R626" s="1665"/>
      <c r="S626" s="1665"/>
      <c r="T626" s="1665"/>
      <c r="U626" s="1665"/>
      <c r="V626" s="1665"/>
      <c r="W626" s="1664"/>
      <c r="X626" s="1664"/>
      <c r="Y626" s="1664"/>
      <c r="Z626" s="1387"/>
      <c r="AA626" s="1387"/>
      <c r="AB626" s="1388"/>
      <c r="AC626" s="1681"/>
      <c r="AD626" s="1682"/>
      <c r="AE626" s="1683"/>
      <c r="AF626" s="1386"/>
      <c r="AG626" s="1387"/>
      <c r="AH626" s="1387"/>
      <c r="AI626" s="1387"/>
      <c r="AJ626" s="1388"/>
      <c r="AK626" s="1672"/>
      <c r="AL626" s="1673"/>
      <c r="AM626" s="1673"/>
      <c r="AN626" s="1674"/>
      <c r="AO626" s="1665"/>
      <c r="AP626" s="1665"/>
      <c r="AQ626" s="1665"/>
      <c r="AR626" s="1665"/>
      <c r="AS626" s="1665"/>
      <c r="AT626" s="3"/>
      <c r="AU626" s="3"/>
      <c r="AZ626" s="3"/>
      <c r="BA626" s="3"/>
      <c r="BB626" s="3"/>
      <c r="BC626" s="3"/>
      <c r="BD626" s="3"/>
    </row>
    <row r="627" spans="2:157" ht="12.95" customHeight="1">
      <c r="B627" s="51" t="s">
        <v>112</v>
      </c>
      <c r="C627" s="1509" t="s">
        <v>2709</v>
      </c>
      <c r="D627" s="1509"/>
      <c r="E627" s="1509"/>
      <c r="F627" s="1509"/>
      <c r="G627" s="1509"/>
      <c r="H627" s="1509"/>
      <c r="I627" s="1509"/>
      <c r="J627" s="1509"/>
      <c r="K627" s="1509"/>
      <c r="L627" s="1509"/>
      <c r="M627" s="1483" t="s">
        <v>2114</v>
      </c>
      <c r="N627" s="1483"/>
      <c r="O627" s="1483"/>
      <c r="P627" s="1483"/>
      <c r="Q627" s="1507">
        <f>40*12</f>
        <v>480</v>
      </c>
      <c r="R627" s="1507"/>
      <c r="S627" s="1508"/>
      <c r="T627" s="1506">
        <v>480</v>
      </c>
      <c r="U627" s="1507"/>
      <c r="V627" s="1508"/>
      <c r="W627" s="1473">
        <v>0.06</v>
      </c>
      <c r="X627" s="1474"/>
      <c r="Y627" s="1475"/>
      <c r="Z627" s="1468" t="s">
        <v>2132</v>
      </c>
      <c r="AA627" s="1469"/>
      <c r="AB627" s="1470"/>
      <c r="AC627" s="1411">
        <v>1</v>
      </c>
      <c r="AD627" s="1412"/>
      <c r="AE627" s="1413"/>
      <c r="AF627" s="1480">
        <v>1308057</v>
      </c>
      <c r="AG627" s="1481"/>
      <c r="AH627" s="1481"/>
      <c r="AI627" s="1481"/>
      <c r="AJ627" s="1482"/>
      <c r="AK627" s="1477"/>
      <c r="AL627" s="1478"/>
      <c r="AM627" s="1478"/>
      <c r="AN627" s="1479"/>
      <c r="AO627" s="1629">
        <v>19117283</v>
      </c>
      <c r="AP627" s="1629"/>
      <c r="AQ627" s="1629"/>
      <c r="AR627" s="1629"/>
      <c r="AS627" s="1629"/>
      <c r="AT627" s="3"/>
      <c r="AU627" s="3"/>
      <c r="AZ627" s="3"/>
      <c r="BA627" s="3"/>
      <c r="BB627" s="3"/>
      <c r="BC627" s="3"/>
      <c r="BD627" s="3"/>
    </row>
    <row r="628" spans="2:157" ht="12.95" customHeight="1">
      <c r="B628" s="52" t="s">
        <v>113</v>
      </c>
      <c r="C628" s="1509" t="s">
        <v>2711</v>
      </c>
      <c r="D628" s="1509"/>
      <c r="E628" s="1509"/>
      <c r="F628" s="1509"/>
      <c r="G628" s="1509"/>
      <c r="H628" s="1509"/>
      <c r="I628" s="1509"/>
      <c r="J628" s="1509"/>
      <c r="K628" s="1509"/>
      <c r="L628" s="1509"/>
      <c r="M628" s="1483" t="s">
        <v>2107</v>
      </c>
      <c r="N628" s="1483"/>
      <c r="O628" s="1483"/>
      <c r="P628" s="1483"/>
      <c r="Q628" s="1506"/>
      <c r="R628" s="1507"/>
      <c r="S628" s="1508"/>
      <c r="T628" s="1506"/>
      <c r="U628" s="1507"/>
      <c r="V628" s="1508"/>
      <c r="W628" s="1473"/>
      <c r="X628" s="1474"/>
      <c r="Y628" s="1475"/>
      <c r="Z628" s="1468" t="s">
        <v>1185</v>
      </c>
      <c r="AA628" s="1469"/>
      <c r="AB628" s="1470"/>
      <c r="AC628" s="1411"/>
      <c r="AD628" s="1412"/>
      <c r="AE628" s="1413"/>
      <c r="AF628" s="1480"/>
      <c r="AG628" s="1481"/>
      <c r="AH628" s="1481"/>
      <c r="AI628" s="1481"/>
      <c r="AJ628" s="1482"/>
      <c r="AK628" s="1477"/>
      <c r="AL628" s="1478"/>
      <c r="AM628" s="1478"/>
      <c r="AN628" s="1479"/>
      <c r="AO628" s="1467">
        <v>5980348</v>
      </c>
      <c r="AP628" s="1345"/>
      <c r="AQ628" s="1345"/>
      <c r="AR628" s="1345"/>
      <c r="AS628" s="1346"/>
      <c r="AT628" s="1148" t="str">
        <f>IF(AND(NOT(C627=""),C628="",NOT(C629="")),"!","")</f>
        <v/>
      </c>
      <c r="AU628" s="3"/>
      <c r="AZ628" s="3"/>
      <c r="BA628" s="3"/>
      <c r="BB628" s="3"/>
      <c r="BC628" s="3"/>
      <c r="BD628" s="3"/>
    </row>
    <row r="629" spans="2:157" ht="12.95" customHeight="1">
      <c r="B629" s="52" t="s">
        <v>119</v>
      </c>
      <c r="C629" s="1509" t="s">
        <v>2692</v>
      </c>
      <c r="D629" s="1509"/>
      <c r="E629" s="1509"/>
      <c r="F629" s="1509"/>
      <c r="G629" s="1509"/>
      <c r="H629" s="1509"/>
      <c r="I629" s="1509"/>
      <c r="J629" s="1509"/>
      <c r="K629" s="1509"/>
      <c r="L629" s="1509"/>
      <c r="M629" s="1483" t="s">
        <v>2116</v>
      </c>
      <c r="N629" s="1483"/>
      <c r="O629" s="1483"/>
      <c r="P629" s="1483"/>
      <c r="Q629" s="1506">
        <v>660</v>
      </c>
      <c r="R629" s="1507"/>
      <c r="S629" s="1508"/>
      <c r="T629" s="1506">
        <v>660</v>
      </c>
      <c r="U629" s="1507"/>
      <c r="V629" s="1508"/>
      <c r="W629" s="1473">
        <v>0.03</v>
      </c>
      <c r="X629" s="1474"/>
      <c r="Y629" s="1475"/>
      <c r="Z629" s="1468" t="s">
        <v>458</v>
      </c>
      <c r="AA629" s="1469"/>
      <c r="AB629" s="1470"/>
      <c r="AC629" s="1411"/>
      <c r="AD629" s="1412"/>
      <c r="AE629" s="1413"/>
      <c r="AF629" s="1480"/>
      <c r="AG629" s="1481"/>
      <c r="AH629" s="1481"/>
      <c r="AI629" s="1481"/>
      <c r="AJ629" s="1482"/>
      <c r="AK629" s="1477"/>
      <c r="AL629" s="1478"/>
      <c r="AM629" s="1478"/>
      <c r="AN629" s="1479"/>
      <c r="AO629" s="1467">
        <v>8000000</v>
      </c>
      <c r="AP629" s="1345"/>
      <c r="AQ629" s="1345"/>
      <c r="AR629" s="1345"/>
      <c r="AS629" s="1346"/>
      <c r="AT629" s="1148" t="str">
        <f t="shared" ref="AT629:AT638" si="1">IF(AND(NOT(C628=""),C629="",NOT(C630="")),"!","")</f>
        <v/>
      </c>
      <c r="AU629" s="3"/>
      <c r="AZ629" s="3"/>
      <c r="BA629" s="3"/>
      <c r="BB629" s="3"/>
      <c r="BC629" s="3"/>
      <c r="BD629" s="3"/>
    </row>
    <row r="630" spans="2:157" ht="12.95" customHeight="1">
      <c r="B630" s="52" t="s">
        <v>582</v>
      </c>
      <c r="C630" s="1472" t="s">
        <v>2710</v>
      </c>
      <c r="D630" s="1472"/>
      <c r="E630" s="1472"/>
      <c r="F630" s="1472"/>
      <c r="G630" s="1472"/>
      <c r="H630" s="1472"/>
      <c r="I630" s="1472"/>
      <c r="J630" s="1472"/>
      <c r="K630" s="1472"/>
      <c r="L630" s="1472"/>
      <c r="M630" s="1483" t="s">
        <v>2116</v>
      </c>
      <c r="N630" s="1483"/>
      <c r="O630" s="1483"/>
      <c r="P630" s="1483"/>
      <c r="Q630" s="1506">
        <v>660</v>
      </c>
      <c r="R630" s="1507"/>
      <c r="S630" s="1508"/>
      <c r="T630" s="1506">
        <v>660</v>
      </c>
      <c r="U630" s="1507"/>
      <c r="V630" s="1508"/>
      <c r="W630" s="1473">
        <v>0.03</v>
      </c>
      <c r="X630" s="1474"/>
      <c r="Y630" s="1475"/>
      <c r="Z630" s="1468" t="s">
        <v>458</v>
      </c>
      <c r="AA630" s="1469"/>
      <c r="AB630" s="1470"/>
      <c r="AC630" s="1411"/>
      <c r="AD630" s="1412"/>
      <c r="AE630" s="1413"/>
      <c r="AF630" s="1480"/>
      <c r="AG630" s="1481"/>
      <c r="AH630" s="1481"/>
      <c r="AI630" s="1481"/>
      <c r="AJ630" s="1482"/>
      <c r="AK630" s="1477"/>
      <c r="AL630" s="1478"/>
      <c r="AM630" s="1478"/>
      <c r="AN630" s="1479"/>
      <c r="AO630" s="1467">
        <v>7900000</v>
      </c>
      <c r="AP630" s="1345"/>
      <c r="AQ630" s="1345"/>
      <c r="AR630" s="1345"/>
      <c r="AS630" s="1346"/>
      <c r="AT630" s="1148" t="str">
        <f t="shared" si="1"/>
        <v/>
      </c>
      <c r="AU630" s="3"/>
      <c r="AZ630" s="3"/>
      <c r="BA630" s="3"/>
      <c r="BB630" s="3"/>
      <c r="BC630" s="3"/>
      <c r="BD630" s="3"/>
    </row>
    <row r="631" spans="2:157" ht="12.95" customHeight="1">
      <c r="B631" s="52" t="s">
        <v>764</v>
      </c>
      <c r="C631" s="1472"/>
      <c r="D631" s="1472"/>
      <c r="E631" s="1472"/>
      <c r="F631" s="1472"/>
      <c r="G631" s="1472"/>
      <c r="H631" s="1472"/>
      <c r="I631" s="1472"/>
      <c r="J631" s="1472"/>
      <c r="K631" s="1472"/>
      <c r="L631" s="1472"/>
      <c r="M631" s="1483"/>
      <c r="N631" s="1483"/>
      <c r="O631" s="1483"/>
      <c r="P631" s="1483"/>
      <c r="Q631" s="1506"/>
      <c r="R631" s="1507"/>
      <c r="S631" s="1508"/>
      <c r="T631" s="1506"/>
      <c r="U631" s="1507"/>
      <c r="V631" s="1508"/>
      <c r="W631" s="1473"/>
      <c r="X631" s="1474"/>
      <c r="Y631" s="1475"/>
      <c r="Z631" s="1468" t="s">
        <v>1185</v>
      </c>
      <c r="AA631" s="1469"/>
      <c r="AB631" s="1470"/>
      <c r="AC631" s="1411"/>
      <c r="AD631" s="1412"/>
      <c r="AE631" s="1413"/>
      <c r="AF631" s="1480"/>
      <c r="AG631" s="1481"/>
      <c r="AH631" s="1481"/>
      <c r="AI631" s="1481"/>
      <c r="AJ631" s="1482"/>
      <c r="AK631" s="1477"/>
      <c r="AL631" s="1478"/>
      <c r="AM631" s="1478"/>
      <c r="AN631" s="1479"/>
      <c r="AO631" s="1467"/>
      <c r="AP631" s="1345"/>
      <c r="AQ631" s="1345"/>
      <c r="AR631" s="1345"/>
      <c r="AS631" s="1346"/>
      <c r="AT631" s="1148" t="str">
        <f t="shared" si="1"/>
        <v/>
      </c>
      <c r="AU631" s="3"/>
      <c r="AZ631" s="3"/>
      <c r="BA631" s="3"/>
      <c r="BB631" s="3"/>
      <c r="BC631" s="3"/>
      <c r="BD631" s="3"/>
    </row>
    <row r="632" spans="2:157" ht="12.95" customHeight="1">
      <c r="B632" s="52" t="s">
        <v>585</v>
      </c>
      <c r="C632" s="1472"/>
      <c r="D632" s="1472"/>
      <c r="E632" s="1472"/>
      <c r="F632" s="1472"/>
      <c r="G632" s="1472"/>
      <c r="H632" s="1472"/>
      <c r="I632" s="1472"/>
      <c r="J632" s="1472"/>
      <c r="K632" s="1472"/>
      <c r="L632" s="1472"/>
      <c r="M632" s="1483" t="s">
        <v>1185</v>
      </c>
      <c r="N632" s="1483"/>
      <c r="O632" s="1483"/>
      <c r="P632" s="1483"/>
      <c r="Q632" s="1506"/>
      <c r="R632" s="1507"/>
      <c r="S632" s="1508"/>
      <c r="T632" s="1506"/>
      <c r="U632" s="1507"/>
      <c r="V632" s="1508"/>
      <c r="W632" s="1473"/>
      <c r="X632" s="1474"/>
      <c r="Y632" s="1475"/>
      <c r="Z632" s="1468" t="s">
        <v>1185</v>
      </c>
      <c r="AA632" s="1469"/>
      <c r="AB632" s="1470"/>
      <c r="AC632" s="1411"/>
      <c r="AD632" s="1412"/>
      <c r="AE632" s="1413"/>
      <c r="AF632" s="1480"/>
      <c r="AG632" s="1481"/>
      <c r="AH632" s="1481"/>
      <c r="AI632" s="1481"/>
      <c r="AJ632" s="1482"/>
      <c r="AK632" s="1477"/>
      <c r="AL632" s="1478"/>
      <c r="AM632" s="1478"/>
      <c r="AN632" s="1479"/>
      <c r="AO632" s="1467"/>
      <c r="AP632" s="1345"/>
      <c r="AQ632" s="1345"/>
      <c r="AR632" s="1345"/>
      <c r="AS632" s="1346"/>
      <c r="AT632" s="1148" t="str">
        <f t="shared" si="1"/>
        <v/>
      </c>
      <c r="AU632" s="3"/>
      <c r="AZ632" s="3"/>
      <c r="BA632" s="3"/>
      <c r="BB632" s="3"/>
      <c r="BC632" s="3"/>
      <c r="BD632" s="3"/>
    </row>
    <row r="633" spans="2:157" ht="12.95" customHeight="1">
      <c r="B633" s="52" t="s">
        <v>456</v>
      </c>
      <c r="C633" s="1472"/>
      <c r="D633" s="1472"/>
      <c r="E633" s="1472"/>
      <c r="F633" s="1472"/>
      <c r="G633" s="1472"/>
      <c r="H633" s="1472"/>
      <c r="I633" s="1472"/>
      <c r="J633" s="1472"/>
      <c r="K633" s="1472"/>
      <c r="L633" s="1472"/>
      <c r="M633" s="1483" t="s">
        <v>1185</v>
      </c>
      <c r="N633" s="1483"/>
      <c r="O633" s="1483"/>
      <c r="P633" s="1483"/>
      <c r="Q633" s="1506"/>
      <c r="R633" s="1507"/>
      <c r="S633" s="1508"/>
      <c r="T633" s="1506"/>
      <c r="U633" s="1507"/>
      <c r="V633" s="1508"/>
      <c r="W633" s="1473"/>
      <c r="X633" s="1474"/>
      <c r="Y633" s="1475"/>
      <c r="Z633" s="1468" t="s">
        <v>1185</v>
      </c>
      <c r="AA633" s="1469"/>
      <c r="AB633" s="1470"/>
      <c r="AC633" s="1411"/>
      <c r="AD633" s="1412"/>
      <c r="AE633" s="1413"/>
      <c r="AF633" s="1480"/>
      <c r="AG633" s="1481"/>
      <c r="AH633" s="1481"/>
      <c r="AI633" s="1481"/>
      <c r="AJ633" s="1482"/>
      <c r="AK633" s="1477"/>
      <c r="AL633" s="1478"/>
      <c r="AM633" s="1478"/>
      <c r="AN633" s="1479"/>
      <c r="AO633" s="1467"/>
      <c r="AP633" s="1345"/>
      <c r="AQ633" s="1345"/>
      <c r="AR633" s="1345"/>
      <c r="AS633" s="1346"/>
      <c r="AT633" s="1148" t="str">
        <f t="shared" si="1"/>
        <v/>
      </c>
      <c r="AU633" s="3"/>
      <c r="AV633" s="3"/>
      <c r="AW633" s="3"/>
      <c r="AX633" s="3"/>
      <c r="AY633" s="3"/>
      <c r="AZ633" s="3"/>
      <c r="BA633" s="3"/>
      <c r="BB633" s="3"/>
      <c r="BC633" s="3"/>
      <c r="BD633" s="3"/>
    </row>
    <row r="634" spans="2:157" ht="12.95" customHeight="1">
      <c r="B634" s="52" t="s">
        <v>457</v>
      </c>
      <c r="C634" s="1472"/>
      <c r="D634" s="1472"/>
      <c r="E634" s="1472"/>
      <c r="F634" s="1472"/>
      <c r="G634" s="1472"/>
      <c r="H634" s="1472"/>
      <c r="I634" s="1472"/>
      <c r="J634" s="1472"/>
      <c r="K634" s="1472"/>
      <c r="L634" s="1472"/>
      <c r="M634" s="1483" t="s">
        <v>1185</v>
      </c>
      <c r="N634" s="1483"/>
      <c r="O634" s="1483"/>
      <c r="P634" s="1483"/>
      <c r="Q634" s="1506"/>
      <c r="R634" s="1507"/>
      <c r="S634" s="1508"/>
      <c r="T634" s="1506"/>
      <c r="U634" s="1507"/>
      <c r="V634" s="1508"/>
      <c r="W634" s="1473"/>
      <c r="X634" s="1474"/>
      <c r="Y634" s="1475"/>
      <c r="Z634" s="1468" t="s">
        <v>1185</v>
      </c>
      <c r="AA634" s="1469"/>
      <c r="AB634" s="1470"/>
      <c r="AC634" s="1411"/>
      <c r="AD634" s="1412"/>
      <c r="AE634" s="1413"/>
      <c r="AF634" s="1480"/>
      <c r="AG634" s="1481"/>
      <c r="AH634" s="1481"/>
      <c r="AI634" s="1481"/>
      <c r="AJ634" s="1482"/>
      <c r="AK634" s="1477"/>
      <c r="AL634" s="1478"/>
      <c r="AM634" s="1478"/>
      <c r="AN634" s="1479"/>
      <c r="AO634" s="1467"/>
      <c r="AP634" s="1345"/>
      <c r="AQ634" s="1345"/>
      <c r="AR634" s="1345"/>
      <c r="AS634" s="1346"/>
      <c r="AT634" s="1148" t="str">
        <f t="shared" si="1"/>
        <v/>
      </c>
      <c r="AU634" s="3"/>
      <c r="AV634" s="3"/>
      <c r="AW634" s="3"/>
      <c r="AX634" s="3"/>
      <c r="AY634" s="3"/>
      <c r="AZ634" s="3"/>
      <c r="BA634" s="3" t="s">
        <v>1185</v>
      </c>
      <c r="BB634" s="3"/>
      <c r="BC634" s="3"/>
      <c r="BD634" s="3"/>
    </row>
    <row r="635" spans="2:157" ht="12.95" customHeight="1">
      <c r="B635" s="52" t="s">
        <v>462</v>
      </c>
      <c r="C635" s="1472"/>
      <c r="D635" s="1472"/>
      <c r="E635" s="1472"/>
      <c r="F635" s="1472"/>
      <c r="G635" s="1472"/>
      <c r="H635" s="1472"/>
      <c r="I635" s="1472"/>
      <c r="J635" s="1472"/>
      <c r="K635" s="1472"/>
      <c r="L635" s="1472"/>
      <c r="M635" s="1483" t="s">
        <v>1185</v>
      </c>
      <c r="N635" s="1483"/>
      <c r="O635" s="1483"/>
      <c r="P635" s="1483"/>
      <c r="Q635" s="1506"/>
      <c r="R635" s="1507"/>
      <c r="S635" s="1508"/>
      <c r="T635" s="1506"/>
      <c r="U635" s="1507"/>
      <c r="V635" s="1508"/>
      <c r="W635" s="1473"/>
      <c r="X635" s="1474"/>
      <c r="Y635" s="1475"/>
      <c r="Z635" s="1468" t="s">
        <v>1185</v>
      </c>
      <c r="AA635" s="1469"/>
      <c r="AB635" s="1470"/>
      <c r="AC635" s="1411"/>
      <c r="AD635" s="1412"/>
      <c r="AE635" s="1413"/>
      <c r="AF635" s="1480"/>
      <c r="AG635" s="1481"/>
      <c r="AH635" s="1481"/>
      <c r="AI635" s="1481"/>
      <c r="AJ635" s="1482"/>
      <c r="AK635" s="1477"/>
      <c r="AL635" s="1478"/>
      <c r="AM635" s="1478"/>
      <c r="AN635" s="1479"/>
      <c r="AO635" s="1467"/>
      <c r="AP635" s="1345"/>
      <c r="AQ635" s="1345"/>
      <c r="AR635" s="1345"/>
      <c r="AS635" s="1346"/>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3">
        <f t="shared" ref="DX635:DX669" si="2">EZ718*(CP718/$CP$753)</f>
        <v>395.20000000000005</v>
      </c>
      <c r="DY635" s="1373"/>
      <c r="DZ635" s="1373"/>
      <c r="EA635" s="1373"/>
      <c r="EB635" s="1373"/>
      <c r="EC635" s="1373" t="e">
        <f t="shared" ref="EC635:EC669" si="3">FE718*(CU718/$CU$753)</f>
        <v>#VALUE!</v>
      </c>
      <c r="ED635" s="1373"/>
      <c r="EE635" s="1373"/>
      <c r="EF635" s="1373"/>
      <c r="EG635" s="1373"/>
      <c r="EH635" s="1373" t="e">
        <f t="shared" ref="EH635:EH669" si="4">FJ718*(CZ718/$CZ$753)</f>
        <v>#VALUE!</v>
      </c>
      <c r="EI635" s="1373"/>
      <c r="EJ635" s="1373"/>
      <c r="EK635" s="1373"/>
      <c r="EL635" s="1373"/>
      <c r="EM635" s="1373" t="e">
        <f t="shared" ref="EM635:EM669" si="5">FO718*(DE718/$DE$753)</f>
        <v>#VALUE!</v>
      </c>
      <c r="EN635" s="1373"/>
      <c r="EO635" s="1373"/>
      <c r="EP635" s="1373"/>
      <c r="EQ635" s="1373"/>
      <c r="ER635" s="1373" t="e">
        <f t="shared" ref="ER635:ER669" si="6">FT718*(DJ718/$DJ$753)</f>
        <v>#VALUE!</v>
      </c>
      <c r="ES635" s="1373"/>
      <c r="ET635" s="1373"/>
      <c r="EU635" s="1373"/>
      <c r="EV635" s="1373"/>
      <c r="EW635" s="1373" t="e">
        <f t="shared" ref="EW635:EW669" si="7">FY718*(DO718/$DO$753)</f>
        <v>#VALUE!</v>
      </c>
      <c r="EX635" s="1373"/>
      <c r="EY635" s="1373"/>
      <c r="EZ635" s="1373"/>
      <c r="FA635" s="1373"/>
    </row>
    <row r="636" spans="2:157" ht="12.95" customHeight="1">
      <c r="B636" s="52" t="s">
        <v>647</v>
      </c>
      <c r="C636" s="1472"/>
      <c r="D636" s="1472"/>
      <c r="E636" s="1472"/>
      <c r="F636" s="1472"/>
      <c r="G636" s="1472"/>
      <c r="H636" s="1472"/>
      <c r="I636" s="1472"/>
      <c r="J636" s="1472"/>
      <c r="K636" s="1472"/>
      <c r="L636" s="1472"/>
      <c r="M636" s="1483" t="s">
        <v>1185</v>
      </c>
      <c r="N636" s="1483"/>
      <c r="O636" s="1483"/>
      <c r="P636" s="1483"/>
      <c r="Q636" s="1506"/>
      <c r="R636" s="1507"/>
      <c r="S636" s="1508"/>
      <c r="T636" s="1506"/>
      <c r="U636" s="1507"/>
      <c r="V636" s="1508"/>
      <c r="W636" s="1473"/>
      <c r="X636" s="1474"/>
      <c r="Y636" s="1475"/>
      <c r="Z636" s="1468" t="s">
        <v>1185</v>
      </c>
      <c r="AA636" s="1469"/>
      <c r="AB636" s="1470"/>
      <c r="AC636" s="1411"/>
      <c r="AD636" s="1412"/>
      <c r="AE636" s="1413"/>
      <c r="AF636" s="1480"/>
      <c r="AG636" s="1481"/>
      <c r="AH636" s="1481"/>
      <c r="AI636" s="1481"/>
      <c r="AJ636" s="1482"/>
      <c r="AK636" s="1477"/>
      <c r="AL636" s="1478"/>
      <c r="AM636" s="1478"/>
      <c r="AN636" s="1479"/>
      <c r="AO636" s="1467"/>
      <c r="AP636" s="1345"/>
      <c r="AQ636" s="1345"/>
      <c r="AR636" s="1345"/>
      <c r="AS636" s="1346"/>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73">
        <f t="shared" si="2"/>
        <v>338.20000000000005</v>
      </c>
      <c r="DY636" s="1373"/>
      <c r="DZ636" s="1373"/>
      <c r="EA636" s="1373"/>
      <c r="EB636" s="1373"/>
      <c r="EC636" s="1373" t="e">
        <f t="shared" si="3"/>
        <v>#VALUE!</v>
      </c>
      <c r="ED636" s="1373"/>
      <c r="EE636" s="1373"/>
      <c r="EF636" s="1373"/>
      <c r="EG636" s="1373"/>
      <c r="EH636" s="1373" t="e">
        <f t="shared" si="4"/>
        <v>#VALUE!</v>
      </c>
      <c r="EI636" s="1373"/>
      <c r="EJ636" s="1373"/>
      <c r="EK636" s="1373"/>
      <c r="EL636" s="1373"/>
      <c r="EM636" s="1373" t="e">
        <f t="shared" si="5"/>
        <v>#VALUE!</v>
      </c>
      <c r="EN636" s="1373"/>
      <c r="EO636" s="1373"/>
      <c r="EP636" s="1373"/>
      <c r="EQ636" s="1373"/>
      <c r="ER636" s="1373" t="e">
        <f t="shared" si="6"/>
        <v>#VALUE!</v>
      </c>
      <c r="ES636" s="1373"/>
      <c r="ET636" s="1373"/>
      <c r="EU636" s="1373"/>
      <c r="EV636" s="1373"/>
      <c r="EW636" s="1373" t="e">
        <f t="shared" si="7"/>
        <v>#VALUE!</v>
      </c>
      <c r="EX636" s="1373"/>
      <c r="EY636" s="1373"/>
      <c r="EZ636" s="1373"/>
      <c r="FA636" s="1373"/>
    </row>
    <row r="637" spans="2:157" ht="12.95" customHeight="1">
      <c r="B637" s="52" t="s">
        <v>362</v>
      </c>
      <c r="C637" s="1472"/>
      <c r="D637" s="1472"/>
      <c r="E637" s="1472"/>
      <c r="F637" s="1472"/>
      <c r="G637" s="1472"/>
      <c r="H637" s="1472"/>
      <c r="I637" s="1472"/>
      <c r="J637" s="1472"/>
      <c r="K637" s="1472"/>
      <c r="L637" s="1472"/>
      <c r="M637" s="1483" t="s">
        <v>1185</v>
      </c>
      <c r="N637" s="1483"/>
      <c r="O637" s="1483"/>
      <c r="P637" s="1483"/>
      <c r="Q637" s="1506"/>
      <c r="R637" s="1507"/>
      <c r="S637" s="1508"/>
      <c r="T637" s="1506"/>
      <c r="U637" s="1507"/>
      <c r="V637" s="1508"/>
      <c r="W637" s="1473"/>
      <c r="X637" s="1474"/>
      <c r="Y637" s="1475"/>
      <c r="Z637" s="1468" t="s">
        <v>1185</v>
      </c>
      <c r="AA637" s="1469"/>
      <c r="AB637" s="1470"/>
      <c r="AC637" s="1411"/>
      <c r="AD637" s="1412"/>
      <c r="AE637" s="1413"/>
      <c r="AF637" s="1480"/>
      <c r="AG637" s="1481"/>
      <c r="AH637" s="1481"/>
      <c r="AI637" s="1481"/>
      <c r="AJ637" s="1482"/>
      <c r="AK637" s="1477"/>
      <c r="AL637" s="1478"/>
      <c r="AM637" s="1478"/>
      <c r="AN637" s="1479"/>
      <c r="AO637" s="1467"/>
      <c r="AP637" s="1345"/>
      <c r="AQ637" s="1345"/>
      <c r="AR637" s="1345"/>
      <c r="AS637" s="1346"/>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373">
        <f t="shared" si="2"/>
        <v>817.2</v>
      </c>
      <c r="DY637" s="1373"/>
      <c r="DZ637" s="1373"/>
      <c r="EA637" s="1373"/>
      <c r="EB637" s="1373"/>
      <c r="EC637" s="1373" t="e">
        <f t="shared" si="3"/>
        <v>#VALUE!</v>
      </c>
      <c r="ED637" s="1373"/>
      <c r="EE637" s="1373"/>
      <c r="EF637" s="1373"/>
      <c r="EG637" s="1373"/>
      <c r="EH637" s="1373" t="e">
        <f t="shared" si="4"/>
        <v>#VALUE!</v>
      </c>
      <c r="EI637" s="1373"/>
      <c r="EJ637" s="1373"/>
      <c r="EK637" s="1373"/>
      <c r="EL637" s="1373"/>
      <c r="EM637" s="1373" t="e">
        <f t="shared" si="5"/>
        <v>#VALUE!</v>
      </c>
      <c r="EN637" s="1373"/>
      <c r="EO637" s="1373"/>
      <c r="EP637" s="1373"/>
      <c r="EQ637" s="1373"/>
      <c r="ER637" s="1373" t="e">
        <f t="shared" si="6"/>
        <v>#VALUE!</v>
      </c>
      <c r="ES637" s="1373"/>
      <c r="ET637" s="1373"/>
      <c r="EU637" s="1373"/>
      <c r="EV637" s="1373"/>
      <c r="EW637" s="1373" t="e">
        <f t="shared" si="7"/>
        <v>#VALUE!</v>
      </c>
      <c r="EX637" s="1373"/>
      <c r="EY637" s="1373"/>
      <c r="EZ637" s="1373"/>
      <c r="FA637" s="1373"/>
    </row>
    <row r="638" spans="2:157" ht="12.95" customHeight="1">
      <c r="B638" s="52" t="s">
        <v>363</v>
      </c>
      <c r="C638" s="1472"/>
      <c r="D638" s="1472"/>
      <c r="E638" s="1472"/>
      <c r="F638" s="1472"/>
      <c r="G638" s="1472"/>
      <c r="H638" s="1472"/>
      <c r="I638" s="1472"/>
      <c r="J638" s="1472"/>
      <c r="K638" s="1472"/>
      <c r="L638" s="1472"/>
      <c r="M638" s="1483" t="s">
        <v>1185</v>
      </c>
      <c r="N638" s="1483"/>
      <c r="O638" s="1483"/>
      <c r="P638" s="1483"/>
      <c r="Q638" s="1506"/>
      <c r="R638" s="1507"/>
      <c r="S638" s="1508"/>
      <c r="T638" s="1506"/>
      <c r="U638" s="1507"/>
      <c r="V638" s="1508"/>
      <c r="W638" s="1473"/>
      <c r="X638" s="1474"/>
      <c r="Y638" s="1475"/>
      <c r="Z638" s="1468" t="s">
        <v>1185</v>
      </c>
      <c r="AA638" s="1469"/>
      <c r="AB638" s="1470"/>
      <c r="AC638" s="1411"/>
      <c r="AD638" s="1412"/>
      <c r="AE638" s="1413"/>
      <c r="AF638" s="1480"/>
      <c r="AG638" s="1481"/>
      <c r="AH638" s="1481"/>
      <c r="AI638" s="1481"/>
      <c r="AJ638" s="1482"/>
      <c r="AK638" s="1477"/>
      <c r="AL638" s="1478"/>
      <c r="AM638" s="1478"/>
      <c r="AN638" s="1479"/>
      <c r="AO638" s="1467"/>
      <c r="AP638" s="1345"/>
      <c r="AQ638" s="1345"/>
      <c r="AR638" s="1345"/>
      <c r="AS638" s="1346"/>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73" t="e">
        <f t="shared" si="2"/>
        <v>#VALUE!</v>
      </c>
      <c r="DY638" s="1373"/>
      <c r="DZ638" s="1373"/>
      <c r="EA638" s="1373"/>
      <c r="EB638" s="1373"/>
      <c r="EC638" s="1373">
        <f t="shared" si="3"/>
        <v>131.375</v>
      </c>
      <c r="ED638" s="1373"/>
      <c r="EE638" s="1373"/>
      <c r="EF638" s="1373"/>
      <c r="EG638" s="1373"/>
      <c r="EH638" s="1373" t="e">
        <f t="shared" si="4"/>
        <v>#VALUE!</v>
      </c>
      <c r="EI638" s="1373"/>
      <c r="EJ638" s="1373"/>
      <c r="EK638" s="1373"/>
      <c r="EL638" s="1373"/>
      <c r="EM638" s="1373" t="e">
        <f t="shared" si="5"/>
        <v>#VALUE!</v>
      </c>
      <c r="EN638" s="1373"/>
      <c r="EO638" s="1373"/>
      <c r="EP638" s="1373"/>
      <c r="EQ638" s="1373"/>
      <c r="ER638" s="1373" t="e">
        <f t="shared" si="6"/>
        <v>#VALUE!</v>
      </c>
      <c r="ES638" s="1373"/>
      <c r="ET638" s="1373"/>
      <c r="EU638" s="1373"/>
      <c r="EV638" s="1373"/>
      <c r="EW638" s="1373" t="e">
        <f t="shared" si="7"/>
        <v>#VALUE!</v>
      </c>
      <c r="EX638" s="1373"/>
      <c r="EY638" s="1373"/>
      <c r="EZ638" s="1373"/>
      <c r="FA638" s="1373"/>
    </row>
    <row r="639" spans="2:157" ht="12.95" customHeight="1">
      <c r="B639" s="1421" t="s">
        <v>128</v>
      </c>
      <c r="C639" s="1422"/>
      <c r="D639" s="1422"/>
      <c r="E639" s="1422"/>
      <c r="F639" s="1422"/>
      <c r="G639" s="1422"/>
      <c r="H639" s="1422"/>
      <c r="I639" s="1422"/>
      <c r="J639" s="1422"/>
      <c r="K639" s="1422"/>
      <c r="L639" s="1422"/>
      <c r="M639" s="1422"/>
      <c r="N639" s="1422"/>
      <c r="O639" s="1422"/>
      <c r="P639" s="1422"/>
      <c r="Q639" s="1422"/>
      <c r="R639" s="1422"/>
      <c r="S639" s="1422"/>
      <c r="T639" s="1422"/>
      <c r="U639" s="1422"/>
      <c r="V639" s="1422"/>
      <c r="W639" s="1422"/>
      <c r="X639" s="1422"/>
      <c r="Y639" s="1422"/>
      <c r="Z639" s="1422"/>
      <c r="AA639" s="1422"/>
      <c r="AB639" s="1422"/>
      <c r="AC639" s="1422"/>
      <c r="AD639" s="1422"/>
      <c r="AE639" s="1422"/>
      <c r="AF639" s="1422"/>
      <c r="AG639" s="1422"/>
      <c r="AH639" s="1422"/>
      <c r="AI639" s="1422"/>
      <c r="AJ639" s="1422"/>
      <c r="AK639" s="1422"/>
      <c r="AL639" s="1422"/>
      <c r="AM639" s="1422"/>
      <c r="AN639" s="1424"/>
      <c r="AO639" s="1464">
        <f>SUM(AO627:AR638)</f>
        <v>40997631</v>
      </c>
      <c r="AP639" s="1465"/>
      <c r="AQ639" s="1465"/>
      <c r="AR639" s="1465"/>
      <c r="AS639" s="146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3" t="e">
        <f t="shared" si="2"/>
        <v>#VALUE!</v>
      </c>
      <c r="DY639" s="1373"/>
      <c r="DZ639" s="1373"/>
      <c r="EA639" s="1373"/>
      <c r="EB639" s="1373"/>
      <c r="EC639" s="1373">
        <f t="shared" si="3"/>
        <v>197.0625</v>
      </c>
      <c r="ED639" s="1373"/>
      <c r="EE639" s="1373"/>
      <c r="EF639" s="1373"/>
      <c r="EG639" s="1373"/>
      <c r="EH639" s="1373" t="e">
        <f t="shared" si="4"/>
        <v>#VALUE!</v>
      </c>
      <c r="EI639" s="1373"/>
      <c r="EJ639" s="1373"/>
      <c r="EK639" s="1373"/>
      <c r="EL639" s="1373"/>
      <c r="EM639" s="1373" t="e">
        <f t="shared" si="5"/>
        <v>#VALUE!</v>
      </c>
      <c r="EN639" s="1373"/>
      <c r="EO639" s="1373"/>
      <c r="EP639" s="1373"/>
      <c r="EQ639" s="1373"/>
      <c r="ER639" s="1373" t="e">
        <f t="shared" si="6"/>
        <v>#VALUE!</v>
      </c>
      <c r="ES639" s="1373"/>
      <c r="ET639" s="1373"/>
      <c r="EU639" s="1373"/>
      <c r="EV639" s="1373"/>
      <c r="EW639" s="1373" t="e">
        <f t="shared" si="7"/>
        <v>#VALUE!</v>
      </c>
      <c r="EX639" s="1373"/>
      <c r="EY639" s="1373"/>
      <c r="EZ639" s="1373"/>
      <c r="FA639" s="1373"/>
    </row>
    <row r="640" spans="2:157" ht="12.95" customHeight="1">
      <c r="B640" s="1421" t="s">
        <v>267</v>
      </c>
      <c r="C640" s="1422"/>
      <c r="D640" s="1422"/>
      <c r="E640" s="1422"/>
      <c r="F640" s="1422"/>
      <c r="G640" s="1422"/>
      <c r="H640" s="1422"/>
      <c r="I640" s="1422"/>
      <c r="J640" s="1422"/>
      <c r="K640" s="1422"/>
      <c r="L640" s="1422"/>
      <c r="M640" s="1422"/>
      <c r="N640" s="1422"/>
      <c r="O640" s="1422"/>
      <c r="P640" s="1422"/>
      <c r="Q640" s="1422"/>
      <c r="R640" s="1422"/>
      <c r="S640" s="1422"/>
      <c r="T640" s="1422"/>
      <c r="U640" s="1422"/>
      <c r="V640" s="1422"/>
      <c r="W640" s="1422"/>
      <c r="X640" s="1422"/>
      <c r="Y640" s="1422"/>
      <c r="Z640" s="1422"/>
      <c r="AA640" s="1422"/>
      <c r="AB640" s="1422"/>
      <c r="AC640" s="1422"/>
      <c r="AD640" s="1422"/>
      <c r="AE640" s="1422"/>
      <c r="AF640" s="1422"/>
      <c r="AG640" s="1422"/>
      <c r="AH640" s="1422"/>
      <c r="AI640" s="1422"/>
      <c r="AJ640" s="1422"/>
      <c r="AK640" s="1422"/>
      <c r="AL640" s="1422"/>
      <c r="AM640" s="1422"/>
      <c r="AN640" s="1424"/>
      <c r="AO640" s="1467">
        <f>30644612+11314274</f>
        <v>41958886</v>
      </c>
      <c r="AP640" s="1345"/>
      <c r="AQ640" s="1345"/>
      <c r="AR640" s="1345"/>
      <c r="AS640" s="1346"/>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3" t="e">
        <f t="shared" si="2"/>
        <v>#VALUE!</v>
      </c>
      <c r="DY640" s="1373"/>
      <c r="DZ640" s="1373"/>
      <c r="EA640" s="1373"/>
      <c r="EB640" s="1373"/>
      <c r="EC640" s="1373">
        <f t="shared" si="3"/>
        <v>169.21875</v>
      </c>
      <c r="ED640" s="1373"/>
      <c r="EE640" s="1373"/>
      <c r="EF640" s="1373"/>
      <c r="EG640" s="1373"/>
      <c r="EH640" s="1373" t="e">
        <f t="shared" si="4"/>
        <v>#VALUE!</v>
      </c>
      <c r="EI640" s="1373"/>
      <c r="EJ640" s="1373"/>
      <c r="EK640" s="1373"/>
      <c r="EL640" s="1373"/>
      <c r="EM640" s="1373" t="e">
        <f t="shared" si="5"/>
        <v>#VALUE!</v>
      </c>
      <c r="EN640" s="1373"/>
      <c r="EO640" s="1373"/>
      <c r="EP640" s="1373"/>
      <c r="EQ640" s="1373"/>
      <c r="ER640" s="1373" t="e">
        <f t="shared" si="6"/>
        <v>#VALUE!</v>
      </c>
      <c r="ES640" s="1373"/>
      <c r="ET640" s="1373"/>
      <c r="EU640" s="1373"/>
      <c r="EV640" s="1373"/>
      <c r="EW640" s="1373" t="e">
        <f t="shared" si="7"/>
        <v>#VALUE!</v>
      </c>
      <c r="EX640" s="1373"/>
      <c r="EY640" s="1373"/>
      <c r="EZ640" s="1373"/>
      <c r="FA640" s="1373"/>
    </row>
    <row r="641" spans="1:157" ht="12.95" customHeight="1">
      <c r="B641" s="1832" t="s">
        <v>268</v>
      </c>
      <c r="C641" s="1423"/>
      <c r="D641" s="1423"/>
      <c r="E641" s="1423"/>
      <c r="F641" s="1423"/>
      <c r="G641" s="1423"/>
      <c r="H641" s="1423"/>
      <c r="I641" s="1423"/>
      <c r="J641" s="1423"/>
      <c r="K641" s="1423"/>
      <c r="L641" s="1423"/>
      <c r="M641" s="1423"/>
      <c r="N641" s="1423"/>
      <c r="O641" s="1423"/>
      <c r="P641" s="1423"/>
      <c r="Q641" s="1423"/>
      <c r="R641" s="1423"/>
      <c r="S641" s="1423"/>
      <c r="T641" s="1423"/>
      <c r="U641" s="1423"/>
      <c r="V641" s="1423"/>
      <c r="W641" s="1423"/>
      <c r="X641" s="1423"/>
      <c r="Y641" s="1423"/>
      <c r="Z641" s="1423"/>
      <c r="AA641" s="1423"/>
      <c r="AB641" s="1423"/>
      <c r="AC641" s="1423"/>
      <c r="AD641" s="1423"/>
      <c r="AE641" s="1423"/>
      <c r="AF641" s="1423"/>
      <c r="AG641" s="1423"/>
      <c r="AH641" s="1423"/>
      <c r="AI641" s="1423"/>
      <c r="AJ641" s="1423"/>
      <c r="AK641" s="1423"/>
      <c r="AL641" s="1423"/>
      <c r="AM641" s="1423"/>
      <c r="AN641" s="1833"/>
      <c r="AO641" s="1464">
        <f>AO639+AO640</f>
        <v>82956517</v>
      </c>
      <c r="AP641" s="1465"/>
      <c r="AQ641" s="1465"/>
      <c r="AR641" s="1465"/>
      <c r="AS641" s="146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3" t="e">
        <f t="shared" si="2"/>
        <v>#VALUE!</v>
      </c>
      <c r="DY641" s="1373"/>
      <c r="DZ641" s="1373"/>
      <c r="EA641" s="1373"/>
      <c r="EB641" s="1373"/>
      <c r="EC641" s="1373">
        <f t="shared" si="3"/>
        <v>1295.5625</v>
      </c>
      <c r="ED641" s="1373"/>
      <c r="EE641" s="1373"/>
      <c r="EF641" s="1373"/>
      <c r="EG641" s="1373"/>
      <c r="EH641" s="1373" t="e">
        <f t="shared" si="4"/>
        <v>#VALUE!</v>
      </c>
      <c r="EI641" s="1373"/>
      <c r="EJ641" s="1373"/>
      <c r="EK641" s="1373"/>
      <c r="EL641" s="1373"/>
      <c r="EM641" s="1373" t="e">
        <f t="shared" si="5"/>
        <v>#VALUE!</v>
      </c>
      <c r="EN641" s="1373"/>
      <c r="EO641" s="1373"/>
      <c r="EP641" s="1373"/>
      <c r="EQ641" s="1373"/>
      <c r="ER641" s="1373" t="e">
        <f t="shared" si="6"/>
        <v>#VALUE!</v>
      </c>
      <c r="ES641" s="1373"/>
      <c r="ET641" s="1373"/>
      <c r="EU641" s="1373"/>
      <c r="EV641" s="1373"/>
      <c r="EW641" s="1373" t="e">
        <f t="shared" si="7"/>
        <v>#VALUE!</v>
      </c>
      <c r="EX641" s="1373"/>
      <c r="EY641" s="1373"/>
      <c r="EZ641" s="1373"/>
      <c r="FA641" s="1373"/>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3" t="e">
        <f t="shared" si="2"/>
        <v>#VALUE!</v>
      </c>
      <c r="DY642" s="1373"/>
      <c r="DZ642" s="1373"/>
      <c r="EA642" s="1373"/>
      <c r="EB642" s="1373"/>
      <c r="EC642" s="1373" t="e">
        <f t="shared" si="3"/>
        <v>#VALUE!</v>
      </c>
      <c r="ED642" s="1373"/>
      <c r="EE642" s="1373"/>
      <c r="EF642" s="1373"/>
      <c r="EG642" s="1373"/>
      <c r="EH642" s="1373">
        <f t="shared" si="4"/>
        <v>297.61904761904759</v>
      </c>
      <c r="EI642" s="1373"/>
      <c r="EJ642" s="1373"/>
      <c r="EK642" s="1373"/>
      <c r="EL642" s="1373"/>
      <c r="EM642" s="1373" t="e">
        <f t="shared" si="5"/>
        <v>#VALUE!</v>
      </c>
      <c r="EN642" s="1373"/>
      <c r="EO642" s="1373"/>
      <c r="EP642" s="1373"/>
      <c r="EQ642" s="1373"/>
      <c r="ER642" s="1373" t="e">
        <f t="shared" si="6"/>
        <v>#VALUE!</v>
      </c>
      <c r="ES642" s="1373"/>
      <c r="ET642" s="1373"/>
      <c r="EU642" s="1373"/>
      <c r="EV642" s="1373"/>
      <c r="EW642" s="1373" t="e">
        <f t="shared" si="7"/>
        <v>#VALUE!</v>
      </c>
      <c r="EX642" s="1373"/>
      <c r="EY642" s="1373"/>
      <c r="EZ642" s="1373"/>
      <c r="FA642" s="1373"/>
    </row>
    <row r="643" spans="1:157" ht="12.95" customHeight="1">
      <c r="A643" s="55" t="s">
        <v>112</v>
      </c>
      <c r="B643" t="s">
        <v>464</v>
      </c>
      <c r="G643" s="1476" t="str">
        <f>C627</f>
        <v>Citi Bank Perm Loan</v>
      </c>
      <c r="H643" s="1476"/>
      <c r="I643" s="1476"/>
      <c r="J643" s="1476"/>
      <c r="K643" s="1476"/>
      <c r="L643" s="1476"/>
      <c r="M643" s="1476"/>
      <c r="N643" s="1476"/>
      <c r="O643" s="1476"/>
      <c r="P643" s="1476"/>
      <c r="Q643" s="1476"/>
      <c r="R643" s="1476"/>
      <c r="S643" s="8"/>
      <c r="T643" s="55" t="s">
        <v>113</v>
      </c>
      <c r="U643" t="s">
        <v>464</v>
      </c>
      <c r="Z643" s="1476" t="str">
        <f>C628</f>
        <v>Developer Note</v>
      </c>
      <c r="AA643" s="1476"/>
      <c r="AB643" s="1476"/>
      <c r="AC643" s="1476"/>
      <c r="AD643" s="1476"/>
      <c r="AE643" s="1476"/>
      <c r="AF643" s="1476"/>
      <c r="AG643" s="1476"/>
      <c r="AH643" s="1476"/>
      <c r="AI643" s="1476"/>
      <c r="AJ643" s="1476"/>
      <c r="AK643" s="1476"/>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3" t="e">
        <f t="shared" si="2"/>
        <v>#VALUE!</v>
      </c>
      <c r="DY643" s="1373"/>
      <c r="DZ643" s="1373"/>
      <c r="EA643" s="1373"/>
      <c r="EB643" s="1373"/>
      <c r="EC643" s="1373" t="e">
        <f t="shared" si="3"/>
        <v>#VALUE!</v>
      </c>
      <c r="ED643" s="1373"/>
      <c r="EE643" s="1373"/>
      <c r="EF643" s="1373"/>
      <c r="EG643" s="1373"/>
      <c r="EH643" s="1373">
        <f t="shared" si="4"/>
        <v>357.14285714285711</v>
      </c>
      <c r="EI643" s="1373"/>
      <c r="EJ643" s="1373"/>
      <c r="EK643" s="1373"/>
      <c r="EL643" s="1373"/>
      <c r="EM643" s="1373" t="e">
        <f t="shared" si="5"/>
        <v>#VALUE!</v>
      </c>
      <c r="EN643" s="1373"/>
      <c r="EO643" s="1373"/>
      <c r="EP643" s="1373"/>
      <c r="EQ643" s="1373"/>
      <c r="ER643" s="1373" t="e">
        <f t="shared" si="6"/>
        <v>#VALUE!</v>
      </c>
      <c r="ES643" s="1373"/>
      <c r="ET643" s="1373"/>
      <c r="EU643" s="1373"/>
      <c r="EV643" s="1373"/>
      <c r="EW643" s="1373" t="e">
        <f t="shared" si="7"/>
        <v>#VALUE!</v>
      </c>
      <c r="EX643" s="1373"/>
      <c r="EY643" s="1373"/>
      <c r="EZ643" s="1373"/>
      <c r="FA643" s="1373"/>
    </row>
    <row r="644" spans="1:157" ht="12.95" customHeight="1">
      <c r="A644" s="22"/>
      <c r="B644" t="s">
        <v>85</v>
      </c>
      <c r="G644" s="1420" t="s">
        <v>2694</v>
      </c>
      <c r="H644" s="1420"/>
      <c r="I644" s="1420"/>
      <c r="J644" s="1420"/>
      <c r="K644" s="1420"/>
      <c r="L644" s="1420"/>
      <c r="M644" s="1420"/>
      <c r="N644" s="1420"/>
      <c r="O644" s="1420"/>
      <c r="P644" s="1420"/>
      <c r="Q644" s="1420"/>
      <c r="R644" s="1420"/>
      <c r="S644" s="8"/>
      <c r="T644" s="22"/>
      <c r="U644" t="s">
        <v>85</v>
      </c>
      <c r="Z644" s="1420" t="s">
        <v>2630</v>
      </c>
      <c r="AA644" s="1420"/>
      <c r="AB644" s="1420"/>
      <c r="AC644" s="1420"/>
      <c r="AD644" s="1420"/>
      <c r="AE644" s="1420"/>
      <c r="AF644" s="1420"/>
      <c r="AG644" s="1420"/>
      <c r="AH644" s="1420"/>
      <c r="AI644" s="1420"/>
      <c r="AJ644" s="1420"/>
      <c r="AK644" s="1420"/>
      <c r="AV644" s="3"/>
      <c r="AW644" s="3"/>
      <c r="AX644" s="3"/>
      <c r="AY644" s="3"/>
      <c r="AZ644" s="3"/>
      <c r="BA644" s="3"/>
      <c r="BB644" s="3"/>
      <c r="BC644" s="3"/>
      <c r="BD644" s="3"/>
      <c r="BE644" s="3"/>
      <c r="BF644" s="3"/>
      <c r="BG644" s="3"/>
      <c r="BH644" s="3"/>
      <c r="BI644" s="3"/>
      <c r="BJ644" s="3"/>
      <c r="BK644" s="3"/>
      <c r="BL644" s="3"/>
      <c r="BM644" s="3"/>
      <c r="DX644" s="1373" t="e">
        <f t="shared" si="2"/>
        <v>#VALUE!</v>
      </c>
      <c r="DY644" s="1373"/>
      <c r="DZ644" s="1373"/>
      <c r="EA644" s="1373"/>
      <c r="EB644" s="1373"/>
      <c r="EC644" s="1373" t="e">
        <f t="shared" si="3"/>
        <v>#VALUE!</v>
      </c>
      <c r="ED644" s="1373"/>
      <c r="EE644" s="1373"/>
      <c r="EF644" s="1373"/>
      <c r="EG644" s="1373"/>
      <c r="EH644" s="1373">
        <f t="shared" si="4"/>
        <v>307.85714285714283</v>
      </c>
      <c r="EI644" s="1373"/>
      <c r="EJ644" s="1373"/>
      <c r="EK644" s="1373"/>
      <c r="EL644" s="1373"/>
      <c r="EM644" s="1373" t="e">
        <f t="shared" si="5"/>
        <v>#VALUE!</v>
      </c>
      <c r="EN644" s="1373"/>
      <c r="EO644" s="1373"/>
      <c r="EP644" s="1373"/>
      <c r="EQ644" s="1373"/>
      <c r="ER644" s="1373" t="e">
        <f t="shared" si="6"/>
        <v>#VALUE!</v>
      </c>
      <c r="ES644" s="1373"/>
      <c r="ET644" s="1373"/>
      <c r="EU644" s="1373"/>
      <c r="EV644" s="1373"/>
      <c r="EW644" s="1373" t="e">
        <f t="shared" si="7"/>
        <v>#VALUE!</v>
      </c>
      <c r="EX644" s="1373"/>
      <c r="EY644" s="1373"/>
      <c r="EZ644" s="1373"/>
      <c r="FA644" s="1373"/>
    </row>
    <row r="645" spans="1:157" ht="12.95" customHeight="1">
      <c r="A645" s="22"/>
      <c r="B645" t="s">
        <v>581</v>
      </c>
      <c r="G645" s="1420" t="s">
        <v>2695</v>
      </c>
      <c r="H645" s="1420"/>
      <c r="I645" s="1420"/>
      <c r="J645" s="1420"/>
      <c r="K645" s="1420"/>
      <c r="L645" s="1420"/>
      <c r="M645" s="1420"/>
      <c r="N645" s="1420"/>
      <c r="O645" s="1420"/>
      <c r="P645" s="1420"/>
      <c r="Q645" s="1420"/>
      <c r="R645" s="1420"/>
      <c r="T645" s="22"/>
      <c r="U645" t="s">
        <v>581</v>
      </c>
      <c r="Z645" s="1401" t="s">
        <v>2641</v>
      </c>
      <c r="AA645" s="1401"/>
      <c r="AB645" s="1401"/>
      <c r="AC645" s="1401"/>
      <c r="AD645" s="1401"/>
      <c r="AE645" s="1401"/>
      <c r="AF645" s="1401"/>
      <c r="AG645" s="1401"/>
      <c r="AH645" s="1401"/>
      <c r="AI645" s="1401"/>
      <c r="AJ645" s="1401"/>
      <c r="AK645" s="1401"/>
      <c r="AV645" s="3"/>
      <c r="AW645" s="3"/>
      <c r="AX645" s="3"/>
      <c r="AY645" s="3"/>
      <c r="AZ645" s="3"/>
      <c r="BA645" s="3"/>
      <c r="BB645" s="3"/>
      <c r="BC645" s="3"/>
      <c r="BD645" s="3"/>
      <c r="BE645" s="3"/>
      <c r="BF645" s="3"/>
      <c r="BG645" s="3"/>
      <c r="BH645" s="3"/>
      <c r="BI645" s="3"/>
      <c r="BJ645" s="3"/>
      <c r="BK645" s="3"/>
      <c r="BL645" s="3"/>
      <c r="BM645" s="3"/>
      <c r="DX645" s="1373" t="e">
        <f t="shared" si="2"/>
        <v>#VALUE!</v>
      </c>
      <c r="DY645" s="1373"/>
      <c r="DZ645" s="1373"/>
      <c r="EA645" s="1373"/>
      <c r="EB645" s="1373"/>
      <c r="EC645" s="1373" t="e">
        <f t="shared" si="3"/>
        <v>#VALUE!</v>
      </c>
      <c r="ED645" s="1373"/>
      <c r="EE645" s="1373"/>
      <c r="EF645" s="1373"/>
      <c r="EG645" s="1373"/>
      <c r="EH645" s="1373">
        <f t="shared" si="4"/>
        <v>869</v>
      </c>
      <c r="EI645" s="1373"/>
      <c r="EJ645" s="1373"/>
      <c r="EK645" s="1373"/>
      <c r="EL645" s="1373"/>
      <c r="EM645" s="1373" t="e">
        <f t="shared" si="5"/>
        <v>#VALUE!</v>
      </c>
      <c r="EN645" s="1373"/>
      <c r="EO645" s="1373"/>
      <c r="EP645" s="1373"/>
      <c r="EQ645" s="1373"/>
      <c r="ER645" s="1373" t="e">
        <f t="shared" si="6"/>
        <v>#VALUE!</v>
      </c>
      <c r="ES645" s="1373"/>
      <c r="ET645" s="1373"/>
      <c r="EU645" s="1373"/>
      <c r="EV645" s="1373"/>
      <c r="EW645" s="1373" t="e">
        <f t="shared" si="7"/>
        <v>#VALUE!</v>
      </c>
      <c r="EX645" s="1373"/>
      <c r="EY645" s="1373"/>
      <c r="EZ645" s="1373"/>
      <c r="FA645" s="1373"/>
    </row>
    <row r="646" spans="1:157" ht="12.95" customHeight="1">
      <c r="A646" s="22"/>
      <c r="B646" t="s">
        <v>17</v>
      </c>
      <c r="G646" s="1420" t="s">
        <v>2696</v>
      </c>
      <c r="H646" s="1420"/>
      <c r="I646" s="1420"/>
      <c r="J646" s="1420"/>
      <c r="K646" s="1420"/>
      <c r="L646" s="1420"/>
      <c r="M646" s="1420"/>
      <c r="N646" s="1420"/>
      <c r="O646" s="1420"/>
      <c r="P646" s="1420"/>
      <c r="Q646" s="1420"/>
      <c r="R646" s="1420"/>
      <c r="S646" s="8"/>
      <c r="T646" s="22"/>
      <c r="U646" t="s">
        <v>17</v>
      </c>
      <c r="Z646" s="1401" t="s">
        <v>2633</v>
      </c>
      <c r="AA646" s="1401"/>
      <c r="AB646" s="1401"/>
      <c r="AC646" s="1401"/>
      <c r="AD646" s="1401"/>
      <c r="AE646" s="1401"/>
      <c r="AF646" s="1401"/>
      <c r="AG646" s="1401"/>
      <c r="AH646" s="1401"/>
      <c r="AI646" s="1401"/>
      <c r="AJ646" s="1401"/>
      <c r="AK646" s="1401"/>
      <c r="AZ646" s="3"/>
      <c r="BA646" s="3"/>
      <c r="BB646" s="3"/>
      <c r="BC646" s="3"/>
      <c r="BD646" s="3"/>
      <c r="BE646" s="3"/>
      <c r="BF646" s="3"/>
      <c r="BG646" s="3"/>
      <c r="BH646" s="3"/>
      <c r="BI646" s="3"/>
      <c r="BJ646" s="3"/>
      <c r="BK646" s="3"/>
      <c r="BL646" s="3"/>
      <c r="BM646" s="3"/>
      <c r="DX646" s="1373" t="e">
        <f t="shared" si="2"/>
        <v>#VALUE!</v>
      </c>
      <c r="DY646" s="1373"/>
      <c r="DZ646" s="1373"/>
      <c r="EA646" s="1373"/>
      <c r="EB646" s="1373"/>
      <c r="EC646" s="1373" t="e">
        <f t="shared" si="3"/>
        <v>#VALUE!</v>
      </c>
      <c r="ED646" s="1373"/>
      <c r="EE646" s="1373"/>
      <c r="EF646" s="1373"/>
      <c r="EG646" s="1373"/>
      <c r="EH646" s="1373" t="e">
        <f t="shared" si="4"/>
        <v>#VALUE!</v>
      </c>
      <c r="EI646" s="1373"/>
      <c r="EJ646" s="1373"/>
      <c r="EK646" s="1373"/>
      <c r="EL646" s="1373"/>
      <c r="EM646" s="1373">
        <f t="shared" si="5"/>
        <v>71.600000000000009</v>
      </c>
      <c r="EN646" s="1373"/>
      <c r="EO646" s="1373"/>
      <c r="EP646" s="1373"/>
      <c r="EQ646" s="1373"/>
      <c r="ER646" s="1373" t="e">
        <f t="shared" si="6"/>
        <v>#VALUE!</v>
      </c>
      <c r="ES646" s="1373"/>
      <c r="ET646" s="1373"/>
      <c r="EU646" s="1373"/>
      <c r="EV646" s="1373"/>
      <c r="EW646" s="1373" t="e">
        <f t="shared" si="7"/>
        <v>#VALUE!</v>
      </c>
      <c r="EX646" s="1373"/>
      <c r="EY646" s="1373"/>
      <c r="EZ646" s="1373"/>
      <c r="FA646" s="1373"/>
    </row>
    <row r="647" spans="1:157" ht="12.95" customHeight="1">
      <c r="A647" s="22"/>
      <c r="B647" t="s">
        <v>316</v>
      </c>
      <c r="G647" s="1496" t="s">
        <v>2697</v>
      </c>
      <c r="H647" s="1496"/>
      <c r="I647" s="1496"/>
      <c r="J647" s="1496"/>
      <c r="K647" s="1496"/>
      <c r="L647" s="1496"/>
      <c r="O647" s="33" t="s">
        <v>206</v>
      </c>
      <c r="P647" s="1463"/>
      <c r="Q647" s="1463"/>
      <c r="R647" s="1463"/>
      <c r="S647" s="10"/>
      <c r="T647" s="22"/>
      <c r="U647" t="s">
        <v>316</v>
      </c>
      <c r="Z647" s="1496">
        <v>7078229000</v>
      </c>
      <c r="AA647" s="1496"/>
      <c r="AB647" s="1496"/>
      <c r="AC647" s="1496"/>
      <c r="AD647" s="1496"/>
      <c r="AE647" s="1496"/>
      <c r="AH647" s="33" t="s">
        <v>206</v>
      </c>
      <c r="AI647" s="1463"/>
      <c r="AJ647" s="1463"/>
      <c r="AK647" s="1463"/>
      <c r="AZ647" s="34"/>
      <c r="BA647" s="34"/>
      <c r="BB647" s="34"/>
      <c r="BC647" s="34"/>
      <c r="BD647" s="34"/>
      <c r="BE647" s="34"/>
      <c r="BF647" s="34"/>
      <c r="BG647" s="34"/>
      <c r="BH647" s="34"/>
      <c r="BI647" s="34"/>
      <c r="BJ647" s="34"/>
      <c r="BK647" s="34"/>
      <c r="BL647" s="34"/>
      <c r="BM647" s="34"/>
      <c r="DX647" s="1373" t="e">
        <f t="shared" si="2"/>
        <v>#VALUE!</v>
      </c>
      <c r="DY647" s="1373"/>
      <c r="DZ647" s="1373"/>
      <c r="EA647" s="1373"/>
      <c r="EB647" s="1373"/>
      <c r="EC647" s="1373" t="e">
        <f t="shared" si="3"/>
        <v>#VALUE!</v>
      </c>
      <c r="ED647" s="1373"/>
      <c r="EE647" s="1373"/>
      <c r="EF647" s="1373"/>
      <c r="EG647" s="1373"/>
      <c r="EH647" s="1373" t="e">
        <f t="shared" si="4"/>
        <v>#VALUE!</v>
      </c>
      <c r="EI647" s="1373"/>
      <c r="EJ647" s="1373"/>
      <c r="EK647" s="1373"/>
      <c r="EL647" s="1373"/>
      <c r="EM647" s="1373">
        <f t="shared" si="5"/>
        <v>1114.2</v>
      </c>
      <c r="EN647" s="1373"/>
      <c r="EO647" s="1373"/>
      <c r="EP647" s="1373"/>
      <c r="EQ647" s="1373"/>
      <c r="ER647" s="1373" t="e">
        <f t="shared" si="6"/>
        <v>#VALUE!</v>
      </c>
      <c r="ES647" s="1373"/>
      <c r="ET647" s="1373"/>
      <c r="EU647" s="1373"/>
      <c r="EV647" s="1373"/>
      <c r="EW647" s="1373" t="e">
        <f t="shared" si="7"/>
        <v>#VALUE!</v>
      </c>
      <c r="EX647" s="1373"/>
      <c r="EY647" s="1373"/>
      <c r="EZ647" s="1373"/>
      <c r="FA647" s="1373"/>
    </row>
    <row r="648" spans="1:157" ht="12.95" customHeight="1">
      <c r="A648" s="22"/>
      <c r="B648" t="s">
        <v>18</v>
      </c>
      <c r="H648" s="1420" t="s">
        <v>2712</v>
      </c>
      <c r="I648" s="1420"/>
      <c r="J648" s="1420"/>
      <c r="K648" s="1420"/>
      <c r="L648" s="1420"/>
      <c r="M648" s="1420"/>
      <c r="N648" s="1420"/>
      <c r="O648" s="1420"/>
      <c r="P648" s="1420"/>
      <c r="Q648" s="1420"/>
      <c r="R648" s="1420"/>
      <c r="S648" s="8"/>
      <c r="T648" s="22"/>
      <c r="U648" t="s">
        <v>18</v>
      </c>
      <c r="AA648" s="1420" t="s">
        <v>2321</v>
      </c>
      <c r="AB648" s="1420"/>
      <c r="AC648" s="1420"/>
      <c r="AD648" s="1420"/>
      <c r="AE648" s="1420"/>
      <c r="AF648" s="1420"/>
      <c r="AG648" s="1420"/>
      <c r="AH648" s="1420"/>
      <c r="AI648" s="1420"/>
      <c r="AJ648" s="1420"/>
      <c r="AK648" s="1420"/>
      <c r="AZ648" s="34"/>
      <c r="BA648" s="34"/>
      <c r="BB648" s="34"/>
      <c r="BC648" s="34"/>
      <c r="BD648" s="34"/>
      <c r="BE648" s="34"/>
      <c r="BF648" s="34"/>
      <c r="BG648" s="34"/>
      <c r="BH648" s="34"/>
      <c r="BI648" s="34"/>
      <c r="BJ648" s="34"/>
      <c r="BK648" s="34"/>
      <c r="BL648" s="34"/>
      <c r="BM648" s="34"/>
      <c r="DX648" s="1373" t="e">
        <f t="shared" si="2"/>
        <v>#VALUE!</v>
      </c>
      <c r="DY648" s="1373"/>
      <c r="DZ648" s="1373"/>
      <c r="EA648" s="1373"/>
      <c r="EB648" s="1373"/>
      <c r="EC648" s="1373" t="e">
        <f t="shared" si="3"/>
        <v>#VALUE!</v>
      </c>
      <c r="ED648" s="1373"/>
      <c r="EE648" s="1373"/>
      <c r="EF648" s="1373"/>
      <c r="EG648" s="1373"/>
      <c r="EH648" s="1373" t="e">
        <f t="shared" si="4"/>
        <v>#VALUE!</v>
      </c>
      <c r="EI648" s="1373"/>
      <c r="EJ648" s="1373"/>
      <c r="EK648" s="1373"/>
      <c r="EL648" s="1373"/>
      <c r="EM648" s="1373">
        <f t="shared" si="5"/>
        <v>1499.5</v>
      </c>
      <c r="EN648" s="1373"/>
      <c r="EO648" s="1373"/>
      <c r="EP648" s="1373"/>
      <c r="EQ648" s="1373"/>
      <c r="ER648" s="1373" t="e">
        <f t="shared" si="6"/>
        <v>#VALUE!</v>
      </c>
      <c r="ES648" s="1373"/>
      <c r="ET648" s="1373"/>
      <c r="EU648" s="1373"/>
      <c r="EV648" s="1373"/>
      <c r="EW648" s="1373" t="e">
        <f t="shared" si="7"/>
        <v>#VALUE!</v>
      </c>
      <c r="EX648" s="1373"/>
      <c r="EY648" s="1373"/>
      <c r="EZ648" s="1373"/>
      <c r="FA648" s="1373"/>
    </row>
    <row r="649" spans="1:157" ht="12.95" customHeight="1">
      <c r="A649" s="22"/>
      <c r="B649" t="s">
        <v>20</v>
      </c>
      <c r="N649" s="1391" t="s">
        <v>546</v>
      </c>
      <c r="O649" s="1391"/>
      <c r="T649" s="22"/>
      <c r="U649" t="s">
        <v>20</v>
      </c>
      <c r="AG649" s="1391" t="s">
        <v>546</v>
      </c>
      <c r="AH649" s="1391"/>
      <c r="AZ649" s="34"/>
      <c r="BA649" s="34"/>
      <c r="BB649" s="34"/>
      <c r="BC649" s="34"/>
      <c r="BD649" s="34"/>
      <c r="BE649" s="34"/>
      <c r="BF649" s="34"/>
      <c r="BG649" s="34"/>
      <c r="BH649" s="34"/>
      <c r="BI649" s="34"/>
      <c r="BJ649" s="34"/>
      <c r="BK649" s="34"/>
      <c r="BL649" s="34"/>
      <c r="BM649" s="34"/>
      <c r="DX649" s="1373" t="e">
        <f t="shared" si="2"/>
        <v>#VALUE!</v>
      </c>
      <c r="DY649" s="1373"/>
      <c r="DZ649" s="1373"/>
      <c r="EA649" s="1373"/>
      <c r="EB649" s="1373"/>
      <c r="EC649" s="1373" t="e">
        <f t="shared" si="3"/>
        <v>#VALUE!</v>
      </c>
      <c r="ED649" s="1373"/>
      <c r="EE649" s="1373"/>
      <c r="EF649" s="1373"/>
      <c r="EG649" s="1373"/>
      <c r="EH649" s="1373" t="e">
        <f t="shared" si="4"/>
        <v>#VALUE!</v>
      </c>
      <c r="EI649" s="1373"/>
      <c r="EJ649" s="1373"/>
      <c r="EK649" s="1373"/>
      <c r="EL649" s="1373"/>
      <c r="EM649" s="1373" t="e">
        <f t="shared" si="5"/>
        <v>#VALUE!</v>
      </c>
      <c r="EN649" s="1373"/>
      <c r="EO649" s="1373"/>
      <c r="EP649" s="1373"/>
      <c r="EQ649" s="1373"/>
      <c r="ER649" s="1373" t="e">
        <f t="shared" si="6"/>
        <v>#VALUE!</v>
      </c>
      <c r="ES649" s="1373"/>
      <c r="ET649" s="1373"/>
      <c r="EU649" s="1373"/>
      <c r="EV649" s="1373"/>
      <c r="EW649" s="1373" t="e">
        <f t="shared" si="7"/>
        <v>#VALUE!</v>
      </c>
      <c r="EX649" s="1373"/>
      <c r="EY649" s="1373"/>
      <c r="EZ649" s="1373"/>
      <c r="FA649" s="1373"/>
    </row>
    <row r="650" spans="1:157" ht="12.95" customHeight="1">
      <c r="A650" s="22"/>
      <c r="T650" s="22"/>
      <c r="AZ650" s="34"/>
      <c r="BA650" s="34"/>
      <c r="BB650" s="34"/>
      <c r="BC650" s="34"/>
      <c r="BD650" s="34"/>
      <c r="BE650" s="34"/>
      <c r="BF650" s="34"/>
      <c r="BG650" s="34"/>
      <c r="BH650" s="34"/>
      <c r="BI650" s="34"/>
      <c r="BJ650" s="34"/>
      <c r="BK650" s="34"/>
      <c r="BL650" s="34"/>
      <c r="BM650" s="34"/>
      <c r="DX650" s="1373" t="e">
        <f t="shared" si="2"/>
        <v>#VALUE!</v>
      </c>
      <c r="DY650" s="1373"/>
      <c r="DZ650" s="1373"/>
      <c r="EA650" s="1373"/>
      <c r="EB650" s="1373"/>
      <c r="EC650" s="1373" t="e">
        <f t="shared" si="3"/>
        <v>#VALUE!</v>
      </c>
      <c r="ED650" s="1373"/>
      <c r="EE650" s="1373"/>
      <c r="EF650" s="1373"/>
      <c r="EG650" s="1373"/>
      <c r="EH650" s="1373" t="e">
        <f t="shared" si="4"/>
        <v>#VALUE!</v>
      </c>
      <c r="EI650" s="1373"/>
      <c r="EJ650" s="1373"/>
      <c r="EK650" s="1373"/>
      <c r="EL650" s="1373"/>
      <c r="EM650" s="1373" t="e">
        <f t="shared" si="5"/>
        <v>#VALUE!</v>
      </c>
      <c r="EN650" s="1373"/>
      <c r="EO650" s="1373"/>
      <c r="EP650" s="1373"/>
      <c r="EQ650" s="1373"/>
      <c r="ER650" s="1373" t="e">
        <f t="shared" si="6"/>
        <v>#VALUE!</v>
      </c>
      <c r="ES650" s="1373"/>
      <c r="ET650" s="1373"/>
      <c r="EU650" s="1373"/>
      <c r="EV650" s="1373"/>
      <c r="EW650" s="1373" t="e">
        <f t="shared" si="7"/>
        <v>#VALUE!</v>
      </c>
      <c r="EX650" s="1373"/>
      <c r="EY650" s="1373"/>
      <c r="EZ650" s="1373"/>
      <c r="FA650" s="1373"/>
    </row>
    <row r="651" spans="1:157" ht="12.95" customHeight="1">
      <c r="A651" s="55" t="s">
        <v>119</v>
      </c>
      <c r="B651" t="s">
        <v>464</v>
      </c>
      <c r="G651" s="1476" t="str">
        <f>C629</f>
        <v>City of Mountain View</v>
      </c>
      <c r="H651" s="1476"/>
      <c r="I651" s="1476"/>
      <c r="J651" s="1476"/>
      <c r="K651" s="1476"/>
      <c r="L651" s="1476"/>
      <c r="M651" s="1476"/>
      <c r="N651" s="1476"/>
      <c r="O651" s="1476"/>
      <c r="P651" s="1476"/>
      <c r="Q651" s="1476"/>
      <c r="R651" s="1476"/>
      <c r="T651" s="55" t="s">
        <v>582</v>
      </c>
      <c r="U651" t="s">
        <v>464</v>
      </c>
      <c r="Z651" s="1476" t="str">
        <f>C630</f>
        <v>County of Santa Clara Measure A</v>
      </c>
      <c r="AA651" s="1476"/>
      <c r="AB651" s="1476"/>
      <c r="AC651" s="1476"/>
      <c r="AD651" s="1476"/>
      <c r="AE651" s="1476"/>
      <c r="AF651" s="1476"/>
      <c r="AG651" s="1476"/>
      <c r="AH651" s="1476"/>
      <c r="AI651" s="1476"/>
      <c r="AJ651" s="1476"/>
      <c r="AK651" s="1476"/>
      <c r="AZ651" s="34"/>
      <c r="BA651" s="34"/>
      <c r="BB651" s="34"/>
      <c r="BC651" s="34"/>
      <c r="BD651" s="34"/>
      <c r="BE651" s="34"/>
      <c r="BF651" s="34"/>
      <c r="BG651" s="34"/>
      <c r="BH651" s="34"/>
      <c r="BI651" s="34"/>
      <c r="BJ651" s="34"/>
      <c r="BK651" s="34"/>
      <c r="BL651" s="34"/>
      <c r="BM651" s="34"/>
      <c r="DX651" s="1373" t="e">
        <f t="shared" si="2"/>
        <v>#VALUE!</v>
      </c>
      <c r="DY651" s="1373"/>
      <c r="DZ651" s="1373"/>
      <c r="EA651" s="1373"/>
      <c r="EB651" s="1373"/>
      <c r="EC651" s="1373" t="e">
        <f t="shared" si="3"/>
        <v>#VALUE!</v>
      </c>
      <c r="ED651" s="1373"/>
      <c r="EE651" s="1373"/>
      <c r="EF651" s="1373"/>
      <c r="EG651" s="1373"/>
      <c r="EH651" s="1373" t="e">
        <f t="shared" si="4"/>
        <v>#VALUE!</v>
      </c>
      <c r="EI651" s="1373"/>
      <c r="EJ651" s="1373"/>
      <c r="EK651" s="1373"/>
      <c r="EL651" s="1373"/>
      <c r="EM651" s="1373" t="e">
        <f t="shared" si="5"/>
        <v>#VALUE!</v>
      </c>
      <c r="EN651" s="1373"/>
      <c r="EO651" s="1373"/>
      <c r="EP651" s="1373"/>
      <c r="EQ651" s="1373"/>
      <c r="ER651" s="1373" t="e">
        <f t="shared" si="6"/>
        <v>#VALUE!</v>
      </c>
      <c r="ES651" s="1373"/>
      <c r="ET651" s="1373"/>
      <c r="EU651" s="1373"/>
      <c r="EV651" s="1373"/>
      <c r="EW651" s="1373" t="e">
        <f t="shared" si="7"/>
        <v>#VALUE!</v>
      </c>
      <c r="EX651" s="1373"/>
      <c r="EY651" s="1373"/>
      <c r="EZ651" s="1373"/>
      <c r="FA651" s="1373"/>
    </row>
    <row r="652" spans="1:157" ht="12.95" customHeight="1">
      <c r="A652" s="22"/>
      <c r="B652" t="s">
        <v>85</v>
      </c>
      <c r="G652" s="1420" t="s">
        <v>2702</v>
      </c>
      <c r="H652" s="1420"/>
      <c r="I652" s="1420"/>
      <c r="J652" s="1420"/>
      <c r="K652" s="1420"/>
      <c r="L652" s="1420"/>
      <c r="M652" s="1420"/>
      <c r="N652" s="1420"/>
      <c r="O652" s="1420"/>
      <c r="P652" s="1420"/>
      <c r="Q652" s="1420"/>
      <c r="R652" s="1420"/>
      <c r="T652" s="22"/>
      <c r="U652" t="s">
        <v>85</v>
      </c>
      <c r="Z652" s="1420" t="s">
        <v>2706</v>
      </c>
      <c r="AA652" s="1420"/>
      <c r="AB652" s="1420"/>
      <c r="AC652" s="1420"/>
      <c r="AD652" s="1420"/>
      <c r="AE652" s="1420"/>
      <c r="AF652" s="1420"/>
      <c r="AG652" s="1420"/>
      <c r="AH652" s="1420"/>
      <c r="AI652" s="1420"/>
      <c r="AJ652" s="1420"/>
      <c r="AK652" s="1420"/>
      <c r="AZ652" s="34"/>
      <c r="BA652" s="34"/>
      <c r="BB652" s="34"/>
      <c r="BC652" s="34"/>
      <c r="BD652" s="34"/>
      <c r="BE652" s="34"/>
      <c r="BF652" s="34"/>
      <c r="BG652" s="34"/>
      <c r="BH652" s="34"/>
      <c r="BI652" s="34"/>
      <c r="BJ652" s="34"/>
      <c r="BK652" s="34"/>
      <c r="BL652" s="34"/>
      <c r="BM652" s="34"/>
      <c r="DX652" s="1373" t="e">
        <f t="shared" si="2"/>
        <v>#VALUE!</v>
      </c>
      <c r="DY652" s="1373"/>
      <c r="DZ652" s="1373"/>
      <c r="EA652" s="1373"/>
      <c r="EB652" s="1373"/>
      <c r="EC652" s="1373" t="e">
        <f t="shared" si="3"/>
        <v>#VALUE!</v>
      </c>
      <c r="ED652" s="1373"/>
      <c r="EE652" s="1373"/>
      <c r="EF652" s="1373"/>
      <c r="EG652" s="1373"/>
      <c r="EH652" s="1373" t="e">
        <f t="shared" si="4"/>
        <v>#VALUE!</v>
      </c>
      <c r="EI652" s="1373"/>
      <c r="EJ652" s="1373"/>
      <c r="EK652" s="1373"/>
      <c r="EL652" s="1373"/>
      <c r="EM652" s="1373" t="e">
        <f t="shared" si="5"/>
        <v>#VALUE!</v>
      </c>
      <c r="EN652" s="1373"/>
      <c r="EO652" s="1373"/>
      <c r="EP652" s="1373"/>
      <c r="EQ652" s="1373"/>
      <c r="ER652" s="1373" t="e">
        <f t="shared" si="6"/>
        <v>#VALUE!</v>
      </c>
      <c r="ES652" s="1373"/>
      <c r="ET652" s="1373"/>
      <c r="EU652" s="1373"/>
      <c r="EV652" s="1373"/>
      <c r="EW652" s="1373" t="e">
        <f t="shared" si="7"/>
        <v>#VALUE!</v>
      </c>
      <c r="EX652" s="1373"/>
      <c r="EY652" s="1373"/>
      <c r="EZ652" s="1373"/>
      <c r="FA652" s="1373"/>
    </row>
    <row r="653" spans="1:157" ht="12.95" customHeight="1">
      <c r="A653" s="22"/>
      <c r="B653" t="s">
        <v>581</v>
      </c>
      <c r="G653" s="1401" t="s">
        <v>2703</v>
      </c>
      <c r="H653" s="1401"/>
      <c r="I653" s="1401"/>
      <c r="J653" s="1401"/>
      <c r="K653" s="1401"/>
      <c r="L653" s="1401"/>
      <c r="M653" s="1401"/>
      <c r="N653" s="1401"/>
      <c r="O653" s="1401"/>
      <c r="P653" s="1401"/>
      <c r="Q653" s="1401"/>
      <c r="R653" s="1401"/>
      <c r="T653" s="22"/>
      <c r="U653" t="s">
        <v>581</v>
      </c>
      <c r="Z653" s="1401" t="s">
        <v>2707</v>
      </c>
      <c r="AA653" s="1401"/>
      <c r="AB653" s="1401"/>
      <c r="AC653" s="1401"/>
      <c r="AD653" s="1401"/>
      <c r="AE653" s="1401"/>
      <c r="AF653" s="1401"/>
      <c r="AG653" s="1401"/>
      <c r="AH653" s="1401"/>
      <c r="AI653" s="1401"/>
      <c r="AJ653" s="1401"/>
      <c r="AK653" s="1401"/>
      <c r="AZ653" s="34"/>
      <c r="BA653" s="34"/>
      <c r="BB653" s="34"/>
      <c r="BC653" s="34"/>
      <c r="BD653" s="34"/>
      <c r="BE653" s="34"/>
      <c r="BF653" s="34"/>
      <c r="BG653" s="34"/>
      <c r="BH653" s="34"/>
      <c r="BI653" s="34"/>
      <c r="BJ653" s="34"/>
      <c r="BK653" s="34"/>
      <c r="BL653" s="34"/>
      <c r="BM653" s="34"/>
      <c r="DX653" s="1373" t="e">
        <f t="shared" si="2"/>
        <v>#VALUE!</v>
      </c>
      <c r="DY653" s="1373"/>
      <c r="DZ653" s="1373"/>
      <c r="EA653" s="1373"/>
      <c r="EB653" s="1373"/>
      <c r="EC653" s="1373" t="e">
        <f t="shared" si="3"/>
        <v>#VALUE!</v>
      </c>
      <c r="ED653" s="1373"/>
      <c r="EE653" s="1373"/>
      <c r="EF653" s="1373"/>
      <c r="EG653" s="1373"/>
      <c r="EH653" s="1373" t="e">
        <f t="shared" si="4"/>
        <v>#VALUE!</v>
      </c>
      <c r="EI653" s="1373"/>
      <c r="EJ653" s="1373"/>
      <c r="EK653" s="1373"/>
      <c r="EL653" s="1373"/>
      <c r="EM653" s="1373" t="e">
        <f t="shared" si="5"/>
        <v>#VALUE!</v>
      </c>
      <c r="EN653" s="1373"/>
      <c r="EO653" s="1373"/>
      <c r="EP653" s="1373"/>
      <c r="EQ653" s="1373"/>
      <c r="ER653" s="1373" t="e">
        <f t="shared" si="6"/>
        <v>#VALUE!</v>
      </c>
      <c r="ES653" s="1373"/>
      <c r="ET653" s="1373"/>
      <c r="EU653" s="1373"/>
      <c r="EV653" s="1373"/>
      <c r="EW653" s="1373" t="e">
        <f t="shared" si="7"/>
        <v>#VALUE!</v>
      </c>
      <c r="EX653" s="1373"/>
      <c r="EY653" s="1373"/>
      <c r="EZ653" s="1373"/>
      <c r="FA653" s="1373"/>
    </row>
    <row r="654" spans="1:157" ht="12.95" customHeight="1">
      <c r="A654" s="22"/>
      <c r="B654" t="s">
        <v>17</v>
      </c>
      <c r="G654" s="1401" t="s">
        <v>2704</v>
      </c>
      <c r="H654" s="1401"/>
      <c r="I654" s="1401"/>
      <c r="J654" s="1401"/>
      <c r="K654" s="1401"/>
      <c r="L654" s="1401"/>
      <c r="M654" s="1401"/>
      <c r="N654" s="1401"/>
      <c r="O654" s="1401"/>
      <c r="P654" s="1401"/>
      <c r="Q654" s="1401"/>
      <c r="R654" s="1401"/>
      <c r="T654" s="22"/>
      <c r="U654" t="s">
        <v>17</v>
      </c>
      <c r="Z654" s="1401" t="s">
        <v>2708</v>
      </c>
      <c r="AA654" s="1401"/>
      <c r="AB654" s="1401"/>
      <c r="AC654" s="1401"/>
      <c r="AD654" s="1401"/>
      <c r="AE654" s="1401"/>
      <c r="AF654" s="1401"/>
      <c r="AG654" s="1401"/>
      <c r="AH654" s="1401"/>
      <c r="AI654" s="1401"/>
      <c r="AJ654" s="1401"/>
      <c r="AK654" s="1401"/>
      <c r="AZ654" s="34"/>
      <c r="BA654" s="34"/>
      <c r="BB654" s="34"/>
      <c r="BC654" s="34"/>
      <c r="BD654" s="34"/>
      <c r="BE654" s="34"/>
      <c r="BF654" s="34"/>
      <c r="BG654" s="34"/>
      <c r="BH654" s="34"/>
      <c r="BI654" s="34"/>
      <c r="BJ654" s="34"/>
      <c r="BK654" s="34"/>
      <c r="BL654" s="34"/>
      <c r="BM654" s="34"/>
      <c r="DX654" s="1373" t="e">
        <f t="shared" si="2"/>
        <v>#VALUE!</v>
      </c>
      <c r="DY654" s="1373"/>
      <c r="DZ654" s="1373"/>
      <c r="EA654" s="1373"/>
      <c r="EB654" s="1373"/>
      <c r="EC654" s="1373" t="e">
        <f t="shared" si="3"/>
        <v>#VALUE!</v>
      </c>
      <c r="ED654" s="1373"/>
      <c r="EE654" s="1373"/>
      <c r="EF654" s="1373"/>
      <c r="EG654" s="1373"/>
      <c r="EH654" s="1373" t="e">
        <f t="shared" si="4"/>
        <v>#VALUE!</v>
      </c>
      <c r="EI654" s="1373"/>
      <c r="EJ654" s="1373"/>
      <c r="EK654" s="1373"/>
      <c r="EL654" s="1373"/>
      <c r="EM654" s="1373" t="e">
        <f t="shared" si="5"/>
        <v>#VALUE!</v>
      </c>
      <c r="EN654" s="1373"/>
      <c r="EO654" s="1373"/>
      <c r="EP654" s="1373"/>
      <c r="EQ654" s="1373"/>
      <c r="ER654" s="1373" t="e">
        <f t="shared" si="6"/>
        <v>#VALUE!</v>
      </c>
      <c r="ES654" s="1373"/>
      <c r="ET654" s="1373"/>
      <c r="EU654" s="1373"/>
      <c r="EV654" s="1373"/>
      <c r="EW654" s="1373" t="e">
        <f t="shared" si="7"/>
        <v>#VALUE!</v>
      </c>
      <c r="EX654" s="1373"/>
      <c r="EY654" s="1373"/>
      <c r="EZ654" s="1373"/>
      <c r="FA654" s="1373"/>
    </row>
    <row r="655" spans="1:157" ht="12.95" customHeight="1">
      <c r="A655" s="22"/>
      <c r="B655" t="s">
        <v>316</v>
      </c>
      <c r="G655" s="1496">
        <v>6509036459</v>
      </c>
      <c r="H655" s="1496"/>
      <c r="I655" s="1496"/>
      <c r="J655" s="1496"/>
      <c r="K655" s="1496"/>
      <c r="L655" s="1496"/>
      <c r="O655" s="33" t="s">
        <v>206</v>
      </c>
      <c r="P655" s="1463"/>
      <c r="Q655" s="1463"/>
      <c r="R655" s="1463"/>
      <c r="T655" s="22"/>
      <c r="U655" t="s">
        <v>316</v>
      </c>
      <c r="Z655" s="1496">
        <v>4082786412</v>
      </c>
      <c r="AA655" s="1496"/>
      <c r="AB655" s="1496"/>
      <c r="AC655" s="1496"/>
      <c r="AD655" s="1496"/>
      <c r="AE655" s="1496"/>
      <c r="AH655" s="33" t="s">
        <v>206</v>
      </c>
      <c r="AI655" s="1463"/>
      <c r="AJ655" s="1463"/>
      <c r="AK655" s="1463"/>
      <c r="AZ655" s="34"/>
      <c r="BA655" s="34"/>
      <c r="BB655" s="34"/>
      <c r="BC655" s="34"/>
      <c r="BD655" s="34"/>
      <c r="BE655" s="34"/>
      <c r="BF655" s="34"/>
      <c r="BG655" s="34"/>
      <c r="BH655" s="34"/>
      <c r="BI655" s="34"/>
      <c r="BJ655" s="34"/>
      <c r="BK655" s="34"/>
      <c r="BL655" s="34"/>
      <c r="BM655" s="34"/>
      <c r="DX655" s="1373" t="e">
        <f t="shared" si="2"/>
        <v>#VALUE!</v>
      </c>
      <c r="DY655" s="1373"/>
      <c r="DZ655" s="1373"/>
      <c r="EA655" s="1373"/>
      <c r="EB655" s="1373"/>
      <c r="EC655" s="1373" t="e">
        <f t="shared" si="3"/>
        <v>#VALUE!</v>
      </c>
      <c r="ED655" s="1373"/>
      <c r="EE655" s="1373"/>
      <c r="EF655" s="1373"/>
      <c r="EG655" s="1373"/>
      <c r="EH655" s="1373" t="e">
        <f t="shared" si="4"/>
        <v>#VALUE!</v>
      </c>
      <c r="EI655" s="1373"/>
      <c r="EJ655" s="1373"/>
      <c r="EK655" s="1373"/>
      <c r="EL655" s="1373"/>
      <c r="EM655" s="1373" t="e">
        <f t="shared" si="5"/>
        <v>#VALUE!</v>
      </c>
      <c r="EN655" s="1373"/>
      <c r="EO655" s="1373"/>
      <c r="EP655" s="1373"/>
      <c r="EQ655" s="1373"/>
      <c r="ER655" s="1373" t="e">
        <f t="shared" si="6"/>
        <v>#VALUE!</v>
      </c>
      <c r="ES655" s="1373"/>
      <c r="ET655" s="1373"/>
      <c r="EU655" s="1373"/>
      <c r="EV655" s="1373"/>
      <c r="EW655" s="1373" t="e">
        <f t="shared" si="7"/>
        <v>#VALUE!</v>
      </c>
      <c r="EX655" s="1373"/>
      <c r="EY655" s="1373"/>
      <c r="EZ655" s="1373"/>
      <c r="FA655" s="1373"/>
    </row>
    <row r="656" spans="1:157" ht="12.95" customHeight="1">
      <c r="A656" s="22"/>
      <c r="B656" t="s">
        <v>18</v>
      </c>
      <c r="H656" s="1420" t="s">
        <v>2713</v>
      </c>
      <c r="I656" s="1420"/>
      <c r="J656" s="1420"/>
      <c r="K656" s="1420"/>
      <c r="L656" s="1420"/>
      <c r="M656" s="1420"/>
      <c r="N656" s="1420"/>
      <c r="O656" s="1420"/>
      <c r="P656" s="1420"/>
      <c r="Q656" s="1420"/>
      <c r="R656" s="1420"/>
      <c r="T656" s="22"/>
      <c r="U656" t="s">
        <v>18</v>
      </c>
      <c r="AA656" s="1420" t="s">
        <v>2705</v>
      </c>
      <c r="AB656" s="1420"/>
      <c r="AC656" s="1420"/>
      <c r="AD656" s="1420"/>
      <c r="AE656" s="1420"/>
      <c r="AF656" s="1420"/>
      <c r="AG656" s="1420"/>
      <c r="AH656" s="1420"/>
      <c r="AI656" s="1420"/>
      <c r="AJ656" s="1420"/>
      <c r="AK656" s="1420"/>
      <c r="AZ656" s="34"/>
      <c r="BA656" s="34"/>
      <c r="BB656" s="34"/>
      <c r="BC656" s="34"/>
      <c r="BD656" s="34"/>
      <c r="BE656" s="34"/>
      <c r="BF656" s="34"/>
      <c r="BG656" s="34"/>
      <c r="BH656" s="34"/>
      <c r="BI656" s="34"/>
      <c r="BJ656" s="34"/>
      <c r="BK656" s="34"/>
      <c r="BL656" s="34"/>
      <c r="BM656" s="34"/>
      <c r="DX656" s="1373" t="e">
        <f t="shared" si="2"/>
        <v>#VALUE!</v>
      </c>
      <c r="DY656" s="1373"/>
      <c r="DZ656" s="1373"/>
      <c r="EA656" s="1373"/>
      <c r="EB656" s="1373"/>
      <c r="EC656" s="1373" t="e">
        <f t="shared" si="3"/>
        <v>#VALUE!</v>
      </c>
      <c r="ED656" s="1373"/>
      <c r="EE656" s="1373"/>
      <c r="EF656" s="1373"/>
      <c r="EG656" s="1373"/>
      <c r="EH656" s="1373" t="e">
        <f t="shared" si="4"/>
        <v>#VALUE!</v>
      </c>
      <c r="EI656" s="1373"/>
      <c r="EJ656" s="1373"/>
      <c r="EK656" s="1373"/>
      <c r="EL656" s="1373"/>
      <c r="EM656" s="1373" t="e">
        <f t="shared" si="5"/>
        <v>#VALUE!</v>
      </c>
      <c r="EN656" s="1373"/>
      <c r="EO656" s="1373"/>
      <c r="EP656" s="1373"/>
      <c r="EQ656" s="1373"/>
      <c r="ER656" s="1373" t="e">
        <f t="shared" si="6"/>
        <v>#VALUE!</v>
      </c>
      <c r="ES656" s="1373"/>
      <c r="ET656" s="1373"/>
      <c r="EU656" s="1373"/>
      <c r="EV656" s="1373"/>
      <c r="EW656" s="1373" t="e">
        <f t="shared" si="7"/>
        <v>#VALUE!</v>
      </c>
      <c r="EX656" s="1373"/>
      <c r="EY656" s="1373"/>
      <c r="EZ656" s="1373"/>
      <c r="FA656" s="1373"/>
    </row>
    <row r="657" spans="1:157" ht="12.95" customHeight="1">
      <c r="A657" s="22"/>
      <c r="B657" t="s">
        <v>20</v>
      </c>
      <c r="N657" s="1391" t="s">
        <v>546</v>
      </c>
      <c r="O657" s="1391"/>
      <c r="T657" s="22"/>
      <c r="U657" t="s">
        <v>20</v>
      </c>
      <c r="AG657" s="1391" t="s">
        <v>546</v>
      </c>
      <c r="AH657" s="1391"/>
      <c r="AZ657" s="34"/>
      <c r="BA657" s="34"/>
      <c r="BB657" s="34"/>
      <c r="BC657" s="34"/>
      <c r="BD657" s="34"/>
      <c r="BE657" s="34"/>
      <c r="BF657" s="34"/>
      <c r="BG657" s="34"/>
      <c r="BH657" s="34"/>
      <c r="BI657" s="34"/>
      <c r="BJ657" s="34"/>
      <c r="BK657" s="34"/>
      <c r="BL657" s="34"/>
      <c r="BM657" s="34"/>
      <c r="DX657" s="1373" t="e">
        <f t="shared" si="2"/>
        <v>#VALUE!</v>
      </c>
      <c r="DY657" s="1373"/>
      <c r="DZ657" s="1373"/>
      <c r="EA657" s="1373"/>
      <c r="EB657" s="1373"/>
      <c r="EC657" s="1373" t="e">
        <f t="shared" si="3"/>
        <v>#VALUE!</v>
      </c>
      <c r="ED657" s="1373"/>
      <c r="EE657" s="1373"/>
      <c r="EF657" s="1373"/>
      <c r="EG657" s="1373"/>
      <c r="EH657" s="1373" t="e">
        <f t="shared" si="4"/>
        <v>#VALUE!</v>
      </c>
      <c r="EI657" s="1373"/>
      <c r="EJ657" s="1373"/>
      <c r="EK657" s="1373"/>
      <c r="EL657" s="1373"/>
      <c r="EM657" s="1373" t="e">
        <f t="shared" si="5"/>
        <v>#VALUE!</v>
      </c>
      <c r="EN657" s="1373"/>
      <c r="EO657" s="1373"/>
      <c r="EP657" s="1373"/>
      <c r="EQ657" s="1373"/>
      <c r="ER657" s="1373" t="e">
        <f t="shared" si="6"/>
        <v>#VALUE!</v>
      </c>
      <c r="ES657" s="1373"/>
      <c r="ET657" s="1373"/>
      <c r="EU657" s="1373"/>
      <c r="EV657" s="1373"/>
      <c r="EW657" s="1373" t="e">
        <f t="shared" si="7"/>
        <v>#VALUE!</v>
      </c>
      <c r="EX657" s="1373"/>
      <c r="EY657" s="1373"/>
      <c r="EZ657" s="1373"/>
      <c r="FA657" s="1373"/>
    </row>
    <row r="658" spans="1:157" ht="12.95" customHeight="1">
      <c r="A658" s="22"/>
      <c r="T658" s="22"/>
      <c r="AZ658" s="34"/>
      <c r="BA658" s="34"/>
      <c r="BB658" s="34"/>
      <c r="BC658" s="34"/>
      <c r="BD658" s="34"/>
      <c r="BE658" s="34"/>
      <c r="BF658" s="34"/>
      <c r="BG658" s="34"/>
      <c r="BH658" s="34"/>
      <c r="BI658" s="34"/>
      <c r="BJ658" s="34"/>
      <c r="BK658" s="34"/>
      <c r="BL658" s="34"/>
      <c r="BM658" s="34"/>
      <c r="DX658" s="1373" t="e">
        <f t="shared" si="2"/>
        <v>#VALUE!</v>
      </c>
      <c r="DY658" s="1373"/>
      <c r="DZ658" s="1373"/>
      <c r="EA658" s="1373"/>
      <c r="EB658" s="1373"/>
      <c r="EC658" s="1373" t="e">
        <f t="shared" si="3"/>
        <v>#VALUE!</v>
      </c>
      <c r="ED658" s="1373"/>
      <c r="EE658" s="1373"/>
      <c r="EF658" s="1373"/>
      <c r="EG658" s="1373"/>
      <c r="EH658" s="1373" t="e">
        <f t="shared" si="4"/>
        <v>#VALUE!</v>
      </c>
      <c r="EI658" s="1373"/>
      <c r="EJ658" s="1373"/>
      <c r="EK658" s="1373"/>
      <c r="EL658" s="1373"/>
      <c r="EM658" s="1373" t="e">
        <f t="shared" si="5"/>
        <v>#VALUE!</v>
      </c>
      <c r="EN658" s="1373"/>
      <c r="EO658" s="1373"/>
      <c r="EP658" s="1373"/>
      <c r="EQ658" s="1373"/>
      <c r="ER658" s="1373" t="e">
        <f t="shared" si="6"/>
        <v>#VALUE!</v>
      </c>
      <c r="ES658" s="1373"/>
      <c r="ET658" s="1373"/>
      <c r="EU658" s="1373"/>
      <c r="EV658" s="1373"/>
      <c r="EW658" s="1373" t="e">
        <f t="shared" si="7"/>
        <v>#VALUE!</v>
      </c>
      <c r="EX658" s="1373"/>
      <c r="EY658" s="1373"/>
      <c r="EZ658" s="1373"/>
      <c r="FA658" s="1373"/>
    </row>
    <row r="659" spans="1:157" ht="12.95" customHeight="1">
      <c r="A659" s="55" t="s">
        <v>764</v>
      </c>
      <c r="B659" t="s">
        <v>464</v>
      </c>
      <c r="G659" s="1476">
        <f>C631</f>
        <v>0</v>
      </c>
      <c r="H659" s="1476"/>
      <c r="I659" s="1476"/>
      <c r="J659" s="1476"/>
      <c r="K659" s="1476"/>
      <c r="L659" s="1476"/>
      <c r="M659" s="1476"/>
      <c r="N659" s="1476"/>
      <c r="O659" s="1476"/>
      <c r="P659" s="1476"/>
      <c r="Q659" s="1476"/>
      <c r="R659" s="1476"/>
      <c r="T659" s="55" t="s">
        <v>585</v>
      </c>
      <c r="U659" t="s">
        <v>464</v>
      </c>
      <c r="Z659" s="1476">
        <f>C632</f>
        <v>0</v>
      </c>
      <c r="AA659" s="1476"/>
      <c r="AB659" s="1476"/>
      <c r="AC659" s="1476"/>
      <c r="AD659" s="1476"/>
      <c r="AE659" s="1476"/>
      <c r="AF659" s="1476"/>
      <c r="AG659" s="1476"/>
      <c r="AH659" s="1476"/>
      <c r="AI659" s="1476"/>
      <c r="AJ659" s="1476"/>
      <c r="AK659" s="1476"/>
      <c r="AZ659" s="34"/>
      <c r="BA659" s="34"/>
      <c r="BB659" s="34"/>
      <c r="BC659" s="34"/>
      <c r="BD659" s="34"/>
      <c r="BE659" s="34"/>
      <c r="BF659" s="34"/>
      <c r="BG659" s="34"/>
      <c r="BH659" s="34"/>
      <c r="BI659" s="34"/>
      <c r="BJ659" s="34"/>
      <c r="BK659" s="34"/>
      <c r="BL659" s="34"/>
      <c r="BM659" s="34"/>
      <c r="DX659" s="1373" t="e">
        <f t="shared" si="2"/>
        <v>#VALUE!</v>
      </c>
      <c r="DY659" s="1373"/>
      <c r="DZ659" s="1373"/>
      <c r="EA659" s="1373"/>
      <c r="EB659" s="1373"/>
      <c r="EC659" s="1373" t="e">
        <f t="shared" si="3"/>
        <v>#VALUE!</v>
      </c>
      <c r="ED659" s="1373"/>
      <c r="EE659" s="1373"/>
      <c r="EF659" s="1373"/>
      <c r="EG659" s="1373"/>
      <c r="EH659" s="1373" t="e">
        <f t="shared" si="4"/>
        <v>#VALUE!</v>
      </c>
      <c r="EI659" s="1373"/>
      <c r="EJ659" s="1373"/>
      <c r="EK659" s="1373"/>
      <c r="EL659" s="1373"/>
      <c r="EM659" s="1373" t="e">
        <f t="shared" si="5"/>
        <v>#VALUE!</v>
      </c>
      <c r="EN659" s="1373"/>
      <c r="EO659" s="1373"/>
      <c r="EP659" s="1373"/>
      <c r="EQ659" s="1373"/>
      <c r="ER659" s="1373" t="e">
        <f t="shared" si="6"/>
        <v>#VALUE!</v>
      </c>
      <c r="ES659" s="1373"/>
      <c r="ET659" s="1373"/>
      <c r="EU659" s="1373"/>
      <c r="EV659" s="1373"/>
      <c r="EW659" s="1373" t="e">
        <f t="shared" si="7"/>
        <v>#VALUE!</v>
      </c>
      <c r="EX659" s="1373"/>
      <c r="EY659" s="1373"/>
      <c r="EZ659" s="1373"/>
      <c r="FA659" s="1373"/>
    </row>
    <row r="660" spans="1:157" ht="12.95" customHeight="1">
      <c r="A660" s="22"/>
      <c r="B660" t="s">
        <v>85</v>
      </c>
      <c r="G660" s="1420"/>
      <c r="H660" s="1420"/>
      <c r="I660" s="1420"/>
      <c r="J660" s="1420"/>
      <c r="K660" s="1420"/>
      <c r="L660" s="1420"/>
      <c r="M660" s="1420"/>
      <c r="N660" s="1420"/>
      <c r="O660" s="1420"/>
      <c r="P660" s="1420"/>
      <c r="Q660" s="1420"/>
      <c r="R660" s="1420"/>
      <c r="T660" s="22"/>
      <c r="U660" t="s">
        <v>85</v>
      </c>
      <c r="Z660" s="1420"/>
      <c r="AA660" s="1420"/>
      <c r="AB660" s="1420"/>
      <c r="AC660" s="1420"/>
      <c r="AD660" s="1420"/>
      <c r="AE660" s="1420"/>
      <c r="AF660" s="1420"/>
      <c r="AG660" s="1420"/>
      <c r="AH660" s="1420"/>
      <c r="AI660" s="1420"/>
      <c r="AJ660" s="1420"/>
      <c r="AK660" s="1420"/>
      <c r="AZ660" s="34"/>
      <c r="BA660" s="34"/>
      <c r="BB660" s="34"/>
      <c r="BC660" s="34"/>
      <c r="BD660" s="34"/>
      <c r="BE660" s="34"/>
      <c r="BF660" s="34"/>
      <c r="BG660" s="34"/>
      <c r="BH660" s="34"/>
      <c r="BI660" s="34"/>
      <c r="BJ660" s="34"/>
      <c r="BK660" s="34"/>
      <c r="BL660" s="34"/>
      <c r="BM660" s="34"/>
      <c r="DX660" s="1373" t="e">
        <f t="shared" si="2"/>
        <v>#VALUE!</v>
      </c>
      <c r="DY660" s="1373"/>
      <c r="DZ660" s="1373"/>
      <c r="EA660" s="1373"/>
      <c r="EB660" s="1373"/>
      <c r="EC660" s="1373" t="e">
        <f t="shared" si="3"/>
        <v>#VALUE!</v>
      </c>
      <c r="ED660" s="1373"/>
      <c r="EE660" s="1373"/>
      <c r="EF660" s="1373"/>
      <c r="EG660" s="1373"/>
      <c r="EH660" s="1373" t="e">
        <f t="shared" si="4"/>
        <v>#VALUE!</v>
      </c>
      <c r="EI660" s="1373"/>
      <c r="EJ660" s="1373"/>
      <c r="EK660" s="1373"/>
      <c r="EL660" s="1373"/>
      <c r="EM660" s="1373" t="e">
        <f t="shared" si="5"/>
        <v>#VALUE!</v>
      </c>
      <c r="EN660" s="1373"/>
      <c r="EO660" s="1373"/>
      <c r="EP660" s="1373"/>
      <c r="EQ660" s="1373"/>
      <c r="ER660" s="1373" t="e">
        <f t="shared" si="6"/>
        <v>#VALUE!</v>
      </c>
      <c r="ES660" s="1373"/>
      <c r="ET660" s="1373"/>
      <c r="EU660" s="1373"/>
      <c r="EV660" s="1373"/>
      <c r="EW660" s="1373" t="e">
        <f t="shared" si="7"/>
        <v>#VALUE!</v>
      </c>
      <c r="EX660" s="1373"/>
      <c r="EY660" s="1373"/>
      <c r="EZ660" s="1373"/>
      <c r="FA660" s="1373"/>
    </row>
    <row r="661" spans="1:157" ht="12.95" customHeight="1">
      <c r="A661" s="22"/>
      <c r="B661" t="s">
        <v>581</v>
      </c>
      <c r="G661" s="1420"/>
      <c r="H661" s="1420"/>
      <c r="I661" s="1420"/>
      <c r="J661" s="1420"/>
      <c r="K661" s="1420"/>
      <c r="L661" s="1420"/>
      <c r="M661" s="1420"/>
      <c r="N661" s="1420"/>
      <c r="O661" s="1420"/>
      <c r="P661" s="1420"/>
      <c r="Q661" s="1420"/>
      <c r="R661" s="1420"/>
      <c r="T661" s="22"/>
      <c r="U661" t="s">
        <v>581</v>
      </c>
      <c r="Z661" s="1401"/>
      <c r="AA661" s="1401"/>
      <c r="AB661" s="1401"/>
      <c r="AC661" s="1401"/>
      <c r="AD661" s="1401"/>
      <c r="AE661" s="1401"/>
      <c r="AF661" s="1401"/>
      <c r="AG661" s="1401"/>
      <c r="AH661" s="1401"/>
      <c r="AI661" s="1401"/>
      <c r="AJ661" s="1401"/>
      <c r="AK661" s="1401"/>
      <c r="AZ661" s="34"/>
      <c r="BA661" s="34"/>
      <c r="BB661" s="34"/>
      <c r="BC661" s="34"/>
      <c r="BD661" s="34"/>
      <c r="BE661" s="34"/>
      <c r="BF661" s="34"/>
      <c r="BG661" s="34"/>
      <c r="BH661" s="34"/>
      <c r="BI661" s="34"/>
      <c r="BJ661" s="34"/>
      <c r="BK661" s="34"/>
      <c r="BL661" s="34"/>
      <c r="BM661" s="34"/>
      <c r="DX661" s="1373" t="e">
        <f t="shared" si="2"/>
        <v>#VALUE!</v>
      </c>
      <c r="DY661" s="1373"/>
      <c r="DZ661" s="1373"/>
      <c r="EA661" s="1373"/>
      <c r="EB661" s="1373"/>
      <c r="EC661" s="1373" t="e">
        <f t="shared" si="3"/>
        <v>#VALUE!</v>
      </c>
      <c r="ED661" s="1373"/>
      <c r="EE661" s="1373"/>
      <c r="EF661" s="1373"/>
      <c r="EG661" s="1373"/>
      <c r="EH661" s="1373" t="e">
        <f t="shared" si="4"/>
        <v>#VALUE!</v>
      </c>
      <c r="EI661" s="1373"/>
      <c r="EJ661" s="1373"/>
      <c r="EK661" s="1373"/>
      <c r="EL661" s="1373"/>
      <c r="EM661" s="1373" t="e">
        <f t="shared" si="5"/>
        <v>#VALUE!</v>
      </c>
      <c r="EN661" s="1373"/>
      <c r="EO661" s="1373"/>
      <c r="EP661" s="1373"/>
      <c r="EQ661" s="1373"/>
      <c r="ER661" s="1373" t="e">
        <f t="shared" si="6"/>
        <v>#VALUE!</v>
      </c>
      <c r="ES661" s="1373"/>
      <c r="ET661" s="1373"/>
      <c r="EU661" s="1373"/>
      <c r="EV661" s="1373"/>
      <c r="EW661" s="1373" t="e">
        <f t="shared" si="7"/>
        <v>#VALUE!</v>
      </c>
      <c r="EX661" s="1373"/>
      <c r="EY661" s="1373"/>
      <c r="EZ661" s="1373"/>
      <c r="FA661" s="1373"/>
    </row>
    <row r="662" spans="1:157" ht="12.95" customHeight="1">
      <c r="A662" s="22"/>
      <c r="B662" t="s">
        <v>17</v>
      </c>
      <c r="G662" s="1420"/>
      <c r="H662" s="1420"/>
      <c r="I662" s="1420"/>
      <c r="J662" s="1420"/>
      <c r="K662" s="1420"/>
      <c r="L662" s="1420"/>
      <c r="M662" s="1420"/>
      <c r="N662" s="1420"/>
      <c r="O662" s="1420"/>
      <c r="P662" s="1420"/>
      <c r="Q662" s="1420"/>
      <c r="R662" s="1420"/>
      <c r="T662" s="22"/>
      <c r="U662" t="s">
        <v>17</v>
      </c>
      <c r="Z662" s="1401"/>
      <c r="AA662" s="1401"/>
      <c r="AB662" s="1401"/>
      <c r="AC662" s="1401"/>
      <c r="AD662" s="1401"/>
      <c r="AE662" s="1401"/>
      <c r="AF662" s="1401"/>
      <c r="AG662" s="1401"/>
      <c r="AH662" s="1401"/>
      <c r="AI662" s="1401"/>
      <c r="AJ662" s="1401"/>
      <c r="AK662" s="140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3" t="e">
        <f t="shared" si="2"/>
        <v>#VALUE!</v>
      </c>
      <c r="DY662" s="1373"/>
      <c r="DZ662" s="1373"/>
      <c r="EA662" s="1373"/>
      <c r="EB662" s="1373"/>
      <c r="EC662" s="1373" t="e">
        <f t="shared" si="3"/>
        <v>#VALUE!</v>
      </c>
      <c r="ED662" s="1373"/>
      <c r="EE662" s="1373"/>
      <c r="EF662" s="1373"/>
      <c r="EG662" s="1373"/>
      <c r="EH662" s="1373" t="e">
        <f t="shared" si="4"/>
        <v>#VALUE!</v>
      </c>
      <c r="EI662" s="1373"/>
      <c r="EJ662" s="1373"/>
      <c r="EK662" s="1373"/>
      <c r="EL662" s="1373"/>
      <c r="EM662" s="1373" t="e">
        <f t="shared" si="5"/>
        <v>#VALUE!</v>
      </c>
      <c r="EN662" s="1373"/>
      <c r="EO662" s="1373"/>
      <c r="EP662" s="1373"/>
      <c r="EQ662" s="1373"/>
      <c r="ER662" s="1373" t="e">
        <f t="shared" si="6"/>
        <v>#VALUE!</v>
      </c>
      <c r="ES662" s="1373"/>
      <c r="ET662" s="1373"/>
      <c r="EU662" s="1373"/>
      <c r="EV662" s="1373"/>
      <c r="EW662" s="1373" t="e">
        <f t="shared" si="7"/>
        <v>#VALUE!</v>
      </c>
      <c r="EX662" s="1373"/>
      <c r="EY662" s="1373"/>
      <c r="EZ662" s="1373"/>
      <c r="FA662" s="1373"/>
    </row>
    <row r="663" spans="1:157" ht="12.95" customHeight="1">
      <c r="A663" s="22"/>
      <c r="B663" t="s">
        <v>316</v>
      </c>
      <c r="G663" s="1496"/>
      <c r="H663" s="1496"/>
      <c r="I663" s="1496"/>
      <c r="J663" s="1496"/>
      <c r="K663" s="1496"/>
      <c r="L663" s="1496"/>
      <c r="O663" s="33" t="s">
        <v>206</v>
      </c>
      <c r="P663" s="1463"/>
      <c r="Q663" s="1463"/>
      <c r="R663" s="1463"/>
      <c r="T663" s="22"/>
      <c r="U663" t="s">
        <v>316</v>
      </c>
      <c r="Z663" s="1496"/>
      <c r="AA663" s="1496"/>
      <c r="AB663" s="1496"/>
      <c r="AC663" s="1496"/>
      <c r="AD663" s="1496"/>
      <c r="AE663" s="1496"/>
      <c r="AH663" s="33" t="s">
        <v>206</v>
      </c>
      <c r="AI663" s="1463"/>
      <c r="AJ663" s="1463"/>
      <c r="AK663" s="146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3" t="e">
        <f t="shared" si="2"/>
        <v>#VALUE!</v>
      </c>
      <c r="DY663" s="1373"/>
      <c r="DZ663" s="1373"/>
      <c r="EA663" s="1373"/>
      <c r="EB663" s="1373"/>
      <c r="EC663" s="1373" t="e">
        <f t="shared" si="3"/>
        <v>#VALUE!</v>
      </c>
      <c r="ED663" s="1373"/>
      <c r="EE663" s="1373"/>
      <c r="EF663" s="1373"/>
      <c r="EG663" s="1373"/>
      <c r="EH663" s="1373" t="e">
        <f t="shared" si="4"/>
        <v>#VALUE!</v>
      </c>
      <c r="EI663" s="1373"/>
      <c r="EJ663" s="1373"/>
      <c r="EK663" s="1373"/>
      <c r="EL663" s="1373"/>
      <c r="EM663" s="1373" t="e">
        <f t="shared" si="5"/>
        <v>#VALUE!</v>
      </c>
      <c r="EN663" s="1373"/>
      <c r="EO663" s="1373"/>
      <c r="EP663" s="1373"/>
      <c r="EQ663" s="1373"/>
      <c r="ER663" s="1373" t="e">
        <f t="shared" si="6"/>
        <v>#VALUE!</v>
      </c>
      <c r="ES663" s="1373"/>
      <c r="ET663" s="1373"/>
      <c r="EU663" s="1373"/>
      <c r="EV663" s="1373"/>
      <c r="EW663" s="1373" t="e">
        <f t="shared" si="7"/>
        <v>#VALUE!</v>
      </c>
      <c r="EX663" s="1373"/>
      <c r="EY663" s="1373"/>
      <c r="EZ663" s="1373"/>
      <c r="FA663" s="1373"/>
    </row>
    <row r="664" spans="1:157" ht="12.95" customHeight="1">
      <c r="A664" s="22"/>
      <c r="B664" t="s">
        <v>18</v>
      </c>
      <c r="H664" s="1420"/>
      <c r="I664" s="1420"/>
      <c r="J664" s="1420"/>
      <c r="K664" s="1420"/>
      <c r="L664" s="1420"/>
      <c r="M664" s="1420"/>
      <c r="N664" s="1420"/>
      <c r="O664" s="1420"/>
      <c r="P664" s="1420"/>
      <c r="Q664" s="1420"/>
      <c r="R664" s="1420"/>
      <c r="T664" s="22"/>
      <c r="U664" t="s">
        <v>18</v>
      </c>
      <c r="AA664" s="1420"/>
      <c r="AB664" s="1420"/>
      <c r="AC664" s="1420"/>
      <c r="AD664" s="1420"/>
      <c r="AE664" s="1420"/>
      <c r="AF664" s="1420"/>
      <c r="AG664" s="1420"/>
      <c r="AH664" s="1420"/>
      <c r="AI664" s="1420"/>
      <c r="AJ664" s="1420"/>
      <c r="AK664" s="142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3" t="e">
        <f t="shared" si="2"/>
        <v>#VALUE!</v>
      </c>
      <c r="DY664" s="1373"/>
      <c r="DZ664" s="1373"/>
      <c r="EA664" s="1373"/>
      <c r="EB664" s="1373"/>
      <c r="EC664" s="1373" t="e">
        <f t="shared" si="3"/>
        <v>#VALUE!</v>
      </c>
      <c r="ED664" s="1373"/>
      <c r="EE664" s="1373"/>
      <c r="EF664" s="1373"/>
      <c r="EG664" s="1373"/>
      <c r="EH664" s="1373" t="e">
        <f t="shared" si="4"/>
        <v>#VALUE!</v>
      </c>
      <c r="EI664" s="1373"/>
      <c r="EJ664" s="1373"/>
      <c r="EK664" s="1373"/>
      <c r="EL664" s="1373"/>
      <c r="EM664" s="1373" t="e">
        <f t="shared" si="5"/>
        <v>#VALUE!</v>
      </c>
      <c r="EN664" s="1373"/>
      <c r="EO664" s="1373"/>
      <c r="EP664" s="1373"/>
      <c r="EQ664" s="1373"/>
      <c r="ER664" s="1373" t="e">
        <f t="shared" si="6"/>
        <v>#VALUE!</v>
      </c>
      <c r="ES664" s="1373"/>
      <c r="ET664" s="1373"/>
      <c r="EU664" s="1373"/>
      <c r="EV664" s="1373"/>
      <c r="EW664" s="1373" t="e">
        <f t="shared" si="7"/>
        <v>#VALUE!</v>
      </c>
      <c r="EX664" s="1373"/>
      <c r="EY664" s="1373"/>
      <c r="EZ664" s="1373"/>
      <c r="FA664" s="1373"/>
    </row>
    <row r="665" spans="1:157" ht="12.95" customHeight="1">
      <c r="A665" s="22"/>
      <c r="B665" t="s">
        <v>20</v>
      </c>
      <c r="N665" s="1391"/>
      <c r="O665" s="1391"/>
      <c r="T665" s="22"/>
      <c r="U665" t="s">
        <v>20</v>
      </c>
      <c r="AG665" s="1391" t="s">
        <v>670</v>
      </c>
      <c r="AH665" s="139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3" t="e">
        <f t="shared" si="2"/>
        <v>#VALUE!</v>
      </c>
      <c r="DY665" s="1373"/>
      <c r="DZ665" s="1373"/>
      <c r="EA665" s="1373"/>
      <c r="EB665" s="1373"/>
      <c r="EC665" s="1373" t="e">
        <f t="shared" si="3"/>
        <v>#VALUE!</v>
      </c>
      <c r="ED665" s="1373"/>
      <c r="EE665" s="1373"/>
      <c r="EF665" s="1373"/>
      <c r="EG665" s="1373"/>
      <c r="EH665" s="1373" t="e">
        <f t="shared" si="4"/>
        <v>#VALUE!</v>
      </c>
      <c r="EI665" s="1373"/>
      <c r="EJ665" s="1373"/>
      <c r="EK665" s="1373"/>
      <c r="EL665" s="1373"/>
      <c r="EM665" s="1373" t="e">
        <f t="shared" si="5"/>
        <v>#VALUE!</v>
      </c>
      <c r="EN665" s="1373"/>
      <c r="EO665" s="1373"/>
      <c r="EP665" s="1373"/>
      <c r="EQ665" s="1373"/>
      <c r="ER665" s="1373" t="e">
        <f t="shared" si="6"/>
        <v>#VALUE!</v>
      </c>
      <c r="ES665" s="1373"/>
      <c r="ET665" s="1373"/>
      <c r="EU665" s="1373"/>
      <c r="EV665" s="1373"/>
      <c r="EW665" s="1373" t="e">
        <f t="shared" si="7"/>
        <v>#VALUE!</v>
      </c>
      <c r="EX665" s="1373"/>
      <c r="EY665" s="1373"/>
      <c r="EZ665" s="1373"/>
      <c r="FA665" s="1373"/>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3" t="e">
        <f t="shared" si="2"/>
        <v>#VALUE!</v>
      </c>
      <c r="DY666" s="1373"/>
      <c r="DZ666" s="1373"/>
      <c r="EA666" s="1373"/>
      <c r="EB666" s="1373"/>
      <c r="EC666" s="1373" t="e">
        <f t="shared" si="3"/>
        <v>#VALUE!</v>
      </c>
      <c r="ED666" s="1373"/>
      <c r="EE666" s="1373"/>
      <c r="EF666" s="1373"/>
      <c r="EG666" s="1373"/>
      <c r="EH666" s="1373" t="e">
        <f t="shared" si="4"/>
        <v>#VALUE!</v>
      </c>
      <c r="EI666" s="1373"/>
      <c r="EJ666" s="1373"/>
      <c r="EK666" s="1373"/>
      <c r="EL666" s="1373"/>
      <c r="EM666" s="1373" t="e">
        <f t="shared" si="5"/>
        <v>#VALUE!</v>
      </c>
      <c r="EN666" s="1373"/>
      <c r="EO666" s="1373"/>
      <c r="EP666" s="1373"/>
      <c r="EQ666" s="1373"/>
      <c r="ER666" s="1373" t="e">
        <f t="shared" si="6"/>
        <v>#VALUE!</v>
      </c>
      <c r="ES666" s="1373"/>
      <c r="ET666" s="1373"/>
      <c r="EU666" s="1373"/>
      <c r="EV666" s="1373"/>
      <c r="EW666" s="1373" t="e">
        <f t="shared" si="7"/>
        <v>#VALUE!</v>
      </c>
      <c r="EX666" s="1373"/>
      <c r="EY666" s="1373"/>
      <c r="EZ666" s="1373"/>
      <c r="FA666" s="1373"/>
    </row>
    <row r="667" spans="1:157" ht="12.95" customHeight="1">
      <c r="A667" s="55" t="s">
        <v>456</v>
      </c>
      <c r="B667" t="s">
        <v>464</v>
      </c>
      <c r="G667" s="1476">
        <f>C633</f>
        <v>0</v>
      </c>
      <c r="H667" s="1476"/>
      <c r="I667" s="1476"/>
      <c r="J667" s="1476"/>
      <c r="K667" s="1476"/>
      <c r="L667" s="1476"/>
      <c r="M667" s="1476"/>
      <c r="N667" s="1476"/>
      <c r="O667" s="1476"/>
      <c r="P667" s="1476"/>
      <c r="Q667" s="1476"/>
      <c r="R667" s="1476"/>
      <c r="T667" s="55" t="s">
        <v>457</v>
      </c>
      <c r="U667" t="s">
        <v>464</v>
      </c>
      <c r="Z667" s="1476">
        <f>C634</f>
        <v>0</v>
      </c>
      <c r="AA667" s="1476"/>
      <c r="AB667" s="1476"/>
      <c r="AC667" s="1476"/>
      <c r="AD667" s="1476"/>
      <c r="AE667" s="1476"/>
      <c r="AF667" s="1476"/>
      <c r="AG667" s="1476"/>
      <c r="AH667" s="1476"/>
      <c r="AI667" s="1476"/>
      <c r="AJ667" s="1476"/>
      <c r="AK667" s="1476"/>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3" t="e">
        <f t="shared" si="2"/>
        <v>#VALUE!</v>
      </c>
      <c r="DY667" s="1373"/>
      <c r="DZ667" s="1373"/>
      <c r="EA667" s="1373"/>
      <c r="EB667" s="1373"/>
      <c r="EC667" s="1373" t="e">
        <f t="shared" si="3"/>
        <v>#VALUE!</v>
      </c>
      <c r="ED667" s="1373"/>
      <c r="EE667" s="1373"/>
      <c r="EF667" s="1373"/>
      <c r="EG667" s="1373"/>
      <c r="EH667" s="1373" t="e">
        <f t="shared" si="4"/>
        <v>#VALUE!</v>
      </c>
      <c r="EI667" s="1373"/>
      <c r="EJ667" s="1373"/>
      <c r="EK667" s="1373"/>
      <c r="EL667" s="1373"/>
      <c r="EM667" s="1373" t="e">
        <f t="shared" si="5"/>
        <v>#VALUE!</v>
      </c>
      <c r="EN667" s="1373"/>
      <c r="EO667" s="1373"/>
      <c r="EP667" s="1373"/>
      <c r="EQ667" s="1373"/>
      <c r="ER667" s="1373" t="e">
        <f t="shared" si="6"/>
        <v>#VALUE!</v>
      </c>
      <c r="ES667" s="1373"/>
      <c r="ET667" s="1373"/>
      <c r="EU667" s="1373"/>
      <c r="EV667" s="1373"/>
      <c r="EW667" s="1373" t="e">
        <f t="shared" si="7"/>
        <v>#VALUE!</v>
      </c>
      <c r="EX667" s="1373"/>
      <c r="EY667" s="1373"/>
      <c r="EZ667" s="1373"/>
      <c r="FA667" s="1373"/>
    </row>
    <row r="668" spans="1:157" ht="12.95" customHeight="1">
      <c r="A668" s="22"/>
      <c r="B668" t="s">
        <v>85</v>
      </c>
      <c r="G668" s="1420"/>
      <c r="H668" s="1420"/>
      <c r="I668" s="1420"/>
      <c r="J668" s="1420"/>
      <c r="K668" s="1420"/>
      <c r="L668" s="1420"/>
      <c r="M668" s="1420"/>
      <c r="N668" s="1420"/>
      <c r="O668" s="1420"/>
      <c r="P668" s="1420"/>
      <c r="Q668" s="1420"/>
      <c r="R668" s="1420"/>
      <c r="T668" s="22"/>
      <c r="U668" t="s">
        <v>85</v>
      </c>
      <c r="Z668" s="1420"/>
      <c r="AA668" s="1420"/>
      <c r="AB668" s="1420"/>
      <c r="AC668" s="1420"/>
      <c r="AD668" s="1420"/>
      <c r="AE668" s="1420"/>
      <c r="AF668" s="1420"/>
      <c r="AG668" s="1420"/>
      <c r="AH668" s="1420"/>
      <c r="AI668" s="1420"/>
      <c r="AJ668" s="1420"/>
      <c r="AK668" s="1420"/>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3" t="e">
        <f t="shared" si="2"/>
        <v>#VALUE!</v>
      </c>
      <c r="DY668" s="1373"/>
      <c r="DZ668" s="1373"/>
      <c r="EA668" s="1373"/>
      <c r="EB668" s="1373"/>
      <c r="EC668" s="1373" t="e">
        <f t="shared" si="3"/>
        <v>#VALUE!</v>
      </c>
      <c r="ED668" s="1373"/>
      <c r="EE668" s="1373"/>
      <c r="EF668" s="1373"/>
      <c r="EG668" s="1373"/>
      <c r="EH668" s="1373" t="e">
        <f t="shared" si="4"/>
        <v>#VALUE!</v>
      </c>
      <c r="EI668" s="1373"/>
      <c r="EJ668" s="1373"/>
      <c r="EK668" s="1373"/>
      <c r="EL668" s="1373"/>
      <c r="EM668" s="1373" t="e">
        <f t="shared" si="5"/>
        <v>#VALUE!</v>
      </c>
      <c r="EN668" s="1373"/>
      <c r="EO668" s="1373"/>
      <c r="EP668" s="1373"/>
      <c r="EQ668" s="1373"/>
      <c r="ER668" s="1373" t="e">
        <f t="shared" si="6"/>
        <v>#VALUE!</v>
      </c>
      <c r="ES668" s="1373"/>
      <c r="ET668" s="1373"/>
      <c r="EU668" s="1373"/>
      <c r="EV668" s="1373"/>
      <c r="EW668" s="1373" t="e">
        <f t="shared" si="7"/>
        <v>#VALUE!</v>
      </c>
      <c r="EX668" s="1373"/>
      <c r="EY668" s="1373"/>
      <c r="EZ668" s="1373"/>
      <c r="FA668" s="1373"/>
    </row>
    <row r="669" spans="1:157" ht="12.95" customHeight="1">
      <c r="A669" s="22"/>
      <c r="B669" t="s">
        <v>581</v>
      </c>
      <c r="G669" s="1420"/>
      <c r="H669" s="1420"/>
      <c r="I669" s="1420"/>
      <c r="J669" s="1420"/>
      <c r="K669" s="1420"/>
      <c r="L669" s="1420"/>
      <c r="M669" s="1420"/>
      <c r="N669" s="1420"/>
      <c r="O669" s="1420"/>
      <c r="P669" s="1420"/>
      <c r="Q669" s="1420"/>
      <c r="R669" s="1420"/>
      <c r="T669" s="22"/>
      <c r="U669" t="s">
        <v>581</v>
      </c>
      <c r="Z669" s="1401"/>
      <c r="AA669" s="1401"/>
      <c r="AB669" s="1401"/>
      <c r="AC669" s="1401"/>
      <c r="AD669" s="1401"/>
      <c r="AE669" s="1401"/>
      <c r="AF669" s="1401"/>
      <c r="AG669" s="1401"/>
      <c r="AH669" s="1401"/>
      <c r="AI669" s="1401"/>
      <c r="AJ669" s="1401"/>
      <c r="AK669" s="140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3" t="e">
        <f t="shared" si="2"/>
        <v>#VALUE!</v>
      </c>
      <c r="DY669" s="1373"/>
      <c r="DZ669" s="1373"/>
      <c r="EA669" s="1373"/>
      <c r="EB669" s="1373"/>
      <c r="EC669" s="1373" t="e">
        <f t="shared" si="3"/>
        <v>#VALUE!</v>
      </c>
      <c r="ED669" s="1373"/>
      <c r="EE669" s="1373"/>
      <c r="EF669" s="1373"/>
      <c r="EG669" s="1373"/>
      <c r="EH669" s="1373" t="e">
        <f t="shared" si="4"/>
        <v>#VALUE!</v>
      </c>
      <c r="EI669" s="1373"/>
      <c r="EJ669" s="1373"/>
      <c r="EK669" s="1373"/>
      <c r="EL669" s="1373"/>
      <c r="EM669" s="1373" t="e">
        <f t="shared" si="5"/>
        <v>#VALUE!</v>
      </c>
      <c r="EN669" s="1373"/>
      <c r="EO669" s="1373"/>
      <c r="EP669" s="1373"/>
      <c r="EQ669" s="1373"/>
      <c r="ER669" s="1373" t="e">
        <f t="shared" si="6"/>
        <v>#VALUE!</v>
      </c>
      <c r="ES669" s="1373"/>
      <c r="ET669" s="1373"/>
      <c r="EU669" s="1373"/>
      <c r="EV669" s="1373"/>
      <c r="EW669" s="1373" t="e">
        <f t="shared" si="7"/>
        <v>#VALUE!</v>
      </c>
      <c r="EX669" s="1373"/>
      <c r="EY669" s="1373"/>
      <c r="EZ669" s="1373"/>
      <c r="FA669" s="1373"/>
    </row>
    <row r="670" spans="1:157" ht="12.95" customHeight="1">
      <c r="A670" s="22"/>
      <c r="B670" t="s">
        <v>17</v>
      </c>
      <c r="G670" s="1420"/>
      <c r="H670" s="1420"/>
      <c r="I670" s="1420"/>
      <c r="J670" s="1420"/>
      <c r="K670" s="1420"/>
      <c r="L670" s="1420"/>
      <c r="M670" s="1420"/>
      <c r="N670" s="1420"/>
      <c r="O670" s="1420"/>
      <c r="P670" s="1420"/>
      <c r="Q670" s="1420"/>
      <c r="R670" s="1420"/>
      <c r="T670" s="22"/>
      <c r="U670" t="s">
        <v>17</v>
      </c>
      <c r="Z670" s="1401"/>
      <c r="AA670" s="1401"/>
      <c r="AB670" s="1401"/>
      <c r="AC670" s="1401"/>
      <c r="AD670" s="1401"/>
      <c r="AE670" s="1401"/>
      <c r="AF670" s="1401"/>
      <c r="AG670" s="1401"/>
      <c r="AH670" s="1401"/>
      <c r="AI670" s="1401"/>
      <c r="AJ670" s="1401"/>
      <c r="AK670" s="140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3">
        <f>SUMIF(DX635:EB669,"&gt;0")</f>
        <v>1550.6000000000001</v>
      </c>
      <c r="DY670" s="1373"/>
      <c r="DZ670" s="1373"/>
      <c r="EA670" s="1373"/>
      <c r="EB670" s="1373"/>
      <c r="EC670" s="1373">
        <f>SUMIF(EC635:EG669,"&gt;0")</f>
        <v>1793.21875</v>
      </c>
      <c r="ED670" s="1373"/>
      <c r="EE670" s="1373"/>
      <c r="EF670" s="1373"/>
      <c r="EG670" s="1373"/>
      <c r="EH670" s="1373">
        <f>SUMIF(EH635:EL669,"&gt;0")</f>
        <v>1831.6190476190475</v>
      </c>
      <c r="EI670" s="1373"/>
      <c r="EJ670" s="1373"/>
      <c r="EK670" s="1373"/>
      <c r="EL670" s="1373"/>
      <c r="EM670" s="1373">
        <f>SUMIF(EM635:EQ669,"&gt;0")</f>
        <v>2685.3</v>
      </c>
      <c r="EN670" s="1373"/>
      <c r="EO670" s="1373"/>
      <c r="EP670" s="1373"/>
      <c r="EQ670" s="1373"/>
      <c r="ER670" s="1373">
        <f>SUMIF(ER635:EV669,"&gt;0")</f>
        <v>0</v>
      </c>
      <c r="ES670" s="1373"/>
      <c r="ET670" s="1373"/>
      <c r="EU670" s="1373"/>
      <c r="EV670" s="1373"/>
      <c r="EW670" s="1373">
        <f>SUMIF(EW635:FA669,"&gt;0")</f>
        <v>0</v>
      </c>
      <c r="EX670" s="1373"/>
      <c r="EY670" s="1373"/>
      <c r="EZ670" s="1373"/>
      <c r="FA670" s="1373"/>
    </row>
    <row r="671" spans="1:157" ht="12.95" customHeight="1">
      <c r="A671" s="22"/>
      <c r="B671" t="s">
        <v>316</v>
      </c>
      <c r="G671" s="1496"/>
      <c r="H671" s="1496"/>
      <c r="I671" s="1496"/>
      <c r="J671" s="1496"/>
      <c r="K671" s="1496"/>
      <c r="L671" s="1496"/>
      <c r="O671" s="33" t="s">
        <v>206</v>
      </c>
      <c r="P671" s="1463"/>
      <c r="Q671" s="1463"/>
      <c r="R671" s="1463"/>
      <c r="T671" s="22"/>
      <c r="U671" t="s">
        <v>316</v>
      </c>
      <c r="Z671" s="1496"/>
      <c r="AA671" s="1496"/>
      <c r="AB671" s="1496"/>
      <c r="AC671" s="1496"/>
      <c r="AD671" s="1496"/>
      <c r="AE671" s="1496"/>
      <c r="AH671" s="33" t="s">
        <v>206</v>
      </c>
      <c r="AI671" s="1463"/>
      <c r="AJ671" s="1463"/>
      <c r="AK671" s="1463"/>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20"/>
      <c r="I672" s="1420"/>
      <c r="J672" s="1420"/>
      <c r="K672" s="1420"/>
      <c r="L672" s="1420"/>
      <c r="M672" s="1420"/>
      <c r="N672" s="1420"/>
      <c r="O672" s="1420"/>
      <c r="P672" s="1420"/>
      <c r="Q672" s="1420"/>
      <c r="R672" s="1420"/>
      <c r="T672" s="22"/>
      <c r="U672" t="s">
        <v>18</v>
      </c>
      <c r="AA672" s="1420"/>
      <c r="AB672" s="1420"/>
      <c r="AC672" s="1420"/>
      <c r="AD672" s="1420"/>
      <c r="AE672" s="1420"/>
      <c r="AF672" s="1420"/>
      <c r="AG672" s="1420"/>
      <c r="AH672" s="1420"/>
      <c r="AI672" s="1420"/>
      <c r="AJ672" s="1420"/>
      <c r="AK672" s="1420"/>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91" t="s">
        <v>670</v>
      </c>
      <c r="O673" s="1391"/>
      <c r="T673" s="22"/>
      <c r="U673" t="s">
        <v>20</v>
      </c>
      <c r="AG673" s="1391" t="s">
        <v>670</v>
      </c>
      <c r="AH673" s="1391"/>
      <c r="AZ673" s="3"/>
    </row>
    <row r="674" spans="1:52" ht="12.95" customHeight="1">
      <c r="A674" s="22"/>
      <c r="T674" s="22"/>
      <c r="AZ674" s="3"/>
    </row>
    <row r="675" spans="1:52" ht="12.95" customHeight="1">
      <c r="A675" s="55" t="s">
        <v>462</v>
      </c>
      <c r="B675" t="s">
        <v>464</v>
      </c>
      <c r="G675" s="1476">
        <f>C635</f>
        <v>0</v>
      </c>
      <c r="H675" s="1476"/>
      <c r="I675" s="1476"/>
      <c r="J675" s="1476"/>
      <c r="K675" s="1476"/>
      <c r="L675" s="1476"/>
      <c r="M675" s="1476"/>
      <c r="N675" s="1476"/>
      <c r="O675" s="1476"/>
      <c r="P675" s="1476"/>
      <c r="Q675" s="1476"/>
      <c r="R675" s="1476"/>
      <c r="T675" s="55" t="s">
        <v>647</v>
      </c>
      <c r="U675" t="s">
        <v>464</v>
      </c>
      <c r="Z675" s="1476">
        <f>C636</f>
        <v>0</v>
      </c>
      <c r="AA675" s="1476"/>
      <c r="AB675" s="1476"/>
      <c r="AC675" s="1476"/>
      <c r="AD675" s="1476"/>
      <c r="AE675" s="1476"/>
      <c r="AF675" s="1476"/>
      <c r="AG675" s="1476"/>
      <c r="AH675" s="1476"/>
      <c r="AI675" s="1476"/>
      <c r="AJ675" s="1476"/>
      <c r="AK675" s="1476"/>
      <c r="AZ675" s="3"/>
    </row>
    <row r="676" spans="1:52" ht="12.95" customHeight="1">
      <c r="A676" s="22"/>
      <c r="B676" t="s">
        <v>85</v>
      </c>
      <c r="G676" s="1420"/>
      <c r="H676" s="1420"/>
      <c r="I676" s="1420"/>
      <c r="J676" s="1420"/>
      <c r="K676" s="1420"/>
      <c r="L676" s="1420"/>
      <c r="M676" s="1420"/>
      <c r="N676" s="1420"/>
      <c r="O676" s="1420"/>
      <c r="P676" s="1420"/>
      <c r="Q676" s="1420"/>
      <c r="R676" s="1420"/>
      <c r="T676" s="22"/>
      <c r="U676" t="s">
        <v>85</v>
      </c>
      <c r="Z676" s="1420"/>
      <c r="AA676" s="1420"/>
      <c r="AB676" s="1420"/>
      <c r="AC676" s="1420"/>
      <c r="AD676" s="1420"/>
      <c r="AE676" s="1420"/>
      <c r="AF676" s="1420"/>
      <c r="AG676" s="1420"/>
      <c r="AH676" s="1420"/>
      <c r="AI676" s="1420"/>
      <c r="AJ676" s="1420"/>
      <c r="AK676" s="1420"/>
      <c r="AZ676" s="3"/>
    </row>
    <row r="677" spans="1:52" ht="12.95" customHeight="1">
      <c r="A677" s="22"/>
      <c r="B677" t="s">
        <v>581</v>
      </c>
      <c r="G677" s="1420"/>
      <c r="H677" s="1420"/>
      <c r="I677" s="1420"/>
      <c r="J677" s="1420"/>
      <c r="K677" s="1420"/>
      <c r="L677" s="1420"/>
      <c r="M677" s="1420"/>
      <c r="N677" s="1420"/>
      <c r="O677" s="1420"/>
      <c r="P677" s="1420"/>
      <c r="Q677" s="1420"/>
      <c r="R677" s="1420"/>
      <c r="T677" s="22"/>
      <c r="U677" t="s">
        <v>581</v>
      </c>
      <c r="Z677" s="1401"/>
      <c r="AA677" s="1401"/>
      <c r="AB677" s="1401"/>
      <c r="AC677" s="1401"/>
      <c r="AD677" s="1401"/>
      <c r="AE677" s="1401"/>
      <c r="AF677" s="1401"/>
      <c r="AG677" s="1401"/>
      <c r="AH677" s="1401"/>
      <c r="AI677" s="1401"/>
      <c r="AJ677" s="1401"/>
      <c r="AK677" s="1401"/>
      <c r="AZ677" s="3"/>
    </row>
    <row r="678" spans="1:52" ht="12.95" customHeight="1">
      <c r="A678" s="22"/>
      <c r="B678" t="s">
        <v>17</v>
      </c>
      <c r="G678" s="1420"/>
      <c r="H678" s="1420"/>
      <c r="I678" s="1420"/>
      <c r="J678" s="1420"/>
      <c r="K678" s="1420"/>
      <c r="L678" s="1420"/>
      <c r="M678" s="1420"/>
      <c r="N678" s="1420"/>
      <c r="O678" s="1420"/>
      <c r="P678" s="1420"/>
      <c r="Q678" s="1420"/>
      <c r="R678" s="1420"/>
      <c r="T678" s="22"/>
      <c r="U678" t="s">
        <v>17</v>
      </c>
      <c r="Z678" s="1401"/>
      <c r="AA678" s="1401"/>
      <c r="AB678" s="1401"/>
      <c r="AC678" s="1401"/>
      <c r="AD678" s="1401"/>
      <c r="AE678" s="1401"/>
      <c r="AF678" s="1401"/>
      <c r="AG678" s="1401"/>
      <c r="AH678" s="1401"/>
      <c r="AI678" s="1401"/>
      <c r="AJ678" s="1401"/>
      <c r="AK678" s="1401"/>
      <c r="AZ678" s="3"/>
    </row>
    <row r="679" spans="1:52" ht="12.95" customHeight="1">
      <c r="A679" s="22"/>
      <c r="B679" t="s">
        <v>316</v>
      </c>
      <c r="G679" s="1496"/>
      <c r="H679" s="1496"/>
      <c r="I679" s="1496"/>
      <c r="J679" s="1496"/>
      <c r="K679" s="1496"/>
      <c r="L679" s="1496"/>
      <c r="O679" s="33" t="s">
        <v>206</v>
      </c>
      <c r="P679" s="1463"/>
      <c r="Q679" s="1463"/>
      <c r="R679" s="1463"/>
      <c r="T679" s="22"/>
      <c r="U679" t="s">
        <v>316</v>
      </c>
      <c r="Z679" s="1496"/>
      <c r="AA679" s="1496"/>
      <c r="AB679" s="1496"/>
      <c r="AC679" s="1496"/>
      <c r="AD679" s="1496"/>
      <c r="AE679" s="1496"/>
      <c r="AH679" s="33" t="s">
        <v>206</v>
      </c>
      <c r="AI679" s="1463"/>
      <c r="AJ679" s="1463"/>
      <c r="AK679" s="1463"/>
      <c r="AZ679" s="3"/>
    </row>
    <row r="680" spans="1:52" ht="12.95" customHeight="1">
      <c r="A680" s="22"/>
      <c r="B680" t="s">
        <v>18</v>
      </c>
      <c r="H680" s="1420"/>
      <c r="I680" s="1420"/>
      <c r="J680" s="1420"/>
      <c r="K680" s="1420"/>
      <c r="L680" s="1420"/>
      <c r="M680" s="1420"/>
      <c r="N680" s="1420"/>
      <c r="O680" s="1420"/>
      <c r="P680" s="1420"/>
      <c r="Q680" s="1420"/>
      <c r="R680" s="1420"/>
      <c r="T680" s="22"/>
      <c r="U680" t="s">
        <v>18</v>
      </c>
      <c r="AA680" s="1420"/>
      <c r="AB680" s="1420"/>
      <c r="AC680" s="1420"/>
      <c r="AD680" s="1420"/>
      <c r="AE680" s="1420"/>
      <c r="AF680" s="1420"/>
      <c r="AG680" s="1420"/>
      <c r="AH680" s="1420"/>
      <c r="AI680" s="1420"/>
      <c r="AJ680" s="1420"/>
      <c r="AK680" s="1420"/>
      <c r="AZ680" s="3"/>
    </row>
    <row r="681" spans="1:52" ht="12.95" customHeight="1">
      <c r="A681" s="22"/>
      <c r="B681" t="s">
        <v>20</v>
      </c>
      <c r="N681" s="1391" t="s">
        <v>670</v>
      </c>
      <c r="O681" s="1391"/>
      <c r="T681" s="22"/>
      <c r="U681" t="s">
        <v>20</v>
      </c>
      <c r="AG681" s="1391" t="s">
        <v>670</v>
      </c>
      <c r="AH681" s="1391"/>
      <c r="AZ681" s="3"/>
    </row>
    <row r="682" spans="1:52" ht="12.95" customHeight="1">
      <c r="A682" s="22"/>
      <c r="T682" s="22"/>
      <c r="AZ682" s="3"/>
    </row>
    <row r="683" spans="1:52" ht="12.95" customHeight="1">
      <c r="A683" s="55" t="s">
        <v>362</v>
      </c>
      <c r="B683" t="s">
        <v>464</v>
      </c>
      <c r="G683" s="1476">
        <f>C637</f>
        <v>0</v>
      </c>
      <c r="H683" s="1476"/>
      <c r="I683" s="1476"/>
      <c r="J683" s="1476"/>
      <c r="K683" s="1476"/>
      <c r="L683" s="1476"/>
      <c r="M683" s="1476"/>
      <c r="N683" s="1476"/>
      <c r="O683" s="1476"/>
      <c r="P683" s="1476"/>
      <c r="Q683" s="1476"/>
      <c r="R683" s="1476"/>
      <c r="T683" s="55" t="s">
        <v>363</v>
      </c>
      <c r="U683" t="s">
        <v>464</v>
      </c>
      <c r="Z683" s="1476">
        <f>C638</f>
        <v>0</v>
      </c>
      <c r="AA683" s="1476"/>
      <c r="AB683" s="1476"/>
      <c r="AC683" s="1476"/>
      <c r="AD683" s="1476"/>
      <c r="AE683" s="1476"/>
      <c r="AF683" s="1476"/>
      <c r="AG683" s="1476"/>
      <c r="AH683" s="1476"/>
      <c r="AI683" s="1476"/>
      <c r="AJ683" s="1476"/>
      <c r="AK683" s="1476"/>
      <c r="AZ683" s="3"/>
    </row>
    <row r="684" spans="1:52" ht="12.95" customHeight="1">
      <c r="B684" t="s">
        <v>85</v>
      </c>
      <c r="G684" s="1420"/>
      <c r="H684" s="1420"/>
      <c r="I684" s="1420"/>
      <c r="J684" s="1420"/>
      <c r="K684" s="1420"/>
      <c r="L684" s="1420"/>
      <c r="M684" s="1420"/>
      <c r="N684" s="1420"/>
      <c r="O684" s="1420"/>
      <c r="P684" s="1420"/>
      <c r="Q684" s="1420"/>
      <c r="R684" s="1420"/>
      <c r="T684" s="22"/>
      <c r="U684" t="s">
        <v>85</v>
      </c>
      <c r="Z684" s="1420"/>
      <c r="AA684" s="1420"/>
      <c r="AB684" s="1420"/>
      <c r="AC684" s="1420"/>
      <c r="AD684" s="1420"/>
      <c r="AE684" s="1420"/>
      <c r="AF684" s="1420"/>
      <c r="AG684" s="1420"/>
      <c r="AH684" s="1420"/>
      <c r="AI684" s="1420"/>
      <c r="AJ684" s="1420"/>
      <c r="AK684" s="1420"/>
      <c r="AZ684" s="3"/>
    </row>
    <row r="685" spans="1:52" ht="12.95" customHeight="1">
      <c r="B685" t="s">
        <v>581</v>
      </c>
      <c r="G685" s="1420"/>
      <c r="H685" s="1420"/>
      <c r="I685" s="1420"/>
      <c r="J685" s="1420"/>
      <c r="K685" s="1420"/>
      <c r="L685" s="1420"/>
      <c r="M685" s="1420"/>
      <c r="N685" s="1420"/>
      <c r="O685" s="1420"/>
      <c r="P685" s="1420"/>
      <c r="Q685" s="1420"/>
      <c r="R685" s="1420"/>
      <c r="U685" t="s">
        <v>581</v>
      </c>
      <c r="Z685" s="1401"/>
      <c r="AA685" s="1401"/>
      <c r="AB685" s="1401"/>
      <c r="AC685" s="1401"/>
      <c r="AD685" s="1401"/>
      <c r="AE685" s="1401"/>
      <c r="AF685" s="1401"/>
      <c r="AG685" s="1401"/>
      <c r="AH685" s="1401"/>
      <c r="AI685" s="1401"/>
      <c r="AJ685" s="1401"/>
      <c r="AK685" s="1401"/>
      <c r="AZ685" s="3"/>
    </row>
    <row r="686" spans="1:52" ht="12.95" customHeight="1">
      <c r="B686" t="s">
        <v>17</v>
      </c>
      <c r="G686" s="1420"/>
      <c r="H686" s="1420"/>
      <c r="I686" s="1420"/>
      <c r="J686" s="1420"/>
      <c r="K686" s="1420"/>
      <c r="L686" s="1420"/>
      <c r="M686" s="1420"/>
      <c r="N686" s="1420"/>
      <c r="O686" s="1420"/>
      <c r="P686" s="1420"/>
      <c r="Q686" s="1420"/>
      <c r="R686" s="1420"/>
      <c r="U686" t="s">
        <v>17</v>
      </c>
      <c r="Z686" s="1401"/>
      <c r="AA686" s="1401"/>
      <c r="AB686" s="1401"/>
      <c r="AC686" s="1401"/>
      <c r="AD686" s="1401"/>
      <c r="AE686" s="1401"/>
      <c r="AF686" s="1401"/>
      <c r="AG686" s="1401"/>
      <c r="AH686" s="1401"/>
      <c r="AI686" s="1401"/>
      <c r="AJ686" s="1401"/>
      <c r="AK686" s="1401"/>
      <c r="AZ686" s="3"/>
    </row>
    <row r="687" spans="1:52" ht="12.95" customHeight="1">
      <c r="B687" t="s">
        <v>316</v>
      </c>
      <c r="G687" s="1496"/>
      <c r="H687" s="1496"/>
      <c r="I687" s="1496"/>
      <c r="J687" s="1496"/>
      <c r="K687" s="1496"/>
      <c r="L687" s="1496"/>
      <c r="O687" s="33" t="s">
        <v>206</v>
      </c>
      <c r="P687" s="1463"/>
      <c r="Q687" s="1463"/>
      <c r="R687" s="1463"/>
      <c r="U687" t="s">
        <v>316</v>
      </c>
      <c r="Z687" s="1496"/>
      <c r="AA687" s="1496"/>
      <c r="AB687" s="1496"/>
      <c r="AC687" s="1496"/>
      <c r="AD687" s="1496"/>
      <c r="AE687" s="1496"/>
      <c r="AH687" s="33" t="s">
        <v>206</v>
      </c>
      <c r="AI687" s="1463"/>
      <c r="AJ687" s="1463"/>
      <c r="AK687" s="1463"/>
      <c r="AZ687" s="3"/>
    </row>
    <row r="688" spans="1:52" ht="12.95" customHeight="1">
      <c r="B688" t="s">
        <v>18</v>
      </c>
      <c r="H688" s="1420"/>
      <c r="I688" s="1420"/>
      <c r="J688" s="1420"/>
      <c r="K688" s="1420"/>
      <c r="L688" s="1420"/>
      <c r="M688" s="1420"/>
      <c r="N688" s="1420"/>
      <c r="O688" s="1420"/>
      <c r="P688" s="1420"/>
      <c r="Q688" s="1420"/>
      <c r="R688" s="1420"/>
      <c r="U688" t="s">
        <v>18</v>
      </c>
      <c r="AA688" s="1420"/>
      <c r="AB688" s="1420"/>
      <c r="AC688" s="1420"/>
      <c r="AD688" s="1420"/>
      <c r="AE688" s="1420"/>
      <c r="AF688" s="1420"/>
      <c r="AG688" s="1420"/>
      <c r="AH688" s="1420"/>
      <c r="AI688" s="1420"/>
      <c r="AJ688" s="1420"/>
      <c r="AK688" s="1420"/>
      <c r="AZ688" s="3"/>
    </row>
    <row r="689" spans="1:67" ht="12.95" customHeight="1">
      <c r="B689" t="s">
        <v>20</v>
      </c>
      <c r="N689" s="1391" t="s">
        <v>670</v>
      </c>
      <c r="O689" s="1391"/>
      <c r="U689" t="s">
        <v>20</v>
      </c>
      <c r="AG689" s="1391" t="s">
        <v>670</v>
      </c>
      <c r="AH689" s="1391"/>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91" t="s">
        <v>670</v>
      </c>
      <c r="AF693" s="1391"/>
      <c r="AZ693" s="3"/>
    </row>
    <row r="694" spans="1:67" ht="12.95" customHeight="1">
      <c r="B694" s="135"/>
      <c r="C694" s="135"/>
      <c r="D694" s="136" t="s">
        <v>438</v>
      </c>
      <c r="E694" s="135"/>
      <c r="F694" s="135"/>
      <c r="G694" s="135"/>
      <c r="H694" s="135"/>
      <c r="AE694" s="1391" t="s">
        <v>670</v>
      </c>
      <c r="AF694" s="1391"/>
      <c r="AZ694" s="3"/>
    </row>
    <row r="695" spans="1:67" ht="12.95" customHeight="1">
      <c r="B695" s="135"/>
      <c r="C695" s="135"/>
      <c r="D695" s="136" t="s">
        <v>921</v>
      </c>
      <c r="E695" s="135"/>
      <c r="F695" s="135"/>
      <c r="G695" s="135"/>
      <c r="H695" s="135"/>
      <c r="AE695" s="1504">
        <v>45909</v>
      </c>
      <c r="AF695" s="1504"/>
      <c r="AG695" s="1504"/>
      <c r="AH695" s="1504"/>
      <c r="AI695" s="1504"/>
    </row>
    <row r="696" spans="1:67" ht="12.95" customHeight="1">
      <c r="B696" s="135"/>
      <c r="C696" s="135"/>
      <c r="D696" s="317" t="s">
        <v>984</v>
      </c>
      <c r="E696" s="135"/>
      <c r="F696" s="135"/>
      <c r="G696" s="135"/>
      <c r="H696" s="135"/>
      <c r="AE696" s="1656">
        <v>45980</v>
      </c>
      <c r="AF696" s="1656"/>
      <c r="AG696" s="1656"/>
      <c r="AH696" s="1656"/>
      <c r="AI696" s="1656"/>
    </row>
    <row r="697" spans="1:67" ht="12.95" customHeight="1">
      <c r="B697" s="135"/>
      <c r="C697" s="135"/>
    </row>
    <row r="698" spans="1:67" ht="12.95" customHeight="1">
      <c r="B698" s="135"/>
      <c r="C698" s="135"/>
      <c r="D698" s="136" t="s">
        <v>817</v>
      </c>
      <c r="E698" s="135"/>
      <c r="F698" s="135"/>
      <c r="G698" s="135"/>
      <c r="H698" s="135"/>
      <c r="AE698" s="1504">
        <v>46143</v>
      </c>
      <c r="AF698" s="1504"/>
      <c r="AG698" s="1504"/>
      <c r="AH698" s="1504"/>
      <c r="AI698" s="1504"/>
    </row>
    <row r="699" spans="1:67" ht="12.95" customHeight="1">
      <c r="B699" s="135"/>
      <c r="C699" s="135"/>
      <c r="D699" s="136" t="s">
        <v>436</v>
      </c>
      <c r="E699" s="135"/>
      <c r="F699" s="135"/>
      <c r="G699" s="135"/>
      <c r="H699" s="135"/>
      <c r="AE699" s="1684">
        <v>0.28999999999999998</v>
      </c>
      <c r="AF699" s="1684"/>
      <c r="AG699" s="1684"/>
      <c r="AH699" s="1684"/>
      <c r="AI699" s="1684"/>
    </row>
    <row r="700" spans="1:67" ht="12.95" customHeight="1">
      <c r="B700" s="135"/>
      <c r="C700" s="135"/>
      <c r="D700" s="136" t="s">
        <v>437</v>
      </c>
      <c r="E700" s="135"/>
      <c r="F700" s="135"/>
      <c r="G700" s="135"/>
      <c r="H700" s="135"/>
      <c r="W700" s="1476" t="str">
        <f>H335</f>
        <v>CMFA</v>
      </c>
      <c r="X700" s="1476"/>
      <c r="Y700" s="1476"/>
      <c r="Z700" s="1476"/>
      <c r="AA700" s="1476"/>
      <c r="AB700" s="1476"/>
      <c r="AC700" s="1476"/>
      <c r="AD700" s="1476"/>
      <c r="AE700" s="1476"/>
      <c r="AF700" s="1476"/>
      <c r="AG700" s="1476"/>
      <c r="AH700" s="1476"/>
      <c r="AI700" s="1476"/>
      <c r="AJ700" s="1476"/>
      <c r="AK700" s="1476"/>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91" t="s">
        <v>670</v>
      </c>
      <c r="AF702" s="1391"/>
      <c r="AZ702" s="4" t="s">
        <v>324</v>
      </c>
    </row>
    <row r="703" spans="1:67" ht="12.95" customHeight="1">
      <c r="B703" s="135"/>
      <c r="C703" s="135"/>
      <c r="D703" s="136" t="s">
        <v>443</v>
      </c>
      <c r="E703" s="135"/>
      <c r="F703" s="135"/>
      <c r="G703" s="135"/>
      <c r="H703" s="135"/>
      <c r="W703" s="1420"/>
      <c r="X703" s="1420"/>
      <c r="Y703" s="1420"/>
      <c r="Z703" s="1420"/>
      <c r="AA703" s="1420"/>
      <c r="AB703" s="1420"/>
      <c r="AC703" s="1420"/>
      <c r="AD703" s="1420"/>
      <c r="AE703" s="1420"/>
      <c r="AF703" s="1420"/>
      <c r="AG703" s="1420"/>
      <c r="AH703" s="1420"/>
      <c r="AI703" s="1420"/>
      <c r="AJ703" s="1420"/>
      <c r="AK703" s="1420"/>
      <c r="AZ703" s="4" t="s">
        <v>325</v>
      </c>
    </row>
    <row r="704" spans="1:67" ht="12.95" customHeight="1">
      <c r="B704" s="135"/>
      <c r="C704" s="135"/>
      <c r="D704" s="136" t="s">
        <v>87</v>
      </c>
      <c r="E704" s="135"/>
      <c r="F704" s="135"/>
      <c r="G704" s="135"/>
      <c r="H704" s="135"/>
      <c r="J704" s="1420"/>
      <c r="K704" s="1420"/>
      <c r="L704" s="1420"/>
      <c r="M704" s="1420"/>
      <c r="N704" s="1420"/>
      <c r="O704" s="1420"/>
      <c r="P704" s="1420"/>
      <c r="Q704" s="1420"/>
      <c r="R704" s="1420"/>
      <c r="S704" s="1420"/>
      <c r="T704" s="1420"/>
      <c r="U704" s="1420"/>
      <c r="V704" s="1420"/>
      <c r="W704" s="1420"/>
      <c r="X704" s="1420"/>
      <c r="AZ704" s="4" t="s">
        <v>163</v>
      </c>
      <c r="BB704" s="34"/>
      <c r="BC704" s="34"/>
      <c r="BD704" s="34"/>
      <c r="BE704" s="3"/>
      <c r="BF704" s="3"/>
      <c r="BJ704" s="3"/>
      <c r="BK704" s="3"/>
      <c r="BL704" s="3"/>
      <c r="BM704" s="3"/>
      <c r="BN704" s="34"/>
      <c r="BO704" s="34"/>
    </row>
    <row r="705" spans="1:185" ht="12.95" customHeight="1">
      <c r="B705" s="135"/>
      <c r="C705" s="135"/>
      <c r="D705" s="136" t="s">
        <v>88</v>
      </c>
      <c r="J705" s="1496"/>
      <c r="K705" s="1496"/>
      <c r="L705" s="1496"/>
      <c r="M705" s="1496"/>
      <c r="N705" s="1496"/>
      <c r="O705" s="1496"/>
      <c r="P705" s="4" t="s">
        <v>206</v>
      </c>
      <c r="Q705" s="4"/>
      <c r="R705" s="1463"/>
      <c r="S705" s="1463"/>
      <c r="T705" s="1463"/>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420" t="s">
        <v>307</v>
      </c>
      <c r="X706" s="1420"/>
      <c r="Y706" s="1420"/>
      <c r="Z706" s="1420"/>
      <c r="AA706" s="1420"/>
      <c r="AB706" s="1420"/>
      <c r="AC706" s="1420"/>
      <c r="AD706" s="1420"/>
      <c r="AE706" s="1420"/>
      <c r="AF706" s="1420"/>
      <c r="AG706" s="1420"/>
      <c r="AH706" s="1420"/>
      <c r="AI706" s="1420"/>
      <c r="AJ706" s="1420"/>
      <c r="AK706" s="1420"/>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20" t="s">
        <v>334</v>
      </c>
      <c r="F707" s="1420"/>
      <c r="G707" s="1420"/>
      <c r="H707" s="1420"/>
      <c r="I707" s="1420"/>
      <c r="J707" s="1420"/>
      <c r="K707" s="1420"/>
      <c r="L707" s="1420"/>
      <c r="M707" s="1420"/>
      <c r="N707" s="1420"/>
      <c r="O707" s="1420"/>
      <c r="P707" s="1420"/>
      <c r="Q707" s="1420"/>
      <c r="R707" s="1420"/>
      <c r="S707" s="1420"/>
      <c r="T707" s="1420"/>
      <c r="U707" s="1420"/>
      <c r="V707" s="1420"/>
      <c r="W707" s="1420"/>
      <c r="X707" s="1420"/>
      <c r="Y707" s="1420"/>
      <c r="Z707" s="1420"/>
      <c r="AA707" s="1420"/>
      <c r="AB707" s="1420"/>
      <c r="AC707" s="1420"/>
      <c r="AD707" s="1420"/>
      <c r="AE707" s="1420"/>
      <c r="AF707" s="1420"/>
      <c r="AG707" s="1420"/>
      <c r="AH707" s="1420"/>
      <c r="AI707" s="1420"/>
      <c r="AJ707" s="1420"/>
      <c r="AK707" s="1420"/>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84" t="s">
        <v>389</v>
      </c>
      <c r="C714" s="1485"/>
      <c r="D714" s="1485"/>
      <c r="E714" s="1485"/>
      <c r="F714" s="1486"/>
      <c r="G714" s="1484" t="s">
        <v>285</v>
      </c>
      <c r="H714" s="1485"/>
      <c r="I714" s="1485"/>
      <c r="J714" s="1486"/>
      <c r="K714" s="1510" t="s">
        <v>1680</v>
      </c>
      <c r="L714" s="1511"/>
      <c r="M714" s="1511"/>
      <c r="N714" s="1512"/>
      <c r="O714" s="1484" t="s">
        <v>448</v>
      </c>
      <c r="P714" s="1485"/>
      <c r="Q714" s="1485"/>
      <c r="R714" s="1485"/>
      <c r="S714" s="1486"/>
      <c r="T714" s="1505" t="s">
        <v>1950</v>
      </c>
      <c r="U714" s="1485"/>
      <c r="V714" s="1485"/>
      <c r="W714" s="1486"/>
      <c r="X714" s="1505" t="s">
        <v>1952</v>
      </c>
      <c r="Y714" s="1485"/>
      <c r="Z714" s="1485"/>
      <c r="AA714" s="1485"/>
      <c r="AB714" s="1486"/>
      <c r="AC714" s="1505" t="s">
        <v>1951</v>
      </c>
      <c r="AD714" s="1485"/>
      <c r="AE714" s="1485"/>
      <c r="AF714" s="1485"/>
      <c r="AG714" s="1486"/>
      <c r="AH714" s="1505" t="s">
        <v>1953</v>
      </c>
      <c r="AI714" s="1485"/>
      <c r="AJ714" s="1486"/>
      <c r="AK714" s="1505" t="s">
        <v>1980</v>
      </c>
      <c r="AL714" s="1485"/>
      <c r="AM714" s="1485"/>
      <c r="AN714" s="1485"/>
      <c r="AO714" s="148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87"/>
      <c r="C715" s="1488"/>
      <c r="D715" s="1488"/>
      <c r="E715" s="1488"/>
      <c r="F715" s="1489"/>
      <c r="G715" s="1487"/>
      <c r="H715" s="1488"/>
      <c r="I715" s="1488"/>
      <c r="J715" s="1489"/>
      <c r="K715" s="1513"/>
      <c r="L715" s="1514"/>
      <c r="M715" s="1514"/>
      <c r="N715" s="1515"/>
      <c r="O715" s="1487"/>
      <c r="P715" s="1488"/>
      <c r="Q715" s="1488"/>
      <c r="R715" s="1488"/>
      <c r="S715" s="1489"/>
      <c r="T715" s="1487"/>
      <c r="U715" s="1488"/>
      <c r="V715" s="1488"/>
      <c r="W715" s="1489"/>
      <c r="X715" s="1487"/>
      <c r="Y715" s="1488"/>
      <c r="Z715" s="1488"/>
      <c r="AA715" s="1488"/>
      <c r="AB715" s="1489"/>
      <c r="AC715" s="1487"/>
      <c r="AD715" s="1488"/>
      <c r="AE715" s="1488"/>
      <c r="AF715" s="1488"/>
      <c r="AG715" s="1489"/>
      <c r="AH715" s="1487"/>
      <c r="AI715" s="1488"/>
      <c r="AJ715" s="1489"/>
      <c r="AK715" s="1487"/>
      <c r="AL715" s="1488"/>
      <c r="AM715" s="1488"/>
      <c r="AN715" s="1488"/>
      <c r="AO715" s="148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487"/>
      <c r="C716" s="1488"/>
      <c r="D716" s="1488"/>
      <c r="E716" s="1488"/>
      <c r="F716" s="1489"/>
      <c r="G716" s="1487"/>
      <c r="H716" s="1488"/>
      <c r="I716" s="1488"/>
      <c r="J716" s="1489"/>
      <c r="K716" s="1513"/>
      <c r="L716" s="1514"/>
      <c r="M716" s="1514"/>
      <c r="N716" s="1515"/>
      <c r="O716" s="1487"/>
      <c r="P716" s="1488"/>
      <c r="Q716" s="1488"/>
      <c r="R716" s="1488"/>
      <c r="S716" s="1489"/>
      <c r="T716" s="1487"/>
      <c r="U716" s="1488"/>
      <c r="V716" s="1488"/>
      <c r="W716" s="1489"/>
      <c r="X716" s="1487"/>
      <c r="Y716" s="1488"/>
      <c r="Z716" s="1488"/>
      <c r="AA716" s="1488"/>
      <c r="AB716" s="1489"/>
      <c r="AC716" s="1487"/>
      <c r="AD716" s="1488"/>
      <c r="AE716" s="1488"/>
      <c r="AF716" s="1488"/>
      <c r="AG716" s="1489"/>
      <c r="AH716" s="1487"/>
      <c r="AI716" s="1488"/>
      <c r="AJ716" s="1489"/>
      <c r="AK716" s="1487"/>
      <c r="AL716" s="1488"/>
      <c r="AM716" s="1488"/>
      <c r="AN716" s="1488"/>
      <c r="AO716" s="1489"/>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490"/>
      <c r="C717" s="1491"/>
      <c r="D717" s="1491"/>
      <c r="E717" s="1491"/>
      <c r="F717" s="1492"/>
      <c r="G717" s="1490"/>
      <c r="H717" s="1491"/>
      <c r="I717" s="1491"/>
      <c r="J717" s="1492"/>
      <c r="K717" s="1513"/>
      <c r="L717" s="1514"/>
      <c r="M717" s="1514"/>
      <c r="N717" s="1515"/>
      <c r="O717" s="1490"/>
      <c r="P717" s="1491"/>
      <c r="Q717" s="1491"/>
      <c r="R717" s="1491"/>
      <c r="S717" s="1492"/>
      <c r="T717" s="1490"/>
      <c r="U717" s="1491"/>
      <c r="V717" s="1491"/>
      <c r="W717" s="1492"/>
      <c r="X717" s="1490"/>
      <c r="Y717" s="1491"/>
      <c r="Z717" s="1491"/>
      <c r="AA717" s="1491"/>
      <c r="AB717" s="1492"/>
      <c r="AC717" s="1490"/>
      <c r="AD717" s="1491"/>
      <c r="AE717" s="1491"/>
      <c r="AF717" s="1491"/>
      <c r="AG717" s="1492"/>
      <c r="AH717" s="1490"/>
      <c r="AI717" s="1491"/>
      <c r="AJ717" s="1492"/>
      <c r="AK717" s="1490"/>
      <c r="AL717" s="1491"/>
      <c r="AM717" s="1491"/>
      <c r="AN717" s="1491"/>
      <c r="AO717" s="1492"/>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39"/>
      <c r="CJ717" s="1341"/>
      <c r="CK717" s="121" t="s">
        <v>476</v>
      </c>
      <c r="CL717" s="122"/>
      <c r="CM717" s="1339"/>
      <c r="CN717" s="1341"/>
      <c r="CO717" s="3"/>
      <c r="CP717" s="1794" t="s">
        <v>634</v>
      </c>
      <c r="CQ717" s="1795"/>
      <c r="CR717" s="1795"/>
      <c r="CS717" s="1795"/>
      <c r="CT717" s="1796"/>
      <c r="CU717" s="1497" t="s">
        <v>325</v>
      </c>
      <c r="CV717" s="1497"/>
      <c r="CW717" s="1497"/>
      <c r="CX717" s="1497"/>
      <c r="CY717" s="1497"/>
      <c r="CZ717" s="1497" t="s">
        <v>163</v>
      </c>
      <c r="DA717" s="1497"/>
      <c r="DB717" s="1497"/>
      <c r="DC717" s="1497"/>
      <c r="DD717" s="1497"/>
      <c r="DE717" s="1497" t="s">
        <v>164</v>
      </c>
      <c r="DF717" s="1497"/>
      <c r="DG717" s="1497"/>
      <c r="DH717" s="1497"/>
      <c r="DI717" s="1497"/>
      <c r="DJ717" s="1497" t="s">
        <v>461</v>
      </c>
      <c r="DK717" s="1497"/>
      <c r="DL717" s="1497"/>
      <c r="DM717" s="1497"/>
      <c r="DN717" s="1497"/>
      <c r="DO717" s="1497" t="s">
        <v>30</v>
      </c>
      <c r="DP717" s="1497"/>
      <c r="DQ717" s="1497"/>
      <c r="DR717" s="1497"/>
      <c r="DS717" s="1497"/>
      <c r="DT717" s="89"/>
      <c r="DU717" s="1497" t="s">
        <v>634</v>
      </c>
      <c r="DV717" s="1497"/>
      <c r="DW717" s="1497"/>
      <c r="DX717" s="1497"/>
      <c r="DY717" s="1497"/>
      <c r="DZ717" s="1497" t="s">
        <v>325</v>
      </c>
      <c r="EA717" s="1497"/>
      <c r="EB717" s="1497"/>
      <c r="EC717" s="1497"/>
      <c r="ED717" s="1497"/>
      <c r="EE717" s="1497" t="s">
        <v>163</v>
      </c>
      <c r="EF717" s="1497"/>
      <c r="EG717" s="1497"/>
      <c r="EH717" s="1497"/>
      <c r="EI717" s="1497"/>
      <c r="EJ717" s="1497" t="s">
        <v>164</v>
      </c>
      <c r="EK717" s="1497"/>
      <c r="EL717" s="1497"/>
      <c r="EM717" s="1497"/>
      <c r="EN717" s="1497"/>
      <c r="EO717" s="1497" t="s">
        <v>461</v>
      </c>
      <c r="EP717" s="1497"/>
      <c r="EQ717" s="1497"/>
      <c r="ER717" s="1497"/>
      <c r="ES717" s="1497"/>
      <c r="ET717" s="1497" t="s">
        <v>30</v>
      </c>
      <c r="EU717" s="1497"/>
      <c r="EV717" s="1497"/>
      <c r="EW717" s="1497"/>
      <c r="EX717" s="1497"/>
      <c r="EY717" s="4"/>
      <c r="EZ717" s="1497" t="s">
        <v>634</v>
      </c>
      <c r="FA717" s="1497"/>
      <c r="FB717" s="1497"/>
      <c r="FC717" s="1497"/>
      <c r="FD717" s="1497"/>
      <c r="FE717" s="1497" t="s">
        <v>325</v>
      </c>
      <c r="FF717" s="1497"/>
      <c r="FG717" s="1497"/>
      <c r="FH717" s="1497"/>
      <c r="FI717" s="1497"/>
      <c r="FJ717" s="1497" t="s">
        <v>163</v>
      </c>
      <c r="FK717" s="1497"/>
      <c r="FL717" s="1497"/>
      <c r="FM717" s="1497"/>
      <c r="FN717" s="1497"/>
      <c r="FO717" s="1497" t="s">
        <v>164</v>
      </c>
      <c r="FP717" s="1497"/>
      <c r="FQ717" s="1497"/>
      <c r="FR717" s="1497"/>
      <c r="FS717" s="1497"/>
      <c r="FT717" s="1497" t="s">
        <v>461</v>
      </c>
      <c r="FU717" s="1497"/>
      <c r="FV717" s="1497"/>
      <c r="FW717" s="1497"/>
      <c r="FX717" s="1497"/>
      <c r="FY717" s="1497" t="s">
        <v>30</v>
      </c>
      <c r="FZ717" s="1497"/>
      <c r="GA717" s="1497"/>
      <c r="GB717" s="1497"/>
      <c r="GC717" s="1497"/>
    </row>
    <row r="718" spans="1:185" ht="12.95" customHeight="1">
      <c r="A718" s="4"/>
      <c r="B718" s="1359" t="s">
        <v>324</v>
      </c>
      <c r="C718" s="1360"/>
      <c r="D718" s="1360"/>
      <c r="E718" s="1360"/>
      <c r="F718" s="1361"/>
      <c r="G718" s="1368">
        <v>2</v>
      </c>
      <c r="H718" s="1369"/>
      <c r="I718" s="1369"/>
      <c r="J718" s="1370"/>
      <c r="K718" s="1594">
        <v>497</v>
      </c>
      <c r="L718" s="1595"/>
      <c r="M718" s="1595"/>
      <c r="N718" s="1596"/>
      <c r="O718" s="1460">
        <v>988</v>
      </c>
      <c r="P718" s="1461"/>
      <c r="Q718" s="1461"/>
      <c r="R718" s="1461"/>
      <c r="S718" s="1462"/>
      <c r="T718" s="1460">
        <v>67</v>
      </c>
      <c r="U718" s="1461"/>
      <c r="V718" s="1461"/>
      <c r="W718" s="1462"/>
      <c r="X718" s="1362">
        <f t="shared" ref="X718:X741" si="8">O718+T718</f>
        <v>1055</v>
      </c>
      <c r="Y718" s="1363"/>
      <c r="Z718" s="1363"/>
      <c r="AA718" s="1363"/>
      <c r="AB718" s="1364"/>
      <c r="AC718" s="1603">
        <v>0.3</v>
      </c>
      <c r="AD718" s="1604"/>
      <c r="AE718" s="1604"/>
      <c r="AF718" s="1604"/>
      <c r="AG718" s="1605"/>
      <c r="AH718" s="1365">
        <f>IF($AC718&gt;0,($X718/$AZ718), "")</f>
        <v>0.30005688282138793</v>
      </c>
      <c r="AI718" s="1366"/>
      <c r="AJ718" s="1367"/>
      <c r="AK718" s="1359" t="s">
        <v>1044</v>
      </c>
      <c r="AL718" s="1360"/>
      <c r="AM718" s="1360"/>
      <c r="AN718" s="1360"/>
      <c r="AO718" s="1361"/>
      <c r="AP718" s="3"/>
      <c r="AQ718" s="3"/>
      <c r="AR718" s="3"/>
      <c r="AS718" s="3"/>
      <c r="AZ718" s="118">
        <f t="shared" ref="AZ718:AZ752" si="9">IF($G718=0,"N/A",VLOOKUP($T$189,TC_Rent,(MATCH($B718,bedrooms,FALSE)),FALSE))</f>
        <v>3516</v>
      </c>
      <c r="BA718" s="3"/>
      <c r="BB718" s="3"/>
      <c r="BC718" s="3"/>
      <c r="BD718" s="3"/>
      <c r="BE718" s="204"/>
      <c r="BF718" s="293">
        <f t="shared" ref="BF718:BF752" si="10">G718</f>
        <v>2</v>
      </c>
      <c r="BG718" s="297">
        <f t="shared" ref="BG718:BG752" si="11">IF($BF$753=0,0,BF718/$BF$753)</f>
        <v>2.564102564102564E-2</v>
      </c>
      <c r="BH718" s="298">
        <f t="shared" ref="BH718:BH752" si="12">IF(BG718=0,"",BG718*AC718)</f>
        <v>7.6923076923076919E-3</v>
      </c>
      <c r="BI718" s="3"/>
      <c r="BJ718" s="3"/>
      <c r="BK718" s="3"/>
      <c r="BL718" s="3"/>
      <c r="BM718" s="3"/>
      <c r="BN718" s="3"/>
      <c r="BS718" s="293">
        <f t="shared" ref="BS718:BS752" si="13">G718</f>
        <v>2</v>
      </c>
      <c r="BT718" s="297">
        <f t="shared" ref="BT718:BT752" si="14">IF($BS$753=0,0,BS718/$BS$753)</f>
        <v>2.564102564102564E-2</v>
      </c>
      <c r="BU718" s="298">
        <f t="shared" ref="BU718:BU752" si="15">IF(BT718=0,"",BT718*AH718)</f>
        <v>7.6937662261894338E-3</v>
      </c>
      <c r="CC718" s="3"/>
      <c r="CD718" s="3"/>
      <c r="CE718" s="3"/>
      <c r="CF718" s="3"/>
      <c r="CG718" s="1355">
        <f>IF(AND(AC718&lt;=0.5,AC718&gt;=0.36),1,0)</f>
        <v>0</v>
      </c>
      <c r="CH718" s="1357"/>
      <c r="CI718" s="1339">
        <f>IF(CG718=1,G718,0)</f>
        <v>0</v>
      </c>
      <c r="CJ718" s="1341"/>
      <c r="CK718" s="1355">
        <f t="shared" ref="CK718:CK752" si="16">IF(AND(AC718&lt;=0.35,AC718&gt;0),1,0)</f>
        <v>1</v>
      </c>
      <c r="CL718" s="1357"/>
      <c r="CM718" s="1339">
        <f t="shared" ref="CM718:CM752" si="17">IF(CK718=1,G718,0)</f>
        <v>2</v>
      </c>
      <c r="CN718" s="1341"/>
      <c r="CO718" s="3"/>
      <c r="CP718" s="1332">
        <f t="shared" ref="CP718:CP752" si="18">IF(B718="SRO/Studio",G718,0)</f>
        <v>2</v>
      </c>
      <c r="CQ718" s="1333"/>
      <c r="CR718" s="1333"/>
      <c r="CS718" s="1333"/>
      <c r="CT718" s="1334"/>
      <c r="CU718" s="1358">
        <f t="shared" ref="CU718:CU752" si="19">IF(B718="1 Bedroom",G718,0)</f>
        <v>0</v>
      </c>
      <c r="CV718" s="1358"/>
      <c r="CW718" s="1358"/>
      <c r="CX718" s="1358"/>
      <c r="CY718" s="1358"/>
      <c r="CZ718" s="1358">
        <f t="shared" ref="CZ718:CZ752" si="20">IF(B718="2 Bedrooms",G718,0)</f>
        <v>0</v>
      </c>
      <c r="DA718" s="1358"/>
      <c r="DB718" s="1358"/>
      <c r="DC718" s="1358"/>
      <c r="DD718" s="1358"/>
      <c r="DE718" s="1358">
        <f t="shared" ref="DE718:DE752" si="21">IF(B718="3 Bedrooms",G718,0)</f>
        <v>0</v>
      </c>
      <c r="DF718" s="1358"/>
      <c r="DG718" s="1358"/>
      <c r="DH718" s="1358"/>
      <c r="DI718" s="1358"/>
      <c r="DJ718" s="1358">
        <f t="shared" ref="DJ718:DJ752" si="22">IF(B718="4 Bedrooms",G718,0)</f>
        <v>0</v>
      </c>
      <c r="DK718" s="1358"/>
      <c r="DL718" s="1358"/>
      <c r="DM718" s="1358"/>
      <c r="DN718" s="1358"/>
      <c r="DO718" s="1358">
        <f t="shared" ref="DO718:DO752" si="23">IF(B718="5 Bedrooms",G718,0)</f>
        <v>0</v>
      </c>
      <c r="DP718" s="1358"/>
      <c r="DQ718" s="1358"/>
      <c r="DR718" s="1358"/>
      <c r="DS718" s="1358"/>
      <c r="DT718" s="6"/>
      <c r="DU718" s="1372">
        <f t="shared" ref="DU718:DU752" si="24">IF(AND(B718="SRO/Studio",AC718&lt;=0.3),G718,0)</f>
        <v>2</v>
      </c>
      <c r="DV718" s="1372"/>
      <c r="DW718" s="1372"/>
      <c r="DX718" s="1372"/>
      <c r="DY718" s="1372"/>
      <c r="DZ718" s="1372">
        <f t="shared" ref="DZ718:DZ752" si="25">IF(AND(B718="1 Bedroom",AC718&lt;=0.3),G718,0)</f>
        <v>0</v>
      </c>
      <c r="EA718" s="1372"/>
      <c r="EB718" s="1372"/>
      <c r="EC718" s="1372"/>
      <c r="ED718" s="1372"/>
      <c r="EE718" s="1372">
        <f t="shared" ref="EE718:EE752" si="26">IF(AND(B718="2 Bedrooms",AC718&lt;=0.3),G718,0)</f>
        <v>0</v>
      </c>
      <c r="EF718" s="1372"/>
      <c r="EG718" s="1372"/>
      <c r="EH718" s="1372"/>
      <c r="EI718" s="1372"/>
      <c r="EJ718" s="1372">
        <f t="shared" ref="EJ718:EJ752" si="27">IF(AND(B718="3 Bedrooms",AC718&lt;=0.3),G718,0)</f>
        <v>0</v>
      </c>
      <c r="EK718" s="1372"/>
      <c r="EL718" s="1372"/>
      <c r="EM718" s="1372"/>
      <c r="EN718" s="1372"/>
      <c r="EO718" s="1372">
        <f t="shared" ref="EO718:EO752" si="28">IF(AND(B718="4 Bedrooms",AC718&lt;=0.3),G718,0)</f>
        <v>0</v>
      </c>
      <c r="EP718" s="1372"/>
      <c r="EQ718" s="1372"/>
      <c r="ER718" s="1372"/>
      <c r="ES718" s="1372"/>
      <c r="ET718" s="1372">
        <f t="shared" ref="ET718:ET752" si="29">IF(AND(B718="5 Bedrooms",AC718&lt;=0.3),G718,0)</f>
        <v>0</v>
      </c>
      <c r="EU718" s="1372"/>
      <c r="EV718" s="1372"/>
      <c r="EW718" s="1372"/>
      <c r="EX718" s="1372"/>
      <c r="EY718" s="4"/>
      <c r="EZ718" s="1355">
        <f t="shared" ref="EZ718:EZ752" si="30">IF(CP718&gt;0,O718,"")</f>
        <v>988</v>
      </c>
      <c r="FA718" s="1356"/>
      <c r="FB718" s="1356"/>
      <c r="FC718" s="1356"/>
      <c r="FD718" s="1357"/>
      <c r="FE718" s="1355" t="str">
        <f t="shared" ref="FE718:FE752" si="31">IF(CU718&gt;0,O718,"")</f>
        <v/>
      </c>
      <c r="FF718" s="1356"/>
      <c r="FG718" s="1356"/>
      <c r="FH718" s="1356"/>
      <c r="FI718" s="1357"/>
      <c r="FJ718" s="1355" t="str">
        <f t="shared" ref="FJ718:FJ752" si="32">IF(CZ718&gt;0,O718,"")</f>
        <v/>
      </c>
      <c r="FK718" s="1356"/>
      <c r="FL718" s="1356"/>
      <c r="FM718" s="1356"/>
      <c r="FN718" s="1357"/>
      <c r="FO718" s="1355" t="str">
        <f t="shared" ref="FO718:FO752" si="33">IF(DE718&gt;0,O718,"")</f>
        <v/>
      </c>
      <c r="FP718" s="1356"/>
      <c r="FQ718" s="1356"/>
      <c r="FR718" s="1356"/>
      <c r="FS718" s="1357"/>
      <c r="FT718" s="1355" t="str">
        <f t="shared" ref="FT718:FT752" si="34">IF(DJ718&gt;0,O718,"")</f>
        <v/>
      </c>
      <c r="FU718" s="1356"/>
      <c r="FV718" s="1356"/>
      <c r="FW718" s="1356"/>
      <c r="FX718" s="1357"/>
      <c r="FY718" s="1355" t="str">
        <f t="shared" ref="FY718:FY752" si="35">IF(DO718&gt;0,O718,"")</f>
        <v/>
      </c>
      <c r="FZ718" s="1356"/>
      <c r="GA718" s="1356"/>
      <c r="GB718" s="1356"/>
      <c r="GC718" s="1357"/>
    </row>
    <row r="719" spans="1:185" ht="12.95" customHeight="1">
      <c r="A719" s="4"/>
      <c r="B719" s="1359" t="s">
        <v>324</v>
      </c>
      <c r="C719" s="1360"/>
      <c r="D719" s="1360"/>
      <c r="E719" s="1360"/>
      <c r="F719" s="1361"/>
      <c r="G719" s="1368">
        <v>1</v>
      </c>
      <c r="H719" s="1369"/>
      <c r="I719" s="1369"/>
      <c r="J719" s="1370"/>
      <c r="K719" s="1594">
        <v>497</v>
      </c>
      <c r="L719" s="1595"/>
      <c r="M719" s="1595"/>
      <c r="N719" s="1596"/>
      <c r="O719" s="1460">
        <v>1691</v>
      </c>
      <c r="P719" s="1461"/>
      <c r="Q719" s="1461"/>
      <c r="R719" s="1461"/>
      <c r="S719" s="1462"/>
      <c r="T719" s="1460">
        <v>67</v>
      </c>
      <c r="U719" s="1461"/>
      <c r="V719" s="1461"/>
      <c r="W719" s="1462"/>
      <c r="X719" s="1362">
        <f t="shared" si="8"/>
        <v>1758</v>
      </c>
      <c r="Y719" s="1363"/>
      <c r="Z719" s="1363"/>
      <c r="AA719" s="1363"/>
      <c r="AB719" s="1364"/>
      <c r="AC719" s="1603">
        <v>0.5</v>
      </c>
      <c r="AD719" s="1604"/>
      <c r="AE719" s="1604"/>
      <c r="AF719" s="1604"/>
      <c r="AG719" s="1605"/>
      <c r="AH719" s="1365">
        <f t="shared" ref="AH719:AH752" si="36">IF($AC719&gt;0,($X719/$AZ719), "")</f>
        <v>0.5</v>
      </c>
      <c r="AI719" s="1366"/>
      <c r="AJ719" s="1367"/>
      <c r="AK719" s="1359" t="s">
        <v>592</v>
      </c>
      <c r="AL719" s="1360"/>
      <c r="AM719" s="1360"/>
      <c r="AN719" s="1360"/>
      <c r="AO719" s="1361"/>
      <c r="AP719" s="3"/>
      <c r="AQ719" s="3"/>
      <c r="AR719" s="3"/>
      <c r="AS719" s="3"/>
      <c r="AZ719" s="118">
        <f t="shared" si="9"/>
        <v>3516</v>
      </c>
      <c r="BA719" s="3"/>
      <c r="BB719" s="3"/>
      <c r="BC719" s="3"/>
      <c r="BD719" s="3"/>
      <c r="BE719" s="204"/>
      <c r="BF719" s="294">
        <f t="shared" si="10"/>
        <v>1</v>
      </c>
      <c r="BG719" s="297">
        <f t="shared" si="11"/>
        <v>1.282051282051282E-2</v>
      </c>
      <c r="BH719" s="298">
        <f t="shared" si="12"/>
        <v>6.41025641025641E-3</v>
      </c>
      <c r="BI719" s="3"/>
      <c r="BJ719" s="3"/>
      <c r="BK719" s="3"/>
      <c r="BL719" s="3"/>
      <c r="BM719" s="3"/>
      <c r="BN719" s="3"/>
      <c r="BS719" s="294">
        <f t="shared" si="13"/>
        <v>1</v>
      </c>
      <c r="BT719" s="297">
        <f t="shared" si="14"/>
        <v>1.282051282051282E-2</v>
      </c>
      <c r="BU719" s="298">
        <f t="shared" si="15"/>
        <v>6.41025641025641E-3</v>
      </c>
      <c r="CC719" s="3"/>
      <c r="CD719" s="3"/>
      <c r="CE719" s="3"/>
      <c r="CF719" s="3"/>
      <c r="CG719" s="1355">
        <f t="shared" ref="CG719:CG752" si="37">IF(AND(AC719&lt;=0.5,AC719&gt;=0.36),1,0)</f>
        <v>1</v>
      </c>
      <c r="CH719" s="1357"/>
      <c r="CI719" s="1339">
        <f t="shared" ref="CI719:CI752" si="38">IF(CG719=1,G719,0)</f>
        <v>1</v>
      </c>
      <c r="CJ719" s="1341"/>
      <c r="CK719" s="1355">
        <f t="shared" si="16"/>
        <v>0</v>
      </c>
      <c r="CL719" s="1357"/>
      <c r="CM719" s="1339">
        <f t="shared" si="17"/>
        <v>0</v>
      </c>
      <c r="CN719" s="1341"/>
      <c r="CO719" s="3"/>
      <c r="CP719" s="1332">
        <f t="shared" si="18"/>
        <v>1</v>
      </c>
      <c r="CQ719" s="1333"/>
      <c r="CR719" s="1333"/>
      <c r="CS719" s="1333"/>
      <c r="CT719" s="1334"/>
      <c r="CU719" s="1358">
        <f t="shared" si="19"/>
        <v>0</v>
      </c>
      <c r="CV719" s="1358"/>
      <c r="CW719" s="1358"/>
      <c r="CX719" s="1358"/>
      <c r="CY719" s="1358"/>
      <c r="CZ719" s="1358">
        <f t="shared" si="20"/>
        <v>0</v>
      </c>
      <c r="DA719" s="1358"/>
      <c r="DB719" s="1358"/>
      <c r="DC719" s="1358"/>
      <c r="DD719" s="1358"/>
      <c r="DE719" s="1358">
        <f t="shared" si="21"/>
        <v>0</v>
      </c>
      <c r="DF719" s="1358"/>
      <c r="DG719" s="1358"/>
      <c r="DH719" s="1358"/>
      <c r="DI719" s="1358"/>
      <c r="DJ719" s="1358">
        <f t="shared" si="22"/>
        <v>0</v>
      </c>
      <c r="DK719" s="1358"/>
      <c r="DL719" s="1358"/>
      <c r="DM719" s="1358"/>
      <c r="DN719" s="1358"/>
      <c r="DO719" s="1358">
        <f t="shared" si="23"/>
        <v>0</v>
      </c>
      <c r="DP719" s="1358"/>
      <c r="DQ719" s="1358"/>
      <c r="DR719" s="1358"/>
      <c r="DS719" s="1358"/>
      <c r="DT719" s="6"/>
      <c r="DU719" s="1372">
        <f t="shared" si="24"/>
        <v>0</v>
      </c>
      <c r="DV719" s="1372"/>
      <c r="DW719" s="1372"/>
      <c r="DX719" s="1372"/>
      <c r="DY719" s="1372"/>
      <c r="DZ719" s="1372">
        <f t="shared" si="25"/>
        <v>0</v>
      </c>
      <c r="EA719" s="1372"/>
      <c r="EB719" s="1372"/>
      <c r="EC719" s="1372"/>
      <c r="ED719" s="1372"/>
      <c r="EE719" s="1372">
        <f t="shared" si="26"/>
        <v>0</v>
      </c>
      <c r="EF719" s="1372"/>
      <c r="EG719" s="1372"/>
      <c r="EH719" s="1372"/>
      <c r="EI719" s="1372"/>
      <c r="EJ719" s="1372">
        <f t="shared" si="27"/>
        <v>0</v>
      </c>
      <c r="EK719" s="1372"/>
      <c r="EL719" s="1372"/>
      <c r="EM719" s="1372"/>
      <c r="EN719" s="1372"/>
      <c r="EO719" s="1372">
        <f t="shared" si="28"/>
        <v>0</v>
      </c>
      <c r="EP719" s="1372"/>
      <c r="EQ719" s="1372"/>
      <c r="ER719" s="1372"/>
      <c r="ES719" s="1372"/>
      <c r="ET719" s="1372">
        <f t="shared" si="29"/>
        <v>0</v>
      </c>
      <c r="EU719" s="1372"/>
      <c r="EV719" s="1372"/>
      <c r="EW719" s="1372"/>
      <c r="EX719" s="1372"/>
      <c r="EY719" s="4"/>
      <c r="EZ719" s="1355">
        <f t="shared" si="30"/>
        <v>1691</v>
      </c>
      <c r="FA719" s="1356"/>
      <c r="FB719" s="1356"/>
      <c r="FC719" s="1356"/>
      <c r="FD719" s="1357"/>
      <c r="FE719" s="1355" t="str">
        <f t="shared" si="31"/>
        <v/>
      </c>
      <c r="FF719" s="1356"/>
      <c r="FG719" s="1356"/>
      <c r="FH719" s="1356"/>
      <c r="FI719" s="1357"/>
      <c r="FJ719" s="1355" t="str">
        <f t="shared" si="32"/>
        <v/>
      </c>
      <c r="FK719" s="1356"/>
      <c r="FL719" s="1356"/>
      <c r="FM719" s="1356"/>
      <c r="FN719" s="1357"/>
      <c r="FO719" s="1355" t="str">
        <f t="shared" si="33"/>
        <v/>
      </c>
      <c r="FP719" s="1356"/>
      <c r="FQ719" s="1356"/>
      <c r="FR719" s="1356"/>
      <c r="FS719" s="1357"/>
      <c r="FT719" s="1355" t="str">
        <f t="shared" si="34"/>
        <v/>
      </c>
      <c r="FU719" s="1356"/>
      <c r="FV719" s="1356"/>
      <c r="FW719" s="1356"/>
      <c r="FX719" s="1357"/>
      <c r="FY719" s="1355" t="str">
        <f t="shared" si="35"/>
        <v/>
      </c>
      <c r="FZ719" s="1356"/>
      <c r="GA719" s="1356"/>
      <c r="GB719" s="1356"/>
      <c r="GC719" s="1357"/>
    </row>
    <row r="720" spans="1:185" ht="12.95" customHeight="1">
      <c r="A720" s="4"/>
      <c r="B720" s="1359" t="s">
        <v>324</v>
      </c>
      <c r="C720" s="1360"/>
      <c r="D720" s="1360"/>
      <c r="E720" s="1360"/>
      <c r="F720" s="1361"/>
      <c r="G720" s="1368">
        <v>2</v>
      </c>
      <c r="H720" s="1369"/>
      <c r="I720" s="1369"/>
      <c r="J720" s="1370"/>
      <c r="K720" s="1594">
        <v>497</v>
      </c>
      <c r="L720" s="1595"/>
      <c r="M720" s="1595"/>
      <c r="N720" s="1596"/>
      <c r="O720" s="1460">
        <v>2043</v>
      </c>
      <c r="P720" s="1461"/>
      <c r="Q720" s="1461"/>
      <c r="R720" s="1461"/>
      <c r="S720" s="1462"/>
      <c r="T720" s="1460">
        <v>67</v>
      </c>
      <c r="U720" s="1461"/>
      <c r="V720" s="1461"/>
      <c r="W720" s="1462"/>
      <c r="X720" s="1362">
        <f t="shared" si="8"/>
        <v>2110</v>
      </c>
      <c r="Y720" s="1363"/>
      <c r="Z720" s="1363"/>
      <c r="AA720" s="1363"/>
      <c r="AB720" s="1364"/>
      <c r="AC720" s="1603">
        <v>0.6</v>
      </c>
      <c r="AD720" s="1604"/>
      <c r="AE720" s="1604"/>
      <c r="AF720" s="1604"/>
      <c r="AG720" s="1605"/>
      <c r="AH720" s="1365">
        <f t="shared" si="36"/>
        <v>0.60011376564277585</v>
      </c>
      <c r="AI720" s="1366"/>
      <c r="AJ720" s="1367"/>
      <c r="AK720" s="1359" t="s">
        <v>592</v>
      </c>
      <c r="AL720" s="1360"/>
      <c r="AM720" s="1360"/>
      <c r="AN720" s="1360"/>
      <c r="AO720" s="1361"/>
      <c r="AP720" s="3"/>
      <c r="AQ720" s="3"/>
      <c r="AR720" s="3"/>
      <c r="AS720" s="3"/>
      <c r="AZ720" s="118">
        <f t="shared" si="9"/>
        <v>3516</v>
      </c>
      <c r="BA720" s="3"/>
      <c r="BB720" s="3"/>
      <c r="BC720" s="3"/>
      <c r="BD720" s="3"/>
      <c r="BE720" s="204"/>
      <c r="BF720" s="294">
        <f t="shared" si="10"/>
        <v>2</v>
      </c>
      <c r="BG720" s="297">
        <f t="shared" si="11"/>
        <v>2.564102564102564E-2</v>
      </c>
      <c r="BH720" s="298">
        <f t="shared" si="12"/>
        <v>1.5384615384615384E-2</v>
      </c>
      <c r="BI720" s="3"/>
      <c r="BJ720" s="3"/>
      <c r="BK720" s="3"/>
      <c r="BL720" s="3"/>
      <c r="BM720" s="3"/>
      <c r="BN720" s="3"/>
      <c r="BS720" s="294">
        <f t="shared" si="13"/>
        <v>2</v>
      </c>
      <c r="BT720" s="297">
        <f t="shared" si="14"/>
        <v>2.564102564102564E-2</v>
      </c>
      <c r="BU720" s="298">
        <f t="shared" si="15"/>
        <v>1.5387532452378868E-2</v>
      </c>
      <c r="CC720" s="3"/>
      <c r="CD720" s="3"/>
      <c r="CE720" s="3"/>
      <c r="CF720" s="3"/>
      <c r="CG720" s="1355">
        <f t="shared" si="37"/>
        <v>0</v>
      </c>
      <c r="CH720" s="1357"/>
      <c r="CI720" s="1339">
        <f t="shared" si="38"/>
        <v>0</v>
      </c>
      <c r="CJ720" s="1341"/>
      <c r="CK720" s="1355">
        <f t="shared" si="16"/>
        <v>0</v>
      </c>
      <c r="CL720" s="1357"/>
      <c r="CM720" s="1339">
        <f t="shared" si="17"/>
        <v>0</v>
      </c>
      <c r="CN720" s="1341"/>
      <c r="CO720" s="3"/>
      <c r="CP720" s="1332">
        <f t="shared" si="18"/>
        <v>2</v>
      </c>
      <c r="CQ720" s="1333"/>
      <c r="CR720" s="1333"/>
      <c r="CS720" s="1333"/>
      <c r="CT720" s="1334"/>
      <c r="CU720" s="1358">
        <f t="shared" si="19"/>
        <v>0</v>
      </c>
      <c r="CV720" s="1358"/>
      <c r="CW720" s="1358"/>
      <c r="CX720" s="1358"/>
      <c r="CY720" s="1358"/>
      <c r="CZ720" s="1358">
        <f t="shared" si="20"/>
        <v>0</v>
      </c>
      <c r="DA720" s="1358"/>
      <c r="DB720" s="1358"/>
      <c r="DC720" s="1358"/>
      <c r="DD720" s="1358"/>
      <c r="DE720" s="1358">
        <f t="shared" si="21"/>
        <v>0</v>
      </c>
      <c r="DF720" s="1358"/>
      <c r="DG720" s="1358"/>
      <c r="DH720" s="1358"/>
      <c r="DI720" s="1358"/>
      <c r="DJ720" s="1358">
        <f t="shared" si="22"/>
        <v>0</v>
      </c>
      <c r="DK720" s="1358"/>
      <c r="DL720" s="1358"/>
      <c r="DM720" s="1358"/>
      <c r="DN720" s="1358"/>
      <c r="DO720" s="1358">
        <f t="shared" si="23"/>
        <v>0</v>
      </c>
      <c r="DP720" s="1358"/>
      <c r="DQ720" s="1358"/>
      <c r="DR720" s="1358"/>
      <c r="DS720" s="1358"/>
      <c r="DT720" s="6"/>
      <c r="DU720" s="1372">
        <f t="shared" si="24"/>
        <v>0</v>
      </c>
      <c r="DV720" s="1372"/>
      <c r="DW720" s="1372"/>
      <c r="DX720" s="1372"/>
      <c r="DY720" s="1372"/>
      <c r="DZ720" s="1372">
        <f t="shared" si="25"/>
        <v>0</v>
      </c>
      <c r="EA720" s="1372"/>
      <c r="EB720" s="1372"/>
      <c r="EC720" s="1372"/>
      <c r="ED720" s="1372"/>
      <c r="EE720" s="1372">
        <f t="shared" si="26"/>
        <v>0</v>
      </c>
      <c r="EF720" s="1372"/>
      <c r="EG720" s="1372"/>
      <c r="EH720" s="1372"/>
      <c r="EI720" s="1372"/>
      <c r="EJ720" s="1372">
        <f t="shared" si="27"/>
        <v>0</v>
      </c>
      <c r="EK720" s="1372"/>
      <c r="EL720" s="1372"/>
      <c r="EM720" s="1372"/>
      <c r="EN720" s="1372"/>
      <c r="EO720" s="1372">
        <f t="shared" si="28"/>
        <v>0</v>
      </c>
      <c r="EP720" s="1372"/>
      <c r="EQ720" s="1372"/>
      <c r="ER720" s="1372"/>
      <c r="ES720" s="1372"/>
      <c r="ET720" s="1372">
        <f t="shared" si="29"/>
        <v>0</v>
      </c>
      <c r="EU720" s="1372"/>
      <c r="EV720" s="1372"/>
      <c r="EW720" s="1372"/>
      <c r="EX720" s="1372"/>
      <c r="EZ720" s="1355">
        <f t="shared" si="30"/>
        <v>2043</v>
      </c>
      <c r="FA720" s="1356"/>
      <c r="FB720" s="1356"/>
      <c r="FC720" s="1356"/>
      <c r="FD720" s="1357"/>
      <c r="FE720" s="1355" t="str">
        <f t="shared" si="31"/>
        <v/>
      </c>
      <c r="FF720" s="1356"/>
      <c r="FG720" s="1356"/>
      <c r="FH720" s="1356"/>
      <c r="FI720" s="1357"/>
      <c r="FJ720" s="1355" t="str">
        <f t="shared" si="32"/>
        <v/>
      </c>
      <c r="FK720" s="1356"/>
      <c r="FL720" s="1356"/>
      <c r="FM720" s="1356"/>
      <c r="FN720" s="1357"/>
      <c r="FO720" s="1355" t="str">
        <f t="shared" si="33"/>
        <v/>
      </c>
      <c r="FP720" s="1356"/>
      <c r="FQ720" s="1356"/>
      <c r="FR720" s="1356"/>
      <c r="FS720" s="1357"/>
      <c r="FT720" s="1355" t="str">
        <f t="shared" si="34"/>
        <v/>
      </c>
      <c r="FU720" s="1356"/>
      <c r="FV720" s="1356"/>
      <c r="FW720" s="1356"/>
      <c r="FX720" s="1357"/>
      <c r="FY720" s="1355" t="str">
        <f t="shared" si="35"/>
        <v/>
      </c>
      <c r="FZ720" s="1356"/>
      <c r="GA720" s="1356"/>
      <c r="GB720" s="1356"/>
      <c r="GC720" s="1357"/>
    </row>
    <row r="721" spans="1:185" ht="12.95" customHeight="1">
      <c r="B721" s="1359" t="s">
        <v>325</v>
      </c>
      <c r="C721" s="1360"/>
      <c r="D721" s="1360"/>
      <c r="E721" s="1360"/>
      <c r="F721" s="1361"/>
      <c r="G721" s="1368">
        <v>4</v>
      </c>
      <c r="H721" s="1369"/>
      <c r="I721" s="1369"/>
      <c r="J721" s="1370"/>
      <c r="K721" s="1594">
        <v>632</v>
      </c>
      <c r="L721" s="1595"/>
      <c r="M721" s="1595"/>
      <c r="N721" s="1596"/>
      <c r="O721" s="1460">
        <v>1051</v>
      </c>
      <c r="P721" s="1461"/>
      <c r="Q721" s="1461"/>
      <c r="R721" s="1461"/>
      <c r="S721" s="1462"/>
      <c r="T721" s="1460">
        <v>79</v>
      </c>
      <c r="U721" s="1461"/>
      <c r="V721" s="1461"/>
      <c r="W721" s="1462"/>
      <c r="X721" s="1362">
        <f t="shared" si="8"/>
        <v>1130</v>
      </c>
      <c r="Y721" s="1363"/>
      <c r="Z721" s="1363"/>
      <c r="AA721" s="1363"/>
      <c r="AB721" s="1364"/>
      <c r="AC721" s="1603">
        <v>0.3</v>
      </c>
      <c r="AD721" s="1604"/>
      <c r="AE721" s="1604"/>
      <c r="AF721" s="1604"/>
      <c r="AG721" s="1605"/>
      <c r="AH721" s="1365">
        <f t="shared" si="36"/>
        <v>0.29989384288747345</v>
      </c>
      <c r="AI721" s="1366"/>
      <c r="AJ721" s="1367"/>
      <c r="AK721" s="1359" t="s">
        <v>1044</v>
      </c>
      <c r="AL721" s="1360"/>
      <c r="AM721" s="1360"/>
      <c r="AN721" s="1360"/>
      <c r="AO721" s="1361"/>
      <c r="AP721" s="3"/>
      <c r="AQ721" s="3"/>
      <c r="AR721" s="3"/>
      <c r="AS721" s="3"/>
      <c r="AY721" s="116"/>
      <c r="AZ721" s="118">
        <f t="shared" si="9"/>
        <v>3768</v>
      </c>
      <c r="BA721" s="3"/>
      <c r="BB721" s="3"/>
      <c r="BC721" s="3"/>
      <c r="BD721" s="3"/>
      <c r="BE721" s="204"/>
      <c r="BF721" s="294">
        <f t="shared" si="10"/>
        <v>4</v>
      </c>
      <c r="BG721" s="297">
        <f t="shared" si="11"/>
        <v>5.128205128205128E-2</v>
      </c>
      <c r="BH721" s="298">
        <f t="shared" si="12"/>
        <v>1.5384615384615384E-2</v>
      </c>
      <c r="BI721" s="3"/>
      <c r="BJ721" s="3"/>
      <c r="BK721" s="3"/>
      <c r="BL721" s="3"/>
      <c r="BM721" s="3"/>
      <c r="BN721" s="3"/>
      <c r="BS721" s="294">
        <f t="shared" si="13"/>
        <v>4</v>
      </c>
      <c r="BT721" s="297">
        <f t="shared" si="14"/>
        <v>5.128205128205128E-2</v>
      </c>
      <c r="BU721" s="298">
        <f t="shared" si="15"/>
        <v>1.5379171430126843E-2</v>
      </c>
      <c r="CC721" s="3"/>
      <c r="CD721" s="3"/>
      <c r="CE721" s="3"/>
      <c r="CF721" s="3"/>
      <c r="CG721" s="1355">
        <f t="shared" si="37"/>
        <v>0</v>
      </c>
      <c r="CH721" s="1357"/>
      <c r="CI721" s="1339">
        <f t="shared" si="38"/>
        <v>0</v>
      </c>
      <c r="CJ721" s="1341"/>
      <c r="CK721" s="1355">
        <f t="shared" si="16"/>
        <v>1</v>
      </c>
      <c r="CL721" s="1357"/>
      <c r="CM721" s="1339">
        <f t="shared" si="17"/>
        <v>4</v>
      </c>
      <c r="CN721" s="1341"/>
      <c r="CO721" s="3"/>
      <c r="CP721" s="1332">
        <f t="shared" si="18"/>
        <v>0</v>
      </c>
      <c r="CQ721" s="1333"/>
      <c r="CR721" s="1333"/>
      <c r="CS721" s="1333"/>
      <c r="CT721" s="1334"/>
      <c r="CU721" s="1358">
        <f t="shared" si="19"/>
        <v>4</v>
      </c>
      <c r="CV721" s="1358"/>
      <c r="CW721" s="1358"/>
      <c r="CX721" s="1358"/>
      <c r="CY721" s="1358"/>
      <c r="CZ721" s="1358">
        <f t="shared" si="20"/>
        <v>0</v>
      </c>
      <c r="DA721" s="1358"/>
      <c r="DB721" s="1358"/>
      <c r="DC721" s="1358"/>
      <c r="DD721" s="1358"/>
      <c r="DE721" s="1358">
        <f t="shared" si="21"/>
        <v>0</v>
      </c>
      <c r="DF721" s="1358"/>
      <c r="DG721" s="1358"/>
      <c r="DH721" s="1358"/>
      <c r="DI721" s="1358"/>
      <c r="DJ721" s="1358">
        <f t="shared" si="22"/>
        <v>0</v>
      </c>
      <c r="DK721" s="1358"/>
      <c r="DL721" s="1358"/>
      <c r="DM721" s="1358"/>
      <c r="DN721" s="1358"/>
      <c r="DO721" s="1358">
        <f t="shared" si="23"/>
        <v>0</v>
      </c>
      <c r="DP721" s="1358"/>
      <c r="DQ721" s="1358"/>
      <c r="DR721" s="1358"/>
      <c r="DS721" s="1358"/>
      <c r="DT721" s="6"/>
      <c r="DU721" s="1372">
        <f t="shared" si="24"/>
        <v>0</v>
      </c>
      <c r="DV721" s="1372"/>
      <c r="DW721" s="1372"/>
      <c r="DX721" s="1372"/>
      <c r="DY721" s="1372"/>
      <c r="DZ721" s="1372">
        <f t="shared" si="25"/>
        <v>4</v>
      </c>
      <c r="EA721" s="1372"/>
      <c r="EB721" s="1372"/>
      <c r="EC721" s="1372"/>
      <c r="ED721" s="1372"/>
      <c r="EE721" s="1372">
        <f t="shared" si="26"/>
        <v>0</v>
      </c>
      <c r="EF721" s="1372"/>
      <c r="EG721" s="1372"/>
      <c r="EH721" s="1372"/>
      <c r="EI721" s="1372"/>
      <c r="EJ721" s="1372">
        <f t="shared" si="27"/>
        <v>0</v>
      </c>
      <c r="EK721" s="1372"/>
      <c r="EL721" s="1372"/>
      <c r="EM721" s="1372"/>
      <c r="EN721" s="1372"/>
      <c r="EO721" s="1372">
        <f t="shared" si="28"/>
        <v>0</v>
      </c>
      <c r="EP721" s="1372"/>
      <c r="EQ721" s="1372"/>
      <c r="ER721" s="1372"/>
      <c r="ES721" s="1372"/>
      <c r="ET721" s="1372">
        <f t="shared" si="29"/>
        <v>0</v>
      </c>
      <c r="EU721" s="1372"/>
      <c r="EV721" s="1372"/>
      <c r="EW721" s="1372"/>
      <c r="EX721" s="1372"/>
      <c r="EZ721" s="1355" t="str">
        <f t="shared" si="30"/>
        <v/>
      </c>
      <c r="FA721" s="1356"/>
      <c r="FB721" s="1356"/>
      <c r="FC721" s="1356"/>
      <c r="FD721" s="1357"/>
      <c r="FE721" s="1355">
        <f t="shared" si="31"/>
        <v>1051</v>
      </c>
      <c r="FF721" s="1356"/>
      <c r="FG721" s="1356"/>
      <c r="FH721" s="1356"/>
      <c r="FI721" s="1357"/>
      <c r="FJ721" s="1355" t="str">
        <f t="shared" si="32"/>
        <v/>
      </c>
      <c r="FK721" s="1356"/>
      <c r="FL721" s="1356"/>
      <c r="FM721" s="1356"/>
      <c r="FN721" s="1357"/>
      <c r="FO721" s="1355" t="str">
        <f t="shared" si="33"/>
        <v/>
      </c>
      <c r="FP721" s="1356"/>
      <c r="FQ721" s="1356"/>
      <c r="FR721" s="1356"/>
      <c r="FS721" s="1357"/>
      <c r="FT721" s="1355" t="str">
        <f t="shared" si="34"/>
        <v/>
      </c>
      <c r="FU721" s="1356"/>
      <c r="FV721" s="1356"/>
      <c r="FW721" s="1356"/>
      <c r="FX721" s="1357"/>
      <c r="FY721" s="1355" t="str">
        <f t="shared" si="35"/>
        <v/>
      </c>
      <c r="FZ721" s="1356"/>
      <c r="GA721" s="1356"/>
      <c r="GB721" s="1356"/>
      <c r="GC721" s="1357"/>
    </row>
    <row r="722" spans="1:185" ht="12.95" customHeight="1">
      <c r="B722" s="1359" t="s">
        <v>325</v>
      </c>
      <c r="C722" s="1360"/>
      <c r="D722" s="1360"/>
      <c r="E722" s="1360"/>
      <c r="F722" s="1361"/>
      <c r="G722" s="1368">
        <v>6</v>
      </c>
      <c r="H722" s="1369"/>
      <c r="I722" s="1369"/>
      <c r="J722" s="1370"/>
      <c r="K722" s="1594">
        <v>632</v>
      </c>
      <c r="L722" s="1595"/>
      <c r="M722" s="1595"/>
      <c r="N722" s="1596"/>
      <c r="O722" s="1460">
        <v>1051</v>
      </c>
      <c r="P722" s="1461"/>
      <c r="Q722" s="1461"/>
      <c r="R722" s="1461"/>
      <c r="S722" s="1462"/>
      <c r="T722" s="1460">
        <v>79</v>
      </c>
      <c r="U722" s="1461"/>
      <c r="V722" s="1461"/>
      <c r="W722" s="1462"/>
      <c r="X722" s="1362">
        <f t="shared" si="8"/>
        <v>1130</v>
      </c>
      <c r="Y722" s="1363"/>
      <c r="Z722" s="1363"/>
      <c r="AA722" s="1363"/>
      <c r="AB722" s="1364"/>
      <c r="AC722" s="1603">
        <v>0.3</v>
      </c>
      <c r="AD722" s="1604"/>
      <c r="AE722" s="1604"/>
      <c r="AF722" s="1604"/>
      <c r="AG722" s="1605"/>
      <c r="AH722" s="1365">
        <f t="shared" si="36"/>
        <v>0.29989384288747345</v>
      </c>
      <c r="AI722" s="1366"/>
      <c r="AJ722" s="1367"/>
      <c r="AK722" s="1359" t="s">
        <v>1044</v>
      </c>
      <c r="AL722" s="1360"/>
      <c r="AM722" s="1360"/>
      <c r="AN722" s="1360"/>
      <c r="AO722" s="1361"/>
      <c r="AP722" s="3"/>
      <c r="AQ722" s="3"/>
      <c r="AR722" s="3"/>
      <c r="AS722" s="3"/>
      <c r="AY722" s="116"/>
      <c r="AZ722" s="118">
        <f t="shared" si="9"/>
        <v>3768</v>
      </c>
      <c r="BA722" s="3"/>
      <c r="BB722" s="3"/>
      <c r="BC722" s="3"/>
      <c r="BD722" s="3"/>
      <c r="BE722" s="204"/>
      <c r="BF722" s="294">
        <f t="shared" si="10"/>
        <v>6</v>
      </c>
      <c r="BG722" s="297">
        <f t="shared" si="11"/>
        <v>7.6923076923076927E-2</v>
      </c>
      <c r="BH722" s="298">
        <f t="shared" si="12"/>
        <v>2.3076923076923078E-2</v>
      </c>
      <c r="BI722" s="3"/>
      <c r="BJ722" s="3"/>
      <c r="BK722" s="3"/>
      <c r="BL722" s="3"/>
      <c r="BM722" s="3"/>
      <c r="BN722" s="3"/>
      <c r="BS722" s="294">
        <f t="shared" si="13"/>
        <v>6</v>
      </c>
      <c r="BT722" s="297">
        <f t="shared" si="14"/>
        <v>7.6923076923076927E-2</v>
      </c>
      <c r="BU722" s="298">
        <f t="shared" si="15"/>
        <v>2.3068757145190268E-2</v>
      </c>
      <c r="CC722" s="3"/>
      <c r="CD722" s="3"/>
      <c r="CE722" s="3"/>
      <c r="CF722" s="3"/>
      <c r="CG722" s="1355">
        <f t="shared" si="37"/>
        <v>0</v>
      </c>
      <c r="CH722" s="1357"/>
      <c r="CI722" s="1339">
        <f t="shared" si="38"/>
        <v>0</v>
      </c>
      <c r="CJ722" s="1341"/>
      <c r="CK722" s="1355">
        <f t="shared" si="16"/>
        <v>1</v>
      </c>
      <c r="CL722" s="1357"/>
      <c r="CM722" s="1339">
        <f t="shared" si="17"/>
        <v>6</v>
      </c>
      <c r="CN722" s="1341"/>
      <c r="CO722" s="3"/>
      <c r="CP722" s="1332">
        <f t="shared" si="18"/>
        <v>0</v>
      </c>
      <c r="CQ722" s="1333"/>
      <c r="CR722" s="1333"/>
      <c r="CS722" s="1333"/>
      <c r="CT722" s="1334"/>
      <c r="CU722" s="1358">
        <f t="shared" si="19"/>
        <v>6</v>
      </c>
      <c r="CV722" s="1358"/>
      <c r="CW722" s="1358"/>
      <c r="CX722" s="1358"/>
      <c r="CY722" s="1358"/>
      <c r="CZ722" s="1358">
        <f t="shared" si="20"/>
        <v>0</v>
      </c>
      <c r="DA722" s="1358"/>
      <c r="DB722" s="1358"/>
      <c r="DC722" s="1358"/>
      <c r="DD722" s="1358"/>
      <c r="DE722" s="1358">
        <f t="shared" si="21"/>
        <v>0</v>
      </c>
      <c r="DF722" s="1358"/>
      <c r="DG722" s="1358"/>
      <c r="DH722" s="1358"/>
      <c r="DI722" s="1358"/>
      <c r="DJ722" s="1358">
        <f t="shared" si="22"/>
        <v>0</v>
      </c>
      <c r="DK722" s="1358"/>
      <c r="DL722" s="1358"/>
      <c r="DM722" s="1358"/>
      <c r="DN722" s="1358"/>
      <c r="DO722" s="1358">
        <f t="shared" si="23"/>
        <v>0</v>
      </c>
      <c r="DP722" s="1358"/>
      <c r="DQ722" s="1358"/>
      <c r="DR722" s="1358"/>
      <c r="DS722" s="1358"/>
      <c r="DT722" s="6"/>
      <c r="DU722" s="1372">
        <f t="shared" si="24"/>
        <v>0</v>
      </c>
      <c r="DV722" s="1372"/>
      <c r="DW722" s="1372"/>
      <c r="DX722" s="1372"/>
      <c r="DY722" s="1372"/>
      <c r="DZ722" s="1372">
        <f t="shared" si="25"/>
        <v>6</v>
      </c>
      <c r="EA722" s="1372"/>
      <c r="EB722" s="1372"/>
      <c r="EC722" s="1372"/>
      <c r="ED722" s="1372"/>
      <c r="EE722" s="1372">
        <f t="shared" si="26"/>
        <v>0</v>
      </c>
      <c r="EF722" s="1372"/>
      <c r="EG722" s="1372"/>
      <c r="EH722" s="1372"/>
      <c r="EI722" s="1372"/>
      <c r="EJ722" s="1372">
        <f t="shared" si="27"/>
        <v>0</v>
      </c>
      <c r="EK722" s="1372"/>
      <c r="EL722" s="1372"/>
      <c r="EM722" s="1372"/>
      <c r="EN722" s="1372"/>
      <c r="EO722" s="1372">
        <f t="shared" si="28"/>
        <v>0</v>
      </c>
      <c r="EP722" s="1372"/>
      <c r="EQ722" s="1372"/>
      <c r="ER722" s="1372"/>
      <c r="ES722" s="1372"/>
      <c r="ET722" s="1372">
        <f t="shared" si="29"/>
        <v>0</v>
      </c>
      <c r="EU722" s="1372"/>
      <c r="EV722" s="1372"/>
      <c r="EW722" s="1372"/>
      <c r="EX722" s="1372"/>
      <c r="EZ722" s="1355" t="str">
        <f t="shared" si="30"/>
        <v/>
      </c>
      <c r="FA722" s="1356"/>
      <c r="FB722" s="1356"/>
      <c r="FC722" s="1356"/>
      <c r="FD722" s="1357"/>
      <c r="FE722" s="1355">
        <f t="shared" si="31"/>
        <v>1051</v>
      </c>
      <c r="FF722" s="1356"/>
      <c r="FG722" s="1356"/>
      <c r="FH722" s="1356"/>
      <c r="FI722" s="1357"/>
      <c r="FJ722" s="1355" t="str">
        <f t="shared" si="32"/>
        <v/>
      </c>
      <c r="FK722" s="1356"/>
      <c r="FL722" s="1356"/>
      <c r="FM722" s="1356"/>
      <c r="FN722" s="1357"/>
      <c r="FO722" s="1355" t="str">
        <f t="shared" si="33"/>
        <v/>
      </c>
      <c r="FP722" s="1356"/>
      <c r="FQ722" s="1356"/>
      <c r="FR722" s="1356"/>
      <c r="FS722" s="1357"/>
      <c r="FT722" s="1355" t="str">
        <f t="shared" si="34"/>
        <v/>
      </c>
      <c r="FU722" s="1356"/>
      <c r="FV722" s="1356"/>
      <c r="FW722" s="1356"/>
      <c r="FX722" s="1357"/>
      <c r="FY722" s="1355" t="str">
        <f t="shared" si="35"/>
        <v/>
      </c>
      <c r="FZ722" s="1356"/>
      <c r="GA722" s="1356"/>
      <c r="GB722" s="1356"/>
      <c r="GC722" s="1357"/>
    </row>
    <row r="723" spans="1:185" ht="12.95" customHeight="1">
      <c r="B723" s="1359" t="s">
        <v>325</v>
      </c>
      <c r="C723" s="1360"/>
      <c r="D723" s="1360"/>
      <c r="E723" s="1360"/>
      <c r="F723" s="1361"/>
      <c r="G723" s="1368">
        <v>3</v>
      </c>
      <c r="H723" s="1369"/>
      <c r="I723" s="1369"/>
      <c r="J723" s="1370"/>
      <c r="K723" s="1594">
        <v>632</v>
      </c>
      <c r="L723" s="1595"/>
      <c r="M723" s="1595"/>
      <c r="N723" s="1596"/>
      <c r="O723" s="1460">
        <v>1805</v>
      </c>
      <c r="P723" s="1461"/>
      <c r="Q723" s="1461"/>
      <c r="R723" s="1461"/>
      <c r="S723" s="1462"/>
      <c r="T723" s="1460">
        <v>79</v>
      </c>
      <c r="U723" s="1461"/>
      <c r="V723" s="1461"/>
      <c r="W723" s="1462"/>
      <c r="X723" s="1362">
        <f t="shared" si="8"/>
        <v>1884</v>
      </c>
      <c r="Y723" s="1363"/>
      <c r="Z723" s="1363"/>
      <c r="AA723" s="1363"/>
      <c r="AB723" s="1364"/>
      <c r="AC723" s="1603">
        <v>0.5</v>
      </c>
      <c r="AD723" s="1604"/>
      <c r="AE723" s="1604"/>
      <c r="AF723" s="1604"/>
      <c r="AG723" s="1605"/>
      <c r="AH723" s="1365">
        <f t="shared" si="36"/>
        <v>0.5</v>
      </c>
      <c r="AI723" s="1366"/>
      <c r="AJ723" s="1367"/>
      <c r="AK723" s="1359" t="s">
        <v>592</v>
      </c>
      <c r="AL723" s="1360"/>
      <c r="AM723" s="1360"/>
      <c r="AN723" s="1360"/>
      <c r="AO723" s="1361"/>
      <c r="AP723" s="3"/>
      <c r="AQ723" s="3"/>
      <c r="AR723" s="3"/>
      <c r="AS723" s="3"/>
      <c r="AY723" s="116"/>
      <c r="AZ723" s="118">
        <f t="shared" si="9"/>
        <v>3768</v>
      </c>
      <c r="BA723" s="3"/>
      <c r="BB723" s="3"/>
      <c r="BC723" s="3"/>
      <c r="BD723" s="3"/>
      <c r="BE723" s="204"/>
      <c r="BF723" s="294">
        <f t="shared" si="10"/>
        <v>3</v>
      </c>
      <c r="BG723" s="297">
        <f t="shared" si="11"/>
        <v>3.8461538461538464E-2</v>
      </c>
      <c r="BH723" s="298">
        <f t="shared" si="12"/>
        <v>1.9230769230769232E-2</v>
      </c>
      <c r="BI723" s="3"/>
      <c r="BJ723" s="3"/>
      <c r="BK723" s="3"/>
      <c r="BL723" s="3"/>
      <c r="BM723" s="3"/>
      <c r="BN723" s="3"/>
      <c r="BS723" s="294">
        <f t="shared" si="13"/>
        <v>3</v>
      </c>
      <c r="BT723" s="297">
        <f t="shared" si="14"/>
        <v>3.8461538461538464E-2</v>
      </c>
      <c r="BU723" s="298">
        <f t="shared" si="15"/>
        <v>1.9230769230769232E-2</v>
      </c>
      <c r="CC723" s="3"/>
      <c r="CD723" s="3"/>
      <c r="CE723" s="3"/>
      <c r="CF723" s="3"/>
      <c r="CG723" s="1355">
        <f t="shared" si="37"/>
        <v>1</v>
      </c>
      <c r="CH723" s="1357"/>
      <c r="CI723" s="1339">
        <f t="shared" si="38"/>
        <v>3</v>
      </c>
      <c r="CJ723" s="1341"/>
      <c r="CK723" s="1355">
        <f t="shared" si="16"/>
        <v>0</v>
      </c>
      <c r="CL723" s="1357"/>
      <c r="CM723" s="1339">
        <f t="shared" si="17"/>
        <v>0</v>
      </c>
      <c r="CN723" s="1341"/>
      <c r="CO723" s="3"/>
      <c r="CP723" s="1332">
        <f t="shared" si="18"/>
        <v>0</v>
      </c>
      <c r="CQ723" s="1333"/>
      <c r="CR723" s="1333"/>
      <c r="CS723" s="1333"/>
      <c r="CT723" s="1334"/>
      <c r="CU723" s="1358">
        <f t="shared" si="19"/>
        <v>3</v>
      </c>
      <c r="CV723" s="1358"/>
      <c r="CW723" s="1358"/>
      <c r="CX723" s="1358"/>
      <c r="CY723" s="1358"/>
      <c r="CZ723" s="1358">
        <f t="shared" si="20"/>
        <v>0</v>
      </c>
      <c r="DA723" s="1358"/>
      <c r="DB723" s="1358"/>
      <c r="DC723" s="1358"/>
      <c r="DD723" s="1358"/>
      <c r="DE723" s="1358">
        <f t="shared" si="21"/>
        <v>0</v>
      </c>
      <c r="DF723" s="1358"/>
      <c r="DG723" s="1358"/>
      <c r="DH723" s="1358"/>
      <c r="DI723" s="1358"/>
      <c r="DJ723" s="1358">
        <f t="shared" si="22"/>
        <v>0</v>
      </c>
      <c r="DK723" s="1358"/>
      <c r="DL723" s="1358"/>
      <c r="DM723" s="1358"/>
      <c r="DN723" s="1358"/>
      <c r="DO723" s="1358">
        <f t="shared" si="23"/>
        <v>0</v>
      </c>
      <c r="DP723" s="1358"/>
      <c r="DQ723" s="1358"/>
      <c r="DR723" s="1358"/>
      <c r="DS723" s="1358"/>
      <c r="DT723" s="6"/>
      <c r="DU723" s="1372">
        <f t="shared" si="24"/>
        <v>0</v>
      </c>
      <c r="DV723" s="1372"/>
      <c r="DW723" s="1372"/>
      <c r="DX723" s="1372"/>
      <c r="DY723" s="1372"/>
      <c r="DZ723" s="1372">
        <f t="shared" si="25"/>
        <v>0</v>
      </c>
      <c r="EA723" s="1372"/>
      <c r="EB723" s="1372"/>
      <c r="EC723" s="1372"/>
      <c r="ED723" s="1372"/>
      <c r="EE723" s="1372">
        <f t="shared" si="26"/>
        <v>0</v>
      </c>
      <c r="EF723" s="1372"/>
      <c r="EG723" s="1372"/>
      <c r="EH723" s="1372"/>
      <c r="EI723" s="1372"/>
      <c r="EJ723" s="1372">
        <f t="shared" si="27"/>
        <v>0</v>
      </c>
      <c r="EK723" s="1372"/>
      <c r="EL723" s="1372"/>
      <c r="EM723" s="1372"/>
      <c r="EN723" s="1372"/>
      <c r="EO723" s="1372">
        <f t="shared" si="28"/>
        <v>0</v>
      </c>
      <c r="EP723" s="1372"/>
      <c r="EQ723" s="1372"/>
      <c r="ER723" s="1372"/>
      <c r="ES723" s="1372"/>
      <c r="ET723" s="1372">
        <f t="shared" si="29"/>
        <v>0</v>
      </c>
      <c r="EU723" s="1372"/>
      <c r="EV723" s="1372"/>
      <c r="EW723" s="1372"/>
      <c r="EX723" s="1372"/>
      <c r="EZ723" s="1355" t="str">
        <f t="shared" si="30"/>
        <v/>
      </c>
      <c r="FA723" s="1356"/>
      <c r="FB723" s="1356"/>
      <c r="FC723" s="1356"/>
      <c r="FD723" s="1357"/>
      <c r="FE723" s="1355">
        <f t="shared" si="31"/>
        <v>1805</v>
      </c>
      <c r="FF723" s="1356"/>
      <c r="FG723" s="1356"/>
      <c r="FH723" s="1356"/>
      <c r="FI723" s="1357"/>
      <c r="FJ723" s="1355" t="str">
        <f t="shared" si="32"/>
        <v/>
      </c>
      <c r="FK723" s="1356"/>
      <c r="FL723" s="1356"/>
      <c r="FM723" s="1356"/>
      <c r="FN723" s="1357"/>
      <c r="FO723" s="1355" t="str">
        <f t="shared" si="33"/>
        <v/>
      </c>
      <c r="FP723" s="1356"/>
      <c r="FQ723" s="1356"/>
      <c r="FR723" s="1356"/>
      <c r="FS723" s="1357"/>
      <c r="FT723" s="1355" t="str">
        <f t="shared" si="34"/>
        <v/>
      </c>
      <c r="FU723" s="1356"/>
      <c r="FV723" s="1356"/>
      <c r="FW723" s="1356"/>
      <c r="FX723" s="1357"/>
      <c r="FY723" s="1355" t="str">
        <f t="shared" si="35"/>
        <v/>
      </c>
      <c r="FZ723" s="1356"/>
      <c r="GA723" s="1356"/>
      <c r="GB723" s="1356"/>
      <c r="GC723" s="1357"/>
    </row>
    <row r="724" spans="1:185" ht="12.95" customHeight="1">
      <c r="B724" s="1359" t="s">
        <v>325</v>
      </c>
      <c r="C724" s="1360"/>
      <c r="D724" s="1360"/>
      <c r="E724" s="1360"/>
      <c r="F724" s="1361"/>
      <c r="G724" s="1368">
        <v>19</v>
      </c>
      <c r="H724" s="1369"/>
      <c r="I724" s="1369"/>
      <c r="J724" s="1370"/>
      <c r="K724" s="1594">
        <v>632</v>
      </c>
      <c r="L724" s="1595"/>
      <c r="M724" s="1595"/>
      <c r="N724" s="1596"/>
      <c r="O724" s="1460">
        <v>2182</v>
      </c>
      <c r="P724" s="1461"/>
      <c r="Q724" s="1461"/>
      <c r="R724" s="1461"/>
      <c r="S724" s="1462"/>
      <c r="T724" s="1460">
        <v>79</v>
      </c>
      <c r="U724" s="1461"/>
      <c r="V724" s="1461"/>
      <c r="W724" s="1462"/>
      <c r="X724" s="1362">
        <f t="shared" si="8"/>
        <v>2261</v>
      </c>
      <c r="Y724" s="1363"/>
      <c r="Z724" s="1363"/>
      <c r="AA724" s="1363"/>
      <c r="AB724" s="1364"/>
      <c r="AC724" s="1603">
        <v>0.6</v>
      </c>
      <c r="AD724" s="1604"/>
      <c r="AE724" s="1604"/>
      <c r="AF724" s="1604"/>
      <c r="AG724" s="1605"/>
      <c r="AH724" s="1365">
        <f t="shared" si="36"/>
        <v>0.60005307855626322</v>
      </c>
      <c r="AI724" s="1366"/>
      <c r="AJ724" s="1367"/>
      <c r="AK724" s="1359" t="s">
        <v>592</v>
      </c>
      <c r="AL724" s="1360"/>
      <c r="AM724" s="1360"/>
      <c r="AN724" s="1360"/>
      <c r="AO724" s="1361"/>
      <c r="AP724" s="3"/>
      <c r="AQ724" s="3"/>
      <c r="AR724" s="3"/>
      <c r="AS724" s="3"/>
      <c r="AY724" s="116"/>
      <c r="AZ724" s="118">
        <f t="shared" si="9"/>
        <v>3768</v>
      </c>
      <c r="BA724" s="3"/>
      <c r="BB724" s="3"/>
      <c r="BC724" s="3"/>
      <c r="BD724" s="3"/>
      <c r="BE724" s="204"/>
      <c r="BF724" s="294">
        <f t="shared" si="10"/>
        <v>19</v>
      </c>
      <c r="BG724" s="297">
        <f t="shared" si="11"/>
        <v>0.24358974358974358</v>
      </c>
      <c r="BH724" s="298">
        <f t="shared" si="12"/>
        <v>0.14615384615384613</v>
      </c>
      <c r="BI724" s="3"/>
      <c r="BJ724" s="3"/>
      <c r="BK724" s="3"/>
      <c r="BL724" s="3"/>
      <c r="BM724" s="3"/>
      <c r="BN724" s="3"/>
      <c r="BS724" s="294">
        <f t="shared" si="13"/>
        <v>19</v>
      </c>
      <c r="BT724" s="297">
        <f t="shared" si="14"/>
        <v>0.24358974358974358</v>
      </c>
      <c r="BU724" s="298">
        <f t="shared" si="15"/>
        <v>0.14616677554575641</v>
      </c>
      <c r="CC724" s="3"/>
      <c r="CE724" s="3"/>
      <c r="CF724" s="3"/>
      <c r="CG724" s="1355">
        <f t="shared" si="37"/>
        <v>0</v>
      </c>
      <c r="CH724" s="1357"/>
      <c r="CI724" s="1339">
        <f t="shared" si="38"/>
        <v>0</v>
      </c>
      <c r="CJ724" s="1341"/>
      <c r="CK724" s="1355">
        <f t="shared" si="16"/>
        <v>0</v>
      </c>
      <c r="CL724" s="1357"/>
      <c r="CM724" s="1339">
        <f t="shared" si="17"/>
        <v>0</v>
      </c>
      <c r="CN724" s="1341"/>
      <c r="CO724" s="3"/>
      <c r="CP724" s="1332">
        <f t="shared" si="18"/>
        <v>0</v>
      </c>
      <c r="CQ724" s="1333"/>
      <c r="CR724" s="1333"/>
      <c r="CS724" s="1333"/>
      <c r="CT724" s="1334"/>
      <c r="CU724" s="1358">
        <f t="shared" si="19"/>
        <v>19</v>
      </c>
      <c r="CV724" s="1358"/>
      <c r="CW724" s="1358"/>
      <c r="CX724" s="1358"/>
      <c r="CY724" s="1358"/>
      <c r="CZ724" s="1358">
        <f t="shared" si="20"/>
        <v>0</v>
      </c>
      <c r="DA724" s="1358"/>
      <c r="DB724" s="1358"/>
      <c r="DC724" s="1358"/>
      <c r="DD724" s="1358"/>
      <c r="DE724" s="1358">
        <f t="shared" si="21"/>
        <v>0</v>
      </c>
      <c r="DF724" s="1358"/>
      <c r="DG724" s="1358"/>
      <c r="DH724" s="1358"/>
      <c r="DI724" s="1358"/>
      <c r="DJ724" s="1358">
        <f t="shared" si="22"/>
        <v>0</v>
      </c>
      <c r="DK724" s="1358"/>
      <c r="DL724" s="1358"/>
      <c r="DM724" s="1358"/>
      <c r="DN724" s="1358"/>
      <c r="DO724" s="1358">
        <f t="shared" si="23"/>
        <v>0</v>
      </c>
      <c r="DP724" s="1358"/>
      <c r="DQ724" s="1358"/>
      <c r="DR724" s="1358"/>
      <c r="DS724" s="1358"/>
      <c r="DT724" s="6"/>
      <c r="DU724" s="1372">
        <f t="shared" si="24"/>
        <v>0</v>
      </c>
      <c r="DV724" s="1372"/>
      <c r="DW724" s="1372"/>
      <c r="DX724" s="1372"/>
      <c r="DY724" s="1372"/>
      <c r="DZ724" s="1372">
        <f t="shared" si="25"/>
        <v>0</v>
      </c>
      <c r="EA724" s="1372"/>
      <c r="EB724" s="1372"/>
      <c r="EC724" s="1372"/>
      <c r="ED724" s="1372"/>
      <c r="EE724" s="1372">
        <f t="shared" si="26"/>
        <v>0</v>
      </c>
      <c r="EF724" s="1372"/>
      <c r="EG724" s="1372"/>
      <c r="EH724" s="1372"/>
      <c r="EI724" s="1372"/>
      <c r="EJ724" s="1372">
        <f t="shared" si="27"/>
        <v>0</v>
      </c>
      <c r="EK724" s="1372"/>
      <c r="EL724" s="1372"/>
      <c r="EM724" s="1372"/>
      <c r="EN724" s="1372"/>
      <c r="EO724" s="1372">
        <f t="shared" si="28"/>
        <v>0</v>
      </c>
      <c r="EP724" s="1372"/>
      <c r="EQ724" s="1372"/>
      <c r="ER724" s="1372"/>
      <c r="ES724" s="1372"/>
      <c r="ET724" s="1372">
        <f t="shared" si="29"/>
        <v>0</v>
      </c>
      <c r="EU724" s="1372"/>
      <c r="EV724" s="1372"/>
      <c r="EW724" s="1372"/>
      <c r="EX724" s="1372"/>
      <c r="EZ724" s="1355" t="str">
        <f t="shared" si="30"/>
        <v/>
      </c>
      <c r="FA724" s="1356"/>
      <c r="FB724" s="1356"/>
      <c r="FC724" s="1356"/>
      <c r="FD724" s="1357"/>
      <c r="FE724" s="1355">
        <f t="shared" si="31"/>
        <v>2182</v>
      </c>
      <c r="FF724" s="1356"/>
      <c r="FG724" s="1356"/>
      <c r="FH724" s="1356"/>
      <c r="FI724" s="1357"/>
      <c r="FJ724" s="1355" t="str">
        <f t="shared" si="32"/>
        <v/>
      </c>
      <c r="FK724" s="1356"/>
      <c r="FL724" s="1356"/>
      <c r="FM724" s="1356"/>
      <c r="FN724" s="1357"/>
      <c r="FO724" s="1355" t="str">
        <f t="shared" si="33"/>
        <v/>
      </c>
      <c r="FP724" s="1356"/>
      <c r="FQ724" s="1356"/>
      <c r="FR724" s="1356"/>
      <c r="FS724" s="1357"/>
      <c r="FT724" s="1355" t="str">
        <f t="shared" si="34"/>
        <v/>
      </c>
      <c r="FU724" s="1356"/>
      <c r="FV724" s="1356"/>
      <c r="FW724" s="1356"/>
      <c r="FX724" s="1357"/>
      <c r="FY724" s="1355" t="str">
        <f t="shared" si="35"/>
        <v/>
      </c>
      <c r="FZ724" s="1356"/>
      <c r="GA724" s="1356"/>
      <c r="GB724" s="1356"/>
      <c r="GC724" s="1357"/>
    </row>
    <row r="725" spans="1:185" ht="12.95" customHeight="1">
      <c r="B725" s="1359" t="s">
        <v>163</v>
      </c>
      <c r="C725" s="1360"/>
      <c r="D725" s="1360"/>
      <c r="E725" s="1360"/>
      <c r="F725" s="1361"/>
      <c r="G725" s="1368">
        <v>5</v>
      </c>
      <c r="H725" s="1369"/>
      <c r="I725" s="1369"/>
      <c r="J725" s="1370"/>
      <c r="K725" s="1594">
        <v>839</v>
      </c>
      <c r="L725" s="1595"/>
      <c r="M725" s="1595"/>
      <c r="N725" s="1596"/>
      <c r="O725" s="1460">
        <v>1250</v>
      </c>
      <c r="P725" s="1461"/>
      <c r="Q725" s="1461"/>
      <c r="R725" s="1461"/>
      <c r="S725" s="1462"/>
      <c r="T725" s="1460">
        <v>106</v>
      </c>
      <c r="U725" s="1461"/>
      <c r="V725" s="1461"/>
      <c r="W725" s="1462"/>
      <c r="X725" s="1362">
        <f t="shared" si="8"/>
        <v>1356</v>
      </c>
      <c r="Y725" s="1363"/>
      <c r="Z725" s="1363"/>
      <c r="AA725" s="1363"/>
      <c r="AB725" s="1364"/>
      <c r="AC725" s="1603">
        <v>0.3</v>
      </c>
      <c r="AD725" s="1604"/>
      <c r="AE725" s="1604"/>
      <c r="AF725" s="1604"/>
      <c r="AG725" s="1605"/>
      <c r="AH725" s="1365">
        <f t="shared" si="36"/>
        <v>0.29986731534719152</v>
      </c>
      <c r="AI725" s="1366"/>
      <c r="AJ725" s="1367"/>
      <c r="AK725" s="1359" t="s">
        <v>1044</v>
      </c>
      <c r="AL725" s="1360"/>
      <c r="AM725" s="1360"/>
      <c r="AN725" s="1360"/>
      <c r="AO725" s="1361"/>
      <c r="AP725" s="3"/>
      <c r="AQ725" s="3"/>
      <c r="AR725" s="3"/>
      <c r="AS725" s="3"/>
      <c r="AY725" s="1085"/>
      <c r="AZ725" s="118">
        <f t="shared" si="9"/>
        <v>4522</v>
      </c>
      <c r="BA725" s="3"/>
      <c r="BB725" s="3"/>
      <c r="BC725" s="3"/>
      <c r="BD725" s="3"/>
      <c r="BE725" s="204"/>
      <c r="BF725" s="294">
        <f t="shared" si="10"/>
        <v>5</v>
      </c>
      <c r="BG725" s="297">
        <f t="shared" si="11"/>
        <v>6.4102564102564097E-2</v>
      </c>
      <c r="BH725" s="298">
        <f t="shared" si="12"/>
        <v>1.9230769230769228E-2</v>
      </c>
      <c r="BI725" s="3"/>
      <c r="BJ725" s="3"/>
      <c r="BK725" s="3"/>
      <c r="BL725" s="3"/>
      <c r="BM725" s="3"/>
      <c r="BN725" s="3"/>
      <c r="BS725" s="294">
        <f t="shared" si="13"/>
        <v>5</v>
      </c>
      <c r="BT725" s="297">
        <f t="shared" si="14"/>
        <v>6.4102564102564097E-2</v>
      </c>
      <c r="BU725" s="298">
        <f t="shared" si="15"/>
        <v>1.9222263804307149E-2</v>
      </c>
      <c r="BV725" s="292"/>
      <c r="BW725" s="3"/>
      <c r="BX725" s="3"/>
      <c r="BY725" s="3"/>
      <c r="BZ725" s="3"/>
      <c r="CA725" s="3"/>
      <c r="CB725" s="3"/>
      <c r="CC725" s="3"/>
      <c r="CE725" s="3"/>
      <c r="CF725" s="3"/>
      <c r="CG725" s="1355">
        <f t="shared" si="37"/>
        <v>0</v>
      </c>
      <c r="CH725" s="1357"/>
      <c r="CI725" s="1339">
        <f t="shared" si="38"/>
        <v>0</v>
      </c>
      <c r="CJ725" s="1341"/>
      <c r="CK725" s="1355">
        <f t="shared" si="16"/>
        <v>1</v>
      </c>
      <c r="CL725" s="1357"/>
      <c r="CM725" s="1339">
        <f t="shared" si="17"/>
        <v>5</v>
      </c>
      <c r="CN725" s="1341"/>
      <c r="CO725" s="3"/>
      <c r="CP725" s="1332">
        <f t="shared" si="18"/>
        <v>0</v>
      </c>
      <c r="CQ725" s="1333"/>
      <c r="CR725" s="1333"/>
      <c r="CS725" s="1333"/>
      <c r="CT725" s="1334"/>
      <c r="CU725" s="1358">
        <f t="shared" si="19"/>
        <v>0</v>
      </c>
      <c r="CV725" s="1358"/>
      <c r="CW725" s="1358"/>
      <c r="CX725" s="1358"/>
      <c r="CY725" s="1358"/>
      <c r="CZ725" s="1358">
        <f t="shared" si="20"/>
        <v>5</v>
      </c>
      <c r="DA725" s="1358"/>
      <c r="DB725" s="1358"/>
      <c r="DC725" s="1358"/>
      <c r="DD725" s="1358"/>
      <c r="DE725" s="1358">
        <f t="shared" si="21"/>
        <v>0</v>
      </c>
      <c r="DF725" s="1358"/>
      <c r="DG725" s="1358"/>
      <c r="DH725" s="1358"/>
      <c r="DI725" s="1358"/>
      <c r="DJ725" s="1358">
        <f t="shared" si="22"/>
        <v>0</v>
      </c>
      <c r="DK725" s="1358"/>
      <c r="DL725" s="1358"/>
      <c r="DM725" s="1358"/>
      <c r="DN725" s="1358"/>
      <c r="DO725" s="1358">
        <f t="shared" si="23"/>
        <v>0</v>
      </c>
      <c r="DP725" s="1358"/>
      <c r="DQ725" s="1358"/>
      <c r="DR725" s="1358"/>
      <c r="DS725" s="1358"/>
      <c r="DT725" s="6"/>
      <c r="DU725" s="1372">
        <f t="shared" si="24"/>
        <v>0</v>
      </c>
      <c r="DV725" s="1372"/>
      <c r="DW725" s="1372"/>
      <c r="DX725" s="1372"/>
      <c r="DY725" s="1372"/>
      <c r="DZ725" s="1372">
        <f t="shared" si="25"/>
        <v>0</v>
      </c>
      <c r="EA725" s="1372"/>
      <c r="EB725" s="1372"/>
      <c r="EC725" s="1372"/>
      <c r="ED725" s="1372"/>
      <c r="EE725" s="1372">
        <f t="shared" si="26"/>
        <v>5</v>
      </c>
      <c r="EF725" s="1372"/>
      <c r="EG725" s="1372"/>
      <c r="EH725" s="1372"/>
      <c r="EI725" s="1372"/>
      <c r="EJ725" s="1372">
        <f t="shared" si="27"/>
        <v>0</v>
      </c>
      <c r="EK725" s="1372"/>
      <c r="EL725" s="1372"/>
      <c r="EM725" s="1372"/>
      <c r="EN725" s="1372"/>
      <c r="EO725" s="1372">
        <f t="shared" si="28"/>
        <v>0</v>
      </c>
      <c r="EP725" s="1372"/>
      <c r="EQ725" s="1372"/>
      <c r="ER725" s="1372"/>
      <c r="ES725" s="1372"/>
      <c r="ET725" s="1372">
        <f t="shared" si="29"/>
        <v>0</v>
      </c>
      <c r="EU725" s="1372"/>
      <c r="EV725" s="1372"/>
      <c r="EW725" s="1372"/>
      <c r="EX725" s="1372"/>
      <c r="EZ725" s="1355" t="str">
        <f t="shared" si="30"/>
        <v/>
      </c>
      <c r="FA725" s="1356"/>
      <c r="FB725" s="1356"/>
      <c r="FC725" s="1356"/>
      <c r="FD725" s="1357"/>
      <c r="FE725" s="1355" t="str">
        <f t="shared" si="31"/>
        <v/>
      </c>
      <c r="FF725" s="1356"/>
      <c r="FG725" s="1356"/>
      <c r="FH725" s="1356"/>
      <c r="FI725" s="1357"/>
      <c r="FJ725" s="1355">
        <f t="shared" si="32"/>
        <v>1250</v>
      </c>
      <c r="FK725" s="1356"/>
      <c r="FL725" s="1356"/>
      <c r="FM725" s="1356"/>
      <c r="FN725" s="1357"/>
      <c r="FO725" s="1355" t="str">
        <f t="shared" si="33"/>
        <v/>
      </c>
      <c r="FP725" s="1356"/>
      <c r="FQ725" s="1356"/>
      <c r="FR725" s="1356"/>
      <c r="FS725" s="1357"/>
      <c r="FT725" s="1355" t="str">
        <f t="shared" si="34"/>
        <v/>
      </c>
      <c r="FU725" s="1356"/>
      <c r="FV725" s="1356"/>
      <c r="FW725" s="1356"/>
      <c r="FX725" s="1357"/>
      <c r="FY725" s="1355" t="str">
        <f t="shared" si="35"/>
        <v/>
      </c>
      <c r="FZ725" s="1356"/>
      <c r="GA725" s="1356"/>
      <c r="GB725" s="1356"/>
      <c r="GC725" s="1357"/>
    </row>
    <row r="726" spans="1:185" ht="12.95" customHeight="1">
      <c r="B726" s="1359" t="s">
        <v>163</v>
      </c>
      <c r="C726" s="1360"/>
      <c r="D726" s="1360"/>
      <c r="E726" s="1360"/>
      <c r="F726" s="1361"/>
      <c r="G726" s="1368">
        <v>6</v>
      </c>
      <c r="H726" s="1369"/>
      <c r="I726" s="1369"/>
      <c r="J726" s="1370"/>
      <c r="K726" s="1594">
        <v>839</v>
      </c>
      <c r="L726" s="1595"/>
      <c r="M726" s="1595"/>
      <c r="N726" s="1596"/>
      <c r="O726" s="1460">
        <v>1250</v>
      </c>
      <c r="P726" s="1461"/>
      <c r="Q726" s="1461"/>
      <c r="R726" s="1461"/>
      <c r="S726" s="1462"/>
      <c r="T726" s="1460">
        <v>106</v>
      </c>
      <c r="U726" s="1461"/>
      <c r="V726" s="1461"/>
      <c r="W726" s="1462"/>
      <c r="X726" s="1362">
        <f t="shared" si="8"/>
        <v>1356</v>
      </c>
      <c r="Y726" s="1363"/>
      <c r="Z726" s="1363"/>
      <c r="AA726" s="1363"/>
      <c r="AB726" s="1364"/>
      <c r="AC726" s="1603">
        <v>0.3</v>
      </c>
      <c r="AD726" s="1604"/>
      <c r="AE726" s="1604"/>
      <c r="AF726" s="1604"/>
      <c r="AG726" s="1605"/>
      <c r="AH726" s="1365">
        <f t="shared" si="36"/>
        <v>0.29986731534719152</v>
      </c>
      <c r="AI726" s="1366"/>
      <c r="AJ726" s="1367"/>
      <c r="AK726" s="1359" t="s">
        <v>1044</v>
      </c>
      <c r="AL726" s="1360"/>
      <c r="AM726" s="1360"/>
      <c r="AN726" s="1360"/>
      <c r="AO726" s="1361"/>
      <c r="AP726" s="3"/>
      <c r="AQ726" s="3"/>
      <c r="AR726" s="3"/>
      <c r="AS726" s="3"/>
      <c r="AY726" s="1085"/>
      <c r="AZ726" s="118">
        <f t="shared" si="9"/>
        <v>4522</v>
      </c>
      <c r="BA726" s="3"/>
      <c r="BB726" s="3"/>
      <c r="BC726" s="3"/>
      <c r="BD726" s="3"/>
      <c r="BE726" s="204"/>
      <c r="BF726" s="294">
        <f t="shared" si="10"/>
        <v>6</v>
      </c>
      <c r="BG726" s="297">
        <f t="shared" si="11"/>
        <v>7.6923076923076927E-2</v>
      </c>
      <c r="BH726" s="298">
        <f t="shared" si="12"/>
        <v>2.3076923076923078E-2</v>
      </c>
      <c r="BI726" s="3"/>
      <c r="BJ726" s="3"/>
      <c r="BK726" s="3"/>
      <c r="BL726" s="3"/>
      <c r="BM726" s="3"/>
      <c r="BN726" s="3"/>
      <c r="BS726" s="294">
        <f t="shared" si="13"/>
        <v>6</v>
      </c>
      <c r="BT726" s="297">
        <f t="shared" si="14"/>
        <v>7.6923076923076927E-2</v>
      </c>
      <c r="BU726" s="298">
        <f t="shared" si="15"/>
        <v>2.306671656516858E-2</v>
      </c>
      <c r="BV726" s="3"/>
      <c r="BW726" s="3"/>
      <c r="BX726" s="3"/>
      <c r="BY726" s="3"/>
      <c r="BZ726" s="3"/>
      <c r="CA726" s="3"/>
      <c r="CB726" s="3"/>
      <c r="CC726" s="3"/>
      <c r="CE726" s="3"/>
      <c r="CF726" s="3"/>
      <c r="CG726" s="1355">
        <f t="shared" si="37"/>
        <v>0</v>
      </c>
      <c r="CH726" s="1357"/>
      <c r="CI726" s="1339">
        <f t="shared" si="38"/>
        <v>0</v>
      </c>
      <c r="CJ726" s="1341"/>
      <c r="CK726" s="1355">
        <f t="shared" si="16"/>
        <v>1</v>
      </c>
      <c r="CL726" s="1357"/>
      <c r="CM726" s="1339">
        <f t="shared" si="17"/>
        <v>6</v>
      </c>
      <c r="CN726" s="1341"/>
      <c r="CO726" s="3"/>
      <c r="CP726" s="1332">
        <f t="shared" si="18"/>
        <v>0</v>
      </c>
      <c r="CQ726" s="1333"/>
      <c r="CR726" s="1333"/>
      <c r="CS726" s="1333"/>
      <c r="CT726" s="1334"/>
      <c r="CU726" s="1358">
        <f t="shared" si="19"/>
        <v>0</v>
      </c>
      <c r="CV726" s="1358"/>
      <c r="CW726" s="1358"/>
      <c r="CX726" s="1358"/>
      <c r="CY726" s="1358"/>
      <c r="CZ726" s="1358">
        <f t="shared" si="20"/>
        <v>6</v>
      </c>
      <c r="DA726" s="1358"/>
      <c r="DB726" s="1358"/>
      <c r="DC726" s="1358"/>
      <c r="DD726" s="1358"/>
      <c r="DE726" s="1358">
        <f t="shared" si="21"/>
        <v>0</v>
      </c>
      <c r="DF726" s="1358"/>
      <c r="DG726" s="1358"/>
      <c r="DH726" s="1358"/>
      <c r="DI726" s="1358"/>
      <c r="DJ726" s="1358">
        <f t="shared" si="22"/>
        <v>0</v>
      </c>
      <c r="DK726" s="1358"/>
      <c r="DL726" s="1358"/>
      <c r="DM726" s="1358"/>
      <c r="DN726" s="1358"/>
      <c r="DO726" s="1358">
        <f t="shared" si="23"/>
        <v>0</v>
      </c>
      <c r="DP726" s="1358"/>
      <c r="DQ726" s="1358"/>
      <c r="DR726" s="1358"/>
      <c r="DS726" s="1358"/>
      <c r="DT726" s="6"/>
      <c r="DU726" s="1372">
        <f t="shared" si="24"/>
        <v>0</v>
      </c>
      <c r="DV726" s="1372"/>
      <c r="DW726" s="1372"/>
      <c r="DX726" s="1372"/>
      <c r="DY726" s="1372"/>
      <c r="DZ726" s="1372">
        <f t="shared" si="25"/>
        <v>0</v>
      </c>
      <c r="EA726" s="1372"/>
      <c r="EB726" s="1372"/>
      <c r="EC726" s="1372"/>
      <c r="ED726" s="1372"/>
      <c r="EE726" s="1372">
        <f t="shared" si="26"/>
        <v>6</v>
      </c>
      <c r="EF726" s="1372"/>
      <c r="EG726" s="1372"/>
      <c r="EH726" s="1372"/>
      <c r="EI726" s="1372"/>
      <c r="EJ726" s="1372">
        <f t="shared" si="27"/>
        <v>0</v>
      </c>
      <c r="EK726" s="1372"/>
      <c r="EL726" s="1372"/>
      <c r="EM726" s="1372"/>
      <c r="EN726" s="1372"/>
      <c r="EO726" s="1372">
        <f t="shared" si="28"/>
        <v>0</v>
      </c>
      <c r="EP726" s="1372"/>
      <c r="EQ726" s="1372"/>
      <c r="ER726" s="1372"/>
      <c r="ES726" s="1372"/>
      <c r="ET726" s="1372">
        <f t="shared" si="29"/>
        <v>0</v>
      </c>
      <c r="EU726" s="1372"/>
      <c r="EV726" s="1372"/>
      <c r="EW726" s="1372"/>
      <c r="EX726" s="1372"/>
      <c r="EY726" s="4"/>
      <c r="EZ726" s="1355" t="str">
        <f t="shared" si="30"/>
        <v/>
      </c>
      <c r="FA726" s="1356"/>
      <c r="FB726" s="1356"/>
      <c r="FC726" s="1356"/>
      <c r="FD726" s="1357"/>
      <c r="FE726" s="1355" t="str">
        <f t="shared" si="31"/>
        <v/>
      </c>
      <c r="FF726" s="1356"/>
      <c r="FG726" s="1356"/>
      <c r="FH726" s="1356"/>
      <c r="FI726" s="1357"/>
      <c r="FJ726" s="1355">
        <f t="shared" si="32"/>
        <v>1250</v>
      </c>
      <c r="FK726" s="1356"/>
      <c r="FL726" s="1356"/>
      <c r="FM726" s="1356"/>
      <c r="FN726" s="1357"/>
      <c r="FO726" s="1355" t="str">
        <f t="shared" si="33"/>
        <v/>
      </c>
      <c r="FP726" s="1356"/>
      <c r="FQ726" s="1356"/>
      <c r="FR726" s="1356"/>
      <c r="FS726" s="1357"/>
      <c r="FT726" s="1355" t="str">
        <f t="shared" si="34"/>
        <v/>
      </c>
      <c r="FU726" s="1356"/>
      <c r="FV726" s="1356"/>
      <c r="FW726" s="1356"/>
      <c r="FX726" s="1357"/>
      <c r="FY726" s="1355" t="str">
        <f t="shared" si="35"/>
        <v/>
      </c>
      <c r="FZ726" s="1356"/>
      <c r="GA726" s="1356"/>
      <c r="GB726" s="1356"/>
      <c r="GC726" s="1357"/>
    </row>
    <row r="727" spans="1:185" ht="12.95" customHeight="1">
      <c r="A727" s="4"/>
      <c r="B727" s="1359" t="s">
        <v>163</v>
      </c>
      <c r="C727" s="1360"/>
      <c r="D727" s="1360"/>
      <c r="E727" s="1360"/>
      <c r="F727" s="1361"/>
      <c r="G727" s="1368">
        <v>3</v>
      </c>
      <c r="H727" s="1369"/>
      <c r="I727" s="1369"/>
      <c r="J727" s="1370"/>
      <c r="K727" s="1594">
        <v>839</v>
      </c>
      <c r="L727" s="1595"/>
      <c r="M727" s="1595"/>
      <c r="N727" s="1596"/>
      <c r="O727" s="1460">
        <v>2155</v>
      </c>
      <c r="P727" s="1461"/>
      <c r="Q727" s="1461"/>
      <c r="R727" s="1461"/>
      <c r="S727" s="1462"/>
      <c r="T727" s="1460">
        <v>106</v>
      </c>
      <c r="U727" s="1461"/>
      <c r="V727" s="1461"/>
      <c r="W727" s="1462"/>
      <c r="X727" s="1362">
        <f t="shared" si="8"/>
        <v>2261</v>
      </c>
      <c r="Y727" s="1363"/>
      <c r="Z727" s="1363"/>
      <c r="AA727" s="1363"/>
      <c r="AB727" s="1364"/>
      <c r="AC727" s="1603">
        <v>0.5</v>
      </c>
      <c r="AD727" s="1604"/>
      <c r="AE727" s="1604"/>
      <c r="AF727" s="1604"/>
      <c r="AG727" s="1605"/>
      <c r="AH727" s="1365">
        <f t="shared" si="36"/>
        <v>0.5</v>
      </c>
      <c r="AI727" s="1366"/>
      <c r="AJ727" s="1367"/>
      <c r="AK727" s="1359" t="s">
        <v>592</v>
      </c>
      <c r="AL727" s="1360"/>
      <c r="AM727" s="1360"/>
      <c r="AN727" s="1360"/>
      <c r="AO727" s="1361"/>
      <c r="AP727" s="3"/>
      <c r="AQ727" s="3"/>
      <c r="AR727" s="3"/>
      <c r="AS727" s="3"/>
      <c r="AY727" s="1085"/>
      <c r="AZ727" s="118">
        <f t="shared" si="9"/>
        <v>4522</v>
      </c>
      <c r="BA727" s="3"/>
      <c r="BB727" s="3"/>
      <c r="BC727" s="3"/>
      <c r="BD727" s="3"/>
      <c r="BE727" s="204"/>
      <c r="BF727" s="294">
        <f t="shared" si="10"/>
        <v>3</v>
      </c>
      <c r="BG727" s="297">
        <f t="shared" si="11"/>
        <v>3.8461538461538464E-2</v>
      </c>
      <c r="BH727" s="298">
        <f t="shared" si="12"/>
        <v>1.9230769230769232E-2</v>
      </c>
      <c r="BI727" s="3"/>
      <c r="BJ727" s="3"/>
      <c r="BK727" s="3"/>
      <c r="BL727" s="3"/>
      <c r="BM727" s="3"/>
      <c r="BN727" s="3"/>
      <c r="BS727" s="294">
        <f t="shared" si="13"/>
        <v>3</v>
      </c>
      <c r="BT727" s="297">
        <f t="shared" si="14"/>
        <v>3.8461538461538464E-2</v>
      </c>
      <c r="BU727" s="298">
        <f t="shared" si="15"/>
        <v>1.9230769230769232E-2</v>
      </c>
      <c r="BV727" s="3"/>
      <c r="BW727" s="3"/>
      <c r="BX727" s="3"/>
      <c r="BY727" s="3"/>
      <c r="BZ727" s="3"/>
      <c r="CA727" s="3"/>
      <c r="CB727" s="3"/>
      <c r="CC727" s="3"/>
      <c r="CE727" s="3"/>
      <c r="CF727" s="3"/>
      <c r="CG727" s="1355">
        <f t="shared" si="37"/>
        <v>1</v>
      </c>
      <c r="CH727" s="1357"/>
      <c r="CI727" s="1339">
        <f t="shared" si="38"/>
        <v>3</v>
      </c>
      <c r="CJ727" s="1341"/>
      <c r="CK727" s="1355">
        <f t="shared" si="16"/>
        <v>0</v>
      </c>
      <c r="CL727" s="1357"/>
      <c r="CM727" s="1339">
        <f t="shared" si="17"/>
        <v>0</v>
      </c>
      <c r="CN727" s="1341"/>
      <c r="CO727" s="3"/>
      <c r="CP727" s="1332">
        <f t="shared" si="18"/>
        <v>0</v>
      </c>
      <c r="CQ727" s="1333"/>
      <c r="CR727" s="1333"/>
      <c r="CS727" s="1333"/>
      <c r="CT727" s="1334"/>
      <c r="CU727" s="1358">
        <f t="shared" si="19"/>
        <v>0</v>
      </c>
      <c r="CV727" s="1358"/>
      <c r="CW727" s="1358"/>
      <c r="CX727" s="1358"/>
      <c r="CY727" s="1358"/>
      <c r="CZ727" s="1358">
        <f t="shared" si="20"/>
        <v>3</v>
      </c>
      <c r="DA727" s="1358"/>
      <c r="DB727" s="1358"/>
      <c r="DC727" s="1358"/>
      <c r="DD727" s="1358"/>
      <c r="DE727" s="1358">
        <f t="shared" si="21"/>
        <v>0</v>
      </c>
      <c r="DF727" s="1358"/>
      <c r="DG727" s="1358"/>
      <c r="DH727" s="1358"/>
      <c r="DI727" s="1358"/>
      <c r="DJ727" s="1358">
        <f t="shared" si="22"/>
        <v>0</v>
      </c>
      <c r="DK727" s="1358"/>
      <c r="DL727" s="1358"/>
      <c r="DM727" s="1358"/>
      <c r="DN727" s="1358"/>
      <c r="DO727" s="1358">
        <f t="shared" si="23"/>
        <v>0</v>
      </c>
      <c r="DP727" s="1358"/>
      <c r="DQ727" s="1358"/>
      <c r="DR727" s="1358"/>
      <c r="DS727" s="1358"/>
      <c r="DT727" s="6"/>
      <c r="DU727" s="1372">
        <f t="shared" si="24"/>
        <v>0</v>
      </c>
      <c r="DV727" s="1372"/>
      <c r="DW727" s="1372"/>
      <c r="DX727" s="1372"/>
      <c r="DY727" s="1372"/>
      <c r="DZ727" s="1372">
        <f t="shared" si="25"/>
        <v>0</v>
      </c>
      <c r="EA727" s="1372"/>
      <c r="EB727" s="1372"/>
      <c r="EC727" s="1372"/>
      <c r="ED727" s="1372"/>
      <c r="EE727" s="1372">
        <f t="shared" si="26"/>
        <v>0</v>
      </c>
      <c r="EF727" s="1372"/>
      <c r="EG727" s="1372"/>
      <c r="EH727" s="1372"/>
      <c r="EI727" s="1372"/>
      <c r="EJ727" s="1372">
        <f t="shared" si="27"/>
        <v>0</v>
      </c>
      <c r="EK727" s="1372"/>
      <c r="EL727" s="1372"/>
      <c r="EM727" s="1372"/>
      <c r="EN727" s="1372"/>
      <c r="EO727" s="1372">
        <f t="shared" si="28"/>
        <v>0</v>
      </c>
      <c r="EP727" s="1372"/>
      <c r="EQ727" s="1372"/>
      <c r="ER727" s="1372"/>
      <c r="ES727" s="1372"/>
      <c r="ET727" s="1372">
        <f t="shared" si="29"/>
        <v>0</v>
      </c>
      <c r="EU727" s="1372"/>
      <c r="EV727" s="1372"/>
      <c r="EW727" s="1372"/>
      <c r="EX727" s="1372"/>
      <c r="EY727" s="4"/>
      <c r="EZ727" s="1355" t="str">
        <f t="shared" si="30"/>
        <v/>
      </c>
      <c r="FA727" s="1356"/>
      <c r="FB727" s="1356"/>
      <c r="FC727" s="1356"/>
      <c r="FD727" s="1357"/>
      <c r="FE727" s="1355" t="str">
        <f t="shared" si="31"/>
        <v/>
      </c>
      <c r="FF727" s="1356"/>
      <c r="FG727" s="1356"/>
      <c r="FH727" s="1356"/>
      <c r="FI727" s="1357"/>
      <c r="FJ727" s="1355">
        <f t="shared" si="32"/>
        <v>2155</v>
      </c>
      <c r="FK727" s="1356"/>
      <c r="FL727" s="1356"/>
      <c r="FM727" s="1356"/>
      <c r="FN727" s="1357"/>
      <c r="FO727" s="1355" t="str">
        <f t="shared" si="33"/>
        <v/>
      </c>
      <c r="FP727" s="1356"/>
      <c r="FQ727" s="1356"/>
      <c r="FR727" s="1356"/>
      <c r="FS727" s="1357"/>
      <c r="FT727" s="1355" t="str">
        <f t="shared" si="34"/>
        <v/>
      </c>
      <c r="FU727" s="1356"/>
      <c r="FV727" s="1356"/>
      <c r="FW727" s="1356"/>
      <c r="FX727" s="1357"/>
      <c r="FY727" s="1355" t="str">
        <f t="shared" si="35"/>
        <v/>
      </c>
      <c r="FZ727" s="1356"/>
      <c r="GA727" s="1356"/>
      <c r="GB727" s="1356"/>
      <c r="GC727" s="1357"/>
    </row>
    <row r="728" spans="1:185" ht="12.95" customHeight="1">
      <c r="A728" s="4"/>
      <c r="B728" s="1359" t="s">
        <v>163</v>
      </c>
      <c r="C728" s="1360"/>
      <c r="D728" s="1360"/>
      <c r="E728" s="1360"/>
      <c r="F728" s="1361"/>
      <c r="G728" s="1368">
        <v>7</v>
      </c>
      <c r="H728" s="1369"/>
      <c r="I728" s="1369"/>
      <c r="J728" s="1370"/>
      <c r="K728" s="1594">
        <v>839</v>
      </c>
      <c r="L728" s="1595"/>
      <c r="M728" s="1595"/>
      <c r="N728" s="1596"/>
      <c r="O728" s="1460">
        <v>2607</v>
      </c>
      <c r="P728" s="1461"/>
      <c r="Q728" s="1461"/>
      <c r="R728" s="1461"/>
      <c r="S728" s="1462"/>
      <c r="T728" s="1460">
        <v>106</v>
      </c>
      <c r="U728" s="1461"/>
      <c r="V728" s="1461"/>
      <c r="W728" s="1462"/>
      <c r="X728" s="1362">
        <f t="shared" si="8"/>
        <v>2713</v>
      </c>
      <c r="Y728" s="1363"/>
      <c r="Z728" s="1363"/>
      <c r="AA728" s="1363"/>
      <c r="AB728" s="1364"/>
      <c r="AC728" s="1603">
        <v>0.6</v>
      </c>
      <c r="AD728" s="1604"/>
      <c r="AE728" s="1604"/>
      <c r="AF728" s="1604"/>
      <c r="AG728" s="1605"/>
      <c r="AH728" s="1365">
        <f t="shared" si="36"/>
        <v>0.59995577178239712</v>
      </c>
      <c r="AI728" s="1366"/>
      <c r="AJ728" s="1367"/>
      <c r="AK728" s="1359" t="s">
        <v>592</v>
      </c>
      <c r="AL728" s="1360"/>
      <c r="AM728" s="1360"/>
      <c r="AN728" s="1360"/>
      <c r="AO728" s="1361"/>
      <c r="AP728" s="3"/>
      <c r="AQ728" s="3"/>
      <c r="AR728" s="3"/>
      <c r="AS728" s="3"/>
      <c r="AY728" s="1085"/>
      <c r="AZ728" s="118">
        <f t="shared" si="9"/>
        <v>4522</v>
      </c>
      <c r="BA728" s="3"/>
      <c r="BB728" s="3"/>
      <c r="BC728" s="3"/>
      <c r="BD728" s="3"/>
      <c r="BE728" s="204"/>
      <c r="BF728" s="294">
        <f t="shared" si="10"/>
        <v>7</v>
      </c>
      <c r="BG728" s="297">
        <f t="shared" si="11"/>
        <v>8.9743589743589744E-2</v>
      </c>
      <c r="BH728" s="298">
        <f t="shared" si="12"/>
        <v>5.3846153846153842E-2</v>
      </c>
      <c r="BI728" s="3"/>
      <c r="BJ728" s="3"/>
      <c r="BK728" s="3"/>
      <c r="BL728" s="3"/>
      <c r="BM728" s="3"/>
      <c r="BN728" s="3"/>
      <c r="BS728" s="294">
        <f t="shared" si="13"/>
        <v>7</v>
      </c>
      <c r="BT728" s="297">
        <f t="shared" si="14"/>
        <v>8.9743589743589744E-2</v>
      </c>
      <c r="BU728" s="298">
        <f t="shared" si="15"/>
        <v>5.3842184647138205E-2</v>
      </c>
      <c r="BV728" s="3"/>
      <c r="BW728" s="3"/>
      <c r="BX728" s="3"/>
      <c r="BY728" s="3"/>
      <c r="BZ728" s="3"/>
      <c r="CA728" s="3"/>
      <c r="CB728" s="3"/>
      <c r="CC728" s="3"/>
      <c r="CE728" s="3"/>
      <c r="CF728" s="3"/>
      <c r="CG728" s="1355">
        <f t="shared" si="37"/>
        <v>0</v>
      </c>
      <c r="CH728" s="1357"/>
      <c r="CI728" s="1339">
        <f t="shared" si="38"/>
        <v>0</v>
      </c>
      <c r="CJ728" s="1341"/>
      <c r="CK728" s="1355">
        <f t="shared" si="16"/>
        <v>0</v>
      </c>
      <c r="CL728" s="1357"/>
      <c r="CM728" s="1339">
        <f t="shared" si="17"/>
        <v>0</v>
      </c>
      <c r="CN728" s="1341"/>
      <c r="CO728" s="3"/>
      <c r="CP728" s="1332">
        <f t="shared" si="18"/>
        <v>0</v>
      </c>
      <c r="CQ728" s="1333"/>
      <c r="CR728" s="1333"/>
      <c r="CS728" s="1333"/>
      <c r="CT728" s="1334"/>
      <c r="CU728" s="1358">
        <f t="shared" si="19"/>
        <v>0</v>
      </c>
      <c r="CV728" s="1358"/>
      <c r="CW728" s="1358"/>
      <c r="CX728" s="1358"/>
      <c r="CY728" s="1358"/>
      <c r="CZ728" s="1358">
        <f t="shared" si="20"/>
        <v>7</v>
      </c>
      <c r="DA728" s="1358"/>
      <c r="DB728" s="1358"/>
      <c r="DC728" s="1358"/>
      <c r="DD728" s="1358"/>
      <c r="DE728" s="1358">
        <f t="shared" si="21"/>
        <v>0</v>
      </c>
      <c r="DF728" s="1358"/>
      <c r="DG728" s="1358"/>
      <c r="DH728" s="1358"/>
      <c r="DI728" s="1358"/>
      <c r="DJ728" s="1358">
        <f t="shared" si="22"/>
        <v>0</v>
      </c>
      <c r="DK728" s="1358"/>
      <c r="DL728" s="1358"/>
      <c r="DM728" s="1358"/>
      <c r="DN728" s="1358"/>
      <c r="DO728" s="1358">
        <f t="shared" si="23"/>
        <v>0</v>
      </c>
      <c r="DP728" s="1358"/>
      <c r="DQ728" s="1358"/>
      <c r="DR728" s="1358"/>
      <c r="DS728" s="1358"/>
      <c r="DT728" s="6"/>
      <c r="DU728" s="1372">
        <f t="shared" si="24"/>
        <v>0</v>
      </c>
      <c r="DV728" s="1372"/>
      <c r="DW728" s="1372"/>
      <c r="DX728" s="1372"/>
      <c r="DY728" s="1372"/>
      <c r="DZ728" s="1372">
        <f t="shared" si="25"/>
        <v>0</v>
      </c>
      <c r="EA728" s="1372"/>
      <c r="EB728" s="1372"/>
      <c r="EC728" s="1372"/>
      <c r="ED728" s="1372"/>
      <c r="EE728" s="1372">
        <f t="shared" si="26"/>
        <v>0</v>
      </c>
      <c r="EF728" s="1372"/>
      <c r="EG728" s="1372"/>
      <c r="EH728" s="1372"/>
      <c r="EI728" s="1372"/>
      <c r="EJ728" s="1372">
        <f t="shared" si="27"/>
        <v>0</v>
      </c>
      <c r="EK728" s="1372"/>
      <c r="EL728" s="1372"/>
      <c r="EM728" s="1372"/>
      <c r="EN728" s="1372"/>
      <c r="EO728" s="1372">
        <f t="shared" si="28"/>
        <v>0</v>
      </c>
      <c r="EP728" s="1372"/>
      <c r="EQ728" s="1372"/>
      <c r="ER728" s="1372"/>
      <c r="ES728" s="1372"/>
      <c r="ET728" s="1372">
        <f t="shared" si="29"/>
        <v>0</v>
      </c>
      <c r="EU728" s="1372"/>
      <c r="EV728" s="1372"/>
      <c r="EW728" s="1372"/>
      <c r="EX728" s="1372"/>
      <c r="EY728" s="4"/>
      <c r="EZ728" s="1355" t="str">
        <f t="shared" si="30"/>
        <v/>
      </c>
      <c r="FA728" s="1356"/>
      <c r="FB728" s="1356"/>
      <c r="FC728" s="1356"/>
      <c r="FD728" s="1357"/>
      <c r="FE728" s="1355" t="str">
        <f t="shared" si="31"/>
        <v/>
      </c>
      <c r="FF728" s="1356"/>
      <c r="FG728" s="1356"/>
      <c r="FH728" s="1356"/>
      <c r="FI728" s="1357"/>
      <c r="FJ728" s="1355">
        <f t="shared" si="32"/>
        <v>2607</v>
      </c>
      <c r="FK728" s="1356"/>
      <c r="FL728" s="1356"/>
      <c r="FM728" s="1356"/>
      <c r="FN728" s="1357"/>
      <c r="FO728" s="1355" t="str">
        <f t="shared" si="33"/>
        <v/>
      </c>
      <c r="FP728" s="1356"/>
      <c r="FQ728" s="1356"/>
      <c r="FR728" s="1356"/>
      <c r="FS728" s="1357"/>
      <c r="FT728" s="1355" t="str">
        <f t="shared" si="34"/>
        <v/>
      </c>
      <c r="FU728" s="1356"/>
      <c r="FV728" s="1356"/>
      <c r="FW728" s="1356"/>
      <c r="FX728" s="1357"/>
      <c r="FY728" s="1355" t="str">
        <f t="shared" si="35"/>
        <v/>
      </c>
      <c r="FZ728" s="1356"/>
      <c r="GA728" s="1356"/>
      <c r="GB728" s="1356"/>
      <c r="GC728" s="1357"/>
    </row>
    <row r="729" spans="1:185" ht="12.95" customHeight="1">
      <c r="A729" s="4"/>
      <c r="B729" s="1359" t="s">
        <v>164</v>
      </c>
      <c r="C729" s="1360"/>
      <c r="D729" s="1360"/>
      <c r="E729" s="1360"/>
      <c r="F729" s="1361"/>
      <c r="G729" s="1368">
        <v>1</v>
      </c>
      <c r="H729" s="1369"/>
      <c r="I729" s="1369"/>
      <c r="J729" s="1370"/>
      <c r="K729" s="1594">
        <v>1057</v>
      </c>
      <c r="L729" s="1595"/>
      <c r="M729" s="1595"/>
      <c r="N729" s="1596"/>
      <c r="O729" s="1460">
        <v>1432</v>
      </c>
      <c r="P729" s="1461"/>
      <c r="Q729" s="1461"/>
      <c r="R729" s="1461"/>
      <c r="S729" s="1462"/>
      <c r="T729" s="1460">
        <v>135</v>
      </c>
      <c r="U729" s="1461"/>
      <c r="V729" s="1461"/>
      <c r="W729" s="1462"/>
      <c r="X729" s="1362">
        <f t="shared" si="8"/>
        <v>1567</v>
      </c>
      <c r="Y729" s="1363"/>
      <c r="Z729" s="1363"/>
      <c r="AA729" s="1363"/>
      <c r="AB729" s="1364"/>
      <c r="AC729" s="1603">
        <v>0.3</v>
      </c>
      <c r="AD729" s="1604"/>
      <c r="AE729" s="1604"/>
      <c r="AF729" s="1604"/>
      <c r="AG729" s="1605"/>
      <c r="AH729" s="1365">
        <f t="shared" si="36"/>
        <v>0.30007659900421296</v>
      </c>
      <c r="AI729" s="1366"/>
      <c r="AJ729" s="1367"/>
      <c r="AK729" s="1359" t="s">
        <v>1044</v>
      </c>
      <c r="AL729" s="1360"/>
      <c r="AM729" s="1360"/>
      <c r="AN729" s="1360"/>
      <c r="AO729" s="1361"/>
      <c r="AP729" s="3"/>
      <c r="AQ729" s="3"/>
      <c r="AR729" s="3"/>
      <c r="AS729" s="3"/>
      <c r="AY729" s="1085"/>
      <c r="AZ729" s="118">
        <f t="shared" si="9"/>
        <v>5222</v>
      </c>
      <c r="BA729" s="3"/>
      <c r="BB729" s="3"/>
      <c r="BC729" s="3"/>
      <c r="BD729" s="3"/>
      <c r="BE729" s="204"/>
      <c r="BF729" s="294">
        <f t="shared" si="10"/>
        <v>1</v>
      </c>
      <c r="BG729" s="297">
        <f t="shared" si="11"/>
        <v>1.282051282051282E-2</v>
      </c>
      <c r="BH729" s="298">
        <f t="shared" si="12"/>
        <v>3.8461538461538459E-3</v>
      </c>
      <c r="BI729" s="3"/>
      <c r="BJ729" s="3"/>
      <c r="BK729" s="3"/>
      <c r="BL729" s="3"/>
      <c r="BM729" s="3"/>
      <c r="BN729" s="3"/>
      <c r="BS729" s="294">
        <f t="shared" si="13"/>
        <v>1</v>
      </c>
      <c r="BT729" s="297">
        <f t="shared" si="14"/>
        <v>1.282051282051282E-2</v>
      </c>
      <c r="BU729" s="298">
        <f t="shared" si="15"/>
        <v>3.847135884669397E-3</v>
      </c>
      <c r="BV729" s="3"/>
      <c r="BW729" s="3"/>
      <c r="BX729" s="3"/>
      <c r="BY729" s="3"/>
      <c r="BZ729" s="3"/>
      <c r="CA729" s="3"/>
      <c r="CB729" s="3"/>
      <c r="CC729" s="3"/>
      <c r="CE729" s="3"/>
      <c r="CF729" s="3"/>
      <c r="CG729" s="1355">
        <f t="shared" si="37"/>
        <v>0</v>
      </c>
      <c r="CH729" s="1357"/>
      <c r="CI729" s="1339">
        <f t="shared" si="38"/>
        <v>0</v>
      </c>
      <c r="CJ729" s="1341"/>
      <c r="CK729" s="1355">
        <f t="shared" si="16"/>
        <v>1</v>
      </c>
      <c r="CL729" s="1357"/>
      <c r="CM729" s="1339">
        <f t="shared" si="17"/>
        <v>1</v>
      </c>
      <c r="CN729" s="1341"/>
      <c r="CO729" s="3"/>
      <c r="CP729" s="1332">
        <f t="shared" si="18"/>
        <v>0</v>
      </c>
      <c r="CQ729" s="1333"/>
      <c r="CR729" s="1333"/>
      <c r="CS729" s="1333"/>
      <c r="CT729" s="1334"/>
      <c r="CU729" s="1358">
        <f t="shared" si="19"/>
        <v>0</v>
      </c>
      <c r="CV729" s="1358"/>
      <c r="CW729" s="1358"/>
      <c r="CX729" s="1358"/>
      <c r="CY729" s="1358"/>
      <c r="CZ729" s="1358">
        <f t="shared" si="20"/>
        <v>0</v>
      </c>
      <c r="DA729" s="1358"/>
      <c r="DB729" s="1358"/>
      <c r="DC729" s="1358"/>
      <c r="DD729" s="1358"/>
      <c r="DE729" s="1358">
        <f t="shared" si="21"/>
        <v>1</v>
      </c>
      <c r="DF729" s="1358"/>
      <c r="DG729" s="1358"/>
      <c r="DH729" s="1358"/>
      <c r="DI729" s="1358"/>
      <c r="DJ729" s="1358">
        <f t="shared" si="22"/>
        <v>0</v>
      </c>
      <c r="DK729" s="1358"/>
      <c r="DL729" s="1358"/>
      <c r="DM729" s="1358"/>
      <c r="DN729" s="1358"/>
      <c r="DO729" s="1358">
        <f t="shared" si="23"/>
        <v>0</v>
      </c>
      <c r="DP729" s="1358"/>
      <c r="DQ729" s="1358"/>
      <c r="DR729" s="1358"/>
      <c r="DS729" s="1358"/>
      <c r="DT729" s="6"/>
      <c r="DU729" s="1372">
        <f t="shared" si="24"/>
        <v>0</v>
      </c>
      <c r="DV729" s="1372"/>
      <c r="DW729" s="1372"/>
      <c r="DX729" s="1372"/>
      <c r="DY729" s="1372"/>
      <c r="DZ729" s="1372">
        <f t="shared" si="25"/>
        <v>0</v>
      </c>
      <c r="EA729" s="1372"/>
      <c r="EB729" s="1372"/>
      <c r="EC729" s="1372"/>
      <c r="ED729" s="1372"/>
      <c r="EE729" s="1372">
        <f t="shared" si="26"/>
        <v>0</v>
      </c>
      <c r="EF729" s="1372"/>
      <c r="EG729" s="1372"/>
      <c r="EH729" s="1372"/>
      <c r="EI729" s="1372"/>
      <c r="EJ729" s="1372">
        <f t="shared" si="27"/>
        <v>1</v>
      </c>
      <c r="EK729" s="1372"/>
      <c r="EL729" s="1372"/>
      <c r="EM729" s="1372"/>
      <c r="EN729" s="1372"/>
      <c r="EO729" s="1372">
        <f t="shared" si="28"/>
        <v>0</v>
      </c>
      <c r="EP729" s="1372"/>
      <c r="EQ729" s="1372"/>
      <c r="ER729" s="1372"/>
      <c r="ES729" s="1372"/>
      <c r="ET729" s="1372">
        <f t="shared" si="29"/>
        <v>0</v>
      </c>
      <c r="EU729" s="1372"/>
      <c r="EV729" s="1372"/>
      <c r="EW729" s="1372"/>
      <c r="EX729" s="1372"/>
      <c r="EZ729" s="1355" t="str">
        <f t="shared" si="30"/>
        <v/>
      </c>
      <c r="FA729" s="1356"/>
      <c r="FB729" s="1356"/>
      <c r="FC729" s="1356"/>
      <c r="FD729" s="1357"/>
      <c r="FE729" s="1355" t="str">
        <f t="shared" si="31"/>
        <v/>
      </c>
      <c r="FF729" s="1356"/>
      <c r="FG729" s="1356"/>
      <c r="FH729" s="1356"/>
      <c r="FI729" s="1357"/>
      <c r="FJ729" s="1355" t="str">
        <f t="shared" si="32"/>
        <v/>
      </c>
      <c r="FK729" s="1356"/>
      <c r="FL729" s="1356"/>
      <c r="FM729" s="1356"/>
      <c r="FN729" s="1357"/>
      <c r="FO729" s="1355">
        <f t="shared" si="33"/>
        <v>1432</v>
      </c>
      <c r="FP729" s="1356"/>
      <c r="FQ729" s="1356"/>
      <c r="FR729" s="1356"/>
      <c r="FS729" s="1357"/>
      <c r="FT729" s="1355" t="str">
        <f t="shared" si="34"/>
        <v/>
      </c>
      <c r="FU729" s="1356"/>
      <c r="FV729" s="1356"/>
      <c r="FW729" s="1356"/>
      <c r="FX729" s="1357"/>
      <c r="FY729" s="1355" t="str">
        <f t="shared" si="35"/>
        <v/>
      </c>
      <c r="FZ729" s="1356"/>
      <c r="GA729" s="1356"/>
      <c r="GB729" s="1356"/>
      <c r="GC729" s="1357"/>
    </row>
    <row r="730" spans="1:185" ht="12.95" customHeight="1">
      <c r="B730" s="1359" t="s">
        <v>164</v>
      </c>
      <c r="C730" s="1360"/>
      <c r="D730" s="1360"/>
      <c r="E730" s="1360"/>
      <c r="F730" s="1361"/>
      <c r="G730" s="1368">
        <v>9</v>
      </c>
      <c r="H730" s="1369"/>
      <c r="I730" s="1369"/>
      <c r="J730" s="1370"/>
      <c r="K730" s="1594">
        <v>1057</v>
      </c>
      <c r="L730" s="1595"/>
      <c r="M730" s="1595"/>
      <c r="N730" s="1596"/>
      <c r="O730" s="1460">
        <v>2476</v>
      </c>
      <c r="P730" s="1461"/>
      <c r="Q730" s="1461"/>
      <c r="R730" s="1461"/>
      <c r="S730" s="1462"/>
      <c r="T730" s="1460">
        <v>135</v>
      </c>
      <c r="U730" s="1461"/>
      <c r="V730" s="1461"/>
      <c r="W730" s="1462"/>
      <c r="X730" s="1362">
        <f t="shared" si="8"/>
        <v>2611</v>
      </c>
      <c r="Y730" s="1363"/>
      <c r="Z730" s="1363"/>
      <c r="AA730" s="1363"/>
      <c r="AB730" s="1364"/>
      <c r="AC730" s="1603">
        <v>0.5</v>
      </c>
      <c r="AD730" s="1604"/>
      <c r="AE730" s="1604"/>
      <c r="AF730" s="1604"/>
      <c r="AG730" s="1605"/>
      <c r="AH730" s="1365">
        <f t="shared" si="36"/>
        <v>0.5</v>
      </c>
      <c r="AI730" s="1366"/>
      <c r="AJ730" s="1367"/>
      <c r="AK730" s="1359" t="s">
        <v>592</v>
      </c>
      <c r="AL730" s="1360"/>
      <c r="AM730" s="1360"/>
      <c r="AN730" s="1360"/>
      <c r="AO730" s="1361"/>
      <c r="AP730" s="3"/>
      <c r="AQ730" s="3"/>
      <c r="AR730" s="3"/>
      <c r="AS730" s="3"/>
      <c r="AY730" s="1085"/>
      <c r="AZ730" s="118">
        <f t="shared" si="9"/>
        <v>5222</v>
      </c>
      <c r="BA730" s="3"/>
      <c r="BB730" s="3"/>
      <c r="BC730" s="3"/>
      <c r="BD730" s="3"/>
      <c r="BE730" s="204"/>
      <c r="BF730" s="294">
        <f t="shared" si="10"/>
        <v>9</v>
      </c>
      <c r="BG730" s="297">
        <f t="shared" si="11"/>
        <v>0.11538461538461539</v>
      </c>
      <c r="BH730" s="298">
        <f t="shared" si="12"/>
        <v>5.7692307692307696E-2</v>
      </c>
      <c r="BI730" s="3"/>
      <c r="BJ730" s="3"/>
      <c r="BK730" s="3"/>
      <c r="BL730" s="3"/>
      <c r="BM730" s="3"/>
      <c r="BN730" s="3"/>
      <c r="BS730" s="294">
        <f t="shared" si="13"/>
        <v>9</v>
      </c>
      <c r="BT730" s="297">
        <f t="shared" si="14"/>
        <v>0.11538461538461539</v>
      </c>
      <c r="BU730" s="298">
        <f t="shared" si="15"/>
        <v>5.7692307692307696E-2</v>
      </c>
      <c r="BV730" s="3"/>
      <c r="BW730" s="3"/>
      <c r="BX730" s="3"/>
      <c r="BY730" s="3"/>
      <c r="BZ730" s="3"/>
      <c r="CA730" s="3"/>
      <c r="CB730" s="3"/>
      <c r="CC730" s="3"/>
      <c r="CE730" s="3"/>
      <c r="CF730" s="3"/>
      <c r="CG730" s="1355">
        <f t="shared" si="37"/>
        <v>1</v>
      </c>
      <c r="CH730" s="1357"/>
      <c r="CI730" s="1339">
        <f t="shared" si="38"/>
        <v>9</v>
      </c>
      <c r="CJ730" s="1341"/>
      <c r="CK730" s="1355">
        <f t="shared" si="16"/>
        <v>0</v>
      </c>
      <c r="CL730" s="1357"/>
      <c r="CM730" s="1339">
        <f t="shared" si="17"/>
        <v>0</v>
      </c>
      <c r="CN730" s="1341"/>
      <c r="CO730" s="3"/>
      <c r="CP730" s="1332">
        <f t="shared" si="18"/>
        <v>0</v>
      </c>
      <c r="CQ730" s="1333"/>
      <c r="CR730" s="1333"/>
      <c r="CS730" s="1333"/>
      <c r="CT730" s="1334"/>
      <c r="CU730" s="1358">
        <f t="shared" si="19"/>
        <v>0</v>
      </c>
      <c r="CV730" s="1358"/>
      <c r="CW730" s="1358"/>
      <c r="CX730" s="1358"/>
      <c r="CY730" s="1358"/>
      <c r="CZ730" s="1358">
        <f t="shared" si="20"/>
        <v>0</v>
      </c>
      <c r="DA730" s="1358"/>
      <c r="DB730" s="1358"/>
      <c r="DC730" s="1358"/>
      <c r="DD730" s="1358"/>
      <c r="DE730" s="1358">
        <f t="shared" si="21"/>
        <v>9</v>
      </c>
      <c r="DF730" s="1358"/>
      <c r="DG730" s="1358"/>
      <c r="DH730" s="1358"/>
      <c r="DI730" s="1358"/>
      <c r="DJ730" s="1358">
        <f t="shared" si="22"/>
        <v>0</v>
      </c>
      <c r="DK730" s="1358"/>
      <c r="DL730" s="1358"/>
      <c r="DM730" s="1358"/>
      <c r="DN730" s="1358"/>
      <c r="DO730" s="1358">
        <f t="shared" si="23"/>
        <v>0</v>
      </c>
      <c r="DP730" s="1358"/>
      <c r="DQ730" s="1358"/>
      <c r="DR730" s="1358"/>
      <c r="DS730" s="1358"/>
      <c r="DT730" s="6"/>
      <c r="DU730" s="1372">
        <f t="shared" si="24"/>
        <v>0</v>
      </c>
      <c r="DV730" s="1372"/>
      <c r="DW730" s="1372"/>
      <c r="DX730" s="1372"/>
      <c r="DY730" s="1372"/>
      <c r="DZ730" s="1372">
        <f t="shared" si="25"/>
        <v>0</v>
      </c>
      <c r="EA730" s="1372"/>
      <c r="EB730" s="1372"/>
      <c r="EC730" s="1372"/>
      <c r="ED730" s="1372"/>
      <c r="EE730" s="1372">
        <f t="shared" si="26"/>
        <v>0</v>
      </c>
      <c r="EF730" s="1372"/>
      <c r="EG730" s="1372"/>
      <c r="EH730" s="1372"/>
      <c r="EI730" s="1372"/>
      <c r="EJ730" s="1372">
        <f t="shared" si="27"/>
        <v>0</v>
      </c>
      <c r="EK730" s="1372"/>
      <c r="EL730" s="1372"/>
      <c r="EM730" s="1372"/>
      <c r="EN730" s="1372"/>
      <c r="EO730" s="1372">
        <f t="shared" si="28"/>
        <v>0</v>
      </c>
      <c r="EP730" s="1372"/>
      <c r="EQ730" s="1372"/>
      <c r="ER730" s="1372"/>
      <c r="ES730" s="1372"/>
      <c r="ET730" s="1372">
        <f t="shared" si="29"/>
        <v>0</v>
      </c>
      <c r="EU730" s="1372"/>
      <c r="EV730" s="1372"/>
      <c r="EW730" s="1372"/>
      <c r="EX730" s="1372"/>
      <c r="EZ730" s="1355" t="str">
        <f t="shared" si="30"/>
        <v/>
      </c>
      <c r="FA730" s="1356"/>
      <c r="FB730" s="1356"/>
      <c r="FC730" s="1356"/>
      <c r="FD730" s="1357"/>
      <c r="FE730" s="1355" t="str">
        <f t="shared" si="31"/>
        <v/>
      </c>
      <c r="FF730" s="1356"/>
      <c r="FG730" s="1356"/>
      <c r="FH730" s="1356"/>
      <c r="FI730" s="1357"/>
      <c r="FJ730" s="1355" t="str">
        <f t="shared" si="32"/>
        <v/>
      </c>
      <c r="FK730" s="1356"/>
      <c r="FL730" s="1356"/>
      <c r="FM730" s="1356"/>
      <c r="FN730" s="1357"/>
      <c r="FO730" s="1355">
        <f t="shared" si="33"/>
        <v>2476</v>
      </c>
      <c r="FP730" s="1356"/>
      <c r="FQ730" s="1356"/>
      <c r="FR730" s="1356"/>
      <c r="FS730" s="1357"/>
      <c r="FT730" s="1355" t="str">
        <f t="shared" si="34"/>
        <v/>
      </c>
      <c r="FU730" s="1356"/>
      <c r="FV730" s="1356"/>
      <c r="FW730" s="1356"/>
      <c r="FX730" s="1357"/>
      <c r="FY730" s="1355" t="str">
        <f t="shared" si="35"/>
        <v/>
      </c>
      <c r="FZ730" s="1356"/>
      <c r="GA730" s="1356"/>
      <c r="GB730" s="1356"/>
      <c r="GC730" s="1357"/>
    </row>
    <row r="731" spans="1:185" ht="12.95" customHeight="1">
      <c r="B731" s="1359" t="s">
        <v>164</v>
      </c>
      <c r="C731" s="1360"/>
      <c r="D731" s="1360"/>
      <c r="E731" s="1360"/>
      <c r="F731" s="1361"/>
      <c r="G731" s="1368">
        <v>10</v>
      </c>
      <c r="H731" s="1369"/>
      <c r="I731" s="1369"/>
      <c r="J731" s="1370"/>
      <c r="K731" s="1594">
        <v>1057</v>
      </c>
      <c r="L731" s="1595"/>
      <c r="M731" s="1595"/>
      <c r="N731" s="1596"/>
      <c r="O731" s="1460">
        <v>2999</v>
      </c>
      <c r="P731" s="1461"/>
      <c r="Q731" s="1461"/>
      <c r="R731" s="1461"/>
      <c r="S731" s="1462"/>
      <c r="T731" s="1460">
        <v>135</v>
      </c>
      <c r="U731" s="1461"/>
      <c r="V731" s="1461"/>
      <c r="W731" s="1462"/>
      <c r="X731" s="1362">
        <f t="shared" si="8"/>
        <v>3134</v>
      </c>
      <c r="Y731" s="1363"/>
      <c r="Z731" s="1363"/>
      <c r="AA731" s="1363"/>
      <c r="AB731" s="1364"/>
      <c r="AC731" s="1603">
        <v>0.6</v>
      </c>
      <c r="AD731" s="1604"/>
      <c r="AE731" s="1604"/>
      <c r="AF731" s="1604"/>
      <c r="AG731" s="1605"/>
      <c r="AH731" s="1365">
        <f t="shared" si="36"/>
        <v>0.60015319800842593</v>
      </c>
      <c r="AI731" s="1366"/>
      <c r="AJ731" s="1367"/>
      <c r="AK731" s="1359" t="s">
        <v>592</v>
      </c>
      <c r="AL731" s="1360"/>
      <c r="AM731" s="1360"/>
      <c r="AN731" s="1360"/>
      <c r="AO731" s="1361"/>
      <c r="AP731" s="3"/>
      <c r="AQ731" s="3"/>
      <c r="AR731" s="3"/>
      <c r="AS731" s="3"/>
      <c r="AY731" s="1085"/>
      <c r="AZ731" s="118">
        <f t="shared" si="9"/>
        <v>5222</v>
      </c>
      <c r="BA731" s="3"/>
      <c r="BB731" s="3"/>
      <c r="BC731" s="3"/>
      <c r="BD731" s="3"/>
      <c r="BE731" s="204"/>
      <c r="BF731" s="294">
        <f t="shared" si="10"/>
        <v>10</v>
      </c>
      <c r="BG731" s="297">
        <f t="shared" si="11"/>
        <v>0.12820512820512819</v>
      </c>
      <c r="BH731" s="298">
        <f t="shared" si="12"/>
        <v>7.6923076923076913E-2</v>
      </c>
      <c r="BI731" s="3"/>
      <c r="BJ731" s="3"/>
      <c r="BK731" s="3"/>
      <c r="BL731" s="3"/>
      <c r="BM731" s="3"/>
      <c r="BN731" s="3"/>
      <c r="BS731" s="294">
        <f t="shared" si="13"/>
        <v>10</v>
      </c>
      <c r="BT731" s="297">
        <f t="shared" si="14"/>
        <v>0.12820512820512819</v>
      </c>
      <c r="BU731" s="298">
        <f t="shared" si="15"/>
        <v>7.6942717693387938E-2</v>
      </c>
      <c r="BV731" s="3"/>
      <c r="BW731" s="3"/>
      <c r="BX731" s="3"/>
      <c r="BY731" s="3"/>
      <c r="BZ731" s="3"/>
      <c r="CA731" s="3"/>
      <c r="CB731" s="3"/>
      <c r="CC731" s="3"/>
      <c r="CE731" s="3"/>
      <c r="CF731" s="3"/>
      <c r="CG731" s="1355">
        <f t="shared" si="37"/>
        <v>0</v>
      </c>
      <c r="CH731" s="1357"/>
      <c r="CI731" s="1339">
        <f t="shared" si="38"/>
        <v>0</v>
      </c>
      <c r="CJ731" s="1341"/>
      <c r="CK731" s="1355">
        <f t="shared" si="16"/>
        <v>0</v>
      </c>
      <c r="CL731" s="1357"/>
      <c r="CM731" s="1339">
        <f t="shared" si="17"/>
        <v>0</v>
      </c>
      <c r="CN731" s="1341"/>
      <c r="CO731" s="3"/>
      <c r="CP731" s="1332">
        <f t="shared" si="18"/>
        <v>0</v>
      </c>
      <c r="CQ731" s="1333"/>
      <c r="CR731" s="1333"/>
      <c r="CS731" s="1333"/>
      <c r="CT731" s="1334"/>
      <c r="CU731" s="1358">
        <f t="shared" si="19"/>
        <v>0</v>
      </c>
      <c r="CV731" s="1358"/>
      <c r="CW731" s="1358"/>
      <c r="CX731" s="1358"/>
      <c r="CY731" s="1358"/>
      <c r="CZ731" s="1358">
        <f t="shared" si="20"/>
        <v>0</v>
      </c>
      <c r="DA731" s="1358"/>
      <c r="DB731" s="1358"/>
      <c r="DC731" s="1358"/>
      <c r="DD731" s="1358"/>
      <c r="DE731" s="1358">
        <f t="shared" si="21"/>
        <v>10</v>
      </c>
      <c r="DF731" s="1358"/>
      <c r="DG731" s="1358"/>
      <c r="DH731" s="1358"/>
      <c r="DI731" s="1358"/>
      <c r="DJ731" s="1358">
        <f t="shared" si="22"/>
        <v>0</v>
      </c>
      <c r="DK731" s="1358"/>
      <c r="DL731" s="1358"/>
      <c r="DM731" s="1358"/>
      <c r="DN731" s="1358"/>
      <c r="DO731" s="1358">
        <f t="shared" si="23"/>
        <v>0</v>
      </c>
      <c r="DP731" s="1358"/>
      <c r="DQ731" s="1358"/>
      <c r="DR731" s="1358"/>
      <c r="DS731" s="1358"/>
      <c r="DT731" s="6"/>
      <c r="DU731" s="1372">
        <f t="shared" si="24"/>
        <v>0</v>
      </c>
      <c r="DV731" s="1372"/>
      <c r="DW731" s="1372"/>
      <c r="DX731" s="1372"/>
      <c r="DY731" s="1372"/>
      <c r="DZ731" s="1372">
        <f t="shared" si="25"/>
        <v>0</v>
      </c>
      <c r="EA731" s="1372"/>
      <c r="EB731" s="1372"/>
      <c r="EC731" s="1372"/>
      <c r="ED731" s="1372"/>
      <c r="EE731" s="1372">
        <f t="shared" si="26"/>
        <v>0</v>
      </c>
      <c r="EF731" s="1372"/>
      <c r="EG731" s="1372"/>
      <c r="EH731" s="1372"/>
      <c r="EI731" s="1372"/>
      <c r="EJ731" s="1372">
        <f t="shared" si="27"/>
        <v>0</v>
      </c>
      <c r="EK731" s="1372"/>
      <c r="EL731" s="1372"/>
      <c r="EM731" s="1372"/>
      <c r="EN731" s="1372"/>
      <c r="EO731" s="1372">
        <f t="shared" si="28"/>
        <v>0</v>
      </c>
      <c r="EP731" s="1372"/>
      <c r="EQ731" s="1372"/>
      <c r="ER731" s="1372"/>
      <c r="ES731" s="1372"/>
      <c r="ET731" s="1372">
        <f t="shared" si="29"/>
        <v>0</v>
      </c>
      <c r="EU731" s="1372"/>
      <c r="EV731" s="1372"/>
      <c r="EW731" s="1372"/>
      <c r="EX731" s="1372"/>
      <c r="EZ731" s="1355" t="str">
        <f t="shared" si="30"/>
        <v/>
      </c>
      <c r="FA731" s="1356"/>
      <c r="FB731" s="1356"/>
      <c r="FC731" s="1356"/>
      <c r="FD731" s="1357"/>
      <c r="FE731" s="1355" t="str">
        <f t="shared" si="31"/>
        <v/>
      </c>
      <c r="FF731" s="1356"/>
      <c r="FG731" s="1356"/>
      <c r="FH731" s="1356"/>
      <c r="FI731" s="1357"/>
      <c r="FJ731" s="1355" t="str">
        <f t="shared" si="32"/>
        <v/>
      </c>
      <c r="FK731" s="1356"/>
      <c r="FL731" s="1356"/>
      <c r="FM731" s="1356"/>
      <c r="FN731" s="1357"/>
      <c r="FO731" s="1355">
        <f t="shared" si="33"/>
        <v>2999</v>
      </c>
      <c r="FP731" s="1356"/>
      <c r="FQ731" s="1356"/>
      <c r="FR731" s="1356"/>
      <c r="FS731" s="1357"/>
      <c r="FT731" s="1355" t="str">
        <f t="shared" si="34"/>
        <v/>
      </c>
      <c r="FU731" s="1356"/>
      <c r="FV731" s="1356"/>
      <c r="FW731" s="1356"/>
      <c r="FX731" s="1357"/>
      <c r="FY731" s="1355" t="str">
        <f t="shared" si="35"/>
        <v/>
      </c>
      <c r="FZ731" s="1356"/>
      <c r="GA731" s="1356"/>
      <c r="GB731" s="1356"/>
      <c r="GC731" s="1357"/>
    </row>
    <row r="732" spans="1:185" ht="12.95" customHeight="1">
      <c r="B732" s="1359"/>
      <c r="C732" s="1360"/>
      <c r="D732" s="1360"/>
      <c r="E732" s="1360"/>
      <c r="F732" s="1361"/>
      <c r="G732" s="1368"/>
      <c r="H732" s="1369"/>
      <c r="I732" s="1369"/>
      <c r="J732" s="1370"/>
      <c r="K732" s="1594"/>
      <c r="L732" s="1595"/>
      <c r="M732" s="1595"/>
      <c r="N732" s="1596"/>
      <c r="O732" s="1460"/>
      <c r="P732" s="1461"/>
      <c r="Q732" s="1461"/>
      <c r="R732" s="1461"/>
      <c r="S732" s="1462"/>
      <c r="T732" s="1460"/>
      <c r="U732" s="1461"/>
      <c r="V732" s="1461"/>
      <c r="W732" s="1462"/>
      <c r="X732" s="1362">
        <f t="shared" si="8"/>
        <v>0</v>
      </c>
      <c r="Y732" s="1363"/>
      <c r="Z732" s="1363"/>
      <c r="AA732" s="1363"/>
      <c r="AB732" s="1364"/>
      <c r="AC732" s="1603"/>
      <c r="AD732" s="1604"/>
      <c r="AE732" s="1604"/>
      <c r="AF732" s="1604"/>
      <c r="AG732" s="1605"/>
      <c r="AH732" s="1365" t="str">
        <f t="shared" si="36"/>
        <v/>
      </c>
      <c r="AI732" s="1366"/>
      <c r="AJ732" s="1367"/>
      <c r="AK732" s="1359" t="s">
        <v>592</v>
      </c>
      <c r="AL732" s="1360"/>
      <c r="AM732" s="1360"/>
      <c r="AN732" s="1360"/>
      <c r="AO732" s="1361"/>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5">
        <f t="shared" si="37"/>
        <v>0</v>
      </c>
      <c r="CH732" s="1357"/>
      <c r="CI732" s="1339">
        <f t="shared" si="38"/>
        <v>0</v>
      </c>
      <c r="CJ732" s="1341"/>
      <c r="CK732" s="1355">
        <f t="shared" si="16"/>
        <v>0</v>
      </c>
      <c r="CL732" s="1357"/>
      <c r="CM732" s="1339">
        <f t="shared" si="17"/>
        <v>0</v>
      </c>
      <c r="CN732" s="1341"/>
      <c r="CO732" s="3"/>
      <c r="CP732" s="1332">
        <f t="shared" si="18"/>
        <v>0</v>
      </c>
      <c r="CQ732" s="1333"/>
      <c r="CR732" s="1333"/>
      <c r="CS732" s="1333"/>
      <c r="CT732" s="1334"/>
      <c r="CU732" s="1358">
        <f t="shared" si="19"/>
        <v>0</v>
      </c>
      <c r="CV732" s="1358"/>
      <c r="CW732" s="1358"/>
      <c r="CX732" s="1358"/>
      <c r="CY732" s="1358"/>
      <c r="CZ732" s="1358">
        <f t="shared" si="20"/>
        <v>0</v>
      </c>
      <c r="DA732" s="1358"/>
      <c r="DB732" s="1358"/>
      <c r="DC732" s="1358"/>
      <c r="DD732" s="1358"/>
      <c r="DE732" s="1358">
        <f t="shared" si="21"/>
        <v>0</v>
      </c>
      <c r="DF732" s="1358"/>
      <c r="DG732" s="1358"/>
      <c r="DH732" s="1358"/>
      <c r="DI732" s="1358"/>
      <c r="DJ732" s="1358">
        <f t="shared" si="22"/>
        <v>0</v>
      </c>
      <c r="DK732" s="1358"/>
      <c r="DL732" s="1358"/>
      <c r="DM732" s="1358"/>
      <c r="DN732" s="1358"/>
      <c r="DO732" s="1358">
        <f t="shared" si="23"/>
        <v>0</v>
      </c>
      <c r="DP732" s="1358"/>
      <c r="DQ732" s="1358"/>
      <c r="DR732" s="1358"/>
      <c r="DS732" s="1358"/>
      <c r="DT732" s="6"/>
      <c r="DU732" s="1372">
        <f t="shared" si="24"/>
        <v>0</v>
      </c>
      <c r="DV732" s="1372"/>
      <c r="DW732" s="1372"/>
      <c r="DX732" s="1372"/>
      <c r="DY732" s="1372"/>
      <c r="DZ732" s="1372">
        <f t="shared" si="25"/>
        <v>0</v>
      </c>
      <c r="EA732" s="1372"/>
      <c r="EB732" s="1372"/>
      <c r="EC732" s="1372"/>
      <c r="ED732" s="1372"/>
      <c r="EE732" s="1372">
        <f t="shared" si="26"/>
        <v>0</v>
      </c>
      <c r="EF732" s="1372"/>
      <c r="EG732" s="1372"/>
      <c r="EH732" s="1372"/>
      <c r="EI732" s="1372"/>
      <c r="EJ732" s="1372">
        <f t="shared" si="27"/>
        <v>0</v>
      </c>
      <c r="EK732" s="1372"/>
      <c r="EL732" s="1372"/>
      <c r="EM732" s="1372"/>
      <c r="EN732" s="1372"/>
      <c r="EO732" s="1372">
        <f t="shared" si="28"/>
        <v>0</v>
      </c>
      <c r="EP732" s="1372"/>
      <c r="EQ732" s="1372"/>
      <c r="ER732" s="1372"/>
      <c r="ES732" s="1372"/>
      <c r="ET732" s="1372">
        <f t="shared" si="29"/>
        <v>0</v>
      </c>
      <c r="EU732" s="1372"/>
      <c r="EV732" s="1372"/>
      <c r="EW732" s="1372"/>
      <c r="EX732" s="1372"/>
      <c r="EZ732" s="1355" t="str">
        <f t="shared" si="30"/>
        <v/>
      </c>
      <c r="FA732" s="1356"/>
      <c r="FB732" s="1356"/>
      <c r="FC732" s="1356"/>
      <c r="FD732" s="1357"/>
      <c r="FE732" s="1355" t="str">
        <f t="shared" si="31"/>
        <v/>
      </c>
      <c r="FF732" s="1356"/>
      <c r="FG732" s="1356"/>
      <c r="FH732" s="1356"/>
      <c r="FI732" s="1357"/>
      <c r="FJ732" s="1355" t="str">
        <f t="shared" si="32"/>
        <v/>
      </c>
      <c r="FK732" s="1356"/>
      <c r="FL732" s="1356"/>
      <c r="FM732" s="1356"/>
      <c r="FN732" s="1357"/>
      <c r="FO732" s="1355" t="str">
        <f t="shared" si="33"/>
        <v/>
      </c>
      <c r="FP732" s="1356"/>
      <c r="FQ732" s="1356"/>
      <c r="FR732" s="1356"/>
      <c r="FS732" s="1357"/>
      <c r="FT732" s="1355" t="str">
        <f t="shared" si="34"/>
        <v/>
      </c>
      <c r="FU732" s="1356"/>
      <c r="FV732" s="1356"/>
      <c r="FW732" s="1356"/>
      <c r="FX732" s="1357"/>
      <c r="FY732" s="1355" t="str">
        <f t="shared" si="35"/>
        <v/>
      </c>
      <c r="FZ732" s="1356"/>
      <c r="GA732" s="1356"/>
      <c r="GB732" s="1356"/>
      <c r="GC732" s="1357"/>
    </row>
    <row r="733" spans="1:185" ht="12.95" customHeight="1">
      <c r="B733" s="1359"/>
      <c r="C733" s="1360"/>
      <c r="D733" s="1360"/>
      <c r="E733" s="1360"/>
      <c r="F733" s="1361"/>
      <c r="G733" s="1368"/>
      <c r="H733" s="1369"/>
      <c r="I733" s="1369"/>
      <c r="J733" s="1370"/>
      <c r="K733" s="1594"/>
      <c r="L733" s="1595"/>
      <c r="M733" s="1595"/>
      <c r="N733" s="1596"/>
      <c r="O733" s="1460"/>
      <c r="P733" s="1461"/>
      <c r="Q733" s="1461"/>
      <c r="R733" s="1461"/>
      <c r="S733" s="1462"/>
      <c r="T733" s="1460"/>
      <c r="U733" s="1461"/>
      <c r="V733" s="1461"/>
      <c r="W733" s="1462"/>
      <c r="X733" s="1362">
        <f t="shared" si="8"/>
        <v>0</v>
      </c>
      <c r="Y733" s="1363"/>
      <c r="Z733" s="1363"/>
      <c r="AA733" s="1363"/>
      <c r="AB733" s="1364"/>
      <c r="AC733" s="1603"/>
      <c r="AD733" s="1604"/>
      <c r="AE733" s="1604"/>
      <c r="AF733" s="1604"/>
      <c r="AG733" s="1605"/>
      <c r="AH733" s="1365" t="str">
        <f t="shared" si="36"/>
        <v/>
      </c>
      <c r="AI733" s="1366"/>
      <c r="AJ733" s="1367"/>
      <c r="AK733" s="1359" t="s">
        <v>592</v>
      </c>
      <c r="AL733" s="1360"/>
      <c r="AM733" s="1360"/>
      <c r="AN733" s="1360"/>
      <c r="AO733" s="1361"/>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5">
        <f t="shared" si="37"/>
        <v>0</v>
      </c>
      <c r="CH733" s="1357"/>
      <c r="CI733" s="1339">
        <f t="shared" si="38"/>
        <v>0</v>
      </c>
      <c r="CJ733" s="1341"/>
      <c r="CK733" s="1355">
        <f t="shared" si="16"/>
        <v>0</v>
      </c>
      <c r="CL733" s="1357"/>
      <c r="CM733" s="1339">
        <f t="shared" si="17"/>
        <v>0</v>
      </c>
      <c r="CN733" s="1341"/>
      <c r="CO733" s="3"/>
      <c r="CP733" s="1332">
        <f t="shared" si="18"/>
        <v>0</v>
      </c>
      <c r="CQ733" s="1333"/>
      <c r="CR733" s="1333"/>
      <c r="CS733" s="1333"/>
      <c r="CT733" s="1334"/>
      <c r="CU733" s="1358">
        <f t="shared" si="19"/>
        <v>0</v>
      </c>
      <c r="CV733" s="1358"/>
      <c r="CW733" s="1358"/>
      <c r="CX733" s="1358"/>
      <c r="CY733" s="1358"/>
      <c r="CZ733" s="1358">
        <f t="shared" si="20"/>
        <v>0</v>
      </c>
      <c r="DA733" s="1358"/>
      <c r="DB733" s="1358"/>
      <c r="DC733" s="1358"/>
      <c r="DD733" s="1358"/>
      <c r="DE733" s="1358">
        <f t="shared" si="21"/>
        <v>0</v>
      </c>
      <c r="DF733" s="1358"/>
      <c r="DG733" s="1358"/>
      <c r="DH733" s="1358"/>
      <c r="DI733" s="1358"/>
      <c r="DJ733" s="1358">
        <f t="shared" si="22"/>
        <v>0</v>
      </c>
      <c r="DK733" s="1358"/>
      <c r="DL733" s="1358"/>
      <c r="DM733" s="1358"/>
      <c r="DN733" s="1358"/>
      <c r="DO733" s="1358">
        <f t="shared" si="23"/>
        <v>0</v>
      </c>
      <c r="DP733" s="1358"/>
      <c r="DQ733" s="1358"/>
      <c r="DR733" s="1358"/>
      <c r="DS733" s="1358"/>
      <c r="DT733" s="6"/>
      <c r="DU733" s="1372">
        <f t="shared" si="24"/>
        <v>0</v>
      </c>
      <c r="DV733" s="1372"/>
      <c r="DW733" s="1372"/>
      <c r="DX733" s="1372"/>
      <c r="DY733" s="1372"/>
      <c r="DZ733" s="1372">
        <f t="shared" si="25"/>
        <v>0</v>
      </c>
      <c r="EA733" s="1372"/>
      <c r="EB733" s="1372"/>
      <c r="EC733" s="1372"/>
      <c r="ED733" s="1372"/>
      <c r="EE733" s="1372">
        <f t="shared" si="26"/>
        <v>0</v>
      </c>
      <c r="EF733" s="1372"/>
      <c r="EG733" s="1372"/>
      <c r="EH733" s="1372"/>
      <c r="EI733" s="1372"/>
      <c r="EJ733" s="1372">
        <f t="shared" si="27"/>
        <v>0</v>
      </c>
      <c r="EK733" s="1372"/>
      <c r="EL733" s="1372"/>
      <c r="EM733" s="1372"/>
      <c r="EN733" s="1372"/>
      <c r="EO733" s="1372">
        <f t="shared" si="28"/>
        <v>0</v>
      </c>
      <c r="EP733" s="1372"/>
      <c r="EQ733" s="1372"/>
      <c r="ER733" s="1372"/>
      <c r="ES733" s="1372"/>
      <c r="ET733" s="1372">
        <f t="shared" si="29"/>
        <v>0</v>
      </c>
      <c r="EU733" s="1372"/>
      <c r="EV733" s="1372"/>
      <c r="EW733" s="1372"/>
      <c r="EX733" s="1372"/>
      <c r="EZ733" s="1355" t="str">
        <f t="shared" si="30"/>
        <v/>
      </c>
      <c r="FA733" s="1356"/>
      <c r="FB733" s="1356"/>
      <c r="FC733" s="1356"/>
      <c r="FD733" s="1357"/>
      <c r="FE733" s="1355" t="str">
        <f t="shared" si="31"/>
        <v/>
      </c>
      <c r="FF733" s="1356"/>
      <c r="FG733" s="1356"/>
      <c r="FH733" s="1356"/>
      <c r="FI733" s="1357"/>
      <c r="FJ733" s="1355" t="str">
        <f t="shared" si="32"/>
        <v/>
      </c>
      <c r="FK733" s="1356"/>
      <c r="FL733" s="1356"/>
      <c r="FM733" s="1356"/>
      <c r="FN733" s="1357"/>
      <c r="FO733" s="1355" t="str">
        <f t="shared" si="33"/>
        <v/>
      </c>
      <c r="FP733" s="1356"/>
      <c r="FQ733" s="1356"/>
      <c r="FR733" s="1356"/>
      <c r="FS733" s="1357"/>
      <c r="FT733" s="1355" t="str">
        <f t="shared" si="34"/>
        <v/>
      </c>
      <c r="FU733" s="1356"/>
      <c r="FV733" s="1356"/>
      <c r="FW733" s="1356"/>
      <c r="FX733" s="1357"/>
      <c r="FY733" s="1355" t="str">
        <f t="shared" si="35"/>
        <v/>
      </c>
      <c r="FZ733" s="1356"/>
      <c r="GA733" s="1356"/>
      <c r="GB733" s="1356"/>
      <c r="GC733" s="1357"/>
    </row>
    <row r="734" spans="1:185" ht="12.95" customHeight="1">
      <c r="B734" s="1359"/>
      <c r="C734" s="1360"/>
      <c r="D734" s="1360"/>
      <c r="E734" s="1360"/>
      <c r="F734" s="1361"/>
      <c r="G734" s="1368"/>
      <c r="H734" s="1369"/>
      <c r="I734" s="1369"/>
      <c r="J734" s="1370"/>
      <c r="K734" s="1594"/>
      <c r="L734" s="1595"/>
      <c r="M734" s="1595"/>
      <c r="N734" s="1596"/>
      <c r="O734" s="1460"/>
      <c r="P734" s="1461"/>
      <c r="Q734" s="1461"/>
      <c r="R734" s="1461"/>
      <c r="S734" s="1462"/>
      <c r="T734" s="1460"/>
      <c r="U734" s="1461"/>
      <c r="V734" s="1461"/>
      <c r="W734" s="1462"/>
      <c r="X734" s="1362">
        <f t="shared" si="8"/>
        <v>0</v>
      </c>
      <c r="Y734" s="1363"/>
      <c r="Z734" s="1363"/>
      <c r="AA734" s="1363"/>
      <c r="AB734" s="1364"/>
      <c r="AC734" s="1603"/>
      <c r="AD734" s="1604"/>
      <c r="AE734" s="1604"/>
      <c r="AF734" s="1604"/>
      <c r="AG734" s="1605"/>
      <c r="AH734" s="1365" t="str">
        <f t="shared" si="36"/>
        <v/>
      </c>
      <c r="AI734" s="1366"/>
      <c r="AJ734" s="1367"/>
      <c r="AK734" s="1359" t="s">
        <v>592</v>
      </c>
      <c r="AL734" s="1360"/>
      <c r="AM734" s="1360"/>
      <c r="AN734" s="1360"/>
      <c r="AO734" s="1361"/>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5">
        <f t="shared" si="37"/>
        <v>0</v>
      </c>
      <c r="CH734" s="1357"/>
      <c r="CI734" s="1339">
        <f t="shared" si="38"/>
        <v>0</v>
      </c>
      <c r="CJ734" s="1341"/>
      <c r="CK734" s="1355">
        <f t="shared" si="16"/>
        <v>0</v>
      </c>
      <c r="CL734" s="1357"/>
      <c r="CM734" s="1339">
        <f t="shared" si="17"/>
        <v>0</v>
      </c>
      <c r="CN734" s="1341"/>
      <c r="CO734" s="3"/>
      <c r="CP734" s="1332">
        <f t="shared" si="18"/>
        <v>0</v>
      </c>
      <c r="CQ734" s="1333"/>
      <c r="CR734" s="1333"/>
      <c r="CS734" s="1333"/>
      <c r="CT734" s="1334"/>
      <c r="CU734" s="1358">
        <f t="shared" si="19"/>
        <v>0</v>
      </c>
      <c r="CV734" s="1358"/>
      <c r="CW734" s="1358"/>
      <c r="CX734" s="1358"/>
      <c r="CY734" s="1358"/>
      <c r="CZ734" s="1358">
        <f t="shared" si="20"/>
        <v>0</v>
      </c>
      <c r="DA734" s="1358"/>
      <c r="DB734" s="1358"/>
      <c r="DC734" s="1358"/>
      <c r="DD734" s="1358"/>
      <c r="DE734" s="1358">
        <f t="shared" si="21"/>
        <v>0</v>
      </c>
      <c r="DF734" s="1358"/>
      <c r="DG734" s="1358"/>
      <c r="DH734" s="1358"/>
      <c r="DI734" s="1358"/>
      <c r="DJ734" s="1358">
        <f t="shared" si="22"/>
        <v>0</v>
      </c>
      <c r="DK734" s="1358"/>
      <c r="DL734" s="1358"/>
      <c r="DM734" s="1358"/>
      <c r="DN734" s="1358"/>
      <c r="DO734" s="1358">
        <f t="shared" si="23"/>
        <v>0</v>
      </c>
      <c r="DP734" s="1358"/>
      <c r="DQ734" s="1358"/>
      <c r="DR734" s="1358"/>
      <c r="DS734" s="1358"/>
      <c r="DT734" s="6"/>
      <c r="DU734" s="1372">
        <f t="shared" si="24"/>
        <v>0</v>
      </c>
      <c r="DV734" s="1372"/>
      <c r="DW734" s="1372"/>
      <c r="DX734" s="1372"/>
      <c r="DY734" s="1372"/>
      <c r="DZ734" s="1372">
        <f t="shared" si="25"/>
        <v>0</v>
      </c>
      <c r="EA734" s="1372"/>
      <c r="EB734" s="1372"/>
      <c r="EC734" s="1372"/>
      <c r="ED734" s="1372"/>
      <c r="EE734" s="1372">
        <f t="shared" si="26"/>
        <v>0</v>
      </c>
      <c r="EF734" s="1372"/>
      <c r="EG734" s="1372"/>
      <c r="EH734" s="1372"/>
      <c r="EI734" s="1372"/>
      <c r="EJ734" s="1372">
        <f t="shared" si="27"/>
        <v>0</v>
      </c>
      <c r="EK734" s="1372"/>
      <c r="EL734" s="1372"/>
      <c r="EM734" s="1372"/>
      <c r="EN734" s="1372"/>
      <c r="EO734" s="1372">
        <f t="shared" si="28"/>
        <v>0</v>
      </c>
      <c r="EP734" s="1372"/>
      <c r="EQ734" s="1372"/>
      <c r="ER734" s="1372"/>
      <c r="ES734" s="1372"/>
      <c r="ET734" s="1372">
        <f t="shared" si="29"/>
        <v>0</v>
      </c>
      <c r="EU734" s="1372"/>
      <c r="EV734" s="1372"/>
      <c r="EW734" s="1372"/>
      <c r="EX734" s="1372"/>
      <c r="EZ734" s="1355" t="str">
        <f t="shared" si="30"/>
        <v/>
      </c>
      <c r="FA734" s="1356"/>
      <c r="FB734" s="1356"/>
      <c r="FC734" s="1356"/>
      <c r="FD734" s="1357"/>
      <c r="FE734" s="1355" t="str">
        <f t="shared" si="31"/>
        <v/>
      </c>
      <c r="FF734" s="1356"/>
      <c r="FG734" s="1356"/>
      <c r="FH734" s="1356"/>
      <c r="FI734" s="1357"/>
      <c r="FJ734" s="1355" t="str">
        <f t="shared" si="32"/>
        <v/>
      </c>
      <c r="FK734" s="1356"/>
      <c r="FL734" s="1356"/>
      <c r="FM734" s="1356"/>
      <c r="FN734" s="1357"/>
      <c r="FO734" s="1355" t="str">
        <f t="shared" si="33"/>
        <v/>
      </c>
      <c r="FP734" s="1356"/>
      <c r="FQ734" s="1356"/>
      <c r="FR734" s="1356"/>
      <c r="FS734" s="1357"/>
      <c r="FT734" s="1355" t="str">
        <f t="shared" si="34"/>
        <v/>
      </c>
      <c r="FU734" s="1356"/>
      <c r="FV734" s="1356"/>
      <c r="FW734" s="1356"/>
      <c r="FX734" s="1357"/>
      <c r="FY734" s="1355" t="str">
        <f t="shared" si="35"/>
        <v/>
      </c>
      <c r="FZ734" s="1356"/>
      <c r="GA734" s="1356"/>
      <c r="GB734" s="1356"/>
      <c r="GC734" s="1357"/>
    </row>
    <row r="735" spans="1:185" ht="12.95" customHeight="1">
      <c r="B735" s="1359"/>
      <c r="C735" s="1360"/>
      <c r="D735" s="1360"/>
      <c r="E735" s="1360"/>
      <c r="F735" s="1361"/>
      <c r="G735" s="1368"/>
      <c r="H735" s="1369"/>
      <c r="I735" s="1369"/>
      <c r="J735" s="1370"/>
      <c r="K735" s="1594"/>
      <c r="L735" s="1595"/>
      <c r="M735" s="1595"/>
      <c r="N735" s="1596"/>
      <c r="O735" s="1460"/>
      <c r="P735" s="1461"/>
      <c r="Q735" s="1461"/>
      <c r="R735" s="1461"/>
      <c r="S735" s="1462"/>
      <c r="T735" s="1460"/>
      <c r="U735" s="1461"/>
      <c r="V735" s="1461"/>
      <c r="W735" s="1462"/>
      <c r="X735" s="1362">
        <f t="shared" si="8"/>
        <v>0</v>
      </c>
      <c r="Y735" s="1363"/>
      <c r="Z735" s="1363"/>
      <c r="AA735" s="1363"/>
      <c r="AB735" s="1364"/>
      <c r="AC735" s="1603"/>
      <c r="AD735" s="1604"/>
      <c r="AE735" s="1604"/>
      <c r="AF735" s="1604"/>
      <c r="AG735" s="1605"/>
      <c r="AH735" s="1365" t="str">
        <f t="shared" si="36"/>
        <v/>
      </c>
      <c r="AI735" s="1366"/>
      <c r="AJ735" s="1367"/>
      <c r="AK735" s="1359" t="s">
        <v>592</v>
      </c>
      <c r="AL735" s="1360"/>
      <c r="AM735" s="1360"/>
      <c r="AN735" s="1360"/>
      <c r="AO735" s="1361"/>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5">
        <f t="shared" si="37"/>
        <v>0</v>
      </c>
      <c r="CH735" s="1357"/>
      <c r="CI735" s="1339">
        <f t="shared" si="38"/>
        <v>0</v>
      </c>
      <c r="CJ735" s="1341"/>
      <c r="CK735" s="1355">
        <f t="shared" si="16"/>
        <v>0</v>
      </c>
      <c r="CL735" s="1357"/>
      <c r="CM735" s="1339">
        <f t="shared" si="17"/>
        <v>0</v>
      </c>
      <c r="CN735" s="1341"/>
      <c r="CO735" s="3"/>
      <c r="CP735" s="1332">
        <f t="shared" si="18"/>
        <v>0</v>
      </c>
      <c r="CQ735" s="1333"/>
      <c r="CR735" s="1333"/>
      <c r="CS735" s="1333"/>
      <c r="CT735" s="1334"/>
      <c r="CU735" s="1358">
        <f t="shared" si="19"/>
        <v>0</v>
      </c>
      <c r="CV735" s="1358"/>
      <c r="CW735" s="1358"/>
      <c r="CX735" s="1358"/>
      <c r="CY735" s="1358"/>
      <c r="CZ735" s="1358">
        <f t="shared" si="20"/>
        <v>0</v>
      </c>
      <c r="DA735" s="1358"/>
      <c r="DB735" s="1358"/>
      <c r="DC735" s="1358"/>
      <c r="DD735" s="1358"/>
      <c r="DE735" s="1358">
        <f t="shared" si="21"/>
        <v>0</v>
      </c>
      <c r="DF735" s="1358"/>
      <c r="DG735" s="1358"/>
      <c r="DH735" s="1358"/>
      <c r="DI735" s="1358"/>
      <c r="DJ735" s="1358">
        <f t="shared" si="22"/>
        <v>0</v>
      </c>
      <c r="DK735" s="1358"/>
      <c r="DL735" s="1358"/>
      <c r="DM735" s="1358"/>
      <c r="DN735" s="1358"/>
      <c r="DO735" s="1358">
        <f t="shared" si="23"/>
        <v>0</v>
      </c>
      <c r="DP735" s="1358"/>
      <c r="DQ735" s="1358"/>
      <c r="DR735" s="1358"/>
      <c r="DS735" s="1358"/>
      <c r="DT735" s="6"/>
      <c r="DU735" s="1372">
        <f t="shared" si="24"/>
        <v>0</v>
      </c>
      <c r="DV735" s="1372"/>
      <c r="DW735" s="1372"/>
      <c r="DX735" s="1372"/>
      <c r="DY735" s="1372"/>
      <c r="DZ735" s="1372">
        <f t="shared" si="25"/>
        <v>0</v>
      </c>
      <c r="EA735" s="1372"/>
      <c r="EB735" s="1372"/>
      <c r="EC735" s="1372"/>
      <c r="ED735" s="1372"/>
      <c r="EE735" s="1372">
        <f t="shared" si="26"/>
        <v>0</v>
      </c>
      <c r="EF735" s="1372"/>
      <c r="EG735" s="1372"/>
      <c r="EH735" s="1372"/>
      <c r="EI735" s="1372"/>
      <c r="EJ735" s="1372">
        <f t="shared" si="27"/>
        <v>0</v>
      </c>
      <c r="EK735" s="1372"/>
      <c r="EL735" s="1372"/>
      <c r="EM735" s="1372"/>
      <c r="EN735" s="1372"/>
      <c r="EO735" s="1372">
        <f t="shared" si="28"/>
        <v>0</v>
      </c>
      <c r="EP735" s="1372"/>
      <c r="EQ735" s="1372"/>
      <c r="ER735" s="1372"/>
      <c r="ES735" s="1372"/>
      <c r="ET735" s="1372">
        <f t="shared" si="29"/>
        <v>0</v>
      </c>
      <c r="EU735" s="1372"/>
      <c r="EV735" s="1372"/>
      <c r="EW735" s="1372"/>
      <c r="EX735" s="1372"/>
      <c r="EZ735" s="1355" t="str">
        <f t="shared" si="30"/>
        <v/>
      </c>
      <c r="FA735" s="1356"/>
      <c r="FB735" s="1356"/>
      <c r="FC735" s="1356"/>
      <c r="FD735" s="1357"/>
      <c r="FE735" s="1355" t="str">
        <f t="shared" si="31"/>
        <v/>
      </c>
      <c r="FF735" s="1356"/>
      <c r="FG735" s="1356"/>
      <c r="FH735" s="1356"/>
      <c r="FI735" s="1357"/>
      <c r="FJ735" s="1355" t="str">
        <f t="shared" si="32"/>
        <v/>
      </c>
      <c r="FK735" s="1356"/>
      <c r="FL735" s="1356"/>
      <c r="FM735" s="1356"/>
      <c r="FN735" s="1357"/>
      <c r="FO735" s="1355" t="str">
        <f t="shared" si="33"/>
        <v/>
      </c>
      <c r="FP735" s="1356"/>
      <c r="FQ735" s="1356"/>
      <c r="FR735" s="1356"/>
      <c r="FS735" s="1357"/>
      <c r="FT735" s="1355" t="str">
        <f t="shared" si="34"/>
        <v/>
      </c>
      <c r="FU735" s="1356"/>
      <c r="FV735" s="1356"/>
      <c r="FW735" s="1356"/>
      <c r="FX735" s="1357"/>
      <c r="FY735" s="1355" t="str">
        <f t="shared" si="35"/>
        <v/>
      </c>
      <c r="FZ735" s="1356"/>
      <c r="GA735" s="1356"/>
      <c r="GB735" s="1356"/>
      <c r="GC735" s="1357"/>
    </row>
    <row r="736" spans="1:185" ht="12.95" customHeight="1">
      <c r="B736" s="1359"/>
      <c r="C736" s="1360"/>
      <c r="D736" s="1360"/>
      <c r="E736" s="1360"/>
      <c r="F736" s="1361"/>
      <c r="G736" s="1368"/>
      <c r="H736" s="1369"/>
      <c r="I736" s="1369"/>
      <c r="J736" s="1370"/>
      <c r="K736" s="1594"/>
      <c r="L736" s="1595"/>
      <c r="M736" s="1595"/>
      <c r="N736" s="1596"/>
      <c r="O736" s="1460"/>
      <c r="P736" s="1461"/>
      <c r="Q736" s="1461"/>
      <c r="R736" s="1461"/>
      <c r="S736" s="1462"/>
      <c r="T736" s="1460"/>
      <c r="U736" s="1461"/>
      <c r="V736" s="1461"/>
      <c r="W736" s="1462"/>
      <c r="X736" s="1362">
        <f t="shared" si="8"/>
        <v>0</v>
      </c>
      <c r="Y736" s="1363"/>
      <c r="Z736" s="1363"/>
      <c r="AA736" s="1363"/>
      <c r="AB736" s="1364"/>
      <c r="AC736" s="1603"/>
      <c r="AD736" s="1604"/>
      <c r="AE736" s="1604"/>
      <c r="AF736" s="1604"/>
      <c r="AG736" s="1605"/>
      <c r="AH736" s="1365" t="str">
        <f t="shared" si="36"/>
        <v/>
      </c>
      <c r="AI736" s="1366"/>
      <c r="AJ736" s="1367"/>
      <c r="AK736" s="1359" t="s">
        <v>592</v>
      </c>
      <c r="AL736" s="1360"/>
      <c r="AM736" s="1360"/>
      <c r="AN736" s="1360"/>
      <c r="AO736" s="1361"/>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5">
        <f t="shared" si="37"/>
        <v>0</v>
      </c>
      <c r="CH736" s="1357"/>
      <c r="CI736" s="1339">
        <f t="shared" si="38"/>
        <v>0</v>
      </c>
      <c r="CJ736" s="1341"/>
      <c r="CK736" s="1355">
        <f t="shared" si="16"/>
        <v>0</v>
      </c>
      <c r="CL736" s="1357"/>
      <c r="CM736" s="1339">
        <f t="shared" si="17"/>
        <v>0</v>
      </c>
      <c r="CN736" s="1341"/>
      <c r="CO736" s="3"/>
      <c r="CP736" s="1332">
        <f t="shared" si="18"/>
        <v>0</v>
      </c>
      <c r="CQ736" s="1333"/>
      <c r="CR736" s="1333"/>
      <c r="CS736" s="1333"/>
      <c r="CT736" s="1334"/>
      <c r="CU736" s="1358">
        <f t="shared" si="19"/>
        <v>0</v>
      </c>
      <c r="CV736" s="1358"/>
      <c r="CW736" s="1358"/>
      <c r="CX736" s="1358"/>
      <c r="CY736" s="1358"/>
      <c r="CZ736" s="1358">
        <f t="shared" si="20"/>
        <v>0</v>
      </c>
      <c r="DA736" s="1358"/>
      <c r="DB736" s="1358"/>
      <c r="DC736" s="1358"/>
      <c r="DD736" s="1358"/>
      <c r="DE736" s="1358">
        <f t="shared" si="21"/>
        <v>0</v>
      </c>
      <c r="DF736" s="1358"/>
      <c r="DG736" s="1358"/>
      <c r="DH736" s="1358"/>
      <c r="DI736" s="1358"/>
      <c r="DJ736" s="1358">
        <f t="shared" si="22"/>
        <v>0</v>
      </c>
      <c r="DK736" s="1358"/>
      <c r="DL736" s="1358"/>
      <c r="DM736" s="1358"/>
      <c r="DN736" s="1358"/>
      <c r="DO736" s="1358">
        <f t="shared" si="23"/>
        <v>0</v>
      </c>
      <c r="DP736" s="1358"/>
      <c r="DQ736" s="1358"/>
      <c r="DR736" s="1358"/>
      <c r="DS736" s="1358"/>
      <c r="DT736" s="6"/>
      <c r="DU736" s="1372">
        <f t="shared" si="24"/>
        <v>0</v>
      </c>
      <c r="DV736" s="1372"/>
      <c r="DW736" s="1372"/>
      <c r="DX736" s="1372"/>
      <c r="DY736" s="1372"/>
      <c r="DZ736" s="1372">
        <f t="shared" si="25"/>
        <v>0</v>
      </c>
      <c r="EA736" s="1372"/>
      <c r="EB736" s="1372"/>
      <c r="EC736" s="1372"/>
      <c r="ED736" s="1372"/>
      <c r="EE736" s="1372">
        <f t="shared" si="26"/>
        <v>0</v>
      </c>
      <c r="EF736" s="1372"/>
      <c r="EG736" s="1372"/>
      <c r="EH736" s="1372"/>
      <c r="EI736" s="1372"/>
      <c r="EJ736" s="1372">
        <f t="shared" si="27"/>
        <v>0</v>
      </c>
      <c r="EK736" s="1372"/>
      <c r="EL736" s="1372"/>
      <c r="EM736" s="1372"/>
      <c r="EN736" s="1372"/>
      <c r="EO736" s="1372">
        <f t="shared" si="28"/>
        <v>0</v>
      </c>
      <c r="EP736" s="1372"/>
      <c r="EQ736" s="1372"/>
      <c r="ER736" s="1372"/>
      <c r="ES736" s="1372"/>
      <c r="ET736" s="1372">
        <f t="shared" si="29"/>
        <v>0</v>
      </c>
      <c r="EU736" s="1372"/>
      <c r="EV736" s="1372"/>
      <c r="EW736" s="1372"/>
      <c r="EX736" s="1372"/>
      <c r="EZ736" s="1355" t="str">
        <f t="shared" si="30"/>
        <v/>
      </c>
      <c r="FA736" s="1356"/>
      <c r="FB736" s="1356"/>
      <c r="FC736" s="1356"/>
      <c r="FD736" s="1357"/>
      <c r="FE736" s="1355" t="str">
        <f t="shared" si="31"/>
        <v/>
      </c>
      <c r="FF736" s="1356"/>
      <c r="FG736" s="1356"/>
      <c r="FH736" s="1356"/>
      <c r="FI736" s="1357"/>
      <c r="FJ736" s="1355" t="str">
        <f t="shared" si="32"/>
        <v/>
      </c>
      <c r="FK736" s="1356"/>
      <c r="FL736" s="1356"/>
      <c r="FM736" s="1356"/>
      <c r="FN736" s="1357"/>
      <c r="FO736" s="1355" t="str">
        <f t="shared" si="33"/>
        <v/>
      </c>
      <c r="FP736" s="1356"/>
      <c r="FQ736" s="1356"/>
      <c r="FR736" s="1356"/>
      <c r="FS736" s="1357"/>
      <c r="FT736" s="1355" t="str">
        <f t="shared" si="34"/>
        <v/>
      </c>
      <c r="FU736" s="1356"/>
      <c r="FV736" s="1356"/>
      <c r="FW736" s="1356"/>
      <c r="FX736" s="1357"/>
      <c r="FY736" s="1355" t="str">
        <f t="shared" si="35"/>
        <v/>
      </c>
      <c r="FZ736" s="1356"/>
      <c r="GA736" s="1356"/>
      <c r="GB736" s="1356"/>
      <c r="GC736" s="1357"/>
    </row>
    <row r="737" spans="1:185" ht="12.95" customHeight="1">
      <c r="B737" s="1359"/>
      <c r="C737" s="1360"/>
      <c r="D737" s="1360"/>
      <c r="E737" s="1360"/>
      <c r="F737" s="1361"/>
      <c r="G737" s="1368"/>
      <c r="H737" s="1369"/>
      <c r="I737" s="1369"/>
      <c r="J737" s="1370"/>
      <c r="K737" s="1594"/>
      <c r="L737" s="1595"/>
      <c r="M737" s="1595"/>
      <c r="N737" s="1596"/>
      <c r="O737" s="1460"/>
      <c r="P737" s="1461"/>
      <c r="Q737" s="1461"/>
      <c r="R737" s="1461"/>
      <c r="S737" s="1462"/>
      <c r="T737" s="1460"/>
      <c r="U737" s="1461"/>
      <c r="V737" s="1461"/>
      <c r="W737" s="1462"/>
      <c r="X737" s="1362">
        <f t="shared" si="8"/>
        <v>0</v>
      </c>
      <c r="Y737" s="1363"/>
      <c r="Z737" s="1363"/>
      <c r="AA737" s="1363"/>
      <c r="AB737" s="1364"/>
      <c r="AC737" s="1603"/>
      <c r="AD737" s="1604"/>
      <c r="AE737" s="1604"/>
      <c r="AF737" s="1604"/>
      <c r="AG737" s="1605"/>
      <c r="AH737" s="1365" t="str">
        <f t="shared" si="36"/>
        <v/>
      </c>
      <c r="AI737" s="1366"/>
      <c r="AJ737" s="1367"/>
      <c r="AK737" s="1359" t="s">
        <v>592</v>
      </c>
      <c r="AL737" s="1360"/>
      <c r="AM737" s="1360"/>
      <c r="AN737" s="1360"/>
      <c r="AO737" s="1361"/>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5">
        <f t="shared" si="37"/>
        <v>0</v>
      </c>
      <c r="CH737" s="1357"/>
      <c r="CI737" s="1339">
        <f t="shared" si="38"/>
        <v>0</v>
      </c>
      <c r="CJ737" s="1341"/>
      <c r="CK737" s="1355">
        <f t="shared" si="16"/>
        <v>0</v>
      </c>
      <c r="CL737" s="1357"/>
      <c r="CM737" s="1339">
        <f t="shared" si="17"/>
        <v>0</v>
      </c>
      <c r="CN737" s="1341"/>
      <c r="CO737" s="3"/>
      <c r="CP737" s="1332">
        <f t="shared" si="18"/>
        <v>0</v>
      </c>
      <c r="CQ737" s="1333"/>
      <c r="CR737" s="1333"/>
      <c r="CS737" s="1333"/>
      <c r="CT737" s="1334"/>
      <c r="CU737" s="1358">
        <f t="shared" si="19"/>
        <v>0</v>
      </c>
      <c r="CV737" s="1358"/>
      <c r="CW737" s="1358"/>
      <c r="CX737" s="1358"/>
      <c r="CY737" s="1358"/>
      <c r="CZ737" s="1358">
        <f t="shared" si="20"/>
        <v>0</v>
      </c>
      <c r="DA737" s="1358"/>
      <c r="DB737" s="1358"/>
      <c r="DC737" s="1358"/>
      <c r="DD737" s="1358"/>
      <c r="DE737" s="1358">
        <f t="shared" si="21"/>
        <v>0</v>
      </c>
      <c r="DF737" s="1358"/>
      <c r="DG737" s="1358"/>
      <c r="DH737" s="1358"/>
      <c r="DI737" s="1358"/>
      <c r="DJ737" s="1358">
        <f t="shared" si="22"/>
        <v>0</v>
      </c>
      <c r="DK737" s="1358"/>
      <c r="DL737" s="1358"/>
      <c r="DM737" s="1358"/>
      <c r="DN737" s="1358"/>
      <c r="DO737" s="1358">
        <f t="shared" si="23"/>
        <v>0</v>
      </c>
      <c r="DP737" s="1358"/>
      <c r="DQ737" s="1358"/>
      <c r="DR737" s="1358"/>
      <c r="DS737" s="1358"/>
      <c r="DT737" s="6"/>
      <c r="DU737" s="1372">
        <f t="shared" si="24"/>
        <v>0</v>
      </c>
      <c r="DV737" s="1372"/>
      <c r="DW737" s="1372"/>
      <c r="DX737" s="1372"/>
      <c r="DY737" s="1372"/>
      <c r="DZ737" s="1372">
        <f t="shared" si="25"/>
        <v>0</v>
      </c>
      <c r="EA737" s="1372"/>
      <c r="EB737" s="1372"/>
      <c r="EC737" s="1372"/>
      <c r="ED737" s="1372"/>
      <c r="EE737" s="1372">
        <f t="shared" si="26"/>
        <v>0</v>
      </c>
      <c r="EF737" s="1372"/>
      <c r="EG737" s="1372"/>
      <c r="EH737" s="1372"/>
      <c r="EI737" s="1372"/>
      <c r="EJ737" s="1372">
        <f t="shared" si="27"/>
        <v>0</v>
      </c>
      <c r="EK737" s="1372"/>
      <c r="EL737" s="1372"/>
      <c r="EM737" s="1372"/>
      <c r="EN737" s="1372"/>
      <c r="EO737" s="1372">
        <f t="shared" si="28"/>
        <v>0</v>
      </c>
      <c r="EP737" s="1372"/>
      <c r="EQ737" s="1372"/>
      <c r="ER737" s="1372"/>
      <c r="ES737" s="1372"/>
      <c r="ET737" s="1372">
        <f t="shared" si="29"/>
        <v>0</v>
      </c>
      <c r="EU737" s="1372"/>
      <c r="EV737" s="1372"/>
      <c r="EW737" s="1372"/>
      <c r="EX737" s="1372"/>
      <c r="EZ737" s="1355" t="str">
        <f t="shared" si="30"/>
        <v/>
      </c>
      <c r="FA737" s="1356"/>
      <c r="FB737" s="1356"/>
      <c r="FC737" s="1356"/>
      <c r="FD737" s="1357"/>
      <c r="FE737" s="1355" t="str">
        <f t="shared" si="31"/>
        <v/>
      </c>
      <c r="FF737" s="1356"/>
      <c r="FG737" s="1356"/>
      <c r="FH737" s="1356"/>
      <c r="FI737" s="1357"/>
      <c r="FJ737" s="1355" t="str">
        <f t="shared" si="32"/>
        <v/>
      </c>
      <c r="FK737" s="1356"/>
      <c r="FL737" s="1356"/>
      <c r="FM737" s="1356"/>
      <c r="FN737" s="1357"/>
      <c r="FO737" s="1355" t="str">
        <f t="shared" si="33"/>
        <v/>
      </c>
      <c r="FP737" s="1356"/>
      <c r="FQ737" s="1356"/>
      <c r="FR737" s="1356"/>
      <c r="FS737" s="1357"/>
      <c r="FT737" s="1355" t="str">
        <f t="shared" si="34"/>
        <v/>
      </c>
      <c r="FU737" s="1356"/>
      <c r="FV737" s="1356"/>
      <c r="FW737" s="1356"/>
      <c r="FX737" s="1357"/>
      <c r="FY737" s="1355" t="str">
        <f t="shared" si="35"/>
        <v/>
      </c>
      <c r="FZ737" s="1356"/>
      <c r="GA737" s="1356"/>
      <c r="GB737" s="1356"/>
      <c r="GC737" s="1357"/>
    </row>
    <row r="738" spans="1:185" ht="12.95" customHeight="1">
      <c r="B738" s="1359"/>
      <c r="C738" s="1360"/>
      <c r="D738" s="1360"/>
      <c r="E738" s="1360"/>
      <c r="F738" s="1361"/>
      <c r="G738" s="1368"/>
      <c r="H738" s="1369"/>
      <c r="I738" s="1369"/>
      <c r="J738" s="1370"/>
      <c r="K738" s="1594"/>
      <c r="L738" s="1595"/>
      <c r="M738" s="1595"/>
      <c r="N738" s="1596"/>
      <c r="O738" s="1460"/>
      <c r="P738" s="1461"/>
      <c r="Q738" s="1461"/>
      <c r="R738" s="1461"/>
      <c r="S738" s="1462"/>
      <c r="T738" s="1460"/>
      <c r="U738" s="1461"/>
      <c r="V738" s="1461"/>
      <c r="W738" s="1462"/>
      <c r="X738" s="1362">
        <f t="shared" si="8"/>
        <v>0</v>
      </c>
      <c r="Y738" s="1363"/>
      <c r="Z738" s="1363"/>
      <c r="AA738" s="1363"/>
      <c r="AB738" s="1364"/>
      <c r="AC738" s="1603"/>
      <c r="AD738" s="1604"/>
      <c r="AE738" s="1604"/>
      <c r="AF738" s="1604"/>
      <c r="AG738" s="1605"/>
      <c r="AH738" s="1365" t="str">
        <f t="shared" si="36"/>
        <v/>
      </c>
      <c r="AI738" s="1366"/>
      <c r="AJ738" s="1367"/>
      <c r="AK738" s="1359" t="s">
        <v>592</v>
      </c>
      <c r="AL738" s="1360"/>
      <c r="AM738" s="1360"/>
      <c r="AN738" s="1360"/>
      <c r="AO738" s="1361"/>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5">
        <f t="shared" si="37"/>
        <v>0</v>
      </c>
      <c r="CH738" s="1357"/>
      <c r="CI738" s="1339">
        <f t="shared" si="38"/>
        <v>0</v>
      </c>
      <c r="CJ738" s="1341"/>
      <c r="CK738" s="1355">
        <f t="shared" si="16"/>
        <v>0</v>
      </c>
      <c r="CL738" s="1357"/>
      <c r="CM738" s="1339">
        <f t="shared" si="17"/>
        <v>0</v>
      </c>
      <c r="CN738" s="1341"/>
      <c r="CO738" s="3"/>
      <c r="CP738" s="1332">
        <f t="shared" si="18"/>
        <v>0</v>
      </c>
      <c r="CQ738" s="1333"/>
      <c r="CR738" s="1333"/>
      <c r="CS738" s="1333"/>
      <c r="CT738" s="1334"/>
      <c r="CU738" s="1358">
        <f t="shared" si="19"/>
        <v>0</v>
      </c>
      <c r="CV738" s="1358"/>
      <c r="CW738" s="1358"/>
      <c r="CX738" s="1358"/>
      <c r="CY738" s="1358"/>
      <c r="CZ738" s="1358">
        <f t="shared" si="20"/>
        <v>0</v>
      </c>
      <c r="DA738" s="1358"/>
      <c r="DB738" s="1358"/>
      <c r="DC738" s="1358"/>
      <c r="DD738" s="1358"/>
      <c r="DE738" s="1358">
        <f t="shared" si="21"/>
        <v>0</v>
      </c>
      <c r="DF738" s="1358"/>
      <c r="DG738" s="1358"/>
      <c r="DH738" s="1358"/>
      <c r="DI738" s="1358"/>
      <c r="DJ738" s="1358">
        <f t="shared" si="22"/>
        <v>0</v>
      </c>
      <c r="DK738" s="1358"/>
      <c r="DL738" s="1358"/>
      <c r="DM738" s="1358"/>
      <c r="DN738" s="1358"/>
      <c r="DO738" s="1358">
        <f t="shared" si="23"/>
        <v>0</v>
      </c>
      <c r="DP738" s="1358"/>
      <c r="DQ738" s="1358"/>
      <c r="DR738" s="1358"/>
      <c r="DS738" s="1358"/>
      <c r="DT738" s="6"/>
      <c r="DU738" s="1372">
        <f t="shared" si="24"/>
        <v>0</v>
      </c>
      <c r="DV738" s="1372"/>
      <c r="DW738" s="1372"/>
      <c r="DX738" s="1372"/>
      <c r="DY738" s="1372"/>
      <c r="DZ738" s="1372">
        <f t="shared" si="25"/>
        <v>0</v>
      </c>
      <c r="EA738" s="1372"/>
      <c r="EB738" s="1372"/>
      <c r="EC738" s="1372"/>
      <c r="ED738" s="1372"/>
      <c r="EE738" s="1372">
        <f t="shared" si="26"/>
        <v>0</v>
      </c>
      <c r="EF738" s="1372"/>
      <c r="EG738" s="1372"/>
      <c r="EH738" s="1372"/>
      <c r="EI738" s="1372"/>
      <c r="EJ738" s="1372">
        <f t="shared" si="27"/>
        <v>0</v>
      </c>
      <c r="EK738" s="1372"/>
      <c r="EL738" s="1372"/>
      <c r="EM738" s="1372"/>
      <c r="EN738" s="1372"/>
      <c r="EO738" s="1372">
        <f t="shared" si="28"/>
        <v>0</v>
      </c>
      <c r="EP738" s="1372"/>
      <c r="EQ738" s="1372"/>
      <c r="ER738" s="1372"/>
      <c r="ES738" s="1372"/>
      <c r="ET738" s="1372">
        <f t="shared" si="29"/>
        <v>0</v>
      </c>
      <c r="EU738" s="1372"/>
      <c r="EV738" s="1372"/>
      <c r="EW738" s="1372"/>
      <c r="EX738" s="1372"/>
      <c r="EZ738" s="1355" t="str">
        <f t="shared" si="30"/>
        <v/>
      </c>
      <c r="FA738" s="1356"/>
      <c r="FB738" s="1356"/>
      <c r="FC738" s="1356"/>
      <c r="FD738" s="1357"/>
      <c r="FE738" s="1355" t="str">
        <f t="shared" si="31"/>
        <v/>
      </c>
      <c r="FF738" s="1356"/>
      <c r="FG738" s="1356"/>
      <c r="FH738" s="1356"/>
      <c r="FI738" s="1357"/>
      <c r="FJ738" s="1355" t="str">
        <f t="shared" si="32"/>
        <v/>
      </c>
      <c r="FK738" s="1356"/>
      <c r="FL738" s="1356"/>
      <c r="FM738" s="1356"/>
      <c r="FN738" s="1357"/>
      <c r="FO738" s="1355" t="str">
        <f t="shared" si="33"/>
        <v/>
      </c>
      <c r="FP738" s="1356"/>
      <c r="FQ738" s="1356"/>
      <c r="FR738" s="1356"/>
      <c r="FS738" s="1357"/>
      <c r="FT738" s="1355" t="str">
        <f t="shared" si="34"/>
        <v/>
      </c>
      <c r="FU738" s="1356"/>
      <c r="FV738" s="1356"/>
      <c r="FW738" s="1356"/>
      <c r="FX738" s="1357"/>
      <c r="FY738" s="1355" t="str">
        <f t="shared" si="35"/>
        <v/>
      </c>
      <c r="FZ738" s="1356"/>
      <c r="GA738" s="1356"/>
      <c r="GB738" s="1356"/>
      <c r="GC738" s="1357"/>
    </row>
    <row r="739" spans="1:185" ht="12.95" customHeight="1">
      <c r="B739" s="1359"/>
      <c r="C739" s="1360"/>
      <c r="D739" s="1360"/>
      <c r="E739" s="1360"/>
      <c r="F739" s="1361"/>
      <c r="G739" s="1368"/>
      <c r="H739" s="1369"/>
      <c r="I739" s="1369"/>
      <c r="J739" s="1370"/>
      <c r="K739" s="1594"/>
      <c r="L739" s="1595"/>
      <c r="M739" s="1595"/>
      <c r="N739" s="1596"/>
      <c r="O739" s="1460"/>
      <c r="P739" s="1461"/>
      <c r="Q739" s="1461"/>
      <c r="R739" s="1461"/>
      <c r="S739" s="1462"/>
      <c r="T739" s="1460"/>
      <c r="U739" s="1461"/>
      <c r="V739" s="1461"/>
      <c r="W739" s="1462"/>
      <c r="X739" s="1362">
        <f t="shared" si="8"/>
        <v>0</v>
      </c>
      <c r="Y739" s="1363"/>
      <c r="Z739" s="1363"/>
      <c r="AA739" s="1363"/>
      <c r="AB739" s="1364"/>
      <c r="AC739" s="1603"/>
      <c r="AD739" s="1604"/>
      <c r="AE739" s="1604"/>
      <c r="AF739" s="1604"/>
      <c r="AG739" s="1605"/>
      <c r="AH739" s="1365" t="str">
        <f t="shared" si="36"/>
        <v/>
      </c>
      <c r="AI739" s="1366"/>
      <c r="AJ739" s="1367"/>
      <c r="AK739" s="1359" t="s">
        <v>592</v>
      </c>
      <c r="AL739" s="1360"/>
      <c r="AM739" s="1360"/>
      <c r="AN739" s="1360"/>
      <c r="AO739" s="1361"/>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5">
        <f t="shared" si="37"/>
        <v>0</v>
      </c>
      <c r="CH739" s="1357"/>
      <c r="CI739" s="1339">
        <f t="shared" si="38"/>
        <v>0</v>
      </c>
      <c r="CJ739" s="1341"/>
      <c r="CK739" s="1355">
        <f t="shared" si="16"/>
        <v>0</v>
      </c>
      <c r="CL739" s="1357"/>
      <c r="CM739" s="1339">
        <f t="shared" si="17"/>
        <v>0</v>
      </c>
      <c r="CN739" s="1341"/>
      <c r="CO739" s="3"/>
      <c r="CP739" s="1332">
        <f t="shared" si="18"/>
        <v>0</v>
      </c>
      <c r="CQ739" s="1333"/>
      <c r="CR739" s="1333"/>
      <c r="CS739" s="1333"/>
      <c r="CT739" s="1334"/>
      <c r="CU739" s="1358">
        <f t="shared" si="19"/>
        <v>0</v>
      </c>
      <c r="CV739" s="1358"/>
      <c r="CW739" s="1358"/>
      <c r="CX739" s="1358"/>
      <c r="CY739" s="1358"/>
      <c r="CZ739" s="1358">
        <f t="shared" si="20"/>
        <v>0</v>
      </c>
      <c r="DA739" s="1358"/>
      <c r="DB739" s="1358"/>
      <c r="DC739" s="1358"/>
      <c r="DD739" s="1358"/>
      <c r="DE739" s="1358">
        <f t="shared" si="21"/>
        <v>0</v>
      </c>
      <c r="DF739" s="1358"/>
      <c r="DG739" s="1358"/>
      <c r="DH739" s="1358"/>
      <c r="DI739" s="1358"/>
      <c r="DJ739" s="1358">
        <f t="shared" si="22"/>
        <v>0</v>
      </c>
      <c r="DK739" s="1358"/>
      <c r="DL739" s="1358"/>
      <c r="DM739" s="1358"/>
      <c r="DN739" s="1358"/>
      <c r="DO739" s="1358">
        <f t="shared" si="23"/>
        <v>0</v>
      </c>
      <c r="DP739" s="1358"/>
      <c r="DQ739" s="1358"/>
      <c r="DR739" s="1358"/>
      <c r="DS739" s="1358"/>
      <c r="DT739" s="6"/>
      <c r="DU739" s="1372">
        <f t="shared" si="24"/>
        <v>0</v>
      </c>
      <c r="DV739" s="1372"/>
      <c r="DW739" s="1372"/>
      <c r="DX739" s="1372"/>
      <c r="DY739" s="1372"/>
      <c r="DZ739" s="1372">
        <f t="shared" si="25"/>
        <v>0</v>
      </c>
      <c r="EA739" s="1372"/>
      <c r="EB739" s="1372"/>
      <c r="EC739" s="1372"/>
      <c r="ED739" s="1372"/>
      <c r="EE739" s="1372">
        <f t="shared" si="26"/>
        <v>0</v>
      </c>
      <c r="EF739" s="1372"/>
      <c r="EG739" s="1372"/>
      <c r="EH739" s="1372"/>
      <c r="EI739" s="1372"/>
      <c r="EJ739" s="1372">
        <f t="shared" si="27"/>
        <v>0</v>
      </c>
      <c r="EK739" s="1372"/>
      <c r="EL739" s="1372"/>
      <c r="EM739" s="1372"/>
      <c r="EN739" s="1372"/>
      <c r="EO739" s="1372">
        <f t="shared" si="28"/>
        <v>0</v>
      </c>
      <c r="EP739" s="1372"/>
      <c r="EQ739" s="1372"/>
      <c r="ER739" s="1372"/>
      <c r="ES739" s="1372"/>
      <c r="ET739" s="1372">
        <f t="shared" si="29"/>
        <v>0</v>
      </c>
      <c r="EU739" s="1372"/>
      <c r="EV739" s="1372"/>
      <c r="EW739" s="1372"/>
      <c r="EX739" s="1372"/>
      <c r="EZ739" s="1355" t="str">
        <f t="shared" si="30"/>
        <v/>
      </c>
      <c r="FA739" s="1356"/>
      <c r="FB739" s="1356"/>
      <c r="FC739" s="1356"/>
      <c r="FD739" s="1357"/>
      <c r="FE739" s="1355" t="str">
        <f t="shared" si="31"/>
        <v/>
      </c>
      <c r="FF739" s="1356"/>
      <c r="FG739" s="1356"/>
      <c r="FH739" s="1356"/>
      <c r="FI739" s="1357"/>
      <c r="FJ739" s="1355" t="str">
        <f t="shared" si="32"/>
        <v/>
      </c>
      <c r="FK739" s="1356"/>
      <c r="FL739" s="1356"/>
      <c r="FM739" s="1356"/>
      <c r="FN739" s="1357"/>
      <c r="FO739" s="1355" t="str">
        <f t="shared" si="33"/>
        <v/>
      </c>
      <c r="FP739" s="1356"/>
      <c r="FQ739" s="1356"/>
      <c r="FR739" s="1356"/>
      <c r="FS739" s="1357"/>
      <c r="FT739" s="1355" t="str">
        <f t="shared" si="34"/>
        <v/>
      </c>
      <c r="FU739" s="1356"/>
      <c r="FV739" s="1356"/>
      <c r="FW739" s="1356"/>
      <c r="FX739" s="1357"/>
      <c r="FY739" s="1355" t="str">
        <f t="shared" si="35"/>
        <v/>
      </c>
      <c r="FZ739" s="1356"/>
      <c r="GA739" s="1356"/>
      <c r="GB739" s="1356"/>
      <c r="GC739" s="1357"/>
    </row>
    <row r="740" spans="1:185" ht="12.95" customHeight="1">
      <c r="B740" s="1359"/>
      <c r="C740" s="1360"/>
      <c r="D740" s="1360"/>
      <c r="E740" s="1360"/>
      <c r="F740" s="1361"/>
      <c r="G740" s="1368"/>
      <c r="H740" s="1369"/>
      <c r="I740" s="1369"/>
      <c r="J740" s="1370"/>
      <c r="K740" s="1594"/>
      <c r="L740" s="1595"/>
      <c r="M740" s="1595"/>
      <c r="N740" s="1596"/>
      <c r="O740" s="1460"/>
      <c r="P740" s="1461"/>
      <c r="Q740" s="1461"/>
      <c r="R740" s="1461"/>
      <c r="S740" s="1462"/>
      <c r="T740" s="1460"/>
      <c r="U740" s="1461"/>
      <c r="V740" s="1461"/>
      <c r="W740" s="1462"/>
      <c r="X740" s="1362">
        <f t="shared" si="8"/>
        <v>0</v>
      </c>
      <c r="Y740" s="1363"/>
      <c r="Z740" s="1363"/>
      <c r="AA740" s="1363"/>
      <c r="AB740" s="1364"/>
      <c r="AC740" s="1603"/>
      <c r="AD740" s="1604"/>
      <c r="AE740" s="1604"/>
      <c r="AF740" s="1604"/>
      <c r="AG740" s="1605"/>
      <c r="AH740" s="1365" t="str">
        <f t="shared" si="36"/>
        <v/>
      </c>
      <c r="AI740" s="1366"/>
      <c r="AJ740" s="1367"/>
      <c r="AK740" s="1359" t="s">
        <v>592</v>
      </c>
      <c r="AL740" s="1360"/>
      <c r="AM740" s="1360"/>
      <c r="AN740" s="1360"/>
      <c r="AO740" s="1361"/>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5">
        <f t="shared" si="37"/>
        <v>0</v>
      </c>
      <c r="CH740" s="1357"/>
      <c r="CI740" s="1339">
        <f t="shared" si="38"/>
        <v>0</v>
      </c>
      <c r="CJ740" s="1341"/>
      <c r="CK740" s="1355">
        <f t="shared" si="16"/>
        <v>0</v>
      </c>
      <c r="CL740" s="1357"/>
      <c r="CM740" s="1339">
        <f t="shared" si="17"/>
        <v>0</v>
      </c>
      <c r="CN740" s="1341"/>
      <c r="CO740" s="3"/>
      <c r="CP740" s="1332">
        <f t="shared" si="18"/>
        <v>0</v>
      </c>
      <c r="CQ740" s="1333"/>
      <c r="CR740" s="1333"/>
      <c r="CS740" s="1333"/>
      <c r="CT740" s="1334"/>
      <c r="CU740" s="1358">
        <f t="shared" si="19"/>
        <v>0</v>
      </c>
      <c r="CV740" s="1358"/>
      <c r="CW740" s="1358"/>
      <c r="CX740" s="1358"/>
      <c r="CY740" s="1358"/>
      <c r="CZ740" s="1358">
        <f t="shared" si="20"/>
        <v>0</v>
      </c>
      <c r="DA740" s="1358"/>
      <c r="DB740" s="1358"/>
      <c r="DC740" s="1358"/>
      <c r="DD740" s="1358"/>
      <c r="DE740" s="1358">
        <f t="shared" si="21"/>
        <v>0</v>
      </c>
      <c r="DF740" s="1358"/>
      <c r="DG740" s="1358"/>
      <c r="DH740" s="1358"/>
      <c r="DI740" s="1358"/>
      <c r="DJ740" s="1358">
        <f t="shared" si="22"/>
        <v>0</v>
      </c>
      <c r="DK740" s="1358"/>
      <c r="DL740" s="1358"/>
      <c r="DM740" s="1358"/>
      <c r="DN740" s="1358"/>
      <c r="DO740" s="1358">
        <f t="shared" si="23"/>
        <v>0</v>
      </c>
      <c r="DP740" s="1358"/>
      <c r="DQ740" s="1358"/>
      <c r="DR740" s="1358"/>
      <c r="DS740" s="1358"/>
      <c r="DT740" s="6"/>
      <c r="DU740" s="1372">
        <f t="shared" si="24"/>
        <v>0</v>
      </c>
      <c r="DV740" s="1372"/>
      <c r="DW740" s="1372"/>
      <c r="DX740" s="1372"/>
      <c r="DY740" s="1372"/>
      <c r="DZ740" s="1372">
        <f t="shared" si="25"/>
        <v>0</v>
      </c>
      <c r="EA740" s="1372"/>
      <c r="EB740" s="1372"/>
      <c r="EC740" s="1372"/>
      <c r="ED740" s="1372"/>
      <c r="EE740" s="1372">
        <f t="shared" si="26"/>
        <v>0</v>
      </c>
      <c r="EF740" s="1372"/>
      <c r="EG740" s="1372"/>
      <c r="EH740" s="1372"/>
      <c r="EI740" s="1372"/>
      <c r="EJ740" s="1372">
        <f t="shared" si="27"/>
        <v>0</v>
      </c>
      <c r="EK740" s="1372"/>
      <c r="EL740" s="1372"/>
      <c r="EM740" s="1372"/>
      <c r="EN740" s="1372"/>
      <c r="EO740" s="1372">
        <f t="shared" si="28"/>
        <v>0</v>
      </c>
      <c r="EP740" s="1372"/>
      <c r="EQ740" s="1372"/>
      <c r="ER740" s="1372"/>
      <c r="ES740" s="1372"/>
      <c r="ET740" s="1372">
        <f t="shared" si="29"/>
        <v>0</v>
      </c>
      <c r="EU740" s="1372"/>
      <c r="EV740" s="1372"/>
      <c r="EW740" s="1372"/>
      <c r="EX740" s="1372"/>
      <c r="EZ740" s="1355" t="str">
        <f t="shared" si="30"/>
        <v/>
      </c>
      <c r="FA740" s="1356"/>
      <c r="FB740" s="1356"/>
      <c r="FC740" s="1356"/>
      <c r="FD740" s="1357"/>
      <c r="FE740" s="1355" t="str">
        <f t="shared" si="31"/>
        <v/>
      </c>
      <c r="FF740" s="1356"/>
      <c r="FG740" s="1356"/>
      <c r="FH740" s="1356"/>
      <c r="FI740" s="1357"/>
      <c r="FJ740" s="1355" t="str">
        <f t="shared" si="32"/>
        <v/>
      </c>
      <c r="FK740" s="1356"/>
      <c r="FL740" s="1356"/>
      <c r="FM740" s="1356"/>
      <c r="FN740" s="1357"/>
      <c r="FO740" s="1355" t="str">
        <f t="shared" si="33"/>
        <v/>
      </c>
      <c r="FP740" s="1356"/>
      <c r="FQ740" s="1356"/>
      <c r="FR740" s="1356"/>
      <c r="FS740" s="1357"/>
      <c r="FT740" s="1355" t="str">
        <f t="shared" si="34"/>
        <v/>
      </c>
      <c r="FU740" s="1356"/>
      <c r="FV740" s="1356"/>
      <c r="FW740" s="1356"/>
      <c r="FX740" s="1357"/>
      <c r="FY740" s="1355" t="str">
        <f t="shared" si="35"/>
        <v/>
      </c>
      <c r="FZ740" s="1356"/>
      <c r="GA740" s="1356"/>
      <c r="GB740" s="1356"/>
      <c r="GC740" s="1357"/>
    </row>
    <row r="741" spans="1:185" ht="12.95" customHeight="1">
      <c r="B741" s="1359"/>
      <c r="C741" s="1360"/>
      <c r="D741" s="1360"/>
      <c r="E741" s="1360"/>
      <c r="F741" s="1361"/>
      <c r="G741" s="1368"/>
      <c r="H741" s="1369"/>
      <c r="I741" s="1369"/>
      <c r="J741" s="1370"/>
      <c r="K741" s="1594"/>
      <c r="L741" s="1595"/>
      <c r="M741" s="1595"/>
      <c r="N741" s="1596"/>
      <c r="O741" s="1460"/>
      <c r="P741" s="1461"/>
      <c r="Q741" s="1461"/>
      <c r="R741" s="1461"/>
      <c r="S741" s="1462"/>
      <c r="T741" s="1460"/>
      <c r="U741" s="1461"/>
      <c r="V741" s="1461"/>
      <c r="W741" s="1462"/>
      <c r="X741" s="1362">
        <f t="shared" si="8"/>
        <v>0</v>
      </c>
      <c r="Y741" s="1363"/>
      <c r="Z741" s="1363"/>
      <c r="AA741" s="1363"/>
      <c r="AB741" s="1364"/>
      <c r="AC741" s="1603"/>
      <c r="AD741" s="1604"/>
      <c r="AE741" s="1604"/>
      <c r="AF741" s="1604"/>
      <c r="AG741" s="1605"/>
      <c r="AH741" s="1365" t="str">
        <f t="shared" si="36"/>
        <v/>
      </c>
      <c r="AI741" s="1366"/>
      <c r="AJ741" s="1367"/>
      <c r="AK741" s="1359" t="s">
        <v>592</v>
      </c>
      <c r="AL741" s="1360"/>
      <c r="AM741" s="1360"/>
      <c r="AN741" s="1360"/>
      <c r="AO741" s="1361"/>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5">
        <f t="shared" si="37"/>
        <v>0</v>
      </c>
      <c r="CH741" s="1357"/>
      <c r="CI741" s="1339">
        <f t="shared" si="38"/>
        <v>0</v>
      </c>
      <c r="CJ741" s="1341"/>
      <c r="CK741" s="1355">
        <f t="shared" si="16"/>
        <v>0</v>
      </c>
      <c r="CL741" s="1357"/>
      <c r="CM741" s="1339">
        <f t="shared" si="17"/>
        <v>0</v>
      </c>
      <c r="CN741" s="1341"/>
      <c r="CO741" s="3"/>
      <c r="CP741" s="1332">
        <f t="shared" si="18"/>
        <v>0</v>
      </c>
      <c r="CQ741" s="1333"/>
      <c r="CR741" s="1333"/>
      <c r="CS741" s="1333"/>
      <c r="CT741" s="1334"/>
      <c r="CU741" s="1358">
        <f t="shared" si="19"/>
        <v>0</v>
      </c>
      <c r="CV741" s="1358"/>
      <c r="CW741" s="1358"/>
      <c r="CX741" s="1358"/>
      <c r="CY741" s="1358"/>
      <c r="CZ741" s="1358">
        <f t="shared" si="20"/>
        <v>0</v>
      </c>
      <c r="DA741" s="1358"/>
      <c r="DB741" s="1358"/>
      <c r="DC741" s="1358"/>
      <c r="DD741" s="1358"/>
      <c r="DE741" s="1358">
        <f t="shared" si="21"/>
        <v>0</v>
      </c>
      <c r="DF741" s="1358"/>
      <c r="DG741" s="1358"/>
      <c r="DH741" s="1358"/>
      <c r="DI741" s="1358"/>
      <c r="DJ741" s="1358">
        <f t="shared" si="22"/>
        <v>0</v>
      </c>
      <c r="DK741" s="1358"/>
      <c r="DL741" s="1358"/>
      <c r="DM741" s="1358"/>
      <c r="DN741" s="1358"/>
      <c r="DO741" s="1358">
        <f t="shared" si="23"/>
        <v>0</v>
      </c>
      <c r="DP741" s="1358"/>
      <c r="DQ741" s="1358"/>
      <c r="DR741" s="1358"/>
      <c r="DS741" s="1358"/>
      <c r="DT741" s="6"/>
      <c r="DU741" s="1372">
        <f t="shared" si="24"/>
        <v>0</v>
      </c>
      <c r="DV741" s="1372"/>
      <c r="DW741" s="1372"/>
      <c r="DX741" s="1372"/>
      <c r="DY741" s="1372"/>
      <c r="DZ741" s="1372">
        <f t="shared" si="25"/>
        <v>0</v>
      </c>
      <c r="EA741" s="1372"/>
      <c r="EB741" s="1372"/>
      <c r="EC741" s="1372"/>
      <c r="ED741" s="1372"/>
      <c r="EE741" s="1372">
        <f t="shared" si="26"/>
        <v>0</v>
      </c>
      <c r="EF741" s="1372"/>
      <c r="EG741" s="1372"/>
      <c r="EH741" s="1372"/>
      <c r="EI741" s="1372"/>
      <c r="EJ741" s="1372">
        <f t="shared" si="27"/>
        <v>0</v>
      </c>
      <c r="EK741" s="1372"/>
      <c r="EL741" s="1372"/>
      <c r="EM741" s="1372"/>
      <c r="EN741" s="1372"/>
      <c r="EO741" s="1372">
        <f t="shared" si="28"/>
        <v>0</v>
      </c>
      <c r="EP741" s="1372"/>
      <c r="EQ741" s="1372"/>
      <c r="ER741" s="1372"/>
      <c r="ES741" s="1372"/>
      <c r="ET741" s="1372">
        <f t="shared" si="29"/>
        <v>0</v>
      </c>
      <c r="EU741" s="1372"/>
      <c r="EV741" s="1372"/>
      <c r="EW741" s="1372"/>
      <c r="EX741" s="1372"/>
      <c r="EZ741" s="1355" t="str">
        <f t="shared" si="30"/>
        <v/>
      </c>
      <c r="FA741" s="1356"/>
      <c r="FB741" s="1356"/>
      <c r="FC741" s="1356"/>
      <c r="FD741" s="1357"/>
      <c r="FE741" s="1355" t="str">
        <f t="shared" si="31"/>
        <v/>
      </c>
      <c r="FF741" s="1356"/>
      <c r="FG741" s="1356"/>
      <c r="FH741" s="1356"/>
      <c r="FI741" s="1357"/>
      <c r="FJ741" s="1355" t="str">
        <f t="shared" si="32"/>
        <v/>
      </c>
      <c r="FK741" s="1356"/>
      <c r="FL741" s="1356"/>
      <c r="FM741" s="1356"/>
      <c r="FN741" s="1357"/>
      <c r="FO741" s="1355" t="str">
        <f t="shared" si="33"/>
        <v/>
      </c>
      <c r="FP741" s="1356"/>
      <c r="FQ741" s="1356"/>
      <c r="FR741" s="1356"/>
      <c r="FS741" s="1357"/>
      <c r="FT741" s="1355" t="str">
        <f t="shared" si="34"/>
        <v/>
      </c>
      <c r="FU741" s="1356"/>
      <c r="FV741" s="1356"/>
      <c r="FW741" s="1356"/>
      <c r="FX741" s="1357"/>
      <c r="FY741" s="1355" t="str">
        <f t="shared" si="35"/>
        <v/>
      </c>
      <c r="FZ741" s="1356"/>
      <c r="GA741" s="1356"/>
      <c r="GB741" s="1356"/>
      <c r="GC741" s="1357"/>
    </row>
    <row r="742" spans="1:185" ht="12.95" customHeight="1">
      <c r="B742" s="1359"/>
      <c r="C742" s="1360"/>
      <c r="D742" s="1360"/>
      <c r="E742" s="1360"/>
      <c r="F742" s="1361"/>
      <c r="G742" s="1368"/>
      <c r="H742" s="1369"/>
      <c r="I742" s="1369"/>
      <c r="J742" s="1370"/>
      <c r="K742" s="1594"/>
      <c r="L742" s="1595"/>
      <c r="M742" s="1595"/>
      <c r="N742" s="1596"/>
      <c r="O742" s="1460"/>
      <c r="P742" s="1461"/>
      <c r="Q742" s="1461"/>
      <c r="R742" s="1461"/>
      <c r="S742" s="1462"/>
      <c r="T742" s="1460"/>
      <c r="U742" s="1461"/>
      <c r="V742" s="1461"/>
      <c r="W742" s="1462"/>
      <c r="X742" s="1362">
        <f t="shared" ref="X742:X751" si="39">O742+T742</f>
        <v>0</v>
      </c>
      <c r="Y742" s="1363"/>
      <c r="Z742" s="1363"/>
      <c r="AA742" s="1363"/>
      <c r="AB742" s="1364"/>
      <c r="AC742" s="1603"/>
      <c r="AD742" s="1604"/>
      <c r="AE742" s="1604"/>
      <c r="AF742" s="1604"/>
      <c r="AG742" s="1605"/>
      <c r="AH742" s="1365" t="str">
        <f t="shared" si="36"/>
        <v/>
      </c>
      <c r="AI742" s="1366"/>
      <c r="AJ742" s="1367"/>
      <c r="AK742" s="1359" t="s">
        <v>592</v>
      </c>
      <c r="AL742" s="1360"/>
      <c r="AM742" s="1360"/>
      <c r="AN742" s="1360"/>
      <c r="AO742" s="1361"/>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5">
        <f t="shared" si="37"/>
        <v>0</v>
      </c>
      <c r="CH742" s="1357"/>
      <c r="CI742" s="1339">
        <f t="shared" si="38"/>
        <v>0</v>
      </c>
      <c r="CJ742" s="1341"/>
      <c r="CK742" s="1355">
        <f t="shared" si="16"/>
        <v>0</v>
      </c>
      <c r="CL742" s="1357"/>
      <c r="CM742" s="1339">
        <f t="shared" si="17"/>
        <v>0</v>
      </c>
      <c r="CN742" s="1341"/>
      <c r="CO742" s="3"/>
      <c r="CP742" s="1332">
        <f t="shared" si="18"/>
        <v>0</v>
      </c>
      <c r="CQ742" s="1333"/>
      <c r="CR742" s="1333"/>
      <c r="CS742" s="1333"/>
      <c r="CT742" s="1334"/>
      <c r="CU742" s="1358">
        <f t="shared" si="19"/>
        <v>0</v>
      </c>
      <c r="CV742" s="1358"/>
      <c r="CW742" s="1358"/>
      <c r="CX742" s="1358"/>
      <c r="CY742" s="1358"/>
      <c r="CZ742" s="1358">
        <f t="shared" si="20"/>
        <v>0</v>
      </c>
      <c r="DA742" s="1358"/>
      <c r="DB742" s="1358"/>
      <c r="DC742" s="1358"/>
      <c r="DD742" s="1358"/>
      <c r="DE742" s="1358">
        <f t="shared" si="21"/>
        <v>0</v>
      </c>
      <c r="DF742" s="1358"/>
      <c r="DG742" s="1358"/>
      <c r="DH742" s="1358"/>
      <c r="DI742" s="1358"/>
      <c r="DJ742" s="1358">
        <f t="shared" si="22"/>
        <v>0</v>
      </c>
      <c r="DK742" s="1358"/>
      <c r="DL742" s="1358"/>
      <c r="DM742" s="1358"/>
      <c r="DN742" s="1358"/>
      <c r="DO742" s="1358">
        <f t="shared" si="23"/>
        <v>0</v>
      </c>
      <c r="DP742" s="1358"/>
      <c r="DQ742" s="1358"/>
      <c r="DR742" s="1358"/>
      <c r="DS742" s="1358"/>
      <c r="DT742" s="6"/>
      <c r="DU742" s="1372">
        <f t="shared" si="24"/>
        <v>0</v>
      </c>
      <c r="DV742" s="1372"/>
      <c r="DW742" s="1372"/>
      <c r="DX742" s="1372"/>
      <c r="DY742" s="1372"/>
      <c r="DZ742" s="1372">
        <f t="shared" si="25"/>
        <v>0</v>
      </c>
      <c r="EA742" s="1372"/>
      <c r="EB742" s="1372"/>
      <c r="EC742" s="1372"/>
      <c r="ED742" s="1372"/>
      <c r="EE742" s="1372">
        <f t="shared" si="26"/>
        <v>0</v>
      </c>
      <c r="EF742" s="1372"/>
      <c r="EG742" s="1372"/>
      <c r="EH742" s="1372"/>
      <c r="EI742" s="1372"/>
      <c r="EJ742" s="1372">
        <f t="shared" si="27"/>
        <v>0</v>
      </c>
      <c r="EK742" s="1372"/>
      <c r="EL742" s="1372"/>
      <c r="EM742" s="1372"/>
      <c r="EN742" s="1372"/>
      <c r="EO742" s="1372">
        <f t="shared" si="28"/>
        <v>0</v>
      </c>
      <c r="EP742" s="1372"/>
      <c r="EQ742" s="1372"/>
      <c r="ER742" s="1372"/>
      <c r="ES742" s="1372"/>
      <c r="ET742" s="1372">
        <f t="shared" si="29"/>
        <v>0</v>
      </c>
      <c r="EU742" s="1372"/>
      <c r="EV742" s="1372"/>
      <c r="EW742" s="1372"/>
      <c r="EX742" s="1372"/>
      <c r="EZ742" s="1355" t="str">
        <f t="shared" si="30"/>
        <v/>
      </c>
      <c r="FA742" s="1356"/>
      <c r="FB742" s="1356"/>
      <c r="FC742" s="1356"/>
      <c r="FD742" s="1357"/>
      <c r="FE742" s="1355" t="str">
        <f t="shared" si="31"/>
        <v/>
      </c>
      <c r="FF742" s="1356"/>
      <c r="FG742" s="1356"/>
      <c r="FH742" s="1356"/>
      <c r="FI742" s="1357"/>
      <c r="FJ742" s="1355" t="str">
        <f t="shared" si="32"/>
        <v/>
      </c>
      <c r="FK742" s="1356"/>
      <c r="FL742" s="1356"/>
      <c r="FM742" s="1356"/>
      <c r="FN742" s="1357"/>
      <c r="FO742" s="1355" t="str">
        <f t="shared" si="33"/>
        <v/>
      </c>
      <c r="FP742" s="1356"/>
      <c r="FQ742" s="1356"/>
      <c r="FR742" s="1356"/>
      <c r="FS742" s="1357"/>
      <c r="FT742" s="1355" t="str">
        <f t="shared" si="34"/>
        <v/>
      </c>
      <c r="FU742" s="1356"/>
      <c r="FV742" s="1356"/>
      <c r="FW742" s="1356"/>
      <c r="FX742" s="1357"/>
      <c r="FY742" s="1355" t="str">
        <f t="shared" si="35"/>
        <v/>
      </c>
      <c r="FZ742" s="1356"/>
      <c r="GA742" s="1356"/>
      <c r="GB742" s="1356"/>
      <c r="GC742" s="1357"/>
    </row>
    <row r="743" spans="1:185" s="3" customFormat="1" ht="12.95" customHeight="1">
      <c r="A743"/>
      <c r="B743" s="1359"/>
      <c r="C743" s="1360"/>
      <c r="D743" s="1360"/>
      <c r="E743" s="1360"/>
      <c r="F743" s="1361"/>
      <c r="G743" s="1368"/>
      <c r="H743" s="1369"/>
      <c r="I743" s="1369"/>
      <c r="J743" s="1370"/>
      <c r="K743" s="1594"/>
      <c r="L743" s="1595"/>
      <c r="M743" s="1595"/>
      <c r="N743" s="1596"/>
      <c r="O743" s="1460"/>
      <c r="P743" s="1461"/>
      <c r="Q743" s="1461"/>
      <c r="R743" s="1461"/>
      <c r="S743" s="1462"/>
      <c r="T743" s="1460"/>
      <c r="U743" s="1461"/>
      <c r="V743" s="1461"/>
      <c r="W743" s="1462"/>
      <c r="X743" s="1362">
        <f t="shared" si="39"/>
        <v>0</v>
      </c>
      <c r="Y743" s="1363"/>
      <c r="Z743" s="1363"/>
      <c r="AA743" s="1363"/>
      <c r="AB743" s="1364"/>
      <c r="AC743" s="1603"/>
      <c r="AD743" s="1604"/>
      <c r="AE743" s="1604"/>
      <c r="AF743" s="1604"/>
      <c r="AG743" s="1605"/>
      <c r="AH743" s="1365" t="str">
        <f t="shared" si="36"/>
        <v/>
      </c>
      <c r="AI743" s="1366"/>
      <c r="AJ743" s="1367"/>
      <c r="AK743" s="1359" t="s">
        <v>592</v>
      </c>
      <c r="AL743" s="1360"/>
      <c r="AM743" s="1360"/>
      <c r="AN743" s="1360"/>
      <c r="AO743" s="1361"/>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5">
        <f t="shared" si="37"/>
        <v>0</v>
      </c>
      <c r="CH743" s="1357"/>
      <c r="CI743" s="1339">
        <f t="shared" si="38"/>
        <v>0</v>
      </c>
      <c r="CJ743" s="1341"/>
      <c r="CK743" s="1355">
        <f t="shared" si="16"/>
        <v>0</v>
      </c>
      <c r="CL743" s="1357"/>
      <c r="CM743" s="1339">
        <f t="shared" si="17"/>
        <v>0</v>
      </c>
      <c r="CN743" s="1341"/>
      <c r="CP743" s="1332">
        <f t="shared" si="18"/>
        <v>0</v>
      </c>
      <c r="CQ743" s="1333"/>
      <c r="CR743" s="1333"/>
      <c r="CS743" s="1333"/>
      <c r="CT743" s="1334"/>
      <c r="CU743" s="1358">
        <f t="shared" si="19"/>
        <v>0</v>
      </c>
      <c r="CV743" s="1358"/>
      <c r="CW743" s="1358"/>
      <c r="CX743" s="1358"/>
      <c r="CY743" s="1358"/>
      <c r="CZ743" s="1358">
        <f t="shared" si="20"/>
        <v>0</v>
      </c>
      <c r="DA743" s="1358"/>
      <c r="DB743" s="1358"/>
      <c r="DC743" s="1358"/>
      <c r="DD743" s="1358"/>
      <c r="DE743" s="1358">
        <f t="shared" si="21"/>
        <v>0</v>
      </c>
      <c r="DF743" s="1358"/>
      <c r="DG743" s="1358"/>
      <c r="DH743" s="1358"/>
      <c r="DI743" s="1358"/>
      <c r="DJ743" s="1358">
        <f t="shared" si="22"/>
        <v>0</v>
      </c>
      <c r="DK743" s="1358"/>
      <c r="DL743" s="1358"/>
      <c r="DM743" s="1358"/>
      <c r="DN743" s="1358"/>
      <c r="DO743" s="1358">
        <f t="shared" si="23"/>
        <v>0</v>
      </c>
      <c r="DP743" s="1358"/>
      <c r="DQ743" s="1358"/>
      <c r="DR743" s="1358"/>
      <c r="DS743" s="1358"/>
      <c r="DT743" s="6"/>
      <c r="DU743" s="1372">
        <f t="shared" si="24"/>
        <v>0</v>
      </c>
      <c r="DV743" s="1372"/>
      <c r="DW743" s="1372"/>
      <c r="DX743" s="1372"/>
      <c r="DY743" s="1372"/>
      <c r="DZ743" s="1372">
        <f t="shared" si="25"/>
        <v>0</v>
      </c>
      <c r="EA743" s="1372"/>
      <c r="EB743" s="1372"/>
      <c r="EC743" s="1372"/>
      <c r="ED743" s="1372"/>
      <c r="EE743" s="1372">
        <f t="shared" si="26"/>
        <v>0</v>
      </c>
      <c r="EF743" s="1372"/>
      <c r="EG743" s="1372"/>
      <c r="EH743" s="1372"/>
      <c r="EI743" s="1372"/>
      <c r="EJ743" s="1372">
        <f t="shared" si="27"/>
        <v>0</v>
      </c>
      <c r="EK743" s="1372"/>
      <c r="EL743" s="1372"/>
      <c r="EM743" s="1372"/>
      <c r="EN743" s="1372"/>
      <c r="EO743" s="1372">
        <f t="shared" si="28"/>
        <v>0</v>
      </c>
      <c r="EP743" s="1372"/>
      <c r="EQ743" s="1372"/>
      <c r="ER743" s="1372"/>
      <c r="ES743" s="1372"/>
      <c r="ET743" s="1372">
        <f t="shared" si="29"/>
        <v>0</v>
      </c>
      <c r="EU743" s="1372"/>
      <c r="EV743" s="1372"/>
      <c r="EW743" s="1372"/>
      <c r="EX743" s="1372"/>
      <c r="EY743"/>
      <c r="EZ743" s="1355" t="str">
        <f t="shared" si="30"/>
        <v/>
      </c>
      <c r="FA743" s="1356"/>
      <c r="FB743" s="1356"/>
      <c r="FC743" s="1356"/>
      <c r="FD743" s="1357"/>
      <c r="FE743" s="1355" t="str">
        <f t="shared" si="31"/>
        <v/>
      </c>
      <c r="FF743" s="1356"/>
      <c r="FG743" s="1356"/>
      <c r="FH743" s="1356"/>
      <c r="FI743" s="1357"/>
      <c r="FJ743" s="1355" t="str">
        <f t="shared" si="32"/>
        <v/>
      </c>
      <c r="FK743" s="1356"/>
      <c r="FL743" s="1356"/>
      <c r="FM743" s="1356"/>
      <c r="FN743" s="1357"/>
      <c r="FO743" s="1355" t="str">
        <f t="shared" si="33"/>
        <v/>
      </c>
      <c r="FP743" s="1356"/>
      <c r="FQ743" s="1356"/>
      <c r="FR743" s="1356"/>
      <c r="FS743" s="1357"/>
      <c r="FT743" s="1355" t="str">
        <f t="shared" si="34"/>
        <v/>
      </c>
      <c r="FU743" s="1356"/>
      <c r="FV743" s="1356"/>
      <c r="FW743" s="1356"/>
      <c r="FX743" s="1357"/>
      <c r="FY743" s="1355" t="str">
        <f t="shared" si="35"/>
        <v/>
      </c>
      <c r="FZ743" s="1356"/>
      <c r="GA743" s="1356"/>
      <c r="GB743" s="1356"/>
      <c r="GC743" s="1357"/>
    </row>
    <row r="744" spans="1:185" ht="12.95" customHeight="1">
      <c r="B744" s="1359"/>
      <c r="C744" s="1360"/>
      <c r="D744" s="1360"/>
      <c r="E744" s="1360"/>
      <c r="F744" s="1361"/>
      <c r="G744" s="1368"/>
      <c r="H744" s="1369"/>
      <c r="I744" s="1369"/>
      <c r="J744" s="1370"/>
      <c r="K744" s="1594"/>
      <c r="L744" s="1595"/>
      <c r="M744" s="1595"/>
      <c r="N744" s="1596"/>
      <c r="O744" s="1460"/>
      <c r="P744" s="1461"/>
      <c r="Q744" s="1461"/>
      <c r="R744" s="1461"/>
      <c r="S744" s="1462"/>
      <c r="T744" s="1460"/>
      <c r="U744" s="1461"/>
      <c r="V744" s="1461"/>
      <c r="W744" s="1462"/>
      <c r="X744" s="1362">
        <f t="shared" si="39"/>
        <v>0</v>
      </c>
      <c r="Y744" s="1363"/>
      <c r="Z744" s="1363"/>
      <c r="AA744" s="1363"/>
      <c r="AB744" s="1364"/>
      <c r="AC744" s="1603"/>
      <c r="AD744" s="1604"/>
      <c r="AE744" s="1604"/>
      <c r="AF744" s="1604"/>
      <c r="AG744" s="1605"/>
      <c r="AH744" s="1365" t="str">
        <f t="shared" si="36"/>
        <v/>
      </c>
      <c r="AI744" s="1366"/>
      <c r="AJ744" s="1367"/>
      <c r="AK744" s="1359" t="s">
        <v>592</v>
      </c>
      <c r="AL744" s="1360"/>
      <c r="AM744" s="1360"/>
      <c r="AN744" s="1360"/>
      <c r="AO744" s="1361"/>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5">
        <f t="shared" si="37"/>
        <v>0</v>
      </c>
      <c r="CH744" s="1357"/>
      <c r="CI744" s="1339">
        <f t="shared" si="38"/>
        <v>0</v>
      </c>
      <c r="CJ744" s="1341"/>
      <c r="CK744" s="1355">
        <f t="shared" si="16"/>
        <v>0</v>
      </c>
      <c r="CL744" s="1357"/>
      <c r="CM744" s="1339">
        <f t="shared" si="17"/>
        <v>0</v>
      </c>
      <c r="CN744" s="1341"/>
      <c r="CO744" s="3"/>
      <c r="CP744" s="1332">
        <f t="shared" si="18"/>
        <v>0</v>
      </c>
      <c r="CQ744" s="1333"/>
      <c r="CR744" s="1333"/>
      <c r="CS744" s="1333"/>
      <c r="CT744" s="1334"/>
      <c r="CU744" s="1358">
        <f t="shared" si="19"/>
        <v>0</v>
      </c>
      <c r="CV744" s="1358"/>
      <c r="CW744" s="1358"/>
      <c r="CX744" s="1358"/>
      <c r="CY744" s="1358"/>
      <c r="CZ744" s="1358">
        <f t="shared" si="20"/>
        <v>0</v>
      </c>
      <c r="DA744" s="1358"/>
      <c r="DB744" s="1358"/>
      <c r="DC744" s="1358"/>
      <c r="DD744" s="1358"/>
      <c r="DE744" s="1358">
        <f t="shared" si="21"/>
        <v>0</v>
      </c>
      <c r="DF744" s="1358"/>
      <c r="DG744" s="1358"/>
      <c r="DH744" s="1358"/>
      <c r="DI744" s="1358"/>
      <c r="DJ744" s="1358">
        <f t="shared" si="22"/>
        <v>0</v>
      </c>
      <c r="DK744" s="1358"/>
      <c r="DL744" s="1358"/>
      <c r="DM744" s="1358"/>
      <c r="DN744" s="1358"/>
      <c r="DO744" s="1358">
        <f t="shared" si="23"/>
        <v>0</v>
      </c>
      <c r="DP744" s="1358"/>
      <c r="DQ744" s="1358"/>
      <c r="DR744" s="1358"/>
      <c r="DS744" s="1358"/>
      <c r="DT744" s="6"/>
      <c r="DU744" s="1372">
        <f t="shared" si="24"/>
        <v>0</v>
      </c>
      <c r="DV744" s="1372"/>
      <c r="DW744" s="1372"/>
      <c r="DX744" s="1372"/>
      <c r="DY744" s="1372"/>
      <c r="DZ744" s="1372">
        <f t="shared" si="25"/>
        <v>0</v>
      </c>
      <c r="EA744" s="1372"/>
      <c r="EB744" s="1372"/>
      <c r="EC744" s="1372"/>
      <c r="ED744" s="1372"/>
      <c r="EE744" s="1372">
        <f t="shared" si="26"/>
        <v>0</v>
      </c>
      <c r="EF744" s="1372"/>
      <c r="EG744" s="1372"/>
      <c r="EH744" s="1372"/>
      <c r="EI744" s="1372"/>
      <c r="EJ744" s="1372">
        <f t="shared" si="27"/>
        <v>0</v>
      </c>
      <c r="EK744" s="1372"/>
      <c r="EL744" s="1372"/>
      <c r="EM744" s="1372"/>
      <c r="EN744" s="1372"/>
      <c r="EO744" s="1372">
        <f t="shared" si="28"/>
        <v>0</v>
      </c>
      <c r="EP744" s="1372"/>
      <c r="EQ744" s="1372"/>
      <c r="ER744" s="1372"/>
      <c r="ES744" s="1372"/>
      <c r="ET744" s="1372">
        <f t="shared" si="29"/>
        <v>0</v>
      </c>
      <c r="EU744" s="1372"/>
      <c r="EV744" s="1372"/>
      <c r="EW744" s="1372"/>
      <c r="EX744" s="1372"/>
      <c r="EZ744" s="1355" t="str">
        <f t="shared" si="30"/>
        <v/>
      </c>
      <c r="FA744" s="1356"/>
      <c r="FB744" s="1356"/>
      <c r="FC744" s="1356"/>
      <c r="FD744" s="1357"/>
      <c r="FE744" s="1355" t="str">
        <f t="shared" si="31"/>
        <v/>
      </c>
      <c r="FF744" s="1356"/>
      <c r="FG744" s="1356"/>
      <c r="FH744" s="1356"/>
      <c r="FI744" s="1357"/>
      <c r="FJ744" s="1355" t="str">
        <f t="shared" si="32"/>
        <v/>
      </c>
      <c r="FK744" s="1356"/>
      <c r="FL744" s="1356"/>
      <c r="FM744" s="1356"/>
      <c r="FN744" s="1357"/>
      <c r="FO744" s="1355" t="str">
        <f t="shared" si="33"/>
        <v/>
      </c>
      <c r="FP744" s="1356"/>
      <c r="FQ744" s="1356"/>
      <c r="FR744" s="1356"/>
      <c r="FS744" s="1357"/>
      <c r="FT744" s="1355" t="str">
        <f t="shared" si="34"/>
        <v/>
      </c>
      <c r="FU744" s="1356"/>
      <c r="FV744" s="1356"/>
      <c r="FW744" s="1356"/>
      <c r="FX744" s="1357"/>
      <c r="FY744" s="1355" t="str">
        <f t="shared" si="35"/>
        <v/>
      </c>
      <c r="FZ744" s="1356"/>
      <c r="GA744" s="1356"/>
      <c r="GB744" s="1356"/>
      <c r="GC744" s="1357"/>
    </row>
    <row r="745" spans="1:185" ht="12.95" customHeight="1">
      <c r="B745" s="1359"/>
      <c r="C745" s="1360"/>
      <c r="D745" s="1360"/>
      <c r="E745" s="1360"/>
      <c r="F745" s="1361"/>
      <c r="G745" s="1368"/>
      <c r="H745" s="1369"/>
      <c r="I745" s="1369"/>
      <c r="J745" s="1370"/>
      <c r="K745" s="1594"/>
      <c r="L745" s="1595"/>
      <c r="M745" s="1595"/>
      <c r="N745" s="1596"/>
      <c r="O745" s="1460"/>
      <c r="P745" s="1461"/>
      <c r="Q745" s="1461"/>
      <c r="R745" s="1461"/>
      <c r="S745" s="1462"/>
      <c r="T745" s="1460"/>
      <c r="U745" s="1461"/>
      <c r="V745" s="1461"/>
      <c r="W745" s="1462"/>
      <c r="X745" s="1362">
        <f t="shared" si="39"/>
        <v>0</v>
      </c>
      <c r="Y745" s="1363"/>
      <c r="Z745" s="1363"/>
      <c r="AA745" s="1363"/>
      <c r="AB745" s="1364"/>
      <c r="AC745" s="1603"/>
      <c r="AD745" s="1604"/>
      <c r="AE745" s="1604"/>
      <c r="AF745" s="1604"/>
      <c r="AG745" s="1605"/>
      <c r="AH745" s="1365" t="str">
        <f t="shared" si="36"/>
        <v/>
      </c>
      <c r="AI745" s="1366"/>
      <c r="AJ745" s="1367"/>
      <c r="AK745" s="1359" t="s">
        <v>592</v>
      </c>
      <c r="AL745" s="1360"/>
      <c r="AM745" s="1360"/>
      <c r="AN745" s="1360"/>
      <c r="AO745" s="1361"/>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5">
        <f t="shared" si="37"/>
        <v>0</v>
      </c>
      <c r="CH745" s="1357"/>
      <c r="CI745" s="1339">
        <f t="shared" si="38"/>
        <v>0</v>
      </c>
      <c r="CJ745" s="1341"/>
      <c r="CK745" s="1355">
        <f t="shared" si="16"/>
        <v>0</v>
      </c>
      <c r="CL745" s="1357"/>
      <c r="CM745" s="1339">
        <f t="shared" si="17"/>
        <v>0</v>
      </c>
      <c r="CN745" s="1341"/>
      <c r="CO745" s="3"/>
      <c r="CP745" s="1332">
        <f t="shared" si="18"/>
        <v>0</v>
      </c>
      <c r="CQ745" s="1333"/>
      <c r="CR745" s="1333"/>
      <c r="CS745" s="1333"/>
      <c r="CT745" s="1334"/>
      <c r="CU745" s="1358">
        <f t="shared" si="19"/>
        <v>0</v>
      </c>
      <c r="CV745" s="1358"/>
      <c r="CW745" s="1358"/>
      <c r="CX745" s="1358"/>
      <c r="CY745" s="1358"/>
      <c r="CZ745" s="1358">
        <f t="shared" si="20"/>
        <v>0</v>
      </c>
      <c r="DA745" s="1358"/>
      <c r="DB745" s="1358"/>
      <c r="DC745" s="1358"/>
      <c r="DD745" s="1358"/>
      <c r="DE745" s="1358">
        <f t="shared" si="21"/>
        <v>0</v>
      </c>
      <c r="DF745" s="1358"/>
      <c r="DG745" s="1358"/>
      <c r="DH745" s="1358"/>
      <c r="DI745" s="1358"/>
      <c r="DJ745" s="1358">
        <f t="shared" si="22"/>
        <v>0</v>
      </c>
      <c r="DK745" s="1358"/>
      <c r="DL745" s="1358"/>
      <c r="DM745" s="1358"/>
      <c r="DN745" s="1358"/>
      <c r="DO745" s="1358">
        <f t="shared" si="23"/>
        <v>0</v>
      </c>
      <c r="DP745" s="1358"/>
      <c r="DQ745" s="1358"/>
      <c r="DR745" s="1358"/>
      <c r="DS745" s="1358"/>
      <c r="DT745" s="6"/>
      <c r="DU745" s="1372">
        <f t="shared" si="24"/>
        <v>0</v>
      </c>
      <c r="DV745" s="1372"/>
      <c r="DW745" s="1372"/>
      <c r="DX745" s="1372"/>
      <c r="DY745" s="1372"/>
      <c r="DZ745" s="1372">
        <f t="shared" si="25"/>
        <v>0</v>
      </c>
      <c r="EA745" s="1372"/>
      <c r="EB745" s="1372"/>
      <c r="EC745" s="1372"/>
      <c r="ED745" s="1372"/>
      <c r="EE745" s="1372">
        <f t="shared" si="26"/>
        <v>0</v>
      </c>
      <c r="EF745" s="1372"/>
      <c r="EG745" s="1372"/>
      <c r="EH745" s="1372"/>
      <c r="EI745" s="1372"/>
      <c r="EJ745" s="1372">
        <f t="shared" si="27"/>
        <v>0</v>
      </c>
      <c r="EK745" s="1372"/>
      <c r="EL745" s="1372"/>
      <c r="EM745" s="1372"/>
      <c r="EN745" s="1372"/>
      <c r="EO745" s="1372">
        <f t="shared" si="28"/>
        <v>0</v>
      </c>
      <c r="EP745" s="1372"/>
      <c r="EQ745" s="1372"/>
      <c r="ER745" s="1372"/>
      <c r="ES745" s="1372"/>
      <c r="ET745" s="1372">
        <f t="shared" si="29"/>
        <v>0</v>
      </c>
      <c r="EU745" s="1372"/>
      <c r="EV745" s="1372"/>
      <c r="EW745" s="1372"/>
      <c r="EX745" s="1372"/>
      <c r="EZ745" s="1355" t="str">
        <f t="shared" si="30"/>
        <v/>
      </c>
      <c r="FA745" s="1356"/>
      <c r="FB745" s="1356"/>
      <c r="FC745" s="1356"/>
      <c r="FD745" s="1357"/>
      <c r="FE745" s="1355" t="str">
        <f t="shared" si="31"/>
        <v/>
      </c>
      <c r="FF745" s="1356"/>
      <c r="FG745" s="1356"/>
      <c r="FH745" s="1356"/>
      <c r="FI745" s="1357"/>
      <c r="FJ745" s="1355" t="str">
        <f t="shared" si="32"/>
        <v/>
      </c>
      <c r="FK745" s="1356"/>
      <c r="FL745" s="1356"/>
      <c r="FM745" s="1356"/>
      <c r="FN745" s="1357"/>
      <c r="FO745" s="1355" t="str">
        <f t="shared" si="33"/>
        <v/>
      </c>
      <c r="FP745" s="1356"/>
      <c r="FQ745" s="1356"/>
      <c r="FR745" s="1356"/>
      <c r="FS745" s="1357"/>
      <c r="FT745" s="1355" t="str">
        <f t="shared" si="34"/>
        <v/>
      </c>
      <c r="FU745" s="1356"/>
      <c r="FV745" s="1356"/>
      <c r="FW745" s="1356"/>
      <c r="FX745" s="1357"/>
      <c r="FY745" s="1355" t="str">
        <f t="shared" si="35"/>
        <v/>
      </c>
      <c r="FZ745" s="1356"/>
      <c r="GA745" s="1356"/>
      <c r="GB745" s="1356"/>
      <c r="GC745" s="1357"/>
    </row>
    <row r="746" spans="1:185" ht="12.95" customHeight="1">
      <c r="B746" s="1359"/>
      <c r="C746" s="1360"/>
      <c r="D746" s="1360"/>
      <c r="E746" s="1360"/>
      <c r="F746" s="1361"/>
      <c r="G746" s="1368"/>
      <c r="H746" s="1369"/>
      <c r="I746" s="1369"/>
      <c r="J746" s="1370"/>
      <c r="K746" s="1594"/>
      <c r="L746" s="1595"/>
      <c r="M746" s="1595"/>
      <c r="N746" s="1596"/>
      <c r="O746" s="1460"/>
      <c r="P746" s="1461"/>
      <c r="Q746" s="1461"/>
      <c r="R746" s="1461"/>
      <c r="S746" s="1462"/>
      <c r="T746" s="1460"/>
      <c r="U746" s="1461"/>
      <c r="V746" s="1461"/>
      <c r="W746" s="1462"/>
      <c r="X746" s="1362">
        <f t="shared" si="39"/>
        <v>0</v>
      </c>
      <c r="Y746" s="1363"/>
      <c r="Z746" s="1363"/>
      <c r="AA746" s="1363"/>
      <c r="AB746" s="1364"/>
      <c r="AC746" s="1603"/>
      <c r="AD746" s="1604"/>
      <c r="AE746" s="1604"/>
      <c r="AF746" s="1604"/>
      <c r="AG746" s="1605"/>
      <c r="AH746" s="1365" t="str">
        <f t="shared" si="36"/>
        <v/>
      </c>
      <c r="AI746" s="1366"/>
      <c r="AJ746" s="1367"/>
      <c r="AK746" s="1359" t="s">
        <v>592</v>
      </c>
      <c r="AL746" s="1360"/>
      <c r="AM746" s="1360"/>
      <c r="AN746" s="1360"/>
      <c r="AO746" s="1361"/>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5">
        <f t="shared" si="37"/>
        <v>0</v>
      </c>
      <c r="CH746" s="1357"/>
      <c r="CI746" s="1339">
        <f t="shared" si="38"/>
        <v>0</v>
      </c>
      <c r="CJ746" s="1341"/>
      <c r="CK746" s="1355">
        <f t="shared" si="16"/>
        <v>0</v>
      </c>
      <c r="CL746" s="1357"/>
      <c r="CM746" s="1339">
        <f t="shared" si="17"/>
        <v>0</v>
      </c>
      <c r="CN746" s="1341"/>
      <c r="CO746" s="3"/>
      <c r="CP746" s="1332">
        <f t="shared" si="18"/>
        <v>0</v>
      </c>
      <c r="CQ746" s="1333"/>
      <c r="CR746" s="1333"/>
      <c r="CS746" s="1333"/>
      <c r="CT746" s="1334"/>
      <c r="CU746" s="1358">
        <f t="shared" si="19"/>
        <v>0</v>
      </c>
      <c r="CV746" s="1358"/>
      <c r="CW746" s="1358"/>
      <c r="CX746" s="1358"/>
      <c r="CY746" s="1358"/>
      <c r="CZ746" s="1358">
        <f t="shared" si="20"/>
        <v>0</v>
      </c>
      <c r="DA746" s="1358"/>
      <c r="DB746" s="1358"/>
      <c r="DC746" s="1358"/>
      <c r="DD746" s="1358"/>
      <c r="DE746" s="1358">
        <f t="shared" si="21"/>
        <v>0</v>
      </c>
      <c r="DF746" s="1358"/>
      <c r="DG746" s="1358"/>
      <c r="DH746" s="1358"/>
      <c r="DI746" s="1358"/>
      <c r="DJ746" s="1358">
        <f t="shared" si="22"/>
        <v>0</v>
      </c>
      <c r="DK746" s="1358"/>
      <c r="DL746" s="1358"/>
      <c r="DM746" s="1358"/>
      <c r="DN746" s="1358"/>
      <c r="DO746" s="1358">
        <f t="shared" si="23"/>
        <v>0</v>
      </c>
      <c r="DP746" s="1358"/>
      <c r="DQ746" s="1358"/>
      <c r="DR746" s="1358"/>
      <c r="DS746" s="1358"/>
      <c r="DT746" s="6"/>
      <c r="DU746" s="1372">
        <f t="shared" si="24"/>
        <v>0</v>
      </c>
      <c r="DV746" s="1372"/>
      <c r="DW746" s="1372"/>
      <c r="DX746" s="1372"/>
      <c r="DY746" s="1372"/>
      <c r="DZ746" s="1372">
        <f t="shared" si="25"/>
        <v>0</v>
      </c>
      <c r="EA746" s="1372"/>
      <c r="EB746" s="1372"/>
      <c r="EC746" s="1372"/>
      <c r="ED746" s="1372"/>
      <c r="EE746" s="1372">
        <f t="shared" si="26"/>
        <v>0</v>
      </c>
      <c r="EF746" s="1372"/>
      <c r="EG746" s="1372"/>
      <c r="EH746" s="1372"/>
      <c r="EI746" s="1372"/>
      <c r="EJ746" s="1372">
        <f t="shared" si="27"/>
        <v>0</v>
      </c>
      <c r="EK746" s="1372"/>
      <c r="EL746" s="1372"/>
      <c r="EM746" s="1372"/>
      <c r="EN746" s="1372"/>
      <c r="EO746" s="1372">
        <f t="shared" si="28"/>
        <v>0</v>
      </c>
      <c r="EP746" s="1372"/>
      <c r="EQ746" s="1372"/>
      <c r="ER746" s="1372"/>
      <c r="ES746" s="1372"/>
      <c r="ET746" s="1372">
        <f t="shared" si="29"/>
        <v>0</v>
      </c>
      <c r="EU746" s="1372"/>
      <c r="EV746" s="1372"/>
      <c r="EW746" s="1372"/>
      <c r="EX746" s="1372"/>
      <c r="EZ746" s="1355" t="str">
        <f t="shared" si="30"/>
        <v/>
      </c>
      <c r="FA746" s="1356"/>
      <c r="FB746" s="1356"/>
      <c r="FC746" s="1356"/>
      <c r="FD746" s="1357"/>
      <c r="FE746" s="1355" t="str">
        <f t="shared" si="31"/>
        <v/>
      </c>
      <c r="FF746" s="1356"/>
      <c r="FG746" s="1356"/>
      <c r="FH746" s="1356"/>
      <c r="FI746" s="1357"/>
      <c r="FJ746" s="1355" t="str">
        <f t="shared" si="32"/>
        <v/>
      </c>
      <c r="FK746" s="1356"/>
      <c r="FL746" s="1356"/>
      <c r="FM746" s="1356"/>
      <c r="FN746" s="1357"/>
      <c r="FO746" s="1355" t="str">
        <f t="shared" si="33"/>
        <v/>
      </c>
      <c r="FP746" s="1356"/>
      <c r="FQ746" s="1356"/>
      <c r="FR746" s="1356"/>
      <c r="FS746" s="1357"/>
      <c r="FT746" s="1355" t="str">
        <f t="shared" si="34"/>
        <v/>
      </c>
      <c r="FU746" s="1356"/>
      <c r="FV746" s="1356"/>
      <c r="FW746" s="1356"/>
      <c r="FX746" s="1357"/>
      <c r="FY746" s="1355" t="str">
        <f t="shared" si="35"/>
        <v/>
      </c>
      <c r="FZ746" s="1356"/>
      <c r="GA746" s="1356"/>
      <c r="GB746" s="1356"/>
      <c r="GC746" s="1357"/>
    </row>
    <row r="747" spans="1:185" ht="12.95" customHeight="1">
      <c r="B747" s="1359"/>
      <c r="C747" s="1360"/>
      <c r="D747" s="1360"/>
      <c r="E747" s="1360"/>
      <c r="F747" s="1361"/>
      <c r="G747" s="1368"/>
      <c r="H747" s="1369"/>
      <c r="I747" s="1369"/>
      <c r="J747" s="1370"/>
      <c r="K747" s="1594"/>
      <c r="L747" s="1595"/>
      <c r="M747" s="1595"/>
      <c r="N747" s="1596"/>
      <c r="O747" s="1460"/>
      <c r="P747" s="1461"/>
      <c r="Q747" s="1461"/>
      <c r="R747" s="1461"/>
      <c r="S747" s="1462"/>
      <c r="T747" s="1460"/>
      <c r="U747" s="1461"/>
      <c r="V747" s="1461"/>
      <c r="W747" s="1462"/>
      <c r="X747" s="1362">
        <f t="shared" si="39"/>
        <v>0</v>
      </c>
      <c r="Y747" s="1363"/>
      <c r="Z747" s="1363"/>
      <c r="AA747" s="1363"/>
      <c r="AB747" s="1364"/>
      <c r="AC747" s="1603"/>
      <c r="AD747" s="1604"/>
      <c r="AE747" s="1604"/>
      <c r="AF747" s="1604"/>
      <c r="AG747" s="1605"/>
      <c r="AH747" s="1365" t="str">
        <f t="shared" si="36"/>
        <v/>
      </c>
      <c r="AI747" s="1366"/>
      <c r="AJ747" s="1367"/>
      <c r="AK747" s="1359" t="s">
        <v>592</v>
      </c>
      <c r="AL747" s="1360"/>
      <c r="AM747" s="1360"/>
      <c r="AN747" s="1360"/>
      <c r="AO747" s="1361"/>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5">
        <f t="shared" si="37"/>
        <v>0</v>
      </c>
      <c r="CH747" s="1357"/>
      <c r="CI747" s="1339">
        <f t="shared" si="38"/>
        <v>0</v>
      </c>
      <c r="CJ747" s="1341"/>
      <c r="CK747" s="1355">
        <f t="shared" si="16"/>
        <v>0</v>
      </c>
      <c r="CL747" s="1357"/>
      <c r="CM747" s="1339">
        <f t="shared" si="17"/>
        <v>0</v>
      </c>
      <c r="CN747" s="1341"/>
      <c r="CO747" s="3"/>
      <c r="CP747" s="1332">
        <f t="shared" si="18"/>
        <v>0</v>
      </c>
      <c r="CQ747" s="1333"/>
      <c r="CR747" s="1333"/>
      <c r="CS747" s="1333"/>
      <c r="CT747" s="1334"/>
      <c r="CU747" s="1358">
        <f t="shared" si="19"/>
        <v>0</v>
      </c>
      <c r="CV747" s="1358"/>
      <c r="CW747" s="1358"/>
      <c r="CX747" s="1358"/>
      <c r="CY747" s="1358"/>
      <c r="CZ747" s="1358">
        <f t="shared" si="20"/>
        <v>0</v>
      </c>
      <c r="DA747" s="1358"/>
      <c r="DB747" s="1358"/>
      <c r="DC747" s="1358"/>
      <c r="DD747" s="1358"/>
      <c r="DE747" s="1358">
        <f t="shared" si="21"/>
        <v>0</v>
      </c>
      <c r="DF747" s="1358"/>
      <c r="DG747" s="1358"/>
      <c r="DH747" s="1358"/>
      <c r="DI747" s="1358"/>
      <c r="DJ747" s="1358">
        <f t="shared" si="22"/>
        <v>0</v>
      </c>
      <c r="DK747" s="1358"/>
      <c r="DL747" s="1358"/>
      <c r="DM747" s="1358"/>
      <c r="DN747" s="1358"/>
      <c r="DO747" s="1358">
        <f t="shared" si="23"/>
        <v>0</v>
      </c>
      <c r="DP747" s="1358"/>
      <c r="DQ747" s="1358"/>
      <c r="DR747" s="1358"/>
      <c r="DS747" s="1358"/>
      <c r="DT747" s="6"/>
      <c r="DU747" s="1372">
        <f t="shared" si="24"/>
        <v>0</v>
      </c>
      <c r="DV747" s="1372"/>
      <c r="DW747" s="1372"/>
      <c r="DX747" s="1372"/>
      <c r="DY747" s="1372"/>
      <c r="DZ747" s="1372">
        <f t="shared" si="25"/>
        <v>0</v>
      </c>
      <c r="EA747" s="1372"/>
      <c r="EB747" s="1372"/>
      <c r="EC747" s="1372"/>
      <c r="ED747" s="1372"/>
      <c r="EE747" s="1372">
        <f t="shared" si="26"/>
        <v>0</v>
      </c>
      <c r="EF747" s="1372"/>
      <c r="EG747" s="1372"/>
      <c r="EH747" s="1372"/>
      <c r="EI747" s="1372"/>
      <c r="EJ747" s="1372">
        <f t="shared" si="27"/>
        <v>0</v>
      </c>
      <c r="EK747" s="1372"/>
      <c r="EL747" s="1372"/>
      <c r="EM747" s="1372"/>
      <c r="EN747" s="1372"/>
      <c r="EO747" s="1372">
        <f t="shared" si="28"/>
        <v>0</v>
      </c>
      <c r="EP747" s="1372"/>
      <c r="EQ747" s="1372"/>
      <c r="ER747" s="1372"/>
      <c r="ES747" s="1372"/>
      <c r="ET747" s="1372">
        <f t="shared" si="29"/>
        <v>0</v>
      </c>
      <c r="EU747" s="1372"/>
      <c r="EV747" s="1372"/>
      <c r="EW747" s="1372"/>
      <c r="EX747" s="1372"/>
      <c r="EZ747" s="1355" t="str">
        <f t="shared" si="30"/>
        <v/>
      </c>
      <c r="FA747" s="1356"/>
      <c r="FB747" s="1356"/>
      <c r="FC747" s="1356"/>
      <c r="FD747" s="1357"/>
      <c r="FE747" s="1355" t="str">
        <f t="shared" si="31"/>
        <v/>
      </c>
      <c r="FF747" s="1356"/>
      <c r="FG747" s="1356"/>
      <c r="FH747" s="1356"/>
      <c r="FI747" s="1357"/>
      <c r="FJ747" s="1355" t="str">
        <f t="shared" si="32"/>
        <v/>
      </c>
      <c r="FK747" s="1356"/>
      <c r="FL747" s="1356"/>
      <c r="FM747" s="1356"/>
      <c r="FN747" s="1357"/>
      <c r="FO747" s="1355" t="str">
        <f t="shared" si="33"/>
        <v/>
      </c>
      <c r="FP747" s="1356"/>
      <c r="FQ747" s="1356"/>
      <c r="FR747" s="1356"/>
      <c r="FS747" s="1357"/>
      <c r="FT747" s="1355" t="str">
        <f t="shared" si="34"/>
        <v/>
      </c>
      <c r="FU747" s="1356"/>
      <c r="FV747" s="1356"/>
      <c r="FW747" s="1356"/>
      <c r="FX747" s="1357"/>
      <c r="FY747" s="1355" t="str">
        <f t="shared" si="35"/>
        <v/>
      </c>
      <c r="FZ747" s="1356"/>
      <c r="GA747" s="1356"/>
      <c r="GB747" s="1356"/>
      <c r="GC747" s="1357"/>
    </row>
    <row r="748" spans="1:185" s="3" customFormat="1" ht="12.95" customHeight="1">
      <c r="A748"/>
      <c r="B748" s="1359"/>
      <c r="C748" s="1360"/>
      <c r="D748" s="1360"/>
      <c r="E748" s="1360"/>
      <c r="F748" s="1361"/>
      <c r="G748" s="1368"/>
      <c r="H748" s="1369"/>
      <c r="I748" s="1369"/>
      <c r="J748" s="1370"/>
      <c r="K748" s="1594"/>
      <c r="L748" s="1595"/>
      <c r="M748" s="1595"/>
      <c r="N748" s="1596"/>
      <c r="O748" s="1460"/>
      <c r="P748" s="1461"/>
      <c r="Q748" s="1461"/>
      <c r="R748" s="1461"/>
      <c r="S748" s="1462"/>
      <c r="T748" s="1460"/>
      <c r="U748" s="1461"/>
      <c r="V748" s="1461"/>
      <c r="W748" s="1462"/>
      <c r="X748" s="1362">
        <f t="shared" si="39"/>
        <v>0</v>
      </c>
      <c r="Y748" s="1363"/>
      <c r="Z748" s="1363"/>
      <c r="AA748" s="1363"/>
      <c r="AB748" s="1364"/>
      <c r="AC748" s="1603"/>
      <c r="AD748" s="1604"/>
      <c r="AE748" s="1604"/>
      <c r="AF748" s="1604"/>
      <c r="AG748" s="1605"/>
      <c r="AH748" s="1365" t="str">
        <f t="shared" si="36"/>
        <v/>
      </c>
      <c r="AI748" s="1366"/>
      <c r="AJ748" s="1367"/>
      <c r="AK748" s="1359" t="s">
        <v>592</v>
      </c>
      <c r="AL748" s="1360"/>
      <c r="AM748" s="1360"/>
      <c r="AN748" s="1360"/>
      <c r="AO748" s="1361"/>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5">
        <f t="shared" si="37"/>
        <v>0</v>
      </c>
      <c r="CH748" s="1357"/>
      <c r="CI748" s="1339">
        <f t="shared" si="38"/>
        <v>0</v>
      </c>
      <c r="CJ748" s="1341"/>
      <c r="CK748" s="1355">
        <f t="shared" si="16"/>
        <v>0</v>
      </c>
      <c r="CL748" s="1357"/>
      <c r="CM748" s="1339">
        <f t="shared" si="17"/>
        <v>0</v>
      </c>
      <c r="CN748" s="1341"/>
      <c r="CP748" s="1332">
        <f t="shared" si="18"/>
        <v>0</v>
      </c>
      <c r="CQ748" s="1333"/>
      <c r="CR748" s="1333"/>
      <c r="CS748" s="1333"/>
      <c r="CT748" s="1334"/>
      <c r="CU748" s="1358">
        <f t="shared" si="19"/>
        <v>0</v>
      </c>
      <c r="CV748" s="1358"/>
      <c r="CW748" s="1358"/>
      <c r="CX748" s="1358"/>
      <c r="CY748" s="1358"/>
      <c r="CZ748" s="1358">
        <f t="shared" si="20"/>
        <v>0</v>
      </c>
      <c r="DA748" s="1358"/>
      <c r="DB748" s="1358"/>
      <c r="DC748" s="1358"/>
      <c r="DD748" s="1358"/>
      <c r="DE748" s="1358">
        <f t="shared" si="21"/>
        <v>0</v>
      </c>
      <c r="DF748" s="1358"/>
      <c r="DG748" s="1358"/>
      <c r="DH748" s="1358"/>
      <c r="DI748" s="1358"/>
      <c r="DJ748" s="1358">
        <f t="shared" si="22"/>
        <v>0</v>
      </c>
      <c r="DK748" s="1358"/>
      <c r="DL748" s="1358"/>
      <c r="DM748" s="1358"/>
      <c r="DN748" s="1358"/>
      <c r="DO748" s="1358">
        <f t="shared" si="23"/>
        <v>0</v>
      </c>
      <c r="DP748" s="1358"/>
      <c r="DQ748" s="1358"/>
      <c r="DR748" s="1358"/>
      <c r="DS748" s="1358"/>
      <c r="DT748" s="6"/>
      <c r="DU748" s="1372">
        <f t="shared" si="24"/>
        <v>0</v>
      </c>
      <c r="DV748" s="1372"/>
      <c r="DW748" s="1372"/>
      <c r="DX748" s="1372"/>
      <c r="DY748" s="1372"/>
      <c r="DZ748" s="1372">
        <f t="shared" si="25"/>
        <v>0</v>
      </c>
      <c r="EA748" s="1372"/>
      <c r="EB748" s="1372"/>
      <c r="EC748" s="1372"/>
      <c r="ED748" s="1372"/>
      <c r="EE748" s="1372">
        <f t="shared" si="26"/>
        <v>0</v>
      </c>
      <c r="EF748" s="1372"/>
      <c r="EG748" s="1372"/>
      <c r="EH748" s="1372"/>
      <c r="EI748" s="1372"/>
      <c r="EJ748" s="1372">
        <f t="shared" si="27"/>
        <v>0</v>
      </c>
      <c r="EK748" s="1372"/>
      <c r="EL748" s="1372"/>
      <c r="EM748" s="1372"/>
      <c r="EN748" s="1372"/>
      <c r="EO748" s="1372">
        <f t="shared" si="28"/>
        <v>0</v>
      </c>
      <c r="EP748" s="1372"/>
      <c r="EQ748" s="1372"/>
      <c r="ER748" s="1372"/>
      <c r="ES748" s="1372"/>
      <c r="ET748" s="1372">
        <f t="shared" si="29"/>
        <v>0</v>
      </c>
      <c r="EU748" s="1372"/>
      <c r="EV748" s="1372"/>
      <c r="EW748" s="1372"/>
      <c r="EX748" s="1372"/>
      <c r="EY748"/>
      <c r="EZ748" s="1355" t="str">
        <f t="shared" si="30"/>
        <v/>
      </c>
      <c r="FA748" s="1356"/>
      <c r="FB748" s="1356"/>
      <c r="FC748" s="1356"/>
      <c r="FD748" s="1357"/>
      <c r="FE748" s="1355" t="str">
        <f t="shared" si="31"/>
        <v/>
      </c>
      <c r="FF748" s="1356"/>
      <c r="FG748" s="1356"/>
      <c r="FH748" s="1356"/>
      <c r="FI748" s="1357"/>
      <c r="FJ748" s="1355" t="str">
        <f t="shared" si="32"/>
        <v/>
      </c>
      <c r="FK748" s="1356"/>
      <c r="FL748" s="1356"/>
      <c r="FM748" s="1356"/>
      <c r="FN748" s="1357"/>
      <c r="FO748" s="1355" t="str">
        <f t="shared" si="33"/>
        <v/>
      </c>
      <c r="FP748" s="1356"/>
      <c r="FQ748" s="1356"/>
      <c r="FR748" s="1356"/>
      <c r="FS748" s="1357"/>
      <c r="FT748" s="1355" t="str">
        <f t="shared" si="34"/>
        <v/>
      </c>
      <c r="FU748" s="1356"/>
      <c r="FV748" s="1356"/>
      <c r="FW748" s="1356"/>
      <c r="FX748" s="1357"/>
      <c r="FY748" s="1355" t="str">
        <f t="shared" si="35"/>
        <v/>
      </c>
      <c r="FZ748" s="1356"/>
      <c r="GA748" s="1356"/>
      <c r="GB748" s="1356"/>
      <c r="GC748" s="1357"/>
    </row>
    <row r="749" spans="1:185" s="3" customFormat="1" ht="12.95" customHeight="1">
      <c r="A749"/>
      <c r="B749" s="1359"/>
      <c r="C749" s="1360"/>
      <c r="D749" s="1360"/>
      <c r="E749" s="1360"/>
      <c r="F749" s="1361"/>
      <c r="G749" s="1368"/>
      <c r="H749" s="1369"/>
      <c r="I749" s="1369"/>
      <c r="J749" s="1370"/>
      <c r="K749" s="1594"/>
      <c r="L749" s="1595"/>
      <c r="M749" s="1595"/>
      <c r="N749" s="1596"/>
      <c r="O749" s="1460"/>
      <c r="P749" s="1461"/>
      <c r="Q749" s="1461"/>
      <c r="R749" s="1461"/>
      <c r="S749" s="1462"/>
      <c r="T749" s="1460"/>
      <c r="U749" s="1461"/>
      <c r="V749" s="1461"/>
      <c r="W749" s="1462"/>
      <c r="X749" s="1362">
        <f t="shared" si="39"/>
        <v>0</v>
      </c>
      <c r="Y749" s="1363"/>
      <c r="Z749" s="1363"/>
      <c r="AA749" s="1363"/>
      <c r="AB749" s="1364"/>
      <c r="AC749" s="1603"/>
      <c r="AD749" s="1604"/>
      <c r="AE749" s="1604"/>
      <c r="AF749" s="1604"/>
      <c r="AG749" s="1605"/>
      <c r="AH749" s="1365" t="str">
        <f t="shared" si="36"/>
        <v/>
      </c>
      <c r="AI749" s="1366"/>
      <c r="AJ749" s="1367"/>
      <c r="AK749" s="1359" t="s">
        <v>592</v>
      </c>
      <c r="AL749" s="1360"/>
      <c r="AM749" s="1360"/>
      <c r="AN749" s="1360"/>
      <c r="AO749" s="1361"/>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5">
        <f t="shared" si="37"/>
        <v>0</v>
      </c>
      <c r="CH749" s="1357"/>
      <c r="CI749" s="1339">
        <f t="shared" si="38"/>
        <v>0</v>
      </c>
      <c r="CJ749" s="1341"/>
      <c r="CK749" s="1355">
        <f t="shared" si="16"/>
        <v>0</v>
      </c>
      <c r="CL749" s="1357"/>
      <c r="CM749" s="1339">
        <f t="shared" si="17"/>
        <v>0</v>
      </c>
      <c r="CN749" s="1341"/>
      <c r="CP749" s="1332">
        <f t="shared" si="18"/>
        <v>0</v>
      </c>
      <c r="CQ749" s="1333"/>
      <c r="CR749" s="1333"/>
      <c r="CS749" s="1333"/>
      <c r="CT749" s="1334"/>
      <c r="CU749" s="1358">
        <f t="shared" si="19"/>
        <v>0</v>
      </c>
      <c r="CV749" s="1358"/>
      <c r="CW749" s="1358"/>
      <c r="CX749" s="1358"/>
      <c r="CY749" s="1358"/>
      <c r="CZ749" s="1358">
        <f t="shared" si="20"/>
        <v>0</v>
      </c>
      <c r="DA749" s="1358"/>
      <c r="DB749" s="1358"/>
      <c r="DC749" s="1358"/>
      <c r="DD749" s="1358"/>
      <c r="DE749" s="1358">
        <f t="shared" si="21"/>
        <v>0</v>
      </c>
      <c r="DF749" s="1358"/>
      <c r="DG749" s="1358"/>
      <c r="DH749" s="1358"/>
      <c r="DI749" s="1358"/>
      <c r="DJ749" s="1358">
        <f t="shared" si="22"/>
        <v>0</v>
      </c>
      <c r="DK749" s="1358"/>
      <c r="DL749" s="1358"/>
      <c r="DM749" s="1358"/>
      <c r="DN749" s="1358"/>
      <c r="DO749" s="1358">
        <f t="shared" si="23"/>
        <v>0</v>
      </c>
      <c r="DP749" s="1358"/>
      <c r="DQ749" s="1358"/>
      <c r="DR749" s="1358"/>
      <c r="DS749" s="1358"/>
      <c r="DT749" s="6"/>
      <c r="DU749" s="1372">
        <f t="shared" si="24"/>
        <v>0</v>
      </c>
      <c r="DV749" s="1372"/>
      <c r="DW749" s="1372"/>
      <c r="DX749" s="1372"/>
      <c r="DY749" s="1372"/>
      <c r="DZ749" s="1372">
        <f t="shared" si="25"/>
        <v>0</v>
      </c>
      <c r="EA749" s="1372"/>
      <c r="EB749" s="1372"/>
      <c r="EC749" s="1372"/>
      <c r="ED749" s="1372"/>
      <c r="EE749" s="1372">
        <f t="shared" si="26"/>
        <v>0</v>
      </c>
      <c r="EF749" s="1372"/>
      <c r="EG749" s="1372"/>
      <c r="EH749" s="1372"/>
      <c r="EI749" s="1372"/>
      <c r="EJ749" s="1372">
        <f t="shared" si="27"/>
        <v>0</v>
      </c>
      <c r="EK749" s="1372"/>
      <c r="EL749" s="1372"/>
      <c r="EM749" s="1372"/>
      <c r="EN749" s="1372"/>
      <c r="EO749" s="1372">
        <f t="shared" si="28"/>
        <v>0</v>
      </c>
      <c r="EP749" s="1372"/>
      <c r="EQ749" s="1372"/>
      <c r="ER749" s="1372"/>
      <c r="ES749" s="1372"/>
      <c r="ET749" s="1372">
        <f t="shared" si="29"/>
        <v>0</v>
      </c>
      <c r="EU749" s="1372"/>
      <c r="EV749" s="1372"/>
      <c r="EW749" s="1372"/>
      <c r="EX749" s="1372"/>
      <c r="EY749"/>
      <c r="EZ749" s="1355" t="str">
        <f t="shared" si="30"/>
        <v/>
      </c>
      <c r="FA749" s="1356"/>
      <c r="FB749" s="1356"/>
      <c r="FC749" s="1356"/>
      <c r="FD749" s="1357"/>
      <c r="FE749" s="1355" t="str">
        <f t="shared" si="31"/>
        <v/>
      </c>
      <c r="FF749" s="1356"/>
      <c r="FG749" s="1356"/>
      <c r="FH749" s="1356"/>
      <c r="FI749" s="1357"/>
      <c r="FJ749" s="1355" t="str">
        <f t="shared" si="32"/>
        <v/>
      </c>
      <c r="FK749" s="1356"/>
      <c r="FL749" s="1356"/>
      <c r="FM749" s="1356"/>
      <c r="FN749" s="1357"/>
      <c r="FO749" s="1355" t="str">
        <f t="shared" si="33"/>
        <v/>
      </c>
      <c r="FP749" s="1356"/>
      <c r="FQ749" s="1356"/>
      <c r="FR749" s="1356"/>
      <c r="FS749" s="1357"/>
      <c r="FT749" s="1355" t="str">
        <f t="shared" si="34"/>
        <v/>
      </c>
      <c r="FU749" s="1356"/>
      <c r="FV749" s="1356"/>
      <c r="FW749" s="1356"/>
      <c r="FX749" s="1357"/>
      <c r="FY749" s="1355" t="str">
        <f t="shared" si="35"/>
        <v/>
      </c>
      <c r="FZ749" s="1356"/>
      <c r="GA749" s="1356"/>
      <c r="GB749" s="1356"/>
      <c r="GC749" s="1357"/>
    </row>
    <row r="750" spans="1:185" s="3" customFormat="1" ht="12.95" customHeight="1">
      <c r="A750"/>
      <c r="B750" s="1359"/>
      <c r="C750" s="1360"/>
      <c r="D750" s="1360"/>
      <c r="E750" s="1360"/>
      <c r="F750" s="1361"/>
      <c r="G750" s="1368"/>
      <c r="H750" s="1369"/>
      <c r="I750" s="1369"/>
      <c r="J750" s="1370"/>
      <c r="K750" s="1594"/>
      <c r="L750" s="1595"/>
      <c r="M750" s="1595"/>
      <c r="N750" s="1596"/>
      <c r="O750" s="1460"/>
      <c r="P750" s="1461"/>
      <c r="Q750" s="1461"/>
      <c r="R750" s="1461"/>
      <c r="S750" s="1462"/>
      <c r="T750" s="1460"/>
      <c r="U750" s="1461"/>
      <c r="V750" s="1461"/>
      <c r="W750" s="1462"/>
      <c r="X750" s="1362">
        <f t="shared" si="39"/>
        <v>0</v>
      </c>
      <c r="Y750" s="1363"/>
      <c r="Z750" s="1363"/>
      <c r="AA750" s="1363"/>
      <c r="AB750" s="1364"/>
      <c r="AC750" s="1603"/>
      <c r="AD750" s="1604"/>
      <c r="AE750" s="1604"/>
      <c r="AF750" s="1604"/>
      <c r="AG750" s="1605"/>
      <c r="AH750" s="1365" t="str">
        <f t="shared" si="36"/>
        <v/>
      </c>
      <c r="AI750" s="1366"/>
      <c r="AJ750" s="1367"/>
      <c r="AK750" s="1359" t="s">
        <v>592</v>
      </c>
      <c r="AL750" s="1360"/>
      <c r="AM750" s="1360"/>
      <c r="AN750" s="1360"/>
      <c r="AO750" s="1361"/>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5">
        <f t="shared" si="37"/>
        <v>0</v>
      </c>
      <c r="CH750" s="1357"/>
      <c r="CI750" s="1339">
        <f t="shared" si="38"/>
        <v>0</v>
      </c>
      <c r="CJ750" s="1341"/>
      <c r="CK750" s="1355">
        <f t="shared" si="16"/>
        <v>0</v>
      </c>
      <c r="CL750" s="1357"/>
      <c r="CM750" s="1339">
        <f t="shared" si="17"/>
        <v>0</v>
      </c>
      <c r="CN750" s="1341"/>
      <c r="CP750" s="1332">
        <f t="shared" si="18"/>
        <v>0</v>
      </c>
      <c r="CQ750" s="1333"/>
      <c r="CR750" s="1333"/>
      <c r="CS750" s="1333"/>
      <c r="CT750" s="1334"/>
      <c r="CU750" s="1358">
        <f t="shared" si="19"/>
        <v>0</v>
      </c>
      <c r="CV750" s="1358"/>
      <c r="CW750" s="1358"/>
      <c r="CX750" s="1358"/>
      <c r="CY750" s="1358"/>
      <c r="CZ750" s="1358">
        <f t="shared" si="20"/>
        <v>0</v>
      </c>
      <c r="DA750" s="1358"/>
      <c r="DB750" s="1358"/>
      <c r="DC750" s="1358"/>
      <c r="DD750" s="1358"/>
      <c r="DE750" s="1358">
        <f t="shared" si="21"/>
        <v>0</v>
      </c>
      <c r="DF750" s="1358"/>
      <c r="DG750" s="1358"/>
      <c r="DH750" s="1358"/>
      <c r="DI750" s="1358"/>
      <c r="DJ750" s="1358">
        <f t="shared" si="22"/>
        <v>0</v>
      </c>
      <c r="DK750" s="1358"/>
      <c r="DL750" s="1358"/>
      <c r="DM750" s="1358"/>
      <c r="DN750" s="1358"/>
      <c r="DO750" s="1358">
        <f t="shared" si="23"/>
        <v>0</v>
      </c>
      <c r="DP750" s="1358"/>
      <c r="DQ750" s="1358"/>
      <c r="DR750" s="1358"/>
      <c r="DS750" s="1358"/>
      <c r="DT750" s="6"/>
      <c r="DU750" s="1372">
        <f t="shared" si="24"/>
        <v>0</v>
      </c>
      <c r="DV750" s="1372"/>
      <c r="DW750" s="1372"/>
      <c r="DX750" s="1372"/>
      <c r="DY750" s="1372"/>
      <c r="DZ750" s="1372">
        <f t="shared" si="25"/>
        <v>0</v>
      </c>
      <c r="EA750" s="1372"/>
      <c r="EB750" s="1372"/>
      <c r="EC750" s="1372"/>
      <c r="ED750" s="1372"/>
      <c r="EE750" s="1372">
        <f t="shared" si="26"/>
        <v>0</v>
      </c>
      <c r="EF750" s="1372"/>
      <c r="EG750" s="1372"/>
      <c r="EH750" s="1372"/>
      <c r="EI750" s="1372"/>
      <c r="EJ750" s="1372">
        <f t="shared" si="27"/>
        <v>0</v>
      </c>
      <c r="EK750" s="1372"/>
      <c r="EL750" s="1372"/>
      <c r="EM750" s="1372"/>
      <c r="EN750" s="1372"/>
      <c r="EO750" s="1372">
        <f t="shared" si="28"/>
        <v>0</v>
      </c>
      <c r="EP750" s="1372"/>
      <c r="EQ750" s="1372"/>
      <c r="ER750" s="1372"/>
      <c r="ES750" s="1372"/>
      <c r="ET750" s="1372">
        <f t="shared" si="29"/>
        <v>0</v>
      </c>
      <c r="EU750" s="1372"/>
      <c r="EV750" s="1372"/>
      <c r="EW750" s="1372"/>
      <c r="EX750" s="1372"/>
      <c r="EY750"/>
      <c r="EZ750" s="1355" t="str">
        <f t="shared" si="30"/>
        <v/>
      </c>
      <c r="FA750" s="1356"/>
      <c r="FB750" s="1356"/>
      <c r="FC750" s="1356"/>
      <c r="FD750" s="1357"/>
      <c r="FE750" s="1355" t="str">
        <f t="shared" si="31"/>
        <v/>
      </c>
      <c r="FF750" s="1356"/>
      <c r="FG750" s="1356"/>
      <c r="FH750" s="1356"/>
      <c r="FI750" s="1357"/>
      <c r="FJ750" s="1355" t="str">
        <f t="shared" si="32"/>
        <v/>
      </c>
      <c r="FK750" s="1356"/>
      <c r="FL750" s="1356"/>
      <c r="FM750" s="1356"/>
      <c r="FN750" s="1357"/>
      <c r="FO750" s="1355" t="str">
        <f t="shared" si="33"/>
        <v/>
      </c>
      <c r="FP750" s="1356"/>
      <c r="FQ750" s="1356"/>
      <c r="FR750" s="1356"/>
      <c r="FS750" s="1357"/>
      <c r="FT750" s="1355" t="str">
        <f t="shared" si="34"/>
        <v/>
      </c>
      <c r="FU750" s="1356"/>
      <c r="FV750" s="1356"/>
      <c r="FW750" s="1356"/>
      <c r="FX750" s="1357"/>
      <c r="FY750" s="1355" t="str">
        <f t="shared" si="35"/>
        <v/>
      </c>
      <c r="FZ750" s="1356"/>
      <c r="GA750" s="1356"/>
      <c r="GB750" s="1356"/>
      <c r="GC750" s="1357"/>
    </row>
    <row r="751" spans="1:185" s="3" customFormat="1" ht="12.95" customHeight="1">
      <c r="A751"/>
      <c r="B751" s="1359"/>
      <c r="C751" s="1360"/>
      <c r="D751" s="1360"/>
      <c r="E751" s="1360"/>
      <c r="F751" s="1361"/>
      <c r="G751" s="1368"/>
      <c r="H751" s="1369"/>
      <c r="I751" s="1369"/>
      <c r="J751" s="1370"/>
      <c r="K751" s="1594"/>
      <c r="L751" s="1595"/>
      <c r="M751" s="1595"/>
      <c r="N751" s="1596"/>
      <c r="O751" s="1460"/>
      <c r="P751" s="1461"/>
      <c r="Q751" s="1461"/>
      <c r="R751" s="1461"/>
      <c r="S751" s="1462"/>
      <c r="T751" s="1460"/>
      <c r="U751" s="1461"/>
      <c r="V751" s="1461"/>
      <c r="W751" s="1462"/>
      <c r="X751" s="1362">
        <f t="shared" si="39"/>
        <v>0</v>
      </c>
      <c r="Y751" s="1363"/>
      <c r="Z751" s="1363"/>
      <c r="AA751" s="1363"/>
      <c r="AB751" s="1364"/>
      <c r="AC751" s="1603"/>
      <c r="AD751" s="1604"/>
      <c r="AE751" s="1604"/>
      <c r="AF751" s="1604"/>
      <c r="AG751" s="1605"/>
      <c r="AH751" s="1365" t="str">
        <f t="shared" si="36"/>
        <v/>
      </c>
      <c r="AI751" s="1366"/>
      <c r="AJ751" s="1367"/>
      <c r="AK751" s="1359" t="s">
        <v>592</v>
      </c>
      <c r="AL751" s="1360"/>
      <c r="AM751" s="1360"/>
      <c r="AN751" s="1360"/>
      <c r="AO751" s="1361"/>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5">
        <f t="shared" si="37"/>
        <v>0</v>
      </c>
      <c r="CH751" s="1357"/>
      <c r="CI751" s="1339">
        <f t="shared" si="38"/>
        <v>0</v>
      </c>
      <c r="CJ751" s="1341"/>
      <c r="CK751" s="1355">
        <f t="shared" si="16"/>
        <v>0</v>
      </c>
      <c r="CL751" s="1357"/>
      <c r="CM751" s="1339">
        <f t="shared" si="17"/>
        <v>0</v>
      </c>
      <c r="CN751" s="1341"/>
      <c r="CP751" s="1332">
        <f t="shared" si="18"/>
        <v>0</v>
      </c>
      <c r="CQ751" s="1333"/>
      <c r="CR751" s="1333"/>
      <c r="CS751" s="1333"/>
      <c r="CT751" s="1334"/>
      <c r="CU751" s="1358">
        <f t="shared" si="19"/>
        <v>0</v>
      </c>
      <c r="CV751" s="1358"/>
      <c r="CW751" s="1358"/>
      <c r="CX751" s="1358"/>
      <c r="CY751" s="1358"/>
      <c r="CZ751" s="1358">
        <f t="shared" si="20"/>
        <v>0</v>
      </c>
      <c r="DA751" s="1358"/>
      <c r="DB751" s="1358"/>
      <c r="DC751" s="1358"/>
      <c r="DD751" s="1358"/>
      <c r="DE751" s="1358">
        <f t="shared" si="21"/>
        <v>0</v>
      </c>
      <c r="DF751" s="1358"/>
      <c r="DG751" s="1358"/>
      <c r="DH751" s="1358"/>
      <c r="DI751" s="1358"/>
      <c r="DJ751" s="1358">
        <f t="shared" si="22"/>
        <v>0</v>
      </c>
      <c r="DK751" s="1358"/>
      <c r="DL751" s="1358"/>
      <c r="DM751" s="1358"/>
      <c r="DN751" s="1358"/>
      <c r="DO751" s="1358">
        <f t="shared" si="23"/>
        <v>0</v>
      </c>
      <c r="DP751" s="1358"/>
      <c r="DQ751" s="1358"/>
      <c r="DR751" s="1358"/>
      <c r="DS751" s="1358"/>
      <c r="DT751" s="6"/>
      <c r="DU751" s="1372">
        <f t="shared" si="24"/>
        <v>0</v>
      </c>
      <c r="DV751" s="1372"/>
      <c r="DW751" s="1372"/>
      <c r="DX751" s="1372"/>
      <c r="DY751" s="1372"/>
      <c r="DZ751" s="1372">
        <f t="shared" si="25"/>
        <v>0</v>
      </c>
      <c r="EA751" s="1372"/>
      <c r="EB751" s="1372"/>
      <c r="EC751" s="1372"/>
      <c r="ED751" s="1372"/>
      <c r="EE751" s="1372">
        <f t="shared" si="26"/>
        <v>0</v>
      </c>
      <c r="EF751" s="1372"/>
      <c r="EG751" s="1372"/>
      <c r="EH751" s="1372"/>
      <c r="EI751" s="1372"/>
      <c r="EJ751" s="1372">
        <f t="shared" si="27"/>
        <v>0</v>
      </c>
      <c r="EK751" s="1372"/>
      <c r="EL751" s="1372"/>
      <c r="EM751" s="1372"/>
      <c r="EN751" s="1372"/>
      <c r="EO751" s="1372">
        <f t="shared" si="28"/>
        <v>0</v>
      </c>
      <c r="EP751" s="1372"/>
      <c r="EQ751" s="1372"/>
      <c r="ER751" s="1372"/>
      <c r="ES751" s="1372"/>
      <c r="ET751" s="1372">
        <f t="shared" si="29"/>
        <v>0</v>
      </c>
      <c r="EU751" s="1372"/>
      <c r="EV751" s="1372"/>
      <c r="EW751" s="1372"/>
      <c r="EX751" s="1372"/>
      <c r="EY751"/>
      <c r="EZ751" s="1355" t="str">
        <f t="shared" si="30"/>
        <v/>
      </c>
      <c r="FA751" s="1356"/>
      <c r="FB751" s="1356"/>
      <c r="FC751" s="1356"/>
      <c r="FD751" s="1357"/>
      <c r="FE751" s="1355" t="str">
        <f t="shared" si="31"/>
        <v/>
      </c>
      <c r="FF751" s="1356"/>
      <c r="FG751" s="1356"/>
      <c r="FH751" s="1356"/>
      <c r="FI751" s="1357"/>
      <c r="FJ751" s="1355" t="str">
        <f t="shared" si="32"/>
        <v/>
      </c>
      <c r="FK751" s="1356"/>
      <c r="FL751" s="1356"/>
      <c r="FM751" s="1356"/>
      <c r="FN751" s="1357"/>
      <c r="FO751" s="1355" t="str">
        <f t="shared" si="33"/>
        <v/>
      </c>
      <c r="FP751" s="1356"/>
      <c r="FQ751" s="1356"/>
      <c r="FR751" s="1356"/>
      <c r="FS751" s="1357"/>
      <c r="FT751" s="1355" t="str">
        <f t="shared" si="34"/>
        <v/>
      </c>
      <c r="FU751" s="1356"/>
      <c r="FV751" s="1356"/>
      <c r="FW751" s="1356"/>
      <c r="FX751" s="1357"/>
      <c r="FY751" s="1355" t="str">
        <f t="shared" si="35"/>
        <v/>
      </c>
      <c r="FZ751" s="1356"/>
      <c r="GA751" s="1356"/>
      <c r="GB751" s="1356"/>
      <c r="GC751" s="1357"/>
    </row>
    <row r="752" spans="1:185" s="3" customFormat="1" ht="12.95" customHeight="1">
      <c r="A752"/>
      <c r="B752" s="1359"/>
      <c r="C752" s="1360"/>
      <c r="D752" s="1360"/>
      <c r="E752" s="1360"/>
      <c r="F752" s="1361"/>
      <c r="G752" s="1368"/>
      <c r="H752" s="1369"/>
      <c r="I752" s="1369"/>
      <c r="J752" s="1370"/>
      <c r="K752" s="1594"/>
      <c r="L752" s="1595"/>
      <c r="M752" s="1595"/>
      <c r="N752" s="1596"/>
      <c r="O752" s="1460"/>
      <c r="P752" s="1461"/>
      <c r="Q752" s="1461"/>
      <c r="R752" s="1461"/>
      <c r="S752" s="1462"/>
      <c r="T752" s="1460"/>
      <c r="U752" s="1461"/>
      <c r="V752" s="1461"/>
      <c r="W752" s="1462"/>
      <c r="X752" s="1362">
        <f>O752+T752</f>
        <v>0</v>
      </c>
      <c r="Y752" s="1363"/>
      <c r="Z752" s="1363"/>
      <c r="AA752" s="1363"/>
      <c r="AB752" s="1364"/>
      <c r="AC752" s="1603"/>
      <c r="AD752" s="1604"/>
      <c r="AE752" s="1604"/>
      <c r="AF752" s="1604"/>
      <c r="AG752" s="1605"/>
      <c r="AH752" s="1365" t="str">
        <f t="shared" si="36"/>
        <v/>
      </c>
      <c r="AI752" s="1366"/>
      <c r="AJ752" s="1367"/>
      <c r="AK752" s="1359" t="s">
        <v>592</v>
      </c>
      <c r="AL752" s="1360"/>
      <c r="AM752" s="1360"/>
      <c r="AN752" s="1360"/>
      <c r="AO752" s="1361"/>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5">
        <f t="shared" si="37"/>
        <v>0</v>
      </c>
      <c r="CH752" s="1357"/>
      <c r="CI752" s="1339">
        <f t="shared" si="38"/>
        <v>0</v>
      </c>
      <c r="CJ752" s="1341"/>
      <c r="CK752" s="1355">
        <f t="shared" si="16"/>
        <v>0</v>
      </c>
      <c r="CL752" s="1357"/>
      <c r="CM752" s="1339">
        <f t="shared" si="17"/>
        <v>0</v>
      </c>
      <c r="CN752" s="1341"/>
      <c r="CP752" s="1332">
        <f t="shared" si="18"/>
        <v>0</v>
      </c>
      <c r="CQ752" s="1333"/>
      <c r="CR752" s="1333"/>
      <c r="CS752" s="1333"/>
      <c r="CT752" s="1334"/>
      <c r="CU752" s="1358">
        <f t="shared" si="19"/>
        <v>0</v>
      </c>
      <c r="CV752" s="1358"/>
      <c r="CW752" s="1358"/>
      <c r="CX752" s="1358"/>
      <c r="CY752" s="1358"/>
      <c r="CZ752" s="1358">
        <f t="shared" si="20"/>
        <v>0</v>
      </c>
      <c r="DA752" s="1358"/>
      <c r="DB752" s="1358"/>
      <c r="DC752" s="1358"/>
      <c r="DD752" s="1358"/>
      <c r="DE752" s="1358">
        <f t="shared" si="21"/>
        <v>0</v>
      </c>
      <c r="DF752" s="1358"/>
      <c r="DG752" s="1358"/>
      <c r="DH752" s="1358"/>
      <c r="DI752" s="1358"/>
      <c r="DJ752" s="1358">
        <f t="shared" si="22"/>
        <v>0</v>
      </c>
      <c r="DK752" s="1358"/>
      <c r="DL752" s="1358"/>
      <c r="DM752" s="1358"/>
      <c r="DN752" s="1358"/>
      <c r="DO752" s="1358">
        <f t="shared" si="23"/>
        <v>0</v>
      </c>
      <c r="DP752" s="1358"/>
      <c r="DQ752" s="1358"/>
      <c r="DR752" s="1358"/>
      <c r="DS752" s="1358"/>
      <c r="DT752" s="6"/>
      <c r="DU752" s="1372">
        <f t="shared" si="24"/>
        <v>0</v>
      </c>
      <c r="DV752" s="1372"/>
      <c r="DW752" s="1372"/>
      <c r="DX752" s="1372"/>
      <c r="DY752" s="1372"/>
      <c r="DZ752" s="1372">
        <f t="shared" si="25"/>
        <v>0</v>
      </c>
      <c r="EA752" s="1372"/>
      <c r="EB752" s="1372"/>
      <c r="EC752" s="1372"/>
      <c r="ED752" s="1372"/>
      <c r="EE752" s="1372">
        <f t="shared" si="26"/>
        <v>0</v>
      </c>
      <c r="EF752" s="1372"/>
      <c r="EG752" s="1372"/>
      <c r="EH752" s="1372"/>
      <c r="EI752" s="1372"/>
      <c r="EJ752" s="1372">
        <f t="shared" si="27"/>
        <v>0</v>
      </c>
      <c r="EK752" s="1372"/>
      <c r="EL752" s="1372"/>
      <c r="EM752" s="1372"/>
      <c r="EN752" s="1372"/>
      <c r="EO752" s="1372">
        <f t="shared" si="28"/>
        <v>0</v>
      </c>
      <c r="EP752" s="1372"/>
      <c r="EQ752" s="1372"/>
      <c r="ER752" s="1372"/>
      <c r="ES752" s="1372"/>
      <c r="ET752" s="1372">
        <f t="shared" si="29"/>
        <v>0</v>
      </c>
      <c r="EU752" s="1372"/>
      <c r="EV752" s="1372"/>
      <c r="EW752" s="1372"/>
      <c r="EX752" s="1372"/>
      <c r="EY752"/>
      <c r="EZ752" s="1355" t="str">
        <f t="shared" si="30"/>
        <v/>
      </c>
      <c r="FA752" s="1356"/>
      <c r="FB752" s="1356"/>
      <c r="FC752" s="1356"/>
      <c r="FD752" s="1357"/>
      <c r="FE752" s="1355" t="str">
        <f t="shared" si="31"/>
        <v/>
      </c>
      <c r="FF752" s="1356"/>
      <c r="FG752" s="1356"/>
      <c r="FH752" s="1356"/>
      <c r="FI752" s="1357"/>
      <c r="FJ752" s="1355" t="str">
        <f t="shared" si="32"/>
        <v/>
      </c>
      <c r="FK752" s="1356"/>
      <c r="FL752" s="1356"/>
      <c r="FM752" s="1356"/>
      <c r="FN752" s="1357"/>
      <c r="FO752" s="1355" t="str">
        <f t="shared" si="33"/>
        <v/>
      </c>
      <c r="FP752" s="1356"/>
      <c r="FQ752" s="1356"/>
      <c r="FR752" s="1356"/>
      <c r="FS752" s="1357"/>
      <c r="FT752" s="1355" t="str">
        <f t="shared" si="34"/>
        <v/>
      </c>
      <c r="FU752" s="1356"/>
      <c r="FV752" s="1356"/>
      <c r="FW752" s="1356"/>
      <c r="FX752" s="1357"/>
      <c r="FY752" s="1355" t="str">
        <f t="shared" si="35"/>
        <v/>
      </c>
      <c r="FZ752" s="1356"/>
      <c r="GA752" s="1356"/>
      <c r="GB752" s="1356"/>
      <c r="GC752" s="1357"/>
    </row>
    <row r="753" spans="1:185" s="3" customFormat="1" ht="12.95" customHeight="1">
      <c r="A753"/>
      <c r="B753" s="1421" t="s">
        <v>125</v>
      </c>
      <c r="C753" s="1422"/>
      <c r="D753" s="1422"/>
      <c r="E753" s="1422"/>
      <c r="F753" s="1424"/>
      <c r="G753" s="1718">
        <f>SUM(G718:G752)</f>
        <v>78</v>
      </c>
      <c r="H753" s="1719"/>
      <c r="I753" s="1719"/>
      <c r="J753" s="1720"/>
      <c r="K753" s="902" t="s">
        <v>124</v>
      </c>
      <c r="L753" s="5"/>
      <c r="M753" s="5"/>
      <c r="N753" s="46"/>
      <c r="O753" s="1362">
        <f>SUMPRODUCT(G718:G752,O718:O752)</f>
        <v>157306</v>
      </c>
      <c r="P753" s="1363"/>
      <c r="Q753" s="1363"/>
      <c r="R753" s="1363"/>
      <c r="S753" s="1364"/>
      <c r="T753"/>
      <c r="U753"/>
      <c r="V753"/>
      <c r="W753"/>
      <c r="X753" s="904" t="s">
        <v>901</v>
      </c>
      <c r="Y753" s="903"/>
      <c r="Z753" s="903"/>
      <c r="AA753" s="903"/>
      <c r="AB753" s="905"/>
      <c r="AC753" s="1607">
        <f>BH753</f>
        <v>0.48717948717948717</v>
      </c>
      <c r="AD753" s="1608"/>
      <c r="AE753" s="1608"/>
      <c r="AF753" s="1608"/>
      <c r="AG753" s="1609"/>
      <c r="AH753" s="1607">
        <f>IFERROR(BU753,"")</f>
        <v>0.48718112395841562</v>
      </c>
      <c r="AI753" s="1608"/>
      <c r="AJ753" s="1609"/>
      <c r="AK753"/>
      <c r="AL753"/>
      <c r="AM753"/>
      <c r="AN753"/>
      <c r="AO753"/>
      <c r="AP753" s="205"/>
      <c r="AQ753" s="205"/>
      <c r="AR753" s="205"/>
      <c r="AS753" s="205"/>
      <c r="AT753"/>
      <c r="AU753"/>
      <c r="AV753"/>
      <c r="AW753"/>
      <c r="AX753"/>
      <c r="AY753"/>
      <c r="AZ753" s="34"/>
      <c r="BA753" s="34"/>
      <c r="BB753" s="34"/>
      <c r="BC753" s="34"/>
      <c r="BE753" s="290" t="s">
        <v>900</v>
      </c>
      <c r="BF753" s="299">
        <f>SUM(BF718:BF752)</f>
        <v>78</v>
      </c>
      <c r="BG753" s="300">
        <f>SUM(BG718:BG752)</f>
        <v>1</v>
      </c>
      <c r="BH753" s="300">
        <f>SUM(BH718:BH752)</f>
        <v>0.48717948717948717</v>
      </c>
      <c r="BI753"/>
      <c r="BJ753"/>
      <c r="BK753"/>
      <c r="BL753"/>
      <c r="BO753"/>
      <c r="BP753"/>
      <c r="BQ753"/>
      <c r="BR753"/>
      <c r="BS753" s="859">
        <f>SUM(BS718:BS752)</f>
        <v>78</v>
      </c>
      <c r="BT753" s="300">
        <f>SUM(BT718:BT752)</f>
        <v>1</v>
      </c>
      <c r="BU753" s="300">
        <f>SUM(BU718:BU752)</f>
        <v>0.48718112395841562</v>
      </c>
      <c r="CI753" s="1355">
        <f>SUM(CI718:CJ752)</f>
        <v>16</v>
      </c>
      <c r="CJ753" s="1357"/>
      <c r="CM753" s="1355">
        <f>SUM(CM718:CN752)</f>
        <v>24</v>
      </c>
      <c r="CN753" s="1357"/>
      <c r="CP753" s="1355">
        <f>SUM(CP718:CT752)</f>
        <v>5</v>
      </c>
      <c r="CQ753" s="1356"/>
      <c r="CR753" s="1356"/>
      <c r="CS753" s="1356"/>
      <c r="CT753" s="1357"/>
      <c r="CU753" s="1371">
        <f>SUM(CU718:CY752)</f>
        <v>32</v>
      </c>
      <c r="CV753" s="1371"/>
      <c r="CW753" s="1371"/>
      <c r="CX753" s="1371"/>
      <c r="CY753" s="1371"/>
      <c r="CZ753" s="1371">
        <f>SUM(CZ718:DD752)</f>
        <v>21</v>
      </c>
      <c r="DA753" s="1371"/>
      <c r="DB753" s="1371"/>
      <c r="DC753" s="1371"/>
      <c r="DD753" s="1371"/>
      <c r="DE753" s="1371">
        <f>SUM(DE718:DI752)</f>
        <v>20</v>
      </c>
      <c r="DF753" s="1371"/>
      <c r="DG753" s="1371"/>
      <c r="DH753" s="1371"/>
      <c r="DI753" s="1371"/>
      <c r="DJ753" s="1371">
        <f>SUM(DJ718:DN752)</f>
        <v>0</v>
      </c>
      <c r="DK753" s="1371"/>
      <c r="DL753" s="1371"/>
      <c r="DM753" s="1371"/>
      <c r="DN753" s="1371"/>
      <c r="DO753" s="1371">
        <f>SUM(DO718:DS752)</f>
        <v>0</v>
      </c>
      <c r="DP753" s="1371"/>
      <c r="DQ753" s="1371"/>
      <c r="DR753" s="1371"/>
      <c r="DS753" s="1371"/>
      <c r="DT753" s="354"/>
      <c r="DU753" s="1371">
        <f>SUM(DU718:DY752)</f>
        <v>2</v>
      </c>
      <c r="DV753" s="1371"/>
      <c r="DW753" s="1371"/>
      <c r="DX753" s="1371"/>
      <c r="DY753" s="1371"/>
      <c r="DZ753" s="1371">
        <f>SUM(DZ718:ED752)</f>
        <v>10</v>
      </c>
      <c r="EA753" s="1371"/>
      <c r="EB753" s="1371"/>
      <c r="EC753" s="1371"/>
      <c r="ED753" s="1371"/>
      <c r="EE753" s="1371">
        <f>SUM(EE718:EI752)</f>
        <v>11</v>
      </c>
      <c r="EF753" s="1371"/>
      <c r="EG753" s="1371"/>
      <c r="EH753" s="1371"/>
      <c r="EI753" s="1371"/>
      <c r="EJ753" s="1371">
        <f>SUM(EJ718:EN752)</f>
        <v>1</v>
      </c>
      <c r="EK753" s="1371"/>
      <c r="EL753" s="1371"/>
      <c r="EM753" s="1371"/>
      <c r="EN753" s="1371"/>
      <c r="EO753" s="1371">
        <f>SUM(EO718:ES752)</f>
        <v>0</v>
      </c>
      <c r="EP753" s="1371"/>
      <c r="EQ753" s="1371"/>
      <c r="ER753" s="1371"/>
      <c r="ES753" s="1371"/>
      <c r="ET753" s="1371">
        <f>SUM(ET718:EX752)</f>
        <v>0</v>
      </c>
      <c r="EU753" s="1371"/>
      <c r="EV753" s="1371"/>
      <c r="EW753" s="1371"/>
      <c r="EX753" s="1371"/>
      <c r="EY753"/>
      <c r="EZ753" s="1371">
        <f>SUM(EZ718:FD752)</f>
        <v>4722</v>
      </c>
      <c r="FA753" s="1371"/>
      <c r="FB753" s="1371"/>
      <c r="FC753" s="1371"/>
      <c r="FD753" s="1371"/>
      <c r="FE753" s="1371">
        <f>SUM(FE718:FI752)</f>
        <v>6089</v>
      </c>
      <c r="FF753" s="1371"/>
      <c r="FG753" s="1371"/>
      <c r="FH753" s="1371"/>
      <c r="FI753" s="1371"/>
      <c r="FJ753" s="1371">
        <f>SUM(FJ718:FN752)</f>
        <v>7262</v>
      </c>
      <c r="FK753" s="1371"/>
      <c r="FL753" s="1371"/>
      <c r="FM753" s="1371"/>
      <c r="FN753" s="1371"/>
      <c r="FO753" s="1371">
        <f>SUM(FO718:FS752)</f>
        <v>6907</v>
      </c>
      <c r="FP753" s="1371"/>
      <c r="FQ753" s="1371"/>
      <c r="FR753" s="1371"/>
      <c r="FS753" s="1371"/>
      <c r="FT753" s="1371">
        <f>SUM(FT718:FX752)</f>
        <v>0</v>
      </c>
      <c r="FU753" s="1371"/>
      <c r="FV753" s="1371"/>
      <c r="FW753" s="1371"/>
      <c r="FX753" s="1371"/>
      <c r="FY753" s="1371">
        <f>SUM(FY718:GC752)</f>
        <v>0</v>
      </c>
      <c r="FZ753" s="1371"/>
      <c r="GA753" s="1371"/>
      <c r="GB753" s="1371"/>
      <c r="GC753" s="1371"/>
    </row>
    <row r="754" spans="1:185" s="3" customFormat="1" ht="12.95" customHeight="1">
      <c r="A754"/>
      <c r="B754" s="1722" t="s">
        <v>1894</v>
      </c>
      <c r="C754" s="1722"/>
      <c r="D754" s="1722"/>
      <c r="E754" s="1722"/>
      <c r="F754" s="1722"/>
      <c r="G754" s="1722"/>
      <c r="H754" s="1722"/>
      <c r="I754" s="1722"/>
      <c r="J754" s="1722"/>
      <c r="K754" s="1722"/>
      <c r="L754" s="1722"/>
      <c r="M754" s="1722"/>
      <c r="N754" s="1722"/>
      <c r="O754" s="1722"/>
      <c r="P754" s="1722"/>
      <c r="Q754" s="1722"/>
      <c r="R754" s="1722"/>
      <c r="S754" s="1722"/>
      <c r="T754" s="1722"/>
      <c r="U754" s="1722"/>
      <c r="V754" s="1722"/>
      <c r="W754" s="1722"/>
      <c r="X754" s="1722"/>
      <c r="Y754" s="1722"/>
      <c r="Z754" s="1722"/>
      <c r="AA754" s="1722"/>
      <c r="AB754" s="1722"/>
      <c r="AC754" s="1722"/>
      <c r="AD754" s="1722"/>
      <c r="AE754" s="1722"/>
      <c r="AF754" s="1722"/>
      <c r="AG754" s="1722"/>
      <c r="AH754" s="1722"/>
      <c r="AI754"/>
      <c r="AJ754"/>
      <c r="AK754"/>
      <c r="AT754"/>
      <c r="AU754"/>
      <c r="AV754"/>
      <c r="AW754"/>
      <c r="AX754"/>
      <c r="AY754"/>
      <c r="CD754"/>
      <c r="DN754" s="56" t="s">
        <v>1861</v>
      </c>
      <c r="DO754" s="1355">
        <f>CP753+CU753+CZ753+DE753+DJ753+DO753</f>
        <v>78</v>
      </c>
      <c r="DP754" s="1356"/>
      <c r="DQ754" s="1356"/>
      <c r="DR754" s="1356"/>
      <c r="DS754" s="1357"/>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2"/>
      <c r="C755" s="1722"/>
      <c r="D755" s="1722"/>
      <c r="E755" s="1722"/>
      <c r="F755" s="1722"/>
      <c r="G755" s="1722"/>
      <c r="H755" s="1722"/>
      <c r="I755" s="1722"/>
      <c r="J755" s="1722"/>
      <c r="K755" s="1722"/>
      <c r="L755" s="1722"/>
      <c r="M755" s="1722"/>
      <c r="N755" s="1722"/>
      <c r="O755" s="1722"/>
      <c r="P755" s="1722"/>
      <c r="Q755" s="1722"/>
      <c r="R755" s="1722"/>
      <c r="S755" s="1722"/>
      <c r="T755" s="1722"/>
      <c r="U755" s="1722"/>
      <c r="V755" s="1722"/>
      <c r="W755" s="1722"/>
      <c r="X755" s="1722"/>
      <c r="Y755" s="1722"/>
      <c r="Z755" s="1722"/>
      <c r="AA755" s="1722"/>
      <c r="AB755" s="1722"/>
      <c r="AC755" s="1722"/>
      <c r="AD755" s="1722"/>
      <c r="AE755" s="1722"/>
      <c r="AF755" s="1722"/>
      <c r="AG755" s="1722"/>
      <c r="AH755" s="172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5</v>
      </c>
      <c r="CU755" s="3"/>
      <c r="CV755" s="3"/>
      <c r="CW755" s="3"/>
      <c r="CX755" s="3"/>
      <c r="CY755" s="861">
        <f>CU753*1</f>
        <v>32</v>
      </c>
      <c r="CZ755" s="3"/>
      <c r="DA755" s="3"/>
      <c r="DB755" s="3"/>
      <c r="DC755" s="3"/>
      <c r="DD755" s="861">
        <f>CZ753*2</f>
        <v>42</v>
      </c>
      <c r="DE755" s="3"/>
      <c r="DF755" s="3"/>
      <c r="DG755" s="3"/>
      <c r="DH755" s="3"/>
      <c r="DI755" s="861">
        <f>DE753*3</f>
        <v>60</v>
      </c>
      <c r="DJ755" s="3"/>
      <c r="DK755" s="3"/>
      <c r="DL755" s="3"/>
      <c r="DM755" s="3"/>
      <c r="DN755" s="861">
        <f>DJ753*4</f>
        <v>0</v>
      </c>
      <c r="DO755" s="3"/>
      <c r="DP755" s="3"/>
      <c r="DQ755" s="3"/>
      <c r="DR755" s="3"/>
      <c r="DS755" s="861">
        <f>DO753*5</f>
        <v>0</v>
      </c>
      <c r="DU755" s="861">
        <f>CT755+CY755+DD755+DI755+DN755+DS755</f>
        <v>139</v>
      </c>
      <c r="DV755" s="57" t="s">
        <v>1863</v>
      </c>
      <c r="DW755" s="3"/>
      <c r="DX755" s="3"/>
      <c r="DY755" s="3"/>
      <c r="DZ755" s="3"/>
      <c r="EA755" s="3"/>
      <c r="EB755" s="3"/>
      <c r="EC755" s="3"/>
      <c r="ED755" s="3"/>
      <c r="EE755" s="3"/>
      <c r="EF755" s="3"/>
      <c r="EG755" s="3"/>
      <c r="EH755" s="3"/>
    </row>
    <row r="756" spans="1:185" ht="12.95" customHeight="1">
      <c r="A756" s="3"/>
      <c r="B756" s="3"/>
      <c r="C756" s="118" t="s">
        <v>1892</v>
      </c>
      <c r="D756" s="1032"/>
      <c r="E756" s="1032"/>
      <c r="F756" s="1032"/>
      <c r="G756" s="1033"/>
      <c r="H756" s="1033"/>
      <c r="I756" s="1033"/>
      <c r="J756" s="1033"/>
      <c r="K756" s="1032"/>
      <c r="L756" s="1032"/>
      <c r="M756" s="1032"/>
      <c r="N756" s="1032"/>
      <c r="O756" s="1371">
        <f>DU755</f>
        <v>139</v>
      </c>
      <c r="P756" s="1371"/>
      <c r="Q756" s="1371"/>
      <c r="R756" s="1371"/>
      <c r="S756" s="969"/>
      <c r="T756" s="969"/>
      <c r="U756" s="118" t="s">
        <v>1893</v>
      </c>
      <c r="V756" s="1032"/>
      <c r="W756" s="1032"/>
      <c r="X756" s="1032"/>
      <c r="Y756" s="1033"/>
      <c r="Z756" s="1033"/>
      <c r="AA756" s="1033"/>
      <c r="AB756" s="1033"/>
      <c r="AC756" s="1032"/>
      <c r="AD756" s="1032"/>
      <c r="AE756" s="1032"/>
      <c r="AF756" s="1032"/>
      <c r="AG756" s="1713">
        <f>+G718+G721+G722+G725+G726+G729</f>
        <v>24</v>
      </c>
      <c r="AH756" s="1714"/>
      <c r="AI756" s="1714"/>
      <c r="AJ756" s="1714"/>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56" t="str">
        <f>IF(G753&lt;&gt;AG440,"! Total Low-Income Units in the Unit Mix Table above does not match the number of Total Low-Income Units on row #"&amp;TEXT(ROW(D440),"#"),"")</f>
        <v/>
      </c>
      <c r="D757" s="1856"/>
      <c r="E757" s="1856"/>
      <c r="F757" s="1856"/>
      <c r="G757" s="1856"/>
      <c r="H757" s="1856"/>
      <c r="I757" s="1856"/>
      <c r="J757" s="1856"/>
      <c r="K757" s="1856"/>
      <c r="L757" s="1856"/>
      <c r="M757" s="1856"/>
      <c r="N757" s="1856"/>
      <c r="O757" s="1856"/>
      <c r="P757" s="1856"/>
      <c r="Q757" s="1856"/>
      <c r="R757" s="1856"/>
      <c r="S757" s="1856"/>
      <c r="T757" s="1856"/>
      <c r="U757" s="1856"/>
      <c r="V757" s="1856"/>
      <c r="W757" s="1856"/>
      <c r="X757" s="1856"/>
      <c r="Y757" s="1856"/>
      <c r="Z757" s="1856"/>
      <c r="AA757" s="1856"/>
      <c r="AB757" s="1856"/>
      <c r="AC757" s="1856"/>
      <c r="AD757" s="1856"/>
      <c r="AE757" s="1856"/>
      <c r="AF757" s="1856"/>
      <c r="AG757" s="1856"/>
      <c r="AH757" s="1856"/>
      <c r="AI757" s="1856"/>
      <c r="AJ757" s="1856"/>
      <c r="AK757" s="1856"/>
      <c r="AL757" s="1856"/>
      <c r="AM757" s="185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56"/>
      <c r="D758" s="1856"/>
      <c r="E758" s="1856"/>
      <c r="F758" s="1856"/>
      <c r="G758" s="1856"/>
      <c r="H758" s="1856"/>
      <c r="I758" s="1856"/>
      <c r="J758" s="1856"/>
      <c r="K758" s="1856"/>
      <c r="L758" s="1856"/>
      <c r="M758" s="1856"/>
      <c r="N758" s="1856"/>
      <c r="O758" s="1856"/>
      <c r="P758" s="1856"/>
      <c r="Q758" s="1856"/>
      <c r="R758" s="1856"/>
      <c r="S758" s="1856"/>
      <c r="T758" s="1856"/>
      <c r="U758" s="1856"/>
      <c r="V758" s="1856"/>
      <c r="W758" s="1856"/>
      <c r="X758" s="1856"/>
      <c r="Y758" s="1856"/>
      <c r="Z758" s="1856"/>
      <c r="AA758" s="1856"/>
      <c r="AB758" s="1856"/>
      <c r="AC758" s="1856"/>
      <c r="AD758" s="1856"/>
      <c r="AE758" s="1856"/>
      <c r="AF758" s="1856"/>
      <c r="AG758" s="1856"/>
      <c r="AH758" s="1856"/>
      <c r="AI758" s="1856"/>
      <c r="AJ758" s="1856"/>
      <c r="AK758" s="1856"/>
      <c r="AL758" s="1856"/>
      <c r="AM758" s="185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1" t="s">
        <v>592</v>
      </c>
      <c r="AE759" s="1721"/>
      <c r="AF759" s="1721"/>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6" t="s">
        <v>2090</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6" t="s">
        <v>2091</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84" t="s">
        <v>389</v>
      </c>
      <c r="K769" s="1485"/>
      <c r="L769" s="1485"/>
      <c r="M769" s="1485"/>
      <c r="N769" s="1486"/>
      <c r="O769" s="1592" t="s">
        <v>285</v>
      </c>
      <c r="P769" s="1592"/>
      <c r="Q769" s="1592"/>
      <c r="R769" s="1592"/>
      <c r="S769" s="1592"/>
      <c r="T769" s="1510" t="s">
        <v>1680</v>
      </c>
      <c r="U769" s="1511"/>
      <c r="V769" s="1511"/>
      <c r="W769" s="1512"/>
      <c r="X769" s="1484" t="s">
        <v>448</v>
      </c>
      <c r="Y769" s="1485"/>
      <c r="Z769" s="1485"/>
      <c r="AA769" s="1485"/>
      <c r="AB769" s="1486"/>
      <c r="AC769" s="1484" t="s">
        <v>286</v>
      </c>
      <c r="AD769" s="1485"/>
      <c r="AE769" s="1485"/>
      <c r="AF769" s="1485"/>
      <c r="AG769" s="148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87"/>
      <c r="K770" s="1488"/>
      <c r="L770" s="1488"/>
      <c r="M770" s="1488"/>
      <c r="N770" s="1489"/>
      <c r="O770" s="1592"/>
      <c r="P770" s="1592"/>
      <c r="Q770" s="1592"/>
      <c r="R770" s="1592"/>
      <c r="S770" s="1592"/>
      <c r="T770" s="1513"/>
      <c r="U770" s="1514"/>
      <c r="V770" s="1514"/>
      <c r="W770" s="1515"/>
      <c r="X770" s="1487"/>
      <c r="Y770" s="1488"/>
      <c r="Z770" s="1488"/>
      <c r="AA770" s="1488"/>
      <c r="AB770" s="1489"/>
      <c r="AC770" s="1487"/>
      <c r="AD770" s="1488"/>
      <c r="AE770" s="1488"/>
      <c r="AF770" s="1488"/>
      <c r="AG770" s="148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87"/>
      <c r="K771" s="1488"/>
      <c r="L771" s="1488"/>
      <c r="M771" s="1488"/>
      <c r="N771" s="1489"/>
      <c r="O771" s="1592"/>
      <c r="P771" s="1592"/>
      <c r="Q771" s="1592"/>
      <c r="R771" s="1592"/>
      <c r="S771" s="1592"/>
      <c r="T771" s="1513"/>
      <c r="U771" s="1514"/>
      <c r="V771" s="1514"/>
      <c r="W771" s="1515"/>
      <c r="X771" s="1487"/>
      <c r="Y771" s="1488"/>
      <c r="Z771" s="1488"/>
      <c r="AA771" s="1488"/>
      <c r="AB771" s="1489"/>
      <c r="AC771" s="1487"/>
      <c r="AD771" s="1488"/>
      <c r="AE771" s="1488"/>
      <c r="AF771" s="1488"/>
      <c r="AG771" s="148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490"/>
      <c r="K772" s="1491"/>
      <c r="L772" s="1491"/>
      <c r="M772" s="1491"/>
      <c r="N772" s="1492"/>
      <c r="O772" s="1592"/>
      <c r="P772" s="1592"/>
      <c r="Q772" s="1592"/>
      <c r="R772" s="1592"/>
      <c r="S772" s="1592"/>
      <c r="T772" s="1600"/>
      <c r="U772" s="1601"/>
      <c r="V772" s="1601"/>
      <c r="W772" s="1602"/>
      <c r="X772" s="1490"/>
      <c r="Y772" s="1491"/>
      <c r="Z772" s="1491"/>
      <c r="AA772" s="1491"/>
      <c r="AB772" s="1492"/>
      <c r="AC772" s="1490"/>
      <c r="AD772" s="1491"/>
      <c r="AE772" s="1491"/>
      <c r="AF772" s="1491"/>
      <c r="AG772" s="149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9" t="s">
        <v>164</v>
      </c>
      <c r="K773" s="1360"/>
      <c r="L773" s="1360"/>
      <c r="M773" s="1360"/>
      <c r="N773" s="1361"/>
      <c r="O773" s="1455">
        <v>1</v>
      </c>
      <c r="P773" s="1455"/>
      <c r="Q773" s="1455"/>
      <c r="R773" s="1455"/>
      <c r="S773" s="1455"/>
      <c r="T773" s="1594">
        <f>+K730</f>
        <v>1057</v>
      </c>
      <c r="U773" s="1595"/>
      <c r="V773" s="1595"/>
      <c r="W773" s="1596"/>
      <c r="X773" s="1460"/>
      <c r="Y773" s="1461"/>
      <c r="Z773" s="1461"/>
      <c r="AA773" s="1461"/>
      <c r="AB773" s="1462"/>
      <c r="AC773" s="1362">
        <f>X773*O773</f>
        <v>0</v>
      </c>
      <c r="AD773" s="1363"/>
      <c r="AE773" s="1363"/>
      <c r="AF773" s="1363"/>
      <c r="AG773" s="1364"/>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8">
        <f>IF(J773="1 Bedroom",O773,0)</f>
        <v>0</v>
      </c>
      <c r="CV773" s="1358"/>
      <c r="CW773" s="1358"/>
      <c r="CX773" s="1358"/>
      <c r="CY773" s="1358"/>
      <c r="CZ773" s="1358">
        <f>IF(J773="2 Bedrooms",O773,0)</f>
        <v>0</v>
      </c>
      <c r="DA773" s="1358"/>
      <c r="DB773" s="1358"/>
      <c r="DC773" s="1358"/>
      <c r="DD773" s="1358"/>
      <c r="DE773" s="1358">
        <f>IF(J773="3 Bedrooms",O773,0)</f>
        <v>1</v>
      </c>
      <c r="DF773" s="1358"/>
      <c r="DG773" s="1358"/>
      <c r="DH773" s="1358"/>
      <c r="DI773" s="1358"/>
      <c r="DJ773" s="1358">
        <f>IF(J773="4 Bedrooms",O773,0)</f>
        <v>0</v>
      </c>
      <c r="DK773" s="1358"/>
      <c r="DL773" s="1358"/>
      <c r="DM773" s="1358"/>
      <c r="DN773" s="1358"/>
      <c r="DO773" s="1358">
        <f>IF(J773="5 Bedrooms",O773,0)</f>
        <v>0</v>
      </c>
      <c r="DP773" s="1358"/>
      <c r="DQ773" s="1358"/>
      <c r="DR773" s="1358"/>
      <c r="DS773" s="1358"/>
      <c r="DT773" s="6"/>
      <c r="DU773" s="3"/>
      <c r="DV773" s="3"/>
    </row>
    <row r="774" spans="1:126" ht="12.95" customHeight="1">
      <c r="J774" s="1359"/>
      <c r="K774" s="1360"/>
      <c r="L774" s="1360"/>
      <c r="M774" s="1360"/>
      <c r="N774" s="1361"/>
      <c r="O774" s="1455"/>
      <c r="P774" s="1455"/>
      <c r="Q774" s="1455"/>
      <c r="R774" s="1455"/>
      <c r="S774" s="1455"/>
      <c r="T774" s="1594"/>
      <c r="U774" s="1595"/>
      <c r="V774" s="1595"/>
      <c r="W774" s="1596"/>
      <c r="X774" s="1460"/>
      <c r="Y774" s="1461"/>
      <c r="Z774" s="1461"/>
      <c r="AA774" s="1461"/>
      <c r="AB774" s="1462"/>
      <c r="AC774" s="1362">
        <f>X774*O774</f>
        <v>0</v>
      </c>
      <c r="AD774" s="1363"/>
      <c r="AE774" s="1363"/>
      <c r="AF774" s="1363"/>
      <c r="AG774" s="1364"/>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8">
        <f>IF(J774="1 Bedroom",O774,0)</f>
        <v>0</v>
      </c>
      <c r="CV774" s="1358"/>
      <c r="CW774" s="1358"/>
      <c r="CX774" s="1358"/>
      <c r="CY774" s="1358"/>
      <c r="CZ774" s="1358">
        <f>IF(J774="2 Bedrooms",O774,0)</f>
        <v>0</v>
      </c>
      <c r="DA774" s="1358"/>
      <c r="DB774" s="1358"/>
      <c r="DC774" s="1358"/>
      <c r="DD774" s="1358"/>
      <c r="DE774" s="1358">
        <f>IF(J774="3 Bedrooms",O774,0)</f>
        <v>0</v>
      </c>
      <c r="DF774" s="1358"/>
      <c r="DG774" s="1358"/>
      <c r="DH774" s="1358"/>
      <c r="DI774" s="1358"/>
      <c r="DJ774" s="1358">
        <f>IF(J774="4 Bedrooms",O774,0)</f>
        <v>0</v>
      </c>
      <c r="DK774" s="1358"/>
      <c r="DL774" s="1358"/>
      <c r="DM774" s="1358"/>
      <c r="DN774" s="1358"/>
      <c r="DO774" s="1358">
        <f>IF(J774="5 Bedrooms",O774,0)</f>
        <v>0</v>
      </c>
      <c r="DP774" s="1358"/>
      <c r="DQ774" s="1358"/>
      <c r="DR774" s="1358"/>
      <c r="DS774" s="1358"/>
      <c r="DT774" s="6"/>
      <c r="DU774" s="3"/>
      <c r="DV774" s="3"/>
    </row>
    <row r="775" spans="1:126" ht="12.95" customHeight="1">
      <c r="J775" s="1359"/>
      <c r="K775" s="1360"/>
      <c r="L775" s="1360"/>
      <c r="M775" s="1360"/>
      <c r="N775" s="1361"/>
      <c r="O775" s="1455"/>
      <c r="P775" s="1455"/>
      <c r="Q775" s="1455"/>
      <c r="R775" s="1455"/>
      <c r="S775" s="1455"/>
      <c r="T775" s="1594"/>
      <c r="U775" s="1595"/>
      <c r="V775" s="1595"/>
      <c r="W775" s="1596"/>
      <c r="X775" s="1460"/>
      <c r="Y775" s="1461"/>
      <c r="Z775" s="1461"/>
      <c r="AA775" s="1461"/>
      <c r="AB775" s="1462"/>
      <c r="AC775" s="1362">
        <f>X775*O775</f>
        <v>0</v>
      </c>
      <c r="AD775" s="1363"/>
      <c r="AE775" s="1363"/>
      <c r="AF775" s="1363"/>
      <c r="AG775" s="1364"/>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8">
        <f>IF(J775="1 Bedroom",O775,0)</f>
        <v>0</v>
      </c>
      <c r="CV775" s="1358"/>
      <c r="CW775" s="1358"/>
      <c r="CX775" s="1358"/>
      <c r="CY775" s="1358"/>
      <c r="CZ775" s="1358">
        <f>IF(J775="2 Bedrooms",O775,0)</f>
        <v>0</v>
      </c>
      <c r="DA775" s="1358"/>
      <c r="DB775" s="1358"/>
      <c r="DC775" s="1358"/>
      <c r="DD775" s="1358"/>
      <c r="DE775" s="1358">
        <f>IF(J775="3 Bedrooms",O775,0)</f>
        <v>0</v>
      </c>
      <c r="DF775" s="1358"/>
      <c r="DG775" s="1358"/>
      <c r="DH775" s="1358"/>
      <c r="DI775" s="1358"/>
      <c r="DJ775" s="1358">
        <f>IF(J775="4 Bedrooms",O775,0)</f>
        <v>0</v>
      </c>
      <c r="DK775" s="1358"/>
      <c r="DL775" s="1358"/>
      <c r="DM775" s="1358"/>
      <c r="DN775" s="1358"/>
      <c r="DO775" s="1358">
        <f>IF(J775="5 Bedrooms",O775,0)</f>
        <v>0</v>
      </c>
      <c r="DP775" s="1358"/>
      <c r="DQ775" s="1358"/>
      <c r="DR775" s="1358"/>
      <c r="DS775" s="1358"/>
      <c r="DT775" s="1012"/>
    </row>
    <row r="776" spans="1:126" ht="12.95" customHeight="1">
      <c r="J776" s="1359"/>
      <c r="K776" s="1360"/>
      <c r="L776" s="1360"/>
      <c r="M776" s="1360"/>
      <c r="N776" s="1361"/>
      <c r="O776" s="1455"/>
      <c r="P776" s="1455"/>
      <c r="Q776" s="1455"/>
      <c r="R776" s="1455"/>
      <c r="S776" s="1455"/>
      <c r="T776" s="1594"/>
      <c r="U776" s="1595"/>
      <c r="V776" s="1595"/>
      <c r="W776" s="1596"/>
      <c r="X776" s="1460"/>
      <c r="Y776" s="1461"/>
      <c r="Z776" s="1461"/>
      <c r="AA776" s="1461"/>
      <c r="AB776" s="1462"/>
      <c r="AC776" s="1362">
        <f>X776*O776</f>
        <v>0</v>
      </c>
      <c r="AD776" s="1363"/>
      <c r="AE776" s="1363"/>
      <c r="AF776" s="1363"/>
      <c r="AG776" s="1364"/>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8">
        <f>IF(J776="1 Bedroom",O776,0)</f>
        <v>0</v>
      </c>
      <c r="CV776" s="1358"/>
      <c r="CW776" s="1358"/>
      <c r="CX776" s="1358"/>
      <c r="CY776" s="1358"/>
      <c r="CZ776" s="1358">
        <f>IF(J776="2 Bedrooms",O776,0)</f>
        <v>0</v>
      </c>
      <c r="DA776" s="1358"/>
      <c r="DB776" s="1358"/>
      <c r="DC776" s="1358"/>
      <c r="DD776" s="1358"/>
      <c r="DE776" s="1358">
        <f>IF(J776="3 Bedrooms",O776,0)</f>
        <v>0</v>
      </c>
      <c r="DF776" s="1358"/>
      <c r="DG776" s="1358"/>
      <c r="DH776" s="1358"/>
      <c r="DI776" s="1358"/>
      <c r="DJ776" s="1358">
        <f>IF(J776="4 Bedrooms",O776,0)</f>
        <v>0</v>
      </c>
      <c r="DK776" s="1358"/>
      <c r="DL776" s="1358"/>
      <c r="DM776" s="1358"/>
      <c r="DN776" s="1358"/>
      <c r="DO776" s="1358">
        <f>IF(J776="5 Bedrooms",O776,0)</f>
        <v>0</v>
      </c>
      <c r="DP776" s="1358"/>
      <c r="DQ776" s="1358"/>
      <c r="DR776" s="1358"/>
      <c r="DS776" s="1358"/>
    </row>
    <row r="777" spans="1:126" ht="12.95" customHeight="1">
      <c r="J777" s="1421" t="s">
        <v>125</v>
      </c>
      <c r="K777" s="1422"/>
      <c r="L777" s="1422"/>
      <c r="M777" s="1422"/>
      <c r="N777" s="1424"/>
      <c r="O777" s="1339">
        <f>SUM(O773:S776)</f>
        <v>1</v>
      </c>
      <c r="P777" s="1340"/>
      <c r="Q777" s="1340"/>
      <c r="R777" s="1340"/>
      <c r="S777" s="1341"/>
      <c r="X777" s="1421" t="s">
        <v>124</v>
      </c>
      <c r="Y777" s="1422"/>
      <c r="Z777" s="1422"/>
      <c r="AA777" s="1422"/>
      <c r="AB777" s="1424"/>
      <c r="AC777" s="1362">
        <f>SUM(AC773:AG776)</f>
        <v>0</v>
      </c>
      <c r="AD777" s="1363"/>
      <c r="AE777" s="1363"/>
      <c r="AF777" s="1363"/>
      <c r="AG777" s="1364"/>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9">
        <f>SUM(CP773:CT776)</f>
        <v>0</v>
      </c>
      <c r="CQ777" s="1340"/>
      <c r="CR777" s="1340"/>
      <c r="CS777" s="1340"/>
      <c r="CT777" s="1341"/>
      <c r="CU777" s="1342">
        <f>SUM(CU773:CY776)</f>
        <v>0</v>
      </c>
      <c r="CV777" s="1343"/>
      <c r="CW777" s="1343"/>
      <c r="CX777" s="1343"/>
      <c r="CY777" s="1344"/>
      <c r="CZ777" s="1342">
        <f>SUM(CZ773:DD776)</f>
        <v>0</v>
      </c>
      <c r="DA777" s="1343"/>
      <c r="DB777" s="1343"/>
      <c r="DC777" s="1343"/>
      <c r="DD777" s="1344"/>
      <c r="DE777" s="1342">
        <f>SUM(DE773:DI776)</f>
        <v>1</v>
      </c>
      <c r="DF777" s="1343"/>
      <c r="DG777" s="1343"/>
      <c r="DH777" s="1343"/>
      <c r="DI777" s="1344"/>
      <c r="DJ777" s="1342">
        <f>SUM(DJ773:DN776)</f>
        <v>0</v>
      </c>
      <c r="DK777" s="1343"/>
      <c r="DL777" s="1343"/>
      <c r="DM777" s="1343"/>
      <c r="DN777" s="1344"/>
      <c r="DO777" s="1342">
        <f>SUM(DO773:DS776)</f>
        <v>0</v>
      </c>
      <c r="DP777" s="1343"/>
      <c r="DQ777" s="1343"/>
      <c r="DR777" s="1343"/>
      <c r="DS777" s="1344"/>
      <c r="DU777" s="861">
        <f>CP777+CU777+CZ777+DE777+DJ777+DO777</f>
        <v>1</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3</v>
      </c>
      <c r="DJ778" s="3"/>
      <c r="DK778" s="3"/>
      <c r="DL778" s="3"/>
      <c r="DM778" s="3"/>
      <c r="DN778" s="861">
        <f>DJ777*4</f>
        <v>0</v>
      </c>
      <c r="DO778" s="3"/>
      <c r="DP778" s="3"/>
      <c r="DQ778" s="3"/>
      <c r="DR778" s="3"/>
      <c r="DS778" s="861">
        <f>DO777*5</f>
        <v>0</v>
      </c>
      <c r="DU778" s="861">
        <f>CT778+CY778+DD778+DI778+DN778+DS778</f>
        <v>3</v>
      </c>
      <c r="DV778" s="57" t="s">
        <v>1862</v>
      </c>
    </row>
    <row r="779" spans="1:126" ht="12.95" customHeight="1">
      <c r="B779" s="56"/>
      <c r="C779" s="56"/>
      <c r="D779" s="56"/>
      <c r="E779" s="56"/>
      <c r="F779" s="56"/>
      <c r="G779" s="6"/>
      <c r="H779" s="6"/>
      <c r="I779" s="6"/>
      <c r="J779" s="1419" t="s">
        <v>670</v>
      </c>
      <c r="K779" s="1419"/>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84" t="s">
        <v>389</v>
      </c>
      <c r="K783" s="1485"/>
      <c r="L783" s="1485"/>
      <c r="M783" s="1485"/>
      <c r="N783" s="1486"/>
      <c r="O783" s="1592" t="s">
        <v>285</v>
      </c>
      <c r="P783" s="1592"/>
      <c r="Q783" s="1592"/>
      <c r="R783" s="1592"/>
      <c r="S783" s="1592"/>
      <c r="T783" s="1510" t="s">
        <v>1680</v>
      </c>
      <c r="U783" s="1511"/>
      <c r="V783" s="1511"/>
      <c r="W783" s="1512"/>
      <c r="X783" s="1484" t="s">
        <v>448</v>
      </c>
      <c r="Y783" s="1485"/>
      <c r="Z783" s="1485"/>
      <c r="AA783" s="1485"/>
      <c r="AB783" s="1486"/>
      <c r="AC783" s="1484" t="s">
        <v>286</v>
      </c>
      <c r="AD783" s="1485"/>
      <c r="AE783" s="1485"/>
      <c r="AF783" s="1485"/>
      <c r="AG783" s="148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87"/>
      <c r="K784" s="1488"/>
      <c r="L784" s="1488"/>
      <c r="M784" s="1488"/>
      <c r="N784" s="1489"/>
      <c r="O784" s="1592"/>
      <c r="P784" s="1592"/>
      <c r="Q784" s="1592"/>
      <c r="R784" s="1592"/>
      <c r="S784" s="1592"/>
      <c r="T784" s="1513"/>
      <c r="U784" s="1514"/>
      <c r="V784" s="1514"/>
      <c r="W784" s="1515"/>
      <c r="X784" s="1487"/>
      <c r="Y784" s="1488"/>
      <c r="Z784" s="1488"/>
      <c r="AA784" s="1488"/>
      <c r="AB784" s="1489"/>
      <c r="AC784" s="1487"/>
      <c r="AD784" s="1488"/>
      <c r="AE784" s="1488"/>
      <c r="AF784" s="1488"/>
      <c r="AG784" s="148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87"/>
      <c r="K785" s="1488"/>
      <c r="L785" s="1488"/>
      <c r="M785" s="1488"/>
      <c r="N785" s="1489"/>
      <c r="O785" s="1592"/>
      <c r="P785" s="1592"/>
      <c r="Q785" s="1592"/>
      <c r="R785" s="1592"/>
      <c r="S785" s="1592"/>
      <c r="T785" s="1513"/>
      <c r="U785" s="1514"/>
      <c r="V785" s="1514"/>
      <c r="W785" s="1515"/>
      <c r="X785" s="1487"/>
      <c r="Y785" s="1488"/>
      <c r="Z785" s="1488"/>
      <c r="AA785" s="1488"/>
      <c r="AB785" s="1489"/>
      <c r="AC785" s="1487"/>
      <c r="AD785" s="1488"/>
      <c r="AE785" s="1488"/>
      <c r="AF785" s="1488"/>
      <c r="AG785" s="148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490"/>
      <c r="K786" s="1491"/>
      <c r="L786" s="1491"/>
      <c r="M786" s="1491"/>
      <c r="N786" s="1492"/>
      <c r="O786" s="1592"/>
      <c r="P786" s="1592"/>
      <c r="Q786" s="1592"/>
      <c r="R786" s="1592"/>
      <c r="S786" s="1592"/>
      <c r="T786" s="1600"/>
      <c r="U786" s="1601"/>
      <c r="V786" s="1601"/>
      <c r="W786" s="1602"/>
      <c r="X786" s="1490"/>
      <c r="Y786" s="1491"/>
      <c r="Z786" s="1491"/>
      <c r="AA786" s="1491"/>
      <c r="AB786" s="1492"/>
      <c r="AC786" s="1490"/>
      <c r="AD786" s="1491"/>
      <c r="AE786" s="1491"/>
      <c r="AF786" s="1491"/>
      <c r="AG786" s="149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59"/>
      <c r="K787" s="1360"/>
      <c r="L787" s="1360"/>
      <c r="M787" s="1360"/>
      <c r="N787" s="1361"/>
      <c r="O787" s="1455"/>
      <c r="P787" s="1455"/>
      <c r="Q787" s="1455"/>
      <c r="R787" s="1455"/>
      <c r="S787" s="1455"/>
      <c r="T787" s="1594"/>
      <c r="U787" s="1595"/>
      <c r="V787" s="1595"/>
      <c r="W787" s="1596"/>
      <c r="X787" s="1460"/>
      <c r="Y787" s="1461"/>
      <c r="Z787" s="1461"/>
      <c r="AA787" s="1461"/>
      <c r="AB787" s="1462"/>
      <c r="AC787" s="1362">
        <f t="shared" ref="AC787:AC796" si="40">X787*O787</f>
        <v>0</v>
      </c>
      <c r="AD787" s="1363"/>
      <c r="AE787" s="1363"/>
      <c r="AF787" s="1363"/>
      <c r="AG787" s="136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1">IF(J787="SRO/Studio",O787,0)</f>
        <v>0</v>
      </c>
      <c r="CQ787" s="1333"/>
      <c r="CR787" s="1333"/>
      <c r="CS787" s="1333"/>
      <c r="CT787" s="1334"/>
      <c r="CU787" s="1332">
        <f t="shared" ref="CU787:CU796" si="42">IF(J787="1 Bedroom",O787,0)</f>
        <v>0</v>
      </c>
      <c r="CV787" s="1333"/>
      <c r="CW787" s="1333"/>
      <c r="CX787" s="1333"/>
      <c r="CY787" s="1334"/>
      <c r="CZ787" s="1332">
        <f t="shared" ref="CZ787:CZ796" si="43">IF(J787="2 Bedrooms",O787,0)</f>
        <v>0</v>
      </c>
      <c r="DA787" s="1333"/>
      <c r="DB787" s="1333"/>
      <c r="DC787" s="1333"/>
      <c r="DD787" s="1334"/>
      <c r="DE787" s="1332">
        <f t="shared" ref="DE787:DE796" si="44">IF(J787="3 Bedrooms",O787,0)</f>
        <v>0</v>
      </c>
      <c r="DF787" s="1333"/>
      <c r="DG787" s="1333"/>
      <c r="DH787" s="1333"/>
      <c r="DI787" s="1334"/>
      <c r="DJ787" s="1332">
        <f t="shared" ref="DJ787:DJ796" si="45">IF(J787="4 Bedrooms",O787,0)</f>
        <v>0</v>
      </c>
      <c r="DK787" s="1333"/>
      <c r="DL787" s="1333"/>
      <c r="DM787" s="1333"/>
      <c r="DN787" s="1334"/>
      <c r="DO787" s="1332">
        <f t="shared" ref="DO787:DO796" si="46">IF(J787="5 Bedrooms",O787,0)</f>
        <v>0</v>
      </c>
      <c r="DP787" s="1333"/>
      <c r="DQ787" s="1333"/>
      <c r="DR787" s="1333"/>
      <c r="DS787" s="1334"/>
      <c r="DT787" s="6"/>
      <c r="DU787" s="1332">
        <f t="shared" ref="DU787:DU796" si="47">IF(AND(CP787&gt;=1,AH787&gt;=0.1,AH787&lt;=1),O787,0)</f>
        <v>0</v>
      </c>
      <c r="DV787" s="1333"/>
      <c r="DW787" s="1333"/>
      <c r="DX787" s="1333"/>
      <c r="DY787" s="1334"/>
      <c r="DZ787" s="1332">
        <f t="shared" ref="DZ787:DZ796" si="48">IF(AND(CU787&gt;=1,AH787&gt;=0.1,AH787&lt;=1),O787,0)</f>
        <v>0</v>
      </c>
      <c r="EA787" s="1333"/>
      <c r="EB787" s="1333"/>
      <c r="EC787" s="1333"/>
      <c r="ED787" s="1334"/>
      <c r="EE787" s="1332">
        <f t="shared" ref="EE787:EE796" si="49">IF(AND(CZ787&gt;=1,AH787&gt;=0.1,AH787&lt;=1),O787,0)</f>
        <v>0</v>
      </c>
      <c r="EF787" s="1333"/>
      <c r="EG787" s="1333"/>
      <c r="EH787" s="1333"/>
      <c r="EI787" s="1334"/>
      <c r="EJ787" s="1332">
        <f t="shared" ref="EJ787:EJ796" si="50">IF(AND(DE787&gt;=1,AH787&gt;=0.1,AH787&lt;=1),O787,0)</f>
        <v>0</v>
      </c>
      <c r="EK787" s="1333"/>
      <c r="EL787" s="1333"/>
      <c r="EM787" s="1333"/>
      <c r="EN787" s="1334"/>
      <c r="EO787" s="1332">
        <f t="shared" ref="EO787:EO796" si="51">IF(AND(DJ787&gt;=1,AH787&gt;=0.1,AH787&lt;=1),O787,0)</f>
        <v>0</v>
      </c>
      <c r="EP787" s="1333"/>
      <c r="EQ787" s="1333"/>
      <c r="ER787" s="1333"/>
      <c r="ES787" s="1334"/>
      <c r="ET787" s="1332">
        <f t="shared" ref="ET787:ET796" si="52">IF(AND(DO787&gt;=1,AH787&gt;=0.1,AH787&lt;=1),O787,0)</f>
        <v>0</v>
      </c>
      <c r="EU787" s="1333"/>
      <c r="EV787" s="1333"/>
      <c r="EW787" s="1333"/>
      <c r="EX787" s="1334"/>
    </row>
    <row r="788" spans="1:154" s="14" customFormat="1" ht="12.95" customHeight="1">
      <c r="A788"/>
      <c r="B788"/>
      <c r="C788"/>
      <c r="D788"/>
      <c r="E788"/>
      <c r="F788"/>
      <c r="G788"/>
      <c r="H788"/>
      <c r="I788"/>
      <c r="J788" s="1359"/>
      <c r="K788" s="1360"/>
      <c r="L788" s="1360"/>
      <c r="M788" s="1360"/>
      <c r="N788" s="1361"/>
      <c r="O788" s="1455"/>
      <c r="P788" s="1455"/>
      <c r="Q788" s="1455"/>
      <c r="R788" s="1455"/>
      <c r="S788" s="1455"/>
      <c r="T788" s="1594"/>
      <c r="U788" s="1595"/>
      <c r="V788" s="1595"/>
      <c r="W788" s="1596"/>
      <c r="X788" s="1460"/>
      <c r="Y788" s="1461"/>
      <c r="Z788" s="1461"/>
      <c r="AA788" s="1461"/>
      <c r="AB788" s="1462"/>
      <c r="AC788" s="1362">
        <f t="shared" si="40"/>
        <v>0</v>
      </c>
      <c r="AD788" s="1363"/>
      <c r="AE788" s="1363"/>
      <c r="AF788" s="1363"/>
      <c r="AG788" s="136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1"/>
        <v>0</v>
      </c>
      <c r="CQ788" s="1333"/>
      <c r="CR788" s="1333"/>
      <c r="CS788" s="1333"/>
      <c r="CT788" s="1334"/>
      <c r="CU788" s="1332">
        <f t="shared" si="42"/>
        <v>0</v>
      </c>
      <c r="CV788" s="1333"/>
      <c r="CW788" s="1333"/>
      <c r="CX788" s="1333"/>
      <c r="CY788" s="1334"/>
      <c r="CZ788" s="1332">
        <f t="shared" si="43"/>
        <v>0</v>
      </c>
      <c r="DA788" s="1333"/>
      <c r="DB788" s="1333"/>
      <c r="DC788" s="1333"/>
      <c r="DD788" s="1334"/>
      <c r="DE788" s="1332">
        <f t="shared" si="44"/>
        <v>0</v>
      </c>
      <c r="DF788" s="1333"/>
      <c r="DG788" s="1333"/>
      <c r="DH788" s="1333"/>
      <c r="DI788" s="1334"/>
      <c r="DJ788" s="1332">
        <f t="shared" si="45"/>
        <v>0</v>
      </c>
      <c r="DK788" s="1333"/>
      <c r="DL788" s="1333"/>
      <c r="DM788" s="1333"/>
      <c r="DN788" s="1334"/>
      <c r="DO788" s="1332">
        <f t="shared" si="46"/>
        <v>0</v>
      </c>
      <c r="DP788" s="1333"/>
      <c r="DQ788" s="1333"/>
      <c r="DR788" s="1333"/>
      <c r="DS788" s="1334"/>
      <c r="DT788" s="6"/>
      <c r="DU788" s="1332">
        <f t="shared" si="47"/>
        <v>0</v>
      </c>
      <c r="DV788" s="1333"/>
      <c r="DW788" s="1333"/>
      <c r="DX788" s="1333"/>
      <c r="DY788" s="1334"/>
      <c r="DZ788" s="1332">
        <f t="shared" si="48"/>
        <v>0</v>
      </c>
      <c r="EA788" s="1333"/>
      <c r="EB788" s="1333"/>
      <c r="EC788" s="1333"/>
      <c r="ED788" s="1334"/>
      <c r="EE788" s="1332">
        <f t="shared" si="49"/>
        <v>0</v>
      </c>
      <c r="EF788" s="1333"/>
      <c r="EG788" s="1333"/>
      <c r="EH788" s="1333"/>
      <c r="EI788" s="1334"/>
      <c r="EJ788" s="1332">
        <f t="shared" si="50"/>
        <v>0</v>
      </c>
      <c r="EK788" s="1333"/>
      <c r="EL788" s="1333"/>
      <c r="EM788" s="1333"/>
      <c r="EN788" s="1334"/>
      <c r="EO788" s="1332">
        <f t="shared" si="51"/>
        <v>0</v>
      </c>
      <c r="EP788" s="1333"/>
      <c r="EQ788" s="1333"/>
      <c r="ER788" s="1333"/>
      <c r="ES788" s="1334"/>
      <c r="ET788" s="1332">
        <f t="shared" si="52"/>
        <v>0</v>
      </c>
      <c r="EU788" s="1333"/>
      <c r="EV788" s="1333"/>
      <c r="EW788" s="1333"/>
      <c r="EX788" s="1334"/>
    </row>
    <row r="789" spans="1:154" s="14" customFormat="1" ht="12.95" customHeight="1">
      <c r="A789"/>
      <c r="B789"/>
      <c r="C789"/>
      <c r="D789"/>
      <c r="E789"/>
      <c r="F789"/>
      <c r="G789"/>
      <c r="H789"/>
      <c r="I789"/>
      <c r="J789" s="1359"/>
      <c r="K789" s="1360"/>
      <c r="L789" s="1360"/>
      <c r="M789" s="1360"/>
      <c r="N789" s="1361"/>
      <c r="O789" s="1455"/>
      <c r="P789" s="1455"/>
      <c r="Q789" s="1455"/>
      <c r="R789" s="1455"/>
      <c r="S789" s="1455"/>
      <c r="T789" s="1594"/>
      <c r="U789" s="1595"/>
      <c r="V789" s="1595"/>
      <c r="W789" s="1596"/>
      <c r="X789" s="1460"/>
      <c r="Y789" s="1461"/>
      <c r="Z789" s="1461"/>
      <c r="AA789" s="1461"/>
      <c r="AB789" s="1462"/>
      <c r="AC789" s="1362">
        <f t="shared" si="40"/>
        <v>0</v>
      </c>
      <c r="AD789" s="1363"/>
      <c r="AE789" s="1363"/>
      <c r="AF789" s="1363"/>
      <c r="AG789" s="136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1"/>
        <v>0</v>
      </c>
      <c r="CQ789" s="1333"/>
      <c r="CR789" s="1333"/>
      <c r="CS789" s="1333"/>
      <c r="CT789" s="1334"/>
      <c r="CU789" s="1332">
        <f t="shared" si="42"/>
        <v>0</v>
      </c>
      <c r="CV789" s="1333"/>
      <c r="CW789" s="1333"/>
      <c r="CX789" s="1333"/>
      <c r="CY789" s="1334"/>
      <c r="CZ789" s="1332">
        <f t="shared" si="43"/>
        <v>0</v>
      </c>
      <c r="DA789" s="1333"/>
      <c r="DB789" s="1333"/>
      <c r="DC789" s="1333"/>
      <c r="DD789" s="1334"/>
      <c r="DE789" s="1332">
        <f t="shared" si="44"/>
        <v>0</v>
      </c>
      <c r="DF789" s="1333"/>
      <c r="DG789" s="1333"/>
      <c r="DH789" s="1333"/>
      <c r="DI789" s="1334"/>
      <c r="DJ789" s="1332">
        <f t="shared" si="45"/>
        <v>0</v>
      </c>
      <c r="DK789" s="1333"/>
      <c r="DL789" s="1333"/>
      <c r="DM789" s="1333"/>
      <c r="DN789" s="1334"/>
      <c r="DO789" s="1332">
        <f t="shared" si="46"/>
        <v>0</v>
      </c>
      <c r="DP789" s="1333"/>
      <c r="DQ789" s="1333"/>
      <c r="DR789" s="1333"/>
      <c r="DS789" s="1334"/>
      <c r="DT789" s="6"/>
      <c r="DU789" s="1332">
        <f t="shared" si="47"/>
        <v>0</v>
      </c>
      <c r="DV789" s="1333"/>
      <c r="DW789" s="1333"/>
      <c r="DX789" s="1333"/>
      <c r="DY789" s="1334"/>
      <c r="DZ789" s="1332">
        <f t="shared" si="48"/>
        <v>0</v>
      </c>
      <c r="EA789" s="1333"/>
      <c r="EB789" s="1333"/>
      <c r="EC789" s="1333"/>
      <c r="ED789" s="1334"/>
      <c r="EE789" s="1332">
        <f t="shared" si="49"/>
        <v>0</v>
      </c>
      <c r="EF789" s="1333"/>
      <c r="EG789" s="1333"/>
      <c r="EH789" s="1333"/>
      <c r="EI789" s="1334"/>
      <c r="EJ789" s="1332">
        <f t="shared" si="50"/>
        <v>0</v>
      </c>
      <c r="EK789" s="1333"/>
      <c r="EL789" s="1333"/>
      <c r="EM789" s="1333"/>
      <c r="EN789" s="1334"/>
      <c r="EO789" s="1332">
        <f t="shared" si="51"/>
        <v>0</v>
      </c>
      <c r="EP789" s="1333"/>
      <c r="EQ789" s="1333"/>
      <c r="ER789" s="1333"/>
      <c r="ES789" s="1334"/>
      <c r="ET789" s="1332">
        <f t="shared" si="52"/>
        <v>0</v>
      </c>
      <c r="EU789" s="1333"/>
      <c r="EV789" s="1333"/>
      <c r="EW789" s="1333"/>
      <c r="EX789" s="1334"/>
    </row>
    <row r="790" spans="1:154" s="14" customFormat="1" ht="12.95" customHeight="1">
      <c r="A790"/>
      <c r="B790"/>
      <c r="C790"/>
      <c r="D790"/>
      <c r="E790"/>
      <c r="F790"/>
      <c r="G790"/>
      <c r="H790"/>
      <c r="I790"/>
      <c r="J790" s="1359"/>
      <c r="K790" s="1360"/>
      <c r="L790" s="1360"/>
      <c r="M790" s="1360"/>
      <c r="N790" s="1361"/>
      <c r="O790" s="1455"/>
      <c r="P790" s="1455"/>
      <c r="Q790" s="1455"/>
      <c r="R790" s="1455"/>
      <c r="S790" s="1455"/>
      <c r="T790" s="1594"/>
      <c r="U790" s="1595"/>
      <c r="V790" s="1595"/>
      <c r="W790" s="1596"/>
      <c r="X790" s="1460"/>
      <c r="Y790" s="1461"/>
      <c r="Z790" s="1461"/>
      <c r="AA790" s="1461"/>
      <c r="AB790" s="1462"/>
      <c r="AC790" s="1362">
        <f t="shared" si="40"/>
        <v>0</v>
      </c>
      <c r="AD790" s="1363"/>
      <c r="AE790" s="1363"/>
      <c r="AF790" s="1363"/>
      <c r="AG790" s="136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1"/>
        <v>0</v>
      </c>
      <c r="CQ790" s="1333"/>
      <c r="CR790" s="1333"/>
      <c r="CS790" s="1333"/>
      <c r="CT790" s="1334"/>
      <c r="CU790" s="1332">
        <f t="shared" si="42"/>
        <v>0</v>
      </c>
      <c r="CV790" s="1333"/>
      <c r="CW790" s="1333"/>
      <c r="CX790" s="1333"/>
      <c r="CY790" s="1334"/>
      <c r="CZ790" s="1332">
        <f t="shared" si="43"/>
        <v>0</v>
      </c>
      <c r="DA790" s="1333"/>
      <c r="DB790" s="1333"/>
      <c r="DC790" s="1333"/>
      <c r="DD790" s="1334"/>
      <c r="DE790" s="1332">
        <f t="shared" si="44"/>
        <v>0</v>
      </c>
      <c r="DF790" s="1333"/>
      <c r="DG790" s="1333"/>
      <c r="DH790" s="1333"/>
      <c r="DI790" s="1334"/>
      <c r="DJ790" s="1332">
        <f t="shared" si="45"/>
        <v>0</v>
      </c>
      <c r="DK790" s="1333"/>
      <c r="DL790" s="1333"/>
      <c r="DM790" s="1333"/>
      <c r="DN790" s="1334"/>
      <c r="DO790" s="1332">
        <f t="shared" si="46"/>
        <v>0</v>
      </c>
      <c r="DP790" s="1333"/>
      <c r="DQ790" s="1333"/>
      <c r="DR790" s="1333"/>
      <c r="DS790" s="1334"/>
      <c r="DT790" s="6"/>
      <c r="DU790" s="1332">
        <f t="shared" si="47"/>
        <v>0</v>
      </c>
      <c r="DV790" s="1333"/>
      <c r="DW790" s="1333"/>
      <c r="DX790" s="1333"/>
      <c r="DY790" s="1334"/>
      <c r="DZ790" s="1332">
        <f t="shared" si="48"/>
        <v>0</v>
      </c>
      <c r="EA790" s="1333"/>
      <c r="EB790" s="1333"/>
      <c r="EC790" s="1333"/>
      <c r="ED790" s="1334"/>
      <c r="EE790" s="1332">
        <f t="shared" si="49"/>
        <v>0</v>
      </c>
      <c r="EF790" s="1333"/>
      <c r="EG790" s="1333"/>
      <c r="EH790" s="1333"/>
      <c r="EI790" s="1334"/>
      <c r="EJ790" s="1332">
        <f t="shared" si="50"/>
        <v>0</v>
      </c>
      <c r="EK790" s="1333"/>
      <c r="EL790" s="1333"/>
      <c r="EM790" s="1333"/>
      <c r="EN790" s="1334"/>
      <c r="EO790" s="1332">
        <f t="shared" si="51"/>
        <v>0</v>
      </c>
      <c r="EP790" s="1333"/>
      <c r="EQ790" s="1333"/>
      <c r="ER790" s="1333"/>
      <c r="ES790" s="1334"/>
      <c r="ET790" s="1332">
        <f t="shared" si="52"/>
        <v>0</v>
      </c>
      <c r="EU790" s="1333"/>
      <c r="EV790" s="1333"/>
      <c r="EW790" s="1333"/>
      <c r="EX790" s="1334"/>
    </row>
    <row r="791" spans="1:154" s="14" customFormat="1" ht="12.95" customHeight="1">
      <c r="A791"/>
      <c r="B791"/>
      <c r="C791"/>
      <c r="D791"/>
      <c r="E791"/>
      <c r="F791"/>
      <c r="G791"/>
      <c r="H791"/>
      <c r="I791"/>
      <c r="J791" s="1359"/>
      <c r="K791" s="1360"/>
      <c r="L791" s="1360"/>
      <c r="M791" s="1360"/>
      <c r="N791" s="1361"/>
      <c r="O791" s="1455"/>
      <c r="P791" s="1455"/>
      <c r="Q791" s="1455"/>
      <c r="R791" s="1455"/>
      <c r="S791" s="1455"/>
      <c r="T791" s="1594"/>
      <c r="U791" s="1595"/>
      <c r="V791" s="1595"/>
      <c r="W791" s="1596"/>
      <c r="X791" s="1460"/>
      <c r="Y791" s="1461"/>
      <c r="Z791" s="1461"/>
      <c r="AA791" s="1461"/>
      <c r="AB791" s="1462"/>
      <c r="AC791" s="1362">
        <f t="shared" si="40"/>
        <v>0</v>
      </c>
      <c r="AD791" s="1363"/>
      <c r="AE791" s="1363"/>
      <c r="AF791" s="1363"/>
      <c r="AG791" s="136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1"/>
        <v>0</v>
      </c>
      <c r="CQ791" s="1333"/>
      <c r="CR791" s="1333"/>
      <c r="CS791" s="1333"/>
      <c r="CT791" s="1334"/>
      <c r="CU791" s="1332">
        <f t="shared" si="42"/>
        <v>0</v>
      </c>
      <c r="CV791" s="1333"/>
      <c r="CW791" s="1333"/>
      <c r="CX791" s="1333"/>
      <c r="CY791" s="1334"/>
      <c r="CZ791" s="1332">
        <f t="shared" si="43"/>
        <v>0</v>
      </c>
      <c r="DA791" s="1333"/>
      <c r="DB791" s="1333"/>
      <c r="DC791" s="1333"/>
      <c r="DD791" s="1334"/>
      <c r="DE791" s="1332">
        <f t="shared" si="44"/>
        <v>0</v>
      </c>
      <c r="DF791" s="1333"/>
      <c r="DG791" s="1333"/>
      <c r="DH791" s="1333"/>
      <c r="DI791" s="1334"/>
      <c r="DJ791" s="1332">
        <f t="shared" si="45"/>
        <v>0</v>
      </c>
      <c r="DK791" s="1333"/>
      <c r="DL791" s="1333"/>
      <c r="DM791" s="1333"/>
      <c r="DN791" s="1334"/>
      <c r="DO791" s="1332">
        <f t="shared" si="46"/>
        <v>0</v>
      </c>
      <c r="DP791" s="1333"/>
      <c r="DQ791" s="1333"/>
      <c r="DR791" s="1333"/>
      <c r="DS791" s="1334"/>
      <c r="DT791" s="6"/>
      <c r="DU791" s="1332">
        <f t="shared" si="47"/>
        <v>0</v>
      </c>
      <c r="DV791" s="1333"/>
      <c r="DW791" s="1333"/>
      <c r="DX791" s="1333"/>
      <c r="DY791" s="1334"/>
      <c r="DZ791" s="1332">
        <f t="shared" si="48"/>
        <v>0</v>
      </c>
      <c r="EA791" s="1333"/>
      <c r="EB791" s="1333"/>
      <c r="EC791" s="1333"/>
      <c r="ED791" s="1334"/>
      <c r="EE791" s="1332">
        <f t="shared" si="49"/>
        <v>0</v>
      </c>
      <c r="EF791" s="1333"/>
      <c r="EG791" s="1333"/>
      <c r="EH791" s="1333"/>
      <c r="EI791" s="1334"/>
      <c r="EJ791" s="1332">
        <f t="shared" si="50"/>
        <v>0</v>
      </c>
      <c r="EK791" s="1333"/>
      <c r="EL791" s="1333"/>
      <c r="EM791" s="1333"/>
      <c r="EN791" s="1334"/>
      <c r="EO791" s="1332">
        <f t="shared" si="51"/>
        <v>0</v>
      </c>
      <c r="EP791" s="1333"/>
      <c r="EQ791" s="1333"/>
      <c r="ER791" s="1333"/>
      <c r="ES791" s="1334"/>
      <c r="ET791" s="1332">
        <f t="shared" si="52"/>
        <v>0</v>
      </c>
      <c r="EU791" s="1333"/>
      <c r="EV791" s="1333"/>
      <c r="EW791" s="1333"/>
      <c r="EX791" s="1334"/>
    </row>
    <row r="792" spans="1:154" s="14" customFormat="1" ht="12.95" customHeight="1">
      <c r="A792"/>
      <c r="B792"/>
      <c r="C792"/>
      <c r="D792"/>
      <c r="E792"/>
      <c r="F792"/>
      <c r="G792"/>
      <c r="H792"/>
      <c r="I792"/>
      <c r="J792" s="1359"/>
      <c r="K792" s="1360"/>
      <c r="L792" s="1360"/>
      <c r="M792" s="1360"/>
      <c r="N792" s="1361"/>
      <c r="O792" s="1455"/>
      <c r="P792" s="1455"/>
      <c r="Q792" s="1455"/>
      <c r="R792" s="1455"/>
      <c r="S792" s="1455"/>
      <c r="T792" s="1594"/>
      <c r="U792" s="1595"/>
      <c r="V792" s="1595"/>
      <c r="W792" s="1596"/>
      <c r="X792" s="1460"/>
      <c r="Y792" s="1461"/>
      <c r="Z792" s="1461"/>
      <c r="AA792" s="1461"/>
      <c r="AB792" s="1462"/>
      <c r="AC792" s="1362">
        <f t="shared" si="40"/>
        <v>0</v>
      </c>
      <c r="AD792" s="1363"/>
      <c r="AE792" s="1363"/>
      <c r="AF792" s="1363"/>
      <c r="AG792" s="136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1"/>
        <v>0</v>
      </c>
      <c r="CQ792" s="1333"/>
      <c r="CR792" s="1333"/>
      <c r="CS792" s="1333"/>
      <c r="CT792" s="1334"/>
      <c r="CU792" s="1332">
        <f t="shared" si="42"/>
        <v>0</v>
      </c>
      <c r="CV792" s="1333"/>
      <c r="CW792" s="1333"/>
      <c r="CX792" s="1333"/>
      <c r="CY792" s="1334"/>
      <c r="CZ792" s="1332">
        <f t="shared" si="43"/>
        <v>0</v>
      </c>
      <c r="DA792" s="1333"/>
      <c r="DB792" s="1333"/>
      <c r="DC792" s="1333"/>
      <c r="DD792" s="1334"/>
      <c r="DE792" s="1332">
        <f t="shared" si="44"/>
        <v>0</v>
      </c>
      <c r="DF792" s="1333"/>
      <c r="DG792" s="1333"/>
      <c r="DH792" s="1333"/>
      <c r="DI792" s="1334"/>
      <c r="DJ792" s="1332">
        <f t="shared" si="45"/>
        <v>0</v>
      </c>
      <c r="DK792" s="1333"/>
      <c r="DL792" s="1333"/>
      <c r="DM792" s="1333"/>
      <c r="DN792" s="1334"/>
      <c r="DO792" s="1332">
        <f t="shared" si="46"/>
        <v>0</v>
      </c>
      <c r="DP792" s="1333"/>
      <c r="DQ792" s="1333"/>
      <c r="DR792" s="1333"/>
      <c r="DS792" s="1334"/>
      <c r="DT792" s="6"/>
      <c r="DU792" s="1332">
        <f t="shared" si="47"/>
        <v>0</v>
      </c>
      <c r="DV792" s="1333"/>
      <c r="DW792" s="1333"/>
      <c r="DX792" s="1333"/>
      <c r="DY792" s="1334"/>
      <c r="DZ792" s="1332">
        <f t="shared" si="48"/>
        <v>0</v>
      </c>
      <c r="EA792" s="1333"/>
      <c r="EB792" s="1333"/>
      <c r="EC792" s="1333"/>
      <c r="ED792" s="1334"/>
      <c r="EE792" s="1332">
        <f t="shared" si="49"/>
        <v>0</v>
      </c>
      <c r="EF792" s="1333"/>
      <c r="EG792" s="1333"/>
      <c r="EH792" s="1333"/>
      <c r="EI792" s="1334"/>
      <c r="EJ792" s="1332">
        <f t="shared" si="50"/>
        <v>0</v>
      </c>
      <c r="EK792" s="1333"/>
      <c r="EL792" s="1333"/>
      <c r="EM792" s="1333"/>
      <c r="EN792" s="1334"/>
      <c r="EO792" s="1332">
        <f t="shared" si="51"/>
        <v>0</v>
      </c>
      <c r="EP792" s="1333"/>
      <c r="EQ792" s="1333"/>
      <c r="ER792" s="1333"/>
      <c r="ES792" s="1334"/>
      <c r="ET792" s="1332">
        <f t="shared" si="52"/>
        <v>0</v>
      </c>
      <c r="EU792" s="1333"/>
      <c r="EV792" s="1333"/>
      <c r="EW792" s="1333"/>
      <c r="EX792" s="1334"/>
    </row>
    <row r="793" spans="1:154" s="14" customFormat="1" ht="12.95" customHeight="1">
      <c r="A793"/>
      <c r="B793"/>
      <c r="C793"/>
      <c r="D793"/>
      <c r="E793"/>
      <c r="F793"/>
      <c r="G793"/>
      <c r="H793"/>
      <c r="I793"/>
      <c r="J793" s="1359"/>
      <c r="K793" s="1360"/>
      <c r="L793" s="1360"/>
      <c r="M793" s="1360"/>
      <c r="N793" s="1361"/>
      <c r="O793" s="1455"/>
      <c r="P793" s="1455"/>
      <c r="Q793" s="1455"/>
      <c r="R793" s="1455"/>
      <c r="S793" s="1455"/>
      <c r="T793" s="1594"/>
      <c r="U793" s="1595"/>
      <c r="V793" s="1595"/>
      <c r="W793" s="1596"/>
      <c r="X793" s="1460"/>
      <c r="Y793" s="1461"/>
      <c r="Z793" s="1461"/>
      <c r="AA793" s="1461"/>
      <c r="AB793" s="1462"/>
      <c r="AC793" s="1362">
        <f t="shared" si="40"/>
        <v>0</v>
      </c>
      <c r="AD793" s="1363"/>
      <c r="AE793" s="1363"/>
      <c r="AF793" s="1363"/>
      <c r="AG793" s="136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1"/>
        <v>0</v>
      </c>
      <c r="CQ793" s="1333"/>
      <c r="CR793" s="1333"/>
      <c r="CS793" s="1333"/>
      <c r="CT793" s="1334"/>
      <c r="CU793" s="1332">
        <f t="shared" si="42"/>
        <v>0</v>
      </c>
      <c r="CV793" s="1333"/>
      <c r="CW793" s="1333"/>
      <c r="CX793" s="1333"/>
      <c r="CY793" s="1334"/>
      <c r="CZ793" s="1332">
        <f t="shared" si="43"/>
        <v>0</v>
      </c>
      <c r="DA793" s="1333"/>
      <c r="DB793" s="1333"/>
      <c r="DC793" s="1333"/>
      <c r="DD793" s="1334"/>
      <c r="DE793" s="1332">
        <f t="shared" si="44"/>
        <v>0</v>
      </c>
      <c r="DF793" s="1333"/>
      <c r="DG793" s="1333"/>
      <c r="DH793" s="1333"/>
      <c r="DI793" s="1334"/>
      <c r="DJ793" s="1332">
        <f t="shared" si="45"/>
        <v>0</v>
      </c>
      <c r="DK793" s="1333"/>
      <c r="DL793" s="1333"/>
      <c r="DM793" s="1333"/>
      <c r="DN793" s="1334"/>
      <c r="DO793" s="1332">
        <f t="shared" si="46"/>
        <v>0</v>
      </c>
      <c r="DP793" s="1333"/>
      <c r="DQ793" s="1333"/>
      <c r="DR793" s="1333"/>
      <c r="DS793" s="1334"/>
      <c r="DT793" s="6"/>
      <c r="DU793" s="1332">
        <f t="shared" si="47"/>
        <v>0</v>
      </c>
      <c r="DV793" s="1333"/>
      <c r="DW793" s="1333"/>
      <c r="DX793" s="1333"/>
      <c r="DY793" s="1334"/>
      <c r="DZ793" s="1332">
        <f t="shared" si="48"/>
        <v>0</v>
      </c>
      <c r="EA793" s="1333"/>
      <c r="EB793" s="1333"/>
      <c r="EC793" s="1333"/>
      <c r="ED793" s="1334"/>
      <c r="EE793" s="1332">
        <f t="shared" si="49"/>
        <v>0</v>
      </c>
      <c r="EF793" s="1333"/>
      <c r="EG793" s="1333"/>
      <c r="EH793" s="1333"/>
      <c r="EI793" s="1334"/>
      <c r="EJ793" s="1332">
        <f t="shared" si="50"/>
        <v>0</v>
      </c>
      <c r="EK793" s="1333"/>
      <c r="EL793" s="1333"/>
      <c r="EM793" s="1333"/>
      <c r="EN793" s="1334"/>
      <c r="EO793" s="1332">
        <f t="shared" si="51"/>
        <v>0</v>
      </c>
      <c r="EP793" s="1333"/>
      <c r="EQ793" s="1333"/>
      <c r="ER793" s="1333"/>
      <c r="ES793" s="1334"/>
      <c r="ET793" s="1332">
        <f t="shared" si="52"/>
        <v>0</v>
      </c>
      <c r="EU793" s="1333"/>
      <c r="EV793" s="1333"/>
      <c r="EW793" s="1333"/>
      <c r="EX793" s="1334"/>
    </row>
    <row r="794" spans="1:154" s="14" customFormat="1" ht="12.95" customHeight="1">
      <c r="A794"/>
      <c r="B794"/>
      <c r="C794"/>
      <c r="D794"/>
      <c r="E794"/>
      <c r="F794"/>
      <c r="G794"/>
      <c r="H794"/>
      <c r="I794"/>
      <c r="J794" s="1359"/>
      <c r="K794" s="1360"/>
      <c r="L794" s="1360"/>
      <c r="M794" s="1360"/>
      <c r="N794" s="1361"/>
      <c r="O794" s="1455"/>
      <c r="P794" s="1455"/>
      <c r="Q794" s="1455"/>
      <c r="R794" s="1455"/>
      <c r="S794" s="1455"/>
      <c r="T794" s="1594"/>
      <c r="U794" s="1595"/>
      <c r="V794" s="1595"/>
      <c r="W794" s="1596"/>
      <c r="X794" s="1460"/>
      <c r="Y794" s="1461"/>
      <c r="Z794" s="1461"/>
      <c r="AA794" s="1461"/>
      <c r="AB794" s="1462"/>
      <c r="AC794" s="1362">
        <f t="shared" si="40"/>
        <v>0</v>
      </c>
      <c r="AD794" s="1363"/>
      <c r="AE794" s="1363"/>
      <c r="AF794" s="1363"/>
      <c r="AG794" s="136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1"/>
        <v>0</v>
      </c>
      <c r="CQ794" s="1333"/>
      <c r="CR794" s="1333"/>
      <c r="CS794" s="1333"/>
      <c r="CT794" s="1334"/>
      <c r="CU794" s="1332">
        <f t="shared" si="42"/>
        <v>0</v>
      </c>
      <c r="CV794" s="1333"/>
      <c r="CW794" s="1333"/>
      <c r="CX794" s="1333"/>
      <c r="CY794" s="1334"/>
      <c r="CZ794" s="1332">
        <f t="shared" si="43"/>
        <v>0</v>
      </c>
      <c r="DA794" s="1333"/>
      <c r="DB794" s="1333"/>
      <c r="DC794" s="1333"/>
      <c r="DD794" s="1334"/>
      <c r="DE794" s="1332">
        <f t="shared" si="44"/>
        <v>0</v>
      </c>
      <c r="DF794" s="1333"/>
      <c r="DG794" s="1333"/>
      <c r="DH794" s="1333"/>
      <c r="DI794" s="1334"/>
      <c r="DJ794" s="1332">
        <f t="shared" si="45"/>
        <v>0</v>
      </c>
      <c r="DK794" s="1333"/>
      <c r="DL794" s="1333"/>
      <c r="DM794" s="1333"/>
      <c r="DN794" s="1334"/>
      <c r="DO794" s="1332">
        <f t="shared" si="46"/>
        <v>0</v>
      </c>
      <c r="DP794" s="1333"/>
      <c r="DQ794" s="1333"/>
      <c r="DR794" s="1333"/>
      <c r="DS794" s="1334"/>
      <c r="DT794" s="6"/>
      <c r="DU794" s="1332">
        <f t="shared" si="47"/>
        <v>0</v>
      </c>
      <c r="DV794" s="1333"/>
      <c r="DW794" s="1333"/>
      <c r="DX794" s="1333"/>
      <c r="DY794" s="1334"/>
      <c r="DZ794" s="1332">
        <f t="shared" si="48"/>
        <v>0</v>
      </c>
      <c r="EA794" s="1333"/>
      <c r="EB794" s="1333"/>
      <c r="EC794" s="1333"/>
      <c r="ED794" s="1334"/>
      <c r="EE794" s="1332">
        <f t="shared" si="49"/>
        <v>0</v>
      </c>
      <c r="EF794" s="1333"/>
      <c r="EG794" s="1333"/>
      <c r="EH794" s="1333"/>
      <c r="EI794" s="1334"/>
      <c r="EJ794" s="1332">
        <f t="shared" si="50"/>
        <v>0</v>
      </c>
      <c r="EK794" s="1333"/>
      <c r="EL794" s="1333"/>
      <c r="EM794" s="1333"/>
      <c r="EN794" s="1334"/>
      <c r="EO794" s="1332">
        <f t="shared" si="51"/>
        <v>0</v>
      </c>
      <c r="EP794" s="1333"/>
      <c r="EQ794" s="1333"/>
      <c r="ER794" s="1333"/>
      <c r="ES794" s="1334"/>
      <c r="ET794" s="1332">
        <f t="shared" si="52"/>
        <v>0</v>
      </c>
      <c r="EU794" s="1333"/>
      <c r="EV794" s="1333"/>
      <c r="EW794" s="1333"/>
      <c r="EX794" s="1334"/>
    </row>
    <row r="795" spans="1:154" s="14" customFormat="1" ht="12.95" customHeight="1">
      <c r="A795"/>
      <c r="B795"/>
      <c r="C795"/>
      <c r="D795"/>
      <c r="E795"/>
      <c r="F795"/>
      <c r="G795"/>
      <c r="H795"/>
      <c r="I795"/>
      <c r="J795" s="1359"/>
      <c r="K795" s="1360"/>
      <c r="L795" s="1360"/>
      <c r="M795" s="1360"/>
      <c r="N795" s="1361"/>
      <c r="O795" s="1455"/>
      <c r="P795" s="1455"/>
      <c r="Q795" s="1455"/>
      <c r="R795" s="1455"/>
      <c r="S795" s="1455"/>
      <c r="T795" s="1594"/>
      <c r="U795" s="1595"/>
      <c r="V795" s="1595"/>
      <c r="W795" s="1596"/>
      <c r="X795" s="1460"/>
      <c r="Y795" s="1461"/>
      <c r="Z795" s="1461"/>
      <c r="AA795" s="1461"/>
      <c r="AB795" s="1462"/>
      <c r="AC795" s="1362">
        <f t="shared" si="40"/>
        <v>0</v>
      </c>
      <c r="AD795" s="1363"/>
      <c r="AE795" s="1363"/>
      <c r="AF795" s="1363"/>
      <c r="AG795" s="136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1"/>
        <v>0</v>
      </c>
      <c r="CQ795" s="1333"/>
      <c r="CR795" s="1333"/>
      <c r="CS795" s="1333"/>
      <c r="CT795" s="1334"/>
      <c r="CU795" s="1332">
        <f t="shared" si="42"/>
        <v>0</v>
      </c>
      <c r="CV795" s="1333"/>
      <c r="CW795" s="1333"/>
      <c r="CX795" s="1333"/>
      <c r="CY795" s="1334"/>
      <c r="CZ795" s="1332">
        <f t="shared" si="43"/>
        <v>0</v>
      </c>
      <c r="DA795" s="1333"/>
      <c r="DB795" s="1333"/>
      <c r="DC795" s="1333"/>
      <c r="DD795" s="1334"/>
      <c r="DE795" s="1332">
        <f t="shared" si="44"/>
        <v>0</v>
      </c>
      <c r="DF795" s="1333"/>
      <c r="DG795" s="1333"/>
      <c r="DH795" s="1333"/>
      <c r="DI795" s="1334"/>
      <c r="DJ795" s="1332">
        <f t="shared" si="45"/>
        <v>0</v>
      </c>
      <c r="DK795" s="1333"/>
      <c r="DL795" s="1333"/>
      <c r="DM795" s="1333"/>
      <c r="DN795" s="1334"/>
      <c r="DO795" s="1332">
        <f t="shared" si="46"/>
        <v>0</v>
      </c>
      <c r="DP795" s="1333"/>
      <c r="DQ795" s="1333"/>
      <c r="DR795" s="1333"/>
      <c r="DS795" s="1334"/>
      <c r="DT795" s="6"/>
      <c r="DU795" s="1332">
        <f t="shared" si="47"/>
        <v>0</v>
      </c>
      <c r="DV795" s="1333"/>
      <c r="DW795" s="1333"/>
      <c r="DX795" s="1333"/>
      <c r="DY795" s="1334"/>
      <c r="DZ795" s="1332">
        <f t="shared" si="48"/>
        <v>0</v>
      </c>
      <c r="EA795" s="1333"/>
      <c r="EB795" s="1333"/>
      <c r="EC795" s="1333"/>
      <c r="ED795" s="1334"/>
      <c r="EE795" s="1332">
        <f t="shared" si="49"/>
        <v>0</v>
      </c>
      <c r="EF795" s="1333"/>
      <c r="EG795" s="1333"/>
      <c r="EH795" s="1333"/>
      <c r="EI795" s="1334"/>
      <c r="EJ795" s="1332">
        <f t="shared" si="50"/>
        <v>0</v>
      </c>
      <c r="EK795" s="1333"/>
      <c r="EL795" s="1333"/>
      <c r="EM795" s="1333"/>
      <c r="EN795" s="1334"/>
      <c r="EO795" s="1332">
        <f t="shared" si="51"/>
        <v>0</v>
      </c>
      <c r="EP795" s="1333"/>
      <c r="EQ795" s="1333"/>
      <c r="ER795" s="1333"/>
      <c r="ES795" s="1334"/>
      <c r="ET795" s="1332">
        <f t="shared" si="52"/>
        <v>0</v>
      </c>
      <c r="EU795" s="1333"/>
      <c r="EV795" s="1333"/>
      <c r="EW795" s="1333"/>
      <c r="EX795" s="1334"/>
    </row>
    <row r="796" spans="1:154" s="4" customFormat="1" ht="12.95" customHeight="1">
      <c r="A796"/>
      <c r="B796"/>
      <c r="C796"/>
      <c r="D796"/>
      <c r="E796"/>
      <c r="F796"/>
      <c r="G796"/>
      <c r="H796"/>
      <c r="I796"/>
      <c r="J796" s="1359"/>
      <c r="K796" s="1360"/>
      <c r="L796" s="1360"/>
      <c r="M796" s="1360"/>
      <c r="N796" s="1361"/>
      <c r="O796" s="1455"/>
      <c r="P796" s="1455"/>
      <c r="Q796" s="1455"/>
      <c r="R796" s="1455"/>
      <c r="S796" s="1455"/>
      <c r="T796" s="1594"/>
      <c r="U796" s="1595"/>
      <c r="V796" s="1595"/>
      <c r="W796" s="1596"/>
      <c r="X796" s="1460"/>
      <c r="Y796" s="1461"/>
      <c r="Z796" s="1461"/>
      <c r="AA796" s="1461"/>
      <c r="AB796" s="1462"/>
      <c r="AC796" s="1362">
        <f t="shared" si="40"/>
        <v>0</v>
      </c>
      <c r="AD796" s="1363"/>
      <c r="AE796" s="1363"/>
      <c r="AF796" s="1363"/>
      <c r="AG796" s="1364"/>
      <c r="AH796"/>
      <c r="AI796"/>
      <c r="AJ796"/>
      <c r="AK796"/>
      <c r="AL796"/>
      <c r="AM796"/>
      <c r="AN796"/>
      <c r="AO796"/>
      <c r="AP796"/>
      <c r="AQ796"/>
      <c r="AR796"/>
      <c r="AS796"/>
      <c r="AT796"/>
      <c r="AU796"/>
      <c r="AV796"/>
      <c r="AW796"/>
      <c r="AX796"/>
      <c r="AY796"/>
      <c r="AZ796" s="3"/>
      <c r="CP796" s="1332">
        <f t="shared" si="41"/>
        <v>0</v>
      </c>
      <c r="CQ796" s="1333"/>
      <c r="CR796" s="1333"/>
      <c r="CS796" s="1333"/>
      <c r="CT796" s="1334"/>
      <c r="CU796" s="1332">
        <f t="shared" si="42"/>
        <v>0</v>
      </c>
      <c r="CV796" s="1333"/>
      <c r="CW796" s="1333"/>
      <c r="CX796" s="1333"/>
      <c r="CY796" s="1334"/>
      <c r="CZ796" s="1332">
        <f t="shared" si="43"/>
        <v>0</v>
      </c>
      <c r="DA796" s="1333"/>
      <c r="DB796" s="1333"/>
      <c r="DC796" s="1333"/>
      <c r="DD796" s="1334"/>
      <c r="DE796" s="1332">
        <f t="shared" si="44"/>
        <v>0</v>
      </c>
      <c r="DF796" s="1333"/>
      <c r="DG796" s="1333"/>
      <c r="DH796" s="1333"/>
      <c r="DI796" s="1334"/>
      <c r="DJ796" s="1332">
        <f t="shared" si="45"/>
        <v>0</v>
      </c>
      <c r="DK796" s="1333"/>
      <c r="DL796" s="1333"/>
      <c r="DM796" s="1333"/>
      <c r="DN796" s="1334"/>
      <c r="DO796" s="1332">
        <f t="shared" si="46"/>
        <v>0</v>
      </c>
      <c r="DP796" s="1333"/>
      <c r="DQ796" s="1333"/>
      <c r="DR796" s="1333"/>
      <c r="DS796" s="1334"/>
      <c r="DT796" s="6"/>
      <c r="DU796" s="1332">
        <f t="shared" si="47"/>
        <v>0</v>
      </c>
      <c r="DV796" s="1333"/>
      <c r="DW796" s="1333"/>
      <c r="DX796" s="1333"/>
      <c r="DY796" s="1334"/>
      <c r="DZ796" s="1332">
        <f t="shared" si="48"/>
        <v>0</v>
      </c>
      <c r="EA796" s="1333"/>
      <c r="EB796" s="1333"/>
      <c r="EC796" s="1333"/>
      <c r="ED796" s="1334"/>
      <c r="EE796" s="1332">
        <f t="shared" si="49"/>
        <v>0</v>
      </c>
      <c r="EF796" s="1333"/>
      <c r="EG796" s="1333"/>
      <c r="EH796" s="1333"/>
      <c r="EI796" s="1334"/>
      <c r="EJ796" s="1332">
        <f t="shared" si="50"/>
        <v>0</v>
      </c>
      <c r="EK796" s="1333"/>
      <c r="EL796" s="1333"/>
      <c r="EM796" s="1333"/>
      <c r="EN796" s="1334"/>
      <c r="EO796" s="1332">
        <f t="shared" si="51"/>
        <v>0</v>
      </c>
      <c r="EP796" s="1333"/>
      <c r="EQ796" s="1333"/>
      <c r="ER796" s="1333"/>
      <c r="ES796" s="1334"/>
      <c r="ET796" s="1332">
        <f t="shared" si="52"/>
        <v>0</v>
      </c>
      <c r="EU796" s="1333"/>
      <c r="EV796" s="1333"/>
      <c r="EW796" s="1333"/>
      <c r="EX796" s="1334"/>
    </row>
    <row r="797" spans="1:154" s="4" customFormat="1" ht="12.95" customHeight="1">
      <c r="A797"/>
      <c r="B797"/>
      <c r="C797"/>
      <c r="D797"/>
      <c r="E797"/>
      <c r="F797"/>
      <c r="G797"/>
      <c r="H797"/>
      <c r="I797"/>
      <c r="J797" s="1421" t="s">
        <v>125</v>
      </c>
      <c r="K797" s="1422"/>
      <c r="L797" s="1422"/>
      <c r="M797" s="1422"/>
      <c r="N797" s="1424"/>
      <c r="O797" s="1614">
        <f>SUM(O787:S796)</f>
        <v>0</v>
      </c>
      <c r="P797" s="1614"/>
      <c r="Q797" s="1614"/>
      <c r="R797" s="1614"/>
      <c r="S797" s="1614"/>
      <c r="T797"/>
      <c r="U797"/>
      <c r="V797"/>
      <c r="W797"/>
      <c r="X797" s="902" t="s">
        <v>124</v>
      </c>
      <c r="Y797" s="11"/>
      <c r="Z797" s="11"/>
      <c r="AA797" s="11"/>
      <c r="AB797" s="909"/>
      <c r="AC797" s="1362">
        <f>SUM(AC787:AG796)</f>
        <v>0</v>
      </c>
      <c r="AD797" s="1363"/>
      <c r="AE797" s="1363"/>
      <c r="AF797" s="1363"/>
      <c r="AG797" s="1364"/>
      <c r="AH797"/>
      <c r="AI797"/>
      <c r="AJ797"/>
      <c r="AK797"/>
      <c r="AL797"/>
      <c r="AM797"/>
      <c r="AN797"/>
      <c r="AO797"/>
      <c r="AP797"/>
      <c r="AQ797"/>
      <c r="AR797"/>
      <c r="AS797"/>
      <c r="AT797"/>
      <c r="AU797"/>
      <c r="AV797"/>
      <c r="AW797"/>
      <c r="AX797"/>
      <c r="AY797"/>
      <c r="AZ797" s="3"/>
      <c r="BA797"/>
      <c r="CP797" s="1339">
        <f>SUM(CP787:CT796)</f>
        <v>0</v>
      </c>
      <c r="CQ797" s="1340"/>
      <c r="CR797" s="1340"/>
      <c r="CS797" s="1340"/>
      <c r="CT797" s="1341"/>
      <c r="CU797" s="1342">
        <f>SUM(CU787:CY796)</f>
        <v>0</v>
      </c>
      <c r="CV797" s="1343"/>
      <c r="CW797" s="1343"/>
      <c r="CX797" s="1343"/>
      <c r="CY797" s="1344"/>
      <c r="CZ797" s="1342">
        <f>SUM(CZ787:DD796)</f>
        <v>0</v>
      </c>
      <c r="DA797" s="1343"/>
      <c r="DB797" s="1343"/>
      <c r="DC797" s="1343"/>
      <c r="DD797" s="1344"/>
      <c r="DE797" s="1342">
        <f>SUM(DE787:DI796)</f>
        <v>0</v>
      </c>
      <c r="DF797" s="1343"/>
      <c r="DG797" s="1343"/>
      <c r="DH797" s="1343"/>
      <c r="DI797" s="1344"/>
      <c r="DJ797" s="1342">
        <f>SUM(DJ787:DN796)</f>
        <v>0</v>
      </c>
      <c r="DK797" s="1343"/>
      <c r="DL797" s="1343"/>
      <c r="DM797" s="1343"/>
      <c r="DN797" s="1344"/>
      <c r="DO797" s="1342">
        <f>SUM(DO787:DS796)</f>
        <v>0</v>
      </c>
      <c r="DP797" s="1343"/>
      <c r="DQ797" s="1343"/>
      <c r="DR797" s="1343"/>
      <c r="DS797" s="1344"/>
      <c r="DT797" s="1012"/>
      <c r="DU797" s="1339">
        <f>SUM(DU787:DY796)</f>
        <v>0</v>
      </c>
      <c r="DV797" s="1340"/>
      <c r="DW797" s="1340"/>
      <c r="DX797" s="1340"/>
      <c r="DY797" s="1341"/>
      <c r="DZ797" s="1339">
        <f>SUM(DZ787:ED796)</f>
        <v>0</v>
      </c>
      <c r="EA797" s="1340"/>
      <c r="EB797" s="1340"/>
      <c r="EC797" s="1340"/>
      <c r="ED797" s="1341"/>
      <c r="EE797" s="1339">
        <f>SUM(EE787:EI796)</f>
        <v>0</v>
      </c>
      <c r="EF797" s="1340"/>
      <c r="EG797" s="1340"/>
      <c r="EH797" s="1340"/>
      <c r="EI797" s="1341"/>
      <c r="EJ797" s="1339">
        <f>SUM(EJ787:EN796)</f>
        <v>0</v>
      </c>
      <c r="EK797" s="1340"/>
      <c r="EL797" s="1340"/>
      <c r="EM797" s="1340"/>
      <c r="EN797" s="1341"/>
      <c r="EO797" s="1339">
        <f>SUM(EO787:ES796)</f>
        <v>0</v>
      </c>
      <c r="EP797" s="1340"/>
      <c r="EQ797" s="1340"/>
      <c r="ER797" s="1340"/>
      <c r="ES797" s="1341"/>
      <c r="ET797" s="1339">
        <f>SUM(ET787:EX796)</f>
        <v>0</v>
      </c>
      <c r="EU797" s="1340"/>
      <c r="EV797" s="1340"/>
      <c r="EW797" s="1340"/>
      <c r="EX797" s="1341"/>
    </row>
    <row r="798" spans="1:154" s="4" customFormat="1" ht="12.95" customHeight="1">
      <c r="A798"/>
      <c r="B798"/>
      <c r="C798" s="1404" t="str">
        <f>IF(O797&lt;&gt;AG438,"! Total market rate units in the Unit Mix Table above does not match the number of  market rate units on row #"&amp;TEXT(ROW(D438),"#"),"")</f>
        <v/>
      </c>
      <c r="D798" s="1404"/>
      <c r="E798" s="1404"/>
      <c r="F798" s="1404"/>
      <c r="G798" s="1404"/>
      <c r="H798" s="1404"/>
      <c r="I798" s="1404"/>
      <c r="J798" s="1404"/>
      <c r="K798" s="1404"/>
      <c r="L798" s="1404"/>
      <c r="M798" s="1404"/>
      <c r="N798" s="1404"/>
      <c r="O798" s="1404"/>
      <c r="P798" s="1404"/>
      <c r="Q798" s="1404"/>
      <c r="R798" s="1404"/>
      <c r="S798" s="1404"/>
      <c r="T798" s="1404"/>
      <c r="U798" s="1404"/>
      <c r="V798" s="1404"/>
      <c r="W798" s="1404"/>
      <c r="X798" s="1404"/>
      <c r="Y798" s="1404"/>
      <c r="Z798" s="1404"/>
      <c r="AA798" s="1404"/>
      <c r="AB798" s="1404"/>
      <c r="AC798" s="1404"/>
      <c r="AD798" s="1404"/>
      <c r="AE798" s="1404"/>
      <c r="AF798" s="1404"/>
      <c r="AG798" s="1404"/>
      <c r="AH798" s="1404"/>
      <c r="AI798" s="1404"/>
      <c r="AJ798" s="1404"/>
      <c r="AK798" s="1404"/>
      <c r="AL798" s="1404"/>
      <c r="AM798" s="1404"/>
      <c r="AN798" s="140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404"/>
      <c r="D799" s="1404"/>
      <c r="E799" s="1404"/>
      <c r="F799" s="1404"/>
      <c r="G799" s="1404"/>
      <c r="H799" s="1404"/>
      <c r="I799" s="1404"/>
      <c r="J799" s="1404"/>
      <c r="K799" s="1404"/>
      <c r="L799" s="1404"/>
      <c r="M799" s="1404"/>
      <c r="N799" s="1404"/>
      <c r="O799" s="1404"/>
      <c r="P799" s="1404"/>
      <c r="Q799" s="1404"/>
      <c r="R799" s="1404"/>
      <c r="S799" s="1404"/>
      <c r="T799" s="1404"/>
      <c r="U799" s="1404"/>
      <c r="V799" s="1404"/>
      <c r="W799" s="1404"/>
      <c r="X799" s="1404"/>
      <c r="Y799" s="1404"/>
      <c r="Z799" s="1404"/>
      <c r="AA799" s="1404"/>
      <c r="AB799" s="1404"/>
      <c r="AC799" s="1404"/>
      <c r="AD799" s="1404"/>
      <c r="AE799" s="1404"/>
      <c r="AF799" s="1404"/>
      <c r="AG799" s="1404"/>
      <c r="AH799" s="1404"/>
      <c r="AI799" s="1404"/>
      <c r="AJ799" s="1404"/>
      <c r="AK799" s="1404"/>
      <c r="AL799" s="1404"/>
      <c r="AM799" s="1404"/>
      <c r="AN799" s="140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52">
        <f>SUM(DU797:EX797)</f>
        <v>0</v>
      </c>
      <c r="EU799" s="1353"/>
      <c r="EV799" s="1353"/>
      <c r="EW799" s="1353"/>
      <c r="EX799" s="1354"/>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91">
        <f>O753+AC777+AC797</f>
        <v>157306</v>
      </c>
      <c r="Z800" s="1591"/>
      <c r="AA800" s="1591"/>
      <c r="AB800" s="1591"/>
      <c r="AC800" s="1591"/>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91">
        <f>(O753+AC777+AC797)*12</f>
        <v>1887672</v>
      </c>
      <c r="Z801" s="1591"/>
      <c r="AA801" s="1591"/>
      <c r="AB801" s="1591"/>
      <c r="AC801" s="1591"/>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2">
        <f>CP753+CP777+CP797</f>
        <v>5</v>
      </c>
      <c r="CQ802" s="1343"/>
      <c r="CR802" s="1343"/>
      <c r="CS802" s="1343"/>
      <c r="CT802" s="1344"/>
      <c r="CU802" s="1342">
        <f>CU753+CU777+CU797</f>
        <v>32</v>
      </c>
      <c r="CV802" s="1343"/>
      <c r="CW802" s="1343"/>
      <c r="CX802" s="1343"/>
      <c r="CY802" s="1344"/>
      <c r="CZ802" s="1342">
        <f>CZ753+CZ777+CZ797</f>
        <v>21</v>
      </c>
      <c r="DA802" s="1343"/>
      <c r="DB802" s="1343"/>
      <c r="DC802" s="1343"/>
      <c r="DD802" s="1344"/>
      <c r="DE802" s="1342">
        <f>DE753+DE777+DE797</f>
        <v>21</v>
      </c>
      <c r="DF802" s="1343"/>
      <c r="DG802" s="1343"/>
      <c r="DH802" s="1343"/>
      <c r="DI802" s="1344"/>
      <c r="DJ802" s="1342">
        <f>DJ753+DJ777+DJ797</f>
        <v>0</v>
      </c>
      <c r="DK802" s="1343"/>
      <c r="DL802" s="1343"/>
      <c r="DM802" s="1343"/>
      <c r="DN802" s="1344"/>
      <c r="DO802" s="1355">
        <f>DO797+DO777+DO753</f>
        <v>0</v>
      </c>
      <c r="DP802" s="1356"/>
      <c r="DQ802" s="1356"/>
      <c r="DR802" s="1356"/>
      <c r="DS802" s="1357"/>
      <c r="DT802" s="3"/>
      <c r="DU802" s="861">
        <f>DU755+DU800</f>
        <v>139</v>
      </c>
      <c r="DV802" s="57" t="s">
        <v>1864</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3">
        <v>12</v>
      </c>
      <c r="AA806" s="1598"/>
      <c r="AB806" s="1598"/>
      <c r="AC806" s="1598"/>
      <c r="AD806" s="1598"/>
      <c r="AE806" s="159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597">
        <v>20</v>
      </c>
      <c r="AA807" s="1598"/>
      <c r="AB807" s="1598"/>
      <c r="AC807" s="1598"/>
      <c r="AD807" s="1598"/>
      <c r="AE807" s="159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2" t="s">
        <v>2721</v>
      </c>
      <c r="AA808" s="1520"/>
      <c r="AB808" s="1520"/>
      <c r="AC808" s="1520"/>
      <c r="AD808" s="1520"/>
      <c r="AE808" s="1613"/>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64">
        <f>'Subsidy Contract Calculation'!J40</f>
        <v>346320</v>
      </c>
      <c r="AA809" s="1465"/>
      <c r="AB809" s="1465"/>
      <c r="AC809" s="1465"/>
      <c r="AD809" s="1465"/>
      <c r="AE809" s="146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7">
        <v>12008</v>
      </c>
      <c r="AA813" s="1345"/>
      <c r="AB813" s="1345"/>
      <c r="AC813" s="1345"/>
      <c r="AD813" s="1345"/>
      <c r="AE813" s="134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7"/>
      <c r="AA814" s="1345"/>
      <c r="AB814" s="1345"/>
      <c r="AC814" s="1345"/>
      <c r="AD814" s="1345"/>
      <c r="AE814" s="134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7"/>
      <c r="AA815" s="1345"/>
      <c r="AB815" s="1345"/>
      <c r="AC815" s="1345"/>
      <c r="AD815" s="1345"/>
      <c r="AE815" s="134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33" t="s">
        <v>334</v>
      </c>
      <c r="Q816" s="1634"/>
      <c r="R816" s="1634"/>
      <c r="S816" s="1634"/>
      <c r="T816" s="1634"/>
      <c r="U816" s="1634"/>
      <c r="V816" s="1634"/>
      <c r="W816" s="1634"/>
      <c r="X816" s="1634"/>
      <c r="Y816" s="1635"/>
      <c r="Z816" s="1467"/>
      <c r="AA816" s="1345"/>
      <c r="AB816" s="1345"/>
      <c r="AC816" s="1345"/>
      <c r="AD816" s="1345"/>
      <c r="AE816" s="134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64">
        <f>SUM(Z813:AE816)</f>
        <v>12008</v>
      </c>
      <c r="AA817" s="1465"/>
      <c r="AB817" s="1465"/>
      <c r="AC817" s="1465"/>
      <c r="AD817" s="1465"/>
      <c r="AE817" s="1466"/>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64">
        <f>Z817+Y801+Z809</f>
        <v>2246000</v>
      </c>
      <c r="AA818" s="1465"/>
      <c r="AB818" s="1465"/>
      <c r="AC818" s="1465"/>
      <c r="AD818" s="1465"/>
      <c r="AE818" s="146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85" t="s">
        <v>126</v>
      </c>
      <c r="N823" s="1685"/>
      <c r="O823" s="1685"/>
      <c r="P823" s="1686"/>
      <c r="Q823" s="1611" t="s">
        <v>290</v>
      </c>
      <c r="R823" s="1611"/>
      <c r="S823" s="1611"/>
      <c r="T823" s="1611"/>
      <c r="U823" s="1611" t="s">
        <v>291</v>
      </c>
      <c r="V823" s="1611"/>
      <c r="W823" s="1611"/>
      <c r="X823" s="1611"/>
      <c r="Y823" s="1611" t="s">
        <v>292</v>
      </c>
      <c r="Z823" s="1611"/>
      <c r="AA823" s="1611"/>
      <c r="AB823" s="1611"/>
      <c r="AC823" s="1611" t="s">
        <v>361</v>
      </c>
      <c r="AD823" s="1611"/>
      <c r="AE823" s="1611"/>
      <c r="AF823" s="1611"/>
      <c r="AG823" s="1606" t="s">
        <v>335</v>
      </c>
      <c r="AH823" s="1606"/>
      <c r="AI823" s="1606"/>
      <c r="AJ823" s="1606"/>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87"/>
      <c r="N824" s="1687"/>
      <c r="O824" s="1687"/>
      <c r="P824" s="1688"/>
      <c r="Q824" s="1611"/>
      <c r="R824" s="1611"/>
      <c r="S824" s="1611"/>
      <c r="T824" s="1611"/>
      <c r="U824" s="1611"/>
      <c r="V824" s="1611"/>
      <c r="W824" s="1611"/>
      <c r="X824" s="1611"/>
      <c r="Y824" s="1611"/>
      <c r="Z824" s="1611"/>
      <c r="AA824" s="1611"/>
      <c r="AB824" s="1611"/>
      <c r="AC824" s="1611"/>
      <c r="AD824" s="1611"/>
      <c r="AE824" s="1611"/>
      <c r="AF824" s="1611"/>
      <c r="AG824" s="1606"/>
      <c r="AH824" s="1606"/>
      <c r="AI824" s="1606"/>
      <c r="AJ824" s="1606"/>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93" t="s">
        <v>40</v>
      </c>
      <c r="D825" s="1476"/>
      <c r="E825" s="1476"/>
      <c r="F825" s="1476"/>
      <c r="G825" s="1476"/>
      <c r="H825" s="1476"/>
      <c r="I825" s="48"/>
      <c r="J825" s="48"/>
      <c r="K825" s="48"/>
      <c r="L825" s="49"/>
      <c r="M825" s="1590">
        <v>15</v>
      </c>
      <c r="N825" s="1590"/>
      <c r="O825" s="1590"/>
      <c r="P825" s="1590"/>
      <c r="Q825" s="1590">
        <v>18</v>
      </c>
      <c r="R825" s="1590"/>
      <c r="S825" s="1590"/>
      <c r="T825" s="1590"/>
      <c r="U825" s="1590">
        <v>22</v>
      </c>
      <c r="V825" s="1590"/>
      <c r="W825" s="1590"/>
      <c r="X825" s="1590"/>
      <c r="Y825" s="1590">
        <v>27</v>
      </c>
      <c r="Z825" s="1590"/>
      <c r="AA825" s="1590"/>
      <c r="AB825" s="1590"/>
      <c r="AC825" s="1480"/>
      <c r="AD825" s="1481"/>
      <c r="AE825" s="1481"/>
      <c r="AF825" s="1482"/>
      <c r="AG825" s="1480"/>
      <c r="AH825" s="1481"/>
      <c r="AI825" s="1481"/>
      <c r="AJ825" s="1482"/>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0" t="s">
        <v>41</v>
      </c>
      <c r="D826" s="1426"/>
      <c r="E826" s="1426"/>
      <c r="F826" s="1426"/>
      <c r="G826" s="1426"/>
      <c r="H826" s="1426"/>
      <c r="I826" s="5"/>
      <c r="J826" s="5"/>
      <c r="K826" s="5"/>
      <c r="L826" s="46"/>
      <c r="M826" s="1590">
        <v>17</v>
      </c>
      <c r="N826" s="1590"/>
      <c r="O826" s="1590"/>
      <c r="P826" s="1590"/>
      <c r="Q826" s="1590">
        <v>20</v>
      </c>
      <c r="R826" s="1590"/>
      <c r="S826" s="1590"/>
      <c r="T826" s="1590"/>
      <c r="U826" s="1590">
        <v>26</v>
      </c>
      <c r="V826" s="1590"/>
      <c r="W826" s="1590"/>
      <c r="X826" s="1590"/>
      <c r="Y826" s="1590">
        <v>32</v>
      </c>
      <c r="Z826" s="1590"/>
      <c r="AA826" s="1590"/>
      <c r="AB826" s="1590"/>
      <c r="AC826" s="1480"/>
      <c r="AD826" s="1481"/>
      <c r="AE826" s="1481"/>
      <c r="AF826" s="1482"/>
      <c r="AG826" s="1480"/>
      <c r="AH826" s="1481"/>
      <c r="AI826" s="1481"/>
      <c r="AJ826" s="1482"/>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0" t="s">
        <v>42</v>
      </c>
      <c r="D827" s="1426"/>
      <c r="E827" s="1426"/>
      <c r="F827" s="1426"/>
      <c r="G827" s="1426"/>
      <c r="H827" s="1426"/>
      <c r="I827" s="60"/>
      <c r="J827" s="60"/>
      <c r="K827" s="60"/>
      <c r="L827" s="61"/>
      <c r="M827" s="1590">
        <v>8</v>
      </c>
      <c r="N827" s="1590"/>
      <c r="O827" s="1590"/>
      <c r="P827" s="1590"/>
      <c r="Q827" s="1590">
        <v>9</v>
      </c>
      <c r="R827" s="1590"/>
      <c r="S827" s="1590"/>
      <c r="T827" s="1590"/>
      <c r="U827" s="1590">
        <v>13</v>
      </c>
      <c r="V827" s="1590"/>
      <c r="W827" s="1590"/>
      <c r="X827" s="1590"/>
      <c r="Y827" s="1590">
        <v>17</v>
      </c>
      <c r="Z827" s="1590"/>
      <c r="AA827" s="1590"/>
      <c r="AB827" s="1590"/>
      <c r="AC827" s="1480"/>
      <c r="AD827" s="1481"/>
      <c r="AE827" s="1481"/>
      <c r="AF827" s="1482"/>
      <c r="AG827" s="1480"/>
      <c r="AH827" s="1481"/>
      <c r="AI827" s="1481"/>
      <c r="AJ827" s="1482"/>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00" t="s">
        <v>763</v>
      </c>
      <c r="D828" s="1426"/>
      <c r="E828" s="1426"/>
      <c r="F828" s="1426"/>
      <c r="G828" s="1426"/>
      <c r="H828" s="1426"/>
      <c r="I828" s="60"/>
      <c r="J828" s="60"/>
      <c r="K828" s="60"/>
      <c r="L828" s="61"/>
      <c r="M828" s="1590">
        <v>27</v>
      </c>
      <c r="N828" s="1590"/>
      <c r="O828" s="1590"/>
      <c r="P828" s="1590"/>
      <c r="Q828" s="1590">
        <v>32</v>
      </c>
      <c r="R828" s="1590"/>
      <c r="S828" s="1590"/>
      <c r="T828" s="1590"/>
      <c r="U828" s="1590">
        <v>45</v>
      </c>
      <c r="V828" s="1590"/>
      <c r="W828" s="1590"/>
      <c r="X828" s="1590"/>
      <c r="Y828" s="1590">
        <v>59</v>
      </c>
      <c r="Z828" s="1590"/>
      <c r="AA828" s="1590"/>
      <c r="AB828" s="1590"/>
      <c r="AC828" s="1480"/>
      <c r="AD828" s="1481"/>
      <c r="AE828" s="1481"/>
      <c r="AF828" s="1482"/>
      <c r="AG828" s="1480"/>
      <c r="AH828" s="1481"/>
      <c r="AI828" s="1481"/>
      <c r="AJ828" s="1482"/>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0" t="s">
        <v>460</v>
      </c>
      <c r="D829" s="1426"/>
      <c r="E829" s="1426"/>
      <c r="F829" s="1426"/>
      <c r="G829" s="1426"/>
      <c r="H829" s="1426"/>
      <c r="I829" s="60"/>
      <c r="J829" s="60"/>
      <c r="K829" s="60"/>
      <c r="L829" s="61"/>
      <c r="M829" s="1590"/>
      <c r="N829" s="1590"/>
      <c r="O829" s="1590"/>
      <c r="P829" s="1590"/>
      <c r="Q829" s="1590"/>
      <c r="R829" s="1590"/>
      <c r="S829" s="1590"/>
      <c r="T829" s="1590"/>
      <c r="U829" s="1590"/>
      <c r="V829" s="1590"/>
      <c r="W829" s="1590"/>
      <c r="X829" s="1590"/>
      <c r="Y829" s="1590"/>
      <c r="Z829" s="1590"/>
      <c r="AA829" s="1590"/>
      <c r="AB829" s="1590"/>
      <c r="AC829" s="1480"/>
      <c r="AD829" s="1481"/>
      <c r="AE829" s="1481"/>
      <c r="AF829" s="1482"/>
      <c r="AG829" s="1480"/>
      <c r="AH829" s="1481"/>
      <c r="AI829" s="1481"/>
      <c r="AJ829" s="1482"/>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99" t="s">
        <v>784</v>
      </c>
      <c r="D830" s="1426"/>
      <c r="E830" s="1426"/>
      <c r="F830" s="1426"/>
      <c r="G830" s="1426"/>
      <c r="H830" s="1426"/>
      <c r="I830" s="60"/>
      <c r="J830" s="60"/>
      <c r="K830" s="60"/>
      <c r="L830" s="61"/>
      <c r="M830" s="1590"/>
      <c r="N830" s="1590"/>
      <c r="O830" s="1590"/>
      <c r="P830" s="1590"/>
      <c r="Q830" s="1590"/>
      <c r="R830" s="1590"/>
      <c r="S830" s="1590"/>
      <c r="T830" s="1590"/>
      <c r="U830" s="1590"/>
      <c r="V830" s="1590"/>
      <c r="W830" s="1590"/>
      <c r="X830" s="1590"/>
      <c r="Y830" s="1590"/>
      <c r="Z830" s="1590"/>
      <c r="AA830" s="1590"/>
      <c r="AB830" s="1590"/>
      <c r="AC830" s="1480"/>
      <c r="AD830" s="1481"/>
      <c r="AE830" s="1481"/>
      <c r="AF830" s="1482"/>
      <c r="AG830" s="1480"/>
      <c r="AH830" s="1481"/>
      <c r="AI830" s="1481"/>
      <c r="AJ830" s="1482"/>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33"/>
      <c r="G831" s="1634"/>
      <c r="H831" s="1634"/>
      <c r="I831" s="1634"/>
      <c r="J831" s="1634"/>
      <c r="K831" s="1634"/>
      <c r="L831" s="1634"/>
      <c r="M831" s="1590"/>
      <c r="N831" s="1590"/>
      <c r="O831" s="1590"/>
      <c r="P831" s="1590"/>
      <c r="Q831" s="1590"/>
      <c r="R831" s="1590"/>
      <c r="S831" s="1590"/>
      <c r="T831" s="1590"/>
      <c r="U831" s="1590"/>
      <c r="V831" s="1590"/>
      <c r="W831" s="1590"/>
      <c r="X831" s="1590"/>
      <c r="Y831" s="1590"/>
      <c r="Z831" s="1590"/>
      <c r="AA831" s="1590"/>
      <c r="AB831" s="1590"/>
      <c r="AC831" s="1480"/>
      <c r="AD831" s="1481"/>
      <c r="AE831" s="1481"/>
      <c r="AF831" s="1482"/>
      <c r="AG831" s="1480"/>
      <c r="AH831" s="1481"/>
      <c r="AI831" s="1481"/>
      <c r="AJ831" s="1482"/>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21" t="s">
        <v>124</v>
      </c>
      <c r="D832" s="1422"/>
      <c r="E832" s="1422"/>
      <c r="F832" s="1422"/>
      <c r="G832" s="1422"/>
      <c r="H832" s="1422"/>
      <c r="I832" s="1422"/>
      <c r="J832" s="1422"/>
      <c r="K832" s="1422"/>
      <c r="L832" s="1424"/>
      <c r="M832" s="1640">
        <f>SUM(M825:P831)</f>
        <v>67</v>
      </c>
      <c r="N832" s="1640"/>
      <c r="O832" s="1640"/>
      <c r="P832" s="1640"/>
      <c r="Q832" s="1640">
        <f>SUM(Q825:T831)</f>
        <v>79</v>
      </c>
      <c r="R832" s="1640"/>
      <c r="S832" s="1640"/>
      <c r="T832" s="1640"/>
      <c r="U832" s="1640">
        <f>SUM(U825:X831)</f>
        <v>106</v>
      </c>
      <c r="V832" s="1640"/>
      <c r="W832" s="1640"/>
      <c r="X832" s="1640"/>
      <c r="Y832" s="1640">
        <f>SUM(Y825:AB831)</f>
        <v>135</v>
      </c>
      <c r="Z832" s="1640"/>
      <c r="AA832" s="1640"/>
      <c r="AB832" s="1640"/>
      <c r="AC832" s="1640">
        <f>SUM(AC825:AF831)</f>
        <v>0</v>
      </c>
      <c r="AD832" s="1640"/>
      <c r="AE832" s="1640"/>
      <c r="AF832" s="1640"/>
      <c r="AG832" s="1640">
        <f>SUM(AG825:AJ831)</f>
        <v>0</v>
      </c>
      <c r="AH832" s="1640"/>
      <c r="AI832" s="1640"/>
      <c r="AJ832" s="1640"/>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46" t="s">
        <v>2722</v>
      </c>
      <c r="D837" s="1647"/>
      <c r="E837" s="1647"/>
      <c r="F837" s="1647"/>
      <c r="G837" s="1647"/>
      <c r="H837" s="1647"/>
      <c r="I837" s="1647"/>
      <c r="J837" s="1647"/>
      <c r="K837" s="1647"/>
      <c r="L837" s="1647"/>
      <c r="M837" s="1647"/>
      <c r="N837" s="1647"/>
      <c r="O837" s="1647"/>
      <c r="P837" s="1647"/>
      <c r="Q837" s="1647"/>
      <c r="R837" s="1647"/>
      <c r="S837" s="1647"/>
      <c r="T837" s="1647"/>
      <c r="U837" s="1647"/>
      <c r="V837" s="1647"/>
      <c r="W837" s="1647"/>
      <c r="X837" s="1647"/>
      <c r="Y837" s="1647"/>
      <c r="Z837" s="1647"/>
      <c r="AA837" s="1647"/>
      <c r="AB837" s="1647"/>
      <c r="AC837" s="1647"/>
      <c r="AD837" s="1647"/>
      <c r="AE837" s="1647"/>
      <c r="AF837" s="1647"/>
      <c r="AG837" s="1647"/>
      <c r="AH837" s="1647"/>
      <c r="AI837" s="1647"/>
      <c r="AJ837" s="1648"/>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4"/>
      <c r="BJ841" s="1654"/>
      <c r="BK841" s="1654"/>
      <c r="BL841" s="1654"/>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29">
        <v>5000</v>
      </c>
      <c r="X842" s="1629"/>
      <c r="Y842" s="1629"/>
      <c r="Z842" s="1629"/>
      <c r="AA842" s="1629"/>
      <c r="AB842" s="1629"/>
      <c r="AC842" s="1629"/>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629">
        <v>10000</v>
      </c>
      <c r="X843" s="1629"/>
      <c r="Y843" s="1629"/>
      <c r="Z843" s="1629"/>
      <c r="AA843" s="1629"/>
      <c r="AB843" s="1629"/>
      <c r="AC843" s="1629"/>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629">
        <v>15000</v>
      </c>
      <c r="X844" s="1629"/>
      <c r="Y844" s="1629"/>
      <c r="Z844" s="1629"/>
      <c r="AA844" s="1629"/>
      <c r="AB844" s="1629"/>
      <c r="AC844" s="1629"/>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629">
        <v>10000</v>
      </c>
      <c r="X845" s="1629"/>
      <c r="Y845" s="1629"/>
      <c r="Z845" s="1629"/>
      <c r="AA845" s="1629"/>
      <c r="AB845" s="1629"/>
      <c r="AC845" s="1629"/>
      <c r="AZ845" s="30"/>
      <c r="BA845" s="30"/>
      <c r="BB845" s="14"/>
      <c r="BC845" s="14"/>
      <c r="BD845" s="14"/>
      <c r="BE845" s="14"/>
      <c r="BF845" s="14"/>
      <c r="BG845" s="14"/>
      <c r="BH845" s="14"/>
      <c r="BI845" s="14"/>
      <c r="BJ845" s="14"/>
      <c r="BK845" s="14"/>
      <c r="BL845" s="14"/>
    </row>
    <row r="846" spans="1:64" ht="12.95" customHeight="1">
      <c r="J846" s="45" t="s">
        <v>170</v>
      </c>
      <c r="K846" s="5"/>
      <c r="L846" s="5"/>
      <c r="M846" s="1633" t="s">
        <v>334</v>
      </c>
      <c r="N846" s="1634"/>
      <c r="O846" s="1634"/>
      <c r="P846" s="1634"/>
      <c r="Q846" s="1634"/>
      <c r="R846" s="1634"/>
      <c r="S846" s="1634"/>
      <c r="T846" s="1634"/>
      <c r="U846" s="1634"/>
      <c r="V846" s="1635"/>
      <c r="W846" s="1629"/>
      <c r="X846" s="1629"/>
      <c r="Y846" s="1629"/>
      <c r="Z846" s="1629"/>
      <c r="AA846" s="1629"/>
      <c r="AB846" s="1629"/>
      <c r="AC846" s="1629"/>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464">
        <f>SUM(W842:W846)</f>
        <v>40000</v>
      </c>
      <c r="X847" s="1465"/>
      <c r="Y847" s="1465"/>
      <c r="Z847" s="1465"/>
      <c r="AA847" s="1465"/>
      <c r="AB847" s="1465"/>
      <c r="AC847" s="1466"/>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4"/>
      <c r="BH848" s="1624"/>
      <c r="BI848" s="1624"/>
      <c r="BJ848" s="1624"/>
      <c r="BK848" s="1624"/>
      <c r="BL848" s="1624"/>
    </row>
    <row r="849" spans="3:55" ht="12.95" customHeight="1">
      <c r="C849" s="2" t="s">
        <v>344</v>
      </c>
      <c r="J849" s="1421" t="s">
        <v>345</v>
      </c>
      <c r="K849" s="1422"/>
      <c r="L849" s="1422"/>
      <c r="M849" s="1422"/>
      <c r="N849" s="1422"/>
      <c r="O849" s="1422"/>
      <c r="P849" s="1422"/>
      <c r="Q849" s="1422"/>
      <c r="R849" s="1422"/>
      <c r="S849" s="1422"/>
      <c r="T849" s="1422"/>
      <c r="U849" s="1422"/>
      <c r="V849" s="1424"/>
      <c r="W849" s="1467">
        <v>128022</v>
      </c>
      <c r="X849" s="1345"/>
      <c r="Y849" s="1345"/>
      <c r="Z849" s="1345"/>
      <c r="AA849" s="1345"/>
      <c r="AB849" s="1345"/>
      <c r="AC849" s="1346"/>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44"/>
      <c r="X851" s="1644"/>
      <c r="Y851" s="1644"/>
      <c r="Z851" s="1644"/>
      <c r="AA851" s="1644"/>
      <c r="AB851" s="1644"/>
      <c r="AC851" s="1644"/>
      <c r="AZ851" s="1610"/>
      <c r="BA851" s="1610"/>
      <c r="BB851" s="14"/>
      <c r="BC851" s="14"/>
    </row>
    <row r="852" spans="3:55" ht="12.95" customHeight="1">
      <c r="J852" s="45" t="s">
        <v>351</v>
      </c>
      <c r="K852" s="5"/>
      <c r="L852" s="5"/>
      <c r="M852" s="5"/>
      <c r="N852" s="5"/>
      <c r="O852" s="5"/>
      <c r="P852" s="5"/>
      <c r="Q852" s="5"/>
      <c r="R852" s="5"/>
      <c r="S852" s="5"/>
      <c r="T852" s="5"/>
      <c r="U852" s="5"/>
      <c r="V852" s="46"/>
      <c r="W852" s="1644"/>
      <c r="X852" s="1644"/>
      <c r="Y852" s="1644"/>
      <c r="Z852" s="1644"/>
      <c r="AA852" s="1644"/>
      <c r="AB852" s="1644"/>
      <c r="AC852" s="1644"/>
      <c r="AZ852" s="30"/>
      <c r="BA852" s="30"/>
      <c r="BB852" s="14"/>
      <c r="BC852" s="14"/>
    </row>
    <row r="853" spans="3:55" ht="12.95" customHeight="1">
      <c r="J853" s="45" t="s">
        <v>460</v>
      </c>
      <c r="K853" s="5"/>
      <c r="L853" s="5"/>
      <c r="M853" s="5"/>
      <c r="N853" s="5"/>
      <c r="O853" s="5"/>
      <c r="P853" s="5"/>
      <c r="Q853" s="5"/>
      <c r="R853" s="5"/>
      <c r="S853" s="5"/>
      <c r="T853" s="5"/>
      <c r="U853" s="5"/>
      <c r="V853" s="46"/>
      <c r="W853" s="1644">
        <v>30000</v>
      </c>
      <c r="X853" s="1644"/>
      <c r="Y853" s="1644"/>
      <c r="Z853" s="1644"/>
      <c r="AA853" s="1644"/>
      <c r="AB853" s="1644"/>
      <c r="AC853" s="1644"/>
      <c r="AZ853" s="30"/>
      <c r="BA853" s="30"/>
      <c r="BB853" s="14"/>
      <c r="BC853" s="14"/>
    </row>
    <row r="854" spans="3:55" ht="12.95" customHeight="1">
      <c r="J854" s="62" t="s">
        <v>621</v>
      </c>
      <c r="K854" s="5"/>
      <c r="L854" s="5"/>
      <c r="M854" s="5"/>
      <c r="N854" s="5"/>
      <c r="O854" s="5"/>
      <c r="P854" s="5"/>
      <c r="Q854" s="5"/>
      <c r="R854" s="5"/>
      <c r="S854" s="5"/>
      <c r="T854" s="5"/>
      <c r="U854" s="5"/>
      <c r="V854" s="46"/>
      <c r="W854" s="1644">
        <v>80000</v>
      </c>
      <c r="X854" s="1644"/>
      <c r="Y854" s="1644"/>
      <c r="Z854" s="1644"/>
      <c r="AA854" s="1644"/>
      <c r="AB854" s="1644"/>
      <c r="AC854" s="1644"/>
      <c r="AZ854" s="34"/>
      <c r="BA854" s="34"/>
      <c r="BB854" s="34"/>
      <c r="BC854" s="34"/>
    </row>
    <row r="855" spans="3:55" ht="12.95" customHeight="1">
      <c r="J855" s="63"/>
      <c r="K855" s="48"/>
      <c r="L855" s="48"/>
      <c r="M855" s="48"/>
      <c r="N855" s="48"/>
      <c r="O855" s="48"/>
      <c r="P855" s="48"/>
      <c r="Q855" s="48"/>
      <c r="R855" s="48"/>
      <c r="S855" s="48"/>
      <c r="T855" s="48"/>
      <c r="U855" s="48"/>
      <c r="V855" s="54" t="s">
        <v>272</v>
      </c>
      <c r="W855" s="1645">
        <f>SUM(W851:W854)</f>
        <v>110000</v>
      </c>
      <c r="X855" s="1645"/>
      <c r="Y855" s="1645"/>
      <c r="Z855" s="1645"/>
      <c r="AA855" s="1645"/>
      <c r="AB855" s="1645"/>
      <c r="AC855" s="1645"/>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41">
        <v>80000</v>
      </c>
      <c r="X857" s="1642"/>
      <c r="Y857" s="1642"/>
      <c r="Z857" s="1642"/>
      <c r="AA857" s="1642"/>
      <c r="AB857" s="1642"/>
      <c r="AC857" s="1643"/>
      <c r="AD857" s="528"/>
      <c r="AZ857" s="34"/>
      <c r="BA857" s="34"/>
      <c r="BB857" s="34"/>
      <c r="BC857" s="34"/>
    </row>
    <row r="858" spans="3:55" ht="12.95" customHeight="1">
      <c r="C858" s="2" t="s">
        <v>347</v>
      </c>
      <c r="J858" s="121" t="s">
        <v>1656</v>
      </c>
      <c r="K858" s="5"/>
      <c r="L858" s="5"/>
      <c r="M858" s="5"/>
      <c r="N858" s="5"/>
      <c r="O858" s="5"/>
      <c r="P858" s="5"/>
      <c r="Q858" s="5"/>
      <c r="R858" s="5"/>
      <c r="S858" s="5"/>
      <c r="T858" s="1626"/>
      <c r="U858" s="1627"/>
      <c r="V858" s="1628"/>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41"/>
      <c r="X859" s="1642"/>
      <c r="Y859" s="1642"/>
      <c r="Z859" s="1642"/>
      <c r="AA859" s="1642"/>
      <c r="AB859" s="1642"/>
      <c r="AC859" s="1643"/>
      <c r="AD859" s="533"/>
      <c r="AZ859" s="34"/>
      <c r="BA859" s="34"/>
      <c r="BB859" s="34"/>
      <c r="BC859" s="34"/>
    </row>
    <row r="860" spans="3:55" ht="12.95" customHeight="1">
      <c r="C860" s="2"/>
      <c r="J860" s="121" t="s">
        <v>1657</v>
      </c>
      <c r="K860" s="5"/>
      <c r="L860" s="5"/>
      <c r="M860" s="5"/>
      <c r="N860" s="5"/>
      <c r="O860" s="5"/>
      <c r="P860" s="5"/>
      <c r="Q860" s="5"/>
      <c r="R860" s="5"/>
      <c r="S860" s="5"/>
      <c r="T860" s="1626"/>
      <c r="U860" s="1627"/>
      <c r="V860" s="1628"/>
      <c r="W860" s="874"/>
      <c r="X860" s="875"/>
      <c r="Y860" s="875"/>
      <c r="Z860" s="875"/>
      <c r="AA860" s="875"/>
      <c r="AB860" s="875"/>
      <c r="AC860" s="876"/>
      <c r="AD860" s="533"/>
      <c r="AZ860" s="34"/>
      <c r="BA860" s="34"/>
      <c r="BB860" s="34"/>
      <c r="BC860" s="34"/>
    </row>
    <row r="861" spans="3:55" ht="12.95" customHeight="1">
      <c r="J861" s="45" t="s">
        <v>170</v>
      </c>
      <c r="K861" s="5"/>
      <c r="L861" s="5"/>
      <c r="M861" s="1633" t="s">
        <v>334</v>
      </c>
      <c r="N861" s="1634"/>
      <c r="O861" s="1634"/>
      <c r="P861" s="1634"/>
      <c r="Q861" s="1634"/>
      <c r="R861" s="1634"/>
      <c r="S861" s="1634"/>
      <c r="T861" s="1634"/>
      <c r="U861" s="1634"/>
      <c r="V861" s="1635"/>
      <c r="W861" s="1641"/>
      <c r="X861" s="1642"/>
      <c r="Y861" s="1642"/>
      <c r="Z861" s="1642"/>
      <c r="AA861" s="1642"/>
      <c r="AB861" s="1642"/>
      <c r="AC861" s="1643"/>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630">
        <f>SUM(W857:W861)</f>
        <v>80000</v>
      </c>
      <c r="X862" s="1631"/>
      <c r="Y862" s="1631"/>
      <c r="Z862" s="1631"/>
      <c r="AA862" s="1631"/>
      <c r="AB862" s="1631"/>
      <c r="AC862" s="1632"/>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41">
        <v>118500</v>
      </c>
      <c r="X863" s="1642"/>
      <c r="Y863" s="1642"/>
      <c r="Z863" s="1642"/>
      <c r="AA863" s="1642"/>
      <c r="AB863" s="1642"/>
      <c r="AC863" s="1643"/>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629">
        <v>15000</v>
      </c>
      <c r="X865" s="1629"/>
      <c r="Y865" s="1629"/>
      <c r="Z865" s="1629"/>
      <c r="AA865" s="1629"/>
      <c r="AB865" s="1629"/>
      <c r="AC865" s="1629"/>
      <c r="AU865" s="14"/>
      <c r="AZ865" s="34"/>
      <c r="BA865" s="34"/>
      <c r="BB865" s="34"/>
      <c r="BC865" s="34"/>
    </row>
    <row r="866" spans="3:55" ht="12.95" customHeight="1">
      <c r="J866" s="45" t="s">
        <v>523</v>
      </c>
      <c r="K866" s="5"/>
      <c r="L866" s="5"/>
      <c r="M866" s="5"/>
      <c r="N866" s="5"/>
      <c r="O866" s="5"/>
      <c r="P866" s="5"/>
      <c r="Q866" s="5"/>
      <c r="R866" s="5"/>
      <c r="S866" s="5"/>
      <c r="T866" s="5"/>
      <c r="U866" s="5"/>
      <c r="V866" s="46"/>
      <c r="W866" s="1629">
        <v>20000</v>
      </c>
      <c r="X866" s="1629"/>
      <c r="Y866" s="1629"/>
      <c r="Z866" s="1629"/>
      <c r="AA866" s="1629"/>
      <c r="AB866" s="1629"/>
      <c r="AC866" s="1629"/>
      <c r="AU866" s="4"/>
      <c r="AZ866" s="34"/>
      <c r="BA866" s="34"/>
      <c r="BB866" s="34"/>
      <c r="BC866" s="34"/>
    </row>
    <row r="867" spans="3:55" ht="12.95" customHeight="1">
      <c r="J867" s="45" t="s">
        <v>522</v>
      </c>
      <c r="K867" s="5"/>
      <c r="L867" s="5"/>
      <c r="M867" s="5"/>
      <c r="N867" s="5"/>
      <c r="O867" s="5"/>
      <c r="P867" s="5"/>
      <c r="Q867" s="5"/>
      <c r="R867" s="5"/>
      <c r="S867" s="5"/>
      <c r="T867" s="5"/>
      <c r="U867" s="5"/>
      <c r="V867" s="46"/>
      <c r="W867" s="1629">
        <v>29212</v>
      </c>
      <c r="X867" s="1629"/>
      <c r="Y867" s="1629"/>
      <c r="Z867" s="1629"/>
      <c r="AA867" s="1629"/>
      <c r="AB867" s="1629"/>
      <c r="AC867" s="1629"/>
      <c r="AU867" s="4"/>
      <c r="AZ867" s="34"/>
      <c r="BA867" s="34"/>
      <c r="BB867" s="34"/>
      <c r="BC867" s="34"/>
    </row>
    <row r="868" spans="3:55" ht="12.95" customHeight="1">
      <c r="J868" s="45" t="s">
        <v>521</v>
      </c>
      <c r="K868" s="5"/>
      <c r="L868" s="5"/>
      <c r="M868" s="5"/>
      <c r="N868" s="5"/>
      <c r="O868" s="5"/>
      <c r="P868" s="5"/>
      <c r="Q868" s="5"/>
      <c r="R868" s="5"/>
      <c r="S868" s="5"/>
      <c r="T868" s="5"/>
      <c r="U868" s="5"/>
      <c r="V868" s="46"/>
      <c r="W868" s="1629"/>
      <c r="X868" s="1629"/>
      <c r="Y868" s="1629"/>
      <c r="Z868" s="1629"/>
      <c r="AA868" s="1629"/>
      <c r="AB868" s="1629"/>
      <c r="AC868" s="1629"/>
      <c r="AU868" s="4"/>
      <c r="AZ868" s="34"/>
      <c r="BA868" s="34"/>
      <c r="BB868" s="34"/>
      <c r="BC868" s="34"/>
    </row>
    <row r="869" spans="3:55" ht="12.95" customHeight="1">
      <c r="J869" s="45" t="s">
        <v>520</v>
      </c>
      <c r="K869" s="5"/>
      <c r="L869" s="5"/>
      <c r="M869" s="5"/>
      <c r="N869" s="5"/>
      <c r="O869" s="5"/>
      <c r="P869" s="5"/>
      <c r="Q869" s="5"/>
      <c r="R869" s="5"/>
      <c r="S869" s="5"/>
      <c r="T869" s="5"/>
      <c r="U869" s="5"/>
      <c r="V869" s="46"/>
      <c r="W869" s="1629"/>
      <c r="X869" s="1629"/>
      <c r="Y869" s="1629"/>
      <c r="Z869" s="1629"/>
      <c r="AA869" s="1629"/>
      <c r="AB869" s="1629"/>
      <c r="AC869" s="1629"/>
      <c r="AU869" s="4"/>
      <c r="AZ869" s="34"/>
      <c r="BA869" s="34"/>
      <c r="BB869" s="34"/>
      <c r="BC869" s="34"/>
    </row>
    <row r="870" spans="3:55" ht="12.95" customHeight="1">
      <c r="J870" s="45" t="s">
        <v>519</v>
      </c>
      <c r="K870" s="5"/>
      <c r="L870" s="5"/>
      <c r="M870" s="5"/>
      <c r="N870" s="5"/>
      <c r="O870" s="5"/>
      <c r="P870" s="5"/>
      <c r="Q870" s="5"/>
      <c r="R870" s="5"/>
      <c r="S870" s="5"/>
      <c r="T870" s="5"/>
      <c r="U870" s="5"/>
      <c r="V870" s="46"/>
      <c r="W870" s="1629"/>
      <c r="X870" s="1629"/>
      <c r="Y870" s="1629"/>
      <c r="Z870" s="1629"/>
      <c r="AA870" s="1629"/>
      <c r="AB870" s="1629"/>
      <c r="AC870" s="1629"/>
      <c r="AU870" s="4"/>
      <c r="AZ870" s="34"/>
      <c r="BA870" s="34"/>
      <c r="BB870" s="34"/>
      <c r="BC870" s="34"/>
    </row>
    <row r="871" spans="3:55" ht="12.95" customHeight="1">
      <c r="J871" s="45" t="s">
        <v>170</v>
      </c>
      <c r="K871" s="5"/>
      <c r="L871" s="5"/>
      <c r="M871" s="1633" t="s">
        <v>334</v>
      </c>
      <c r="N871" s="1634"/>
      <c r="O871" s="1634"/>
      <c r="P871" s="1634"/>
      <c r="Q871" s="1634"/>
      <c r="R871" s="1634"/>
      <c r="S871" s="1634"/>
      <c r="T871" s="1634"/>
      <c r="U871" s="1634"/>
      <c r="V871" s="1635"/>
      <c r="W871" s="1629"/>
      <c r="X871" s="1629"/>
      <c r="Y871" s="1629"/>
      <c r="Z871" s="1629"/>
      <c r="AA871" s="1629"/>
      <c r="AB871" s="1629"/>
      <c r="AC871" s="1629"/>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591">
        <f>SUM(W865:W871)</f>
        <v>64212</v>
      </c>
      <c r="X872" s="1591"/>
      <c r="Y872" s="1591"/>
      <c r="Z872" s="1591"/>
      <c r="AA872" s="1591"/>
      <c r="AB872" s="1591"/>
      <c r="AC872" s="1591"/>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633" t="s">
        <v>334</v>
      </c>
      <c r="N874" s="1634"/>
      <c r="O874" s="1634"/>
      <c r="P874" s="1634"/>
      <c r="Q874" s="1634"/>
      <c r="R874" s="1634"/>
      <c r="S874" s="1634"/>
      <c r="T874" s="1634"/>
      <c r="U874" s="1634"/>
      <c r="V874" s="1635"/>
      <c r="W874" s="1467"/>
      <c r="X874" s="1345"/>
      <c r="Y874" s="1345"/>
      <c r="Z874" s="1345"/>
      <c r="AA874" s="1345"/>
      <c r="AB874" s="1345"/>
      <c r="AC874" s="1346"/>
      <c r="AD874" s="533"/>
      <c r="AV874" s="14"/>
      <c r="AW874" s="14"/>
      <c r="AX874" s="14"/>
      <c r="AY874" s="14"/>
      <c r="AZ874" s="34"/>
      <c r="BA874" s="34"/>
      <c r="BB874" s="34"/>
      <c r="BC874" s="34"/>
    </row>
    <row r="875" spans="3:55" ht="12.95" customHeight="1">
      <c r="C875" s="2" t="s">
        <v>1245</v>
      </c>
      <c r="J875" s="45" t="s">
        <v>170</v>
      </c>
      <c r="K875" s="5"/>
      <c r="L875" s="5"/>
      <c r="M875" s="1633" t="s">
        <v>334</v>
      </c>
      <c r="N875" s="1634"/>
      <c r="O875" s="1634"/>
      <c r="P875" s="1634"/>
      <c r="Q875" s="1634"/>
      <c r="R875" s="1634"/>
      <c r="S875" s="1634"/>
      <c r="T875" s="1634"/>
      <c r="U875" s="1634"/>
      <c r="V875" s="1635"/>
      <c r="W875" s="1467"/>
      <c r="X875" s="1345"/>
      <c r="Y875" s="1345"/>
      <c r="Z875" s="1345"/>
      <c r="AA875" s="1345"/>
      <c r="AB875" s="1345"/>
      <c r="AC875" s="1346"/>
      <c r="AD875" s="533"/>
      <c r="AV875" s="14"/>
      <c r="AW875" s="14"/>
      <c r="AX875" s="14"/>
      <c r="AY875" s="14"/>
      <c r="AZ875" s="34"/>
      <c r="BA875" s="34"/>
      <c r="BB875" s="34"/>
      <c r="BC875" s="34"/>
    </row>
    <row r="876" spans="3:55" ht="12.95" customHeight="1">
      <c r="J876" s="45" t="s">
        <v>170</v>
      </c>
      <c r="K876" s="5"/>
      <c r="L876" s="5"/>
      <c r="M876" s="1633" t="s">
        <v>334</v>
      </c>
      <c r="N876" s="1634"/>
      <c r="O876" s="1634"/>
      <c r="P876" s="1634"/>
      <c r="Q876" s="1634"/>
      <c r="R876" s="1634"/>
      <c r="S876" s="1634"/>
      <c r="T876" s="1634"/>
      <c r="U876" s="1634"/>
      <c r="V876" s="1635"/>
      <c r="W876" s="1467"/>
      <c r="X876" s="1345"/>
      <c r="Y876" s="1345"/>
      <c r="Z876" s="1345"/>
      <c r="AA876" s="1345"/>
      <c r="AB876" s="1345"/>
      <c r="AC876" s="1346"/>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33" t="s">
        <v>334</v>
      </c>
      <c r="N877" s="1634"/>
      <c r="O877" s="1634"/>
      <c r="P877" s="1634"/>
      <c r="Q877" s="1634"/>
      <c r="R877" s="1634"/>
      <c r="S877" s="1634"/>
      <c r="T877" s="1634"/>
      <c r="U877" s="1634"/>
      <c r="V877" s="1635"/>
      <c r="W877" s="1467"/>
      <c r="X877" s="1345"/>
      <c r="Y877" s="1345"/>
      <c r="Z877" s="1345"/>
      <c r="AA877" s="1345"/>
      <c r="AB877" s="1345"/>
      <c r="AC877" s="1346"/>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33" t="s">
        <v>334</v>
      </c>
      <c r="N878" s="1634"/>
      <c r="O878" s="1634"/>
      <c r="P878" s="1634"/>
      <c r="Q878" s="1634"/>
      <c r="R878" s="1634"/>
      <c r="S878" s="1634"/>
      <c r="T878" s="1634"/>
      <c r="U878" s="1634"/>
      <c r="V878" s="1635"/>
      <c r="W878" s="1467"/>
      <c r="X878" s="1345"/>
      <c r="Y878" s="1345"/>
      <c r="Z878" s="1345"/>
      <c r="AA878" s="1345"/>
      <c r="AB878" s="1345"/>
      <c r="AC878" s="1346"/>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64">
        <f>SUM(W874:W878)</f>
        <v>0</v>
      </c>
      <c r="X879" s="1465"/>
      <c r="Y879" s="1465"/>
      <c r="Z879" s="1465"/>
      <c r="AA879" s="1465"/>
      <c r="AB879" s="1465"/>
      <c r="AC879" s="1466"/>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65">
        <f>W847+W855+W862+W863+W872+W879+W849</f>
        <v>540734</v>
      </c>
      <c r="AD883" s="1465"/>
      <c r="AE883" s="1465"/>
      <c r="AF883" s="1465"/>
      <c r="AG883" s="1465"/>
      <c r="AH883" s="1466"/>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36">
        <f>O797+O777+G753</f>
        <v>79</v>
      </c>
      <c r="AD884" s="1636"/>
      <c r="AE884" s="1636"/>
      <c r="AF884" s="1636"/>
      <c r="AG884" s="1636"/>
      <c r="AH884" s="1637"/>
      <c r="AL884" s="4"/>
      <c r="AM884" s="4"/>
      <c r="AN884" s="4"/>
      <c r="AO884" s="4"/>
      <c r="AP884" s="4"/>
      <c r="AQ884" s="4"/>
      <c r="AR884" s="4"/>
      <c r="AS884" s="4"/>
      <c r="AT884" s="4"/>
      <c r="AZ884" s="34"/>
      <c r="BA884" s="34"/>
      <c r="BB884" s="34"/>
      <c r="BC884" s="34"/>
    </row>
    <row r="885" spans="3:55" ht="12.95" customHeight="1">
      <c r="C885" s="41"/>
      <c r="D885" s="42"/>
      <c r="E885" s="1707" t="s">
        <v>32</v>
      </c>
      <c r="F885" s="1707"/>
      <c r="G885" s="1707"/>
      <c r="H885" s="1707"/>
      <c r="I885" s="1707"/>
      <c r="J885" s="1707"/>
      <c r="K885" s="1707"/>
      <c r="L885" s="1707"/>
      <c r="M885" s="1707"/>
      <c r="N885" s="1707"/>
      <c r="O885" s="1707"/>
      <c r="P885" s="1707"/>
      <c r="Q885" s="1707"/>
      <c r="R885" s="1707"/>
      <c r="S885" s="1707"/>
      <c r="T885" s="1707"/>
      <c r="U885" s="1707"/>
      <c r="V885" s="1707"/>
      <c r="W885" s="1707"/>
      <c r="X885" s="1707"/>
      <c r="Y885" s="1707"/>
      <c r="Z885" s="1707"/>
      <c r="AA885" s="1707"/>
      <c r="AB885" s="1708"/>
      <c r="AC885" s="1591">
        <f>IF(ISERROR((ROUNDDOWN(AC883/AC884,0))),0,(ROUNDDOWN(AC883/AC884,0)))</f>
        <v>6844</v>
      </c>
      <c r="AD885" s="1591"/>
      <c r="AE885" s="1591"/>
      <c r="AF885" s="1591"/>
      <c r="AG885" s="1591"/>
      <c r="AH885" s="1591"/>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38">
        <f>+'Sources and Uses Budget'!C75</f>
        <v>484373</v>
      </c>
      <c r="AD886" s="1639"/>
      <c r="AE886" s="1639"/>
      <c r="AF886" s="1639"/>
      <c r="AG886" s="1639"/>
      <c r="AH886" s="1639"/>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346"/>
      <c r="AD887" s="1629"/>
      <c r="AE887" s="1629"/>
      <c r="AF887" s="1629"/>
      <c r="AG887" s="1629"/>
      <c r="AH887" s="1629"/>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45">
        <v>65000</v>
      </c>
      <c r="AD888" s="1345"/>
      <c r="AE888" s="1345"/>
      <c r="AF888" s="1345"/>
      <c r="AG888" s="1345"/>
      <c r="AH888" s="1346"/>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45">
        <v>23700</v>
      </c>
      <c r="AD889" s="1345"/>
      <c r="AE889" s="1345"/>
      <c r="AF889" s="1345"/>
      <c r="AG889" s="1345"/>
      <c r="AH889" s="1346"/>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80"/>
      <c r="AD890" s="1481"/>
      <c r="AE890" s="1481"/>
      <c r="AF890" s="1481"/>
      <c r="AG890" s="1481"/>
      <c r="AH890" s="1482"/>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45"/>
      <c r="AD891" s="1345"/>
      <c r="AE891" s="1345"/>
      <c r="AF891" s="1345"/>
      <c r="AG891" s="1345"/>
      <c r="AH891" s="1346"/>
      <c r="AZ891" s="34"/>
      <c r="BA891" s="34"/>
      <c r="BB891" s="34"/>
      <c r="BC891" s="34"/>
    </row>
    <row r="892" spans="3:55" ht="12.95" hidden="1" customHeight="1">
      <c r="C892" s="1421" t="s">
        <v>2233</v>
      </c>
      <c r="D892" s="1422"/>
      <c r="E892" s="1422"/>
      <c r="F892" s="1422"/>
      <c r="G892" s="1422"/>
      <c r="H892" s="1422"/>
      <c r="I892" s="1422"/>
      <c r="J892" s="1422"/>
      <c r="K892" s="1422"/>
      <c r="L892" s="1422"/>
      <c r="M892" s="1422"/>
      <c r="N892" s="1422"/>
      <c r="O892" s="1422"/>
      <c r="P892" s="1422"/>
      <c r="Q892" s="1422"/>
      <c r="R892" s="1422"/>
      <c r="S892" s="1422"/>
      <c r="T892" s="1422"/>
      <c r="U892" s="1422"/>
      <c r="V892" s="1422"/>
      <c r="W892" s="1422"/>
      <c r="X892" s="1422"/>
      <c r="Y892" s="1422"/>
      <c r="Z892" s="1422"/>
      <c r="AA892" s="1422"/>
      <c r="AB892" s="1424"/>
      <c r="AC892" s="1345"/>
      <c r="AD892" s="1345"/>
      <c r="AE892" s="1345"/>
      <c r="AF892" s="1345"/>
      <c r="AG892" s="1345"/>
      <c r="AH892" s="1346"/>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345"/>
      <c r="AD893" s="1345"/>
      <c r="AE893" s="1345"/>
      <c r="AF893" s="1345"/>
      <c r="AG893" s="1345"/>
      <c r="AH893" s="1346"/>
      <c r="AZ893" s="34"/>
      <c r="BA893" s="34"/>
      <c r="BB893" s="34"/>
      <c r="BC893" s="34"/>
    </row>
    <row r="894" spans="3:55" ht="12.95" customHeight="1">
      <c r="C894" s="1657" t="s">
        <v>957</v>
      </c>
      <c r="D894" s="1658"/>
      <c r="E894" s="1658"/>
      <c r="F894" s="1658"/>
      <c r="G894" s="1658"/>
      <c r="H894" s="1658"/>
      <c r="I894" s="1658"/>
      <c r="J894" s="1658"/>
      <c r="K894" s="1658"/>
      <c r="L894" s="1658"/>
      <c r="M894" s="1658"/>
      <c r="N894" s="1658"/>
      <c r="O894" s="1658"/>
      <c r="P894" s="1658"/>
      <c r="Q894" s="1658"/>
      <c r="R894" s="1658"/>
      <c r="S894" s="1658"/>
      <c r="T894" s="1658"/>
      <c r="U894" s="1658"/>
      <c r="V894" s="1658"/>
      <c r="W894" s="1658"/>
      <c r="X894" s="1658"/>
      <c r="Y894" s="1658"/>
      <c r="Z894" s="1658"/>
      <c r="AA894" s="1658"/>
      <c r="AB894" s="1659"/>
      <c r="AC894" s="1629"/>
      <c r="AD894" s="1629"/>
      <c r="AE894" s="1629"/>
      <c r="AF894" s="1629"/>
      <c r="AG894" s="1629"/>
      <c r="AH894" s="1629"/>
      <c r="AZ894" s="34"/>
      <c r="BA894" s="34"/>
      <c r="BB894" s="34"/>
      <c r="BC894" s="34"/>
    </row>
    <row r="895" spans="3:55" ht="12.95" customHeight="1">
      <c r="C895" s="1657" t="s">
        <v>957</v>
      </c>
      <c r="D895" s="1658"/>
      <c r="E895" s="1658"/>
      <c r="F895" s="1658"/>
      <c r="G895" s="1658"/>
      <c r="H895" s="1658"/>
      <c r="I895" s="1658"/>
      <c r="J895" s="1658"/>
      <c r="K895" s="1658"/>
      <c r="L895" s="1658"/>
      <c r="M895" s="1658"/>
      <c r="N895" s="1658"/>
      <c r="O895" s="1658"/>
      <c r="P895" s="1658"/>
      <c r="Q895" s="1658"/>
      <c r="R895" s="1658"/>
      <c r="S895" s="1658"/>
      <c r="T895" s="1658"/>
      <c r="U895" s="1658"/>
      <c r="V895" s="1658"/>
      <c r="W895" s="1658"/>
      <c r="X895" s="1658"/>
      <c r="Y895" s="1658"/>
      <c r="Z895" s="1658"/>
      <c r="AA895" s="1658"/>
      <c r="AB895" s="1659"/>
      <c r="AC895" s="1629"/>
      <c r="AD895" s="1629"/>
      <c r="AE895" s="1629"/>
      <c r="AF895" s="1629"/>
      <c r="AG895" s="1629"/>
      <c r="AH895" s="1629"/>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7"/>
      <c r="AA899" s="1345"/>
      <c r="AB899" s="1345"/>
      <c r="AC899" s="1345"/>
      <c r="AD899" s="1345"/>
      <c r="AE899" s="1346"/>
      <c r="AF899" s="533"/>
      <c r="AZ899" s="34"/>
      <c r="BB899" s="30"/>
      <c r="BC899" s="816"/>
      <c r="BD899" s="1625"/>
      <c r="BE899" s="1625"/>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7"/>
      <c r="AA900" s="1345"/>
      <c r="AB900" s="1345"/>
      <c r="AC900" s="1345"/>
      <c r="AD900" s="1345"/>
      <c r="AE900" s="1346"/>
      <c r="AZ900" s="34"/>
      <c r="BB900" s="30"/>
      <c r="BC900" s="816"/>
      <c r="BD900" s="1625"/>
      <c r="BE900" s="1625"/>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7"/>
      <c r="AA901" s="1345"/>
      <c r="AB901" s="1345"/>
      <c r="AC901" s="1345"/>
      <c r="AD901" s="1345"/>
      <c r="AE901" s="1346"/>
      <c r="AZ901" s="34"/>
      <c r="BB901" s="30"/>
      <c r="BC901" s="816"/>
      <c r="BD901" s="1624"/>
      <c r="BE901" s="1624"/>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64">
        <f>Z899-(Z900+Z901)</f>
        <v>0</v>
      </c>
      <c r="AA902" s="1465"/>
      <c r="AB902" s="1465"/>
      <c r="AC902" s="1465"/>
      <c r="AD902" s="1465"/>
      <c r="AE902" s="1466"/>
      <c r="AZ902" s="34"/>
      <c r="BB902" s="30"/>
      <c r="BC902" s="816"/>
      <c r="BD902" s="1624"/>
      <c r="BE902" s="1624"/>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4"/>
      <c r="BE903" s="1624"/>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5"/>
      <c r="BE904" s="1624"/>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55"/>
      <c r="BE905" s="1655"/>
      <c r="BF905" s="1655"/>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54"/>
      <c r="BE906" s="1654"/>
      <c r="BF906" s="1654"/>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4"/>
      <c r="BE907" s="1624"/>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5"/>
      <c r="BE908" s="1624"/>
      <c r="BF908" s="14"/>
    </row>
    <row r="909" spans="1:58" ht="12.95" customHeight="1">
      <c r="AZ909" s="34"/>
      <c r="BB909" s="30"/>
      <c r="BC909" s="816"/>
    </row>
    <row r="910" spans="1:58" ht="12.95" customHeight="1">
      <c r="A910" s="1535" t="s">
        <v>96</v>
      </c>
      <c r="B910" s="1535"/>
      <c r="C910" s="1535"/>
      <c r="D910" s="1535"/>
      <c r="E910" s="1535"/>
      <c r="F910" s="1535"/>
      <c r="G910" s="1535"/>
      <c r="H910" s="1535"/>
      <c r="I910" s="1535"/>
      <c r="J910" s="1535"/>
      <c r="K910" s="1535"/>
      <c r="L910" s="1535"/>
      <c r="M910" s="1535"/>
      <c r="N910" s="1535"/>
      <c r="O910" s="1535"/>
      <c r="P910" s="1535"/>
      <c r="Q910" s="1535"/>
      <c r="R910" s="1535"/>
      <c r="S910" s="1535"/>
      <c r="T910" s="1535"/>
      <c r="U910" s="1535"/>
      <c r="V910" s="1535"/>
      <c r="W910" s="1535"/>
      <c r="X910" s="1535"/>
      <c r="Y910" s="1535"/>
      <c r="Z910" s="1535"/>
      <c r="AA910" s="1535"/>
      <c r="AB910" s="1535"/>
      <c r="AC910" s="1535"/>
      <c r="AD910" s="1535"/>
      <c r="AE910" s="1535"/>
      <c r="AF910" s="1535"/>
      <c r="AG910" s="1535"/>
      <c r="AH910" s="1535"/>
      <c r="AI910" s="1535"/>
      <c r="AJ910" s="1535"/>
      <c r="AK910" s="1535"/>
      <c r="AL910" s="1535"/>
      <c r="AM910" s="1535"/>
      <c r="AN910" s="1535"/>
      <c r="AO910" s="1535"/>
      <c r="AP910" s="1535"/>
      <c r="AQ910" s="1535"/>
      <c r="AR910" s="1535"/>
      <c r="AS910" s="1535"/>
      <c r="AT910" s="1535"/>
      <c r="AZ910" s="34"/>
      <c r="BA910" s="34"/>
      <c r="BB910" s="30"/>
      <c r="BC910" s="30"/>
      <c r="BD910" s="1625"/>
      <c r="BE910" s="1624"/>
      <c r="BF910" s="911"/>
    </row>
    <row r="911" spans="1:58" ht="12.95" customHeight="1">
      <c r="A911" s="1535"/>
      <c r="B911" s="1535"/>
      <c r="C911" s="1535"/>
      <c r="D911" s="1535"/>
      <c r="E911" s="1535"/>
      <c r="F911" s="1535"/>
      <c r="G911" s="1535"/>
      <c r="H911" s="1535"/>
      <c r="I911" s="1535"/>
      <c r="J911" s="1535"/>
      <c r="K911" s="1535"/>
      <c r="L911" s="1535"/>
      <c r="M911" s="1535"/>
      <c r="N911" s="1535"/>
      <c r="O911" s="1535"/>
      <c r="P911" s="1535"/>
      <c r="Q911" s="1535"/>
      <c r="R911" s="1535"/>
      <c r="S911" s="1535"/>
      <c r="T911" s="1535"/>
      <c r="U911" s="1535"/>
      <c r="V911" s="1535"/>
      <c r="W911" s="1535"/>
      <c r="X911" s="1535"/>
      <c r="Y911" s="1535"/>
      <c r="Z911" s="1535"/>
      <c r="AA911" s="1535"/>
      <c r="AB911" s="1535"/>
      <c r="AC911" s="1535"/>
      <c r="AD911" s="1535"/>
      <c r="AE911" s="1535"/>
      <c r="AF911" s="1535"/>
      <c r="AG911" s="1535"/>
      <c r="AH911" s="1535"/>
      <c r="AI911" s="1535"/>
      <c r="AJ911" s="1535"/>
      <c r="AK911" s="1535"/>
      <c r="AL911" s="1535"/>
      <c r="AM911" s="1535"/>
      <c r="AN911" s="1535"/>
      <c r="AO911" s="1535"/>
      <c r="AP911" s="1535"/>
      <c r="AQ911" s="1535"/>
      <c r="AR911" s="1535"/>
      <c r="AS911" s="1535"/>
      <c r="AT911" s="1535"/>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0" t="s">
        <v>793</v>
      </c>
      <c r="G915" s="1711"/>
      <c r="H915" s="1711"/>
      <c r="I915" s="1711"/>
      <c r="J915" s="1711"/>
      <c r="K915" s="1711"/>
      <c r="L915" s="1711"/>
      <c r="M915" s="1711"/>
      <c r="N915" s="1711"/>
      <c r="O915" s="1711"/>
      <c r="P915" s="1711"/>
      <c r="Q915" s="1711"/>
      <c r="R915" s="1711"/>
      <c r="S915" s="1711"/>
      <c r="T915" s="1712"/>
      <c r="U915" s="1754" t="s">
        <v>31</v>
      </c>
      <c r="V915" s="1685"/>
      <c r="W915" s="1685"/>
      <c r="X915" s="1685"/>
      <c r="Y915" s="1685"/>
      <c r="Z915" s="1685"/>
      <c r="AA915" s="43"/>
      <c r="AB915" s="105"/>
      <c r="AC915" s="105"/>
      <c r="AD915" s="105"/>
      <c r="AE915" s="105"/>
      <c r="AF915" s="106"/>
      <c r="AZ915" s="34"/>
      <c r="BA915" s="34"/>
      <c r="BB915" s="34"/>
      <c r="BC915" s="34"/>
    </row>
    <row r="916" spans="1:58" ht="12.95" customHeight="1">
      <c r="B916" s="2"/>
      <c r="F916" s="1755" t="s">
        <v>819</v>
      </c>
      <c r="G916" s="1756"/>
      <c r="H916" s="1756"/>
      <c r="I916" s="1756"/>
      <c r="J916" s="1756"/>
      <c r="K916" s="1756"/>
      <c r="L916" s="1756"/>
      <c r="M916" s="1756"/>
      <c r="N916" s="1756"/>
      <c r="O916" s="1756"/>
      <c r="P916" s="1756"/>
      <c r="Q916" s="1756"/>
      <c r="R916" s="1756"/>
      <c r="S916" s="1756"/>
      <c r="T916" s="1777"/>
      <c r="U916" s="1755"/>
      <c r="V916" s="1756"/>
      <c r="W916" s="1756"/>
      <c r="X916" s="1756"/>
      <c r="Y916" s="1756"/>
      <c r="Z916" s="1756"/>
      <c r="AA916" s="44"/>
      <c r="AB916" s="4"/>
      <c r="AC916" s="4"/>
      <c r="AD916" s="4"/>
      <c r="AE916" s="4"/>
      <c r="AF916" s="107"/>
      <c r="AZ916" s="34"/>
      <c r="BA916" s="34"/>
      <c r="BB916" s="34"/>
      <c r="BC916" s="34"/>
    </row>
    <row r="917" spans="1:58" ht="12.95" customHeight="1">
      <c r="B917" s="2"/>
      <c r="F917" s="1757"/>
      <c r="G917" s="1687"/>
      <c r="H917" s="1687"/>
      <c r="I917" s="1687"/>
      <c r="J917" s="1687"/>
      <c r="K917" s="1687"/>
      <c r="L917" s="1687"/>
      <c r="M917" s="1687"/>
      <c r="N917" s="1687"/>
      <c r="O917" s="1687"/>
      <c r="P917" s="1687"/>
      <c r="Q917" s="1687"/>
      <c r="R917" s="1687"/>
      <c r="S917" s="1687"/>
      <c r="T917" s="1688"/>
      <c r="U917" s="1757"/>
      <c r="V917" s="1687"/>
      <c r="W917" s="1687"/>
      <c r="X917" s="1687"/>
      <c r="Y917" s="1687"/>
      <c r="Z917" s="1687"/>
      <c r="AA917" s="108"/>
      <c r="AB917" s="1579" t="s">
        <v>391</v>
      </c>
      <c r="AC917" s="1579"/>
      <c r="AD917" s="1579"/>
      <c r="AE917" s="1579"/>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618" t="s">
        <v>546</v>
      </c>
      <c r="V918" s="1428"/>
      <c r="W918" s="1428"/>
      <c r="X918" s="1428"/>
      <c r="Y918" s="1428"/>
      <c r="Z918" s="1429"/>
      <c r="AA918" s="1622">
        <f>+AM554</f>
        <v>23780680</v>
      </c>
      <c r="AB918" s="1524"/>
      <c r="AC918" s="1524"/>
      <c r="AD918" s="1524"/>
      <c r="AE918" s="1524"/>
      <c r="AF918" s="1623"/>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618" t="s">
        <v>546</v>
      </c>
      <c r="V919" s="1428"/>
      <c r="W919" s="1428"/>
      <c r="X919" s="1428"/>
      <c r="Y919" s="1428"/>
      <c r="Z919" s="1429"/>
      <c r="AA919" s="1622">
        <f>+AM555</f>
        <v>29161923</v>
      </c>
      <c r="AB919" s="1524"/>
      <c r="AC919" s="1524"/>
      <c r="AD919" s="1524"/>
      <c r="AE919" s="1524"/>
      <c r="AF919" s="1623"/>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618" t="s">
        <v>592</v>
      </c>
      <c r="V920" s="1428"/>
      <c r="W920" s="1428"/>
      <c r="X920" s="1428"/>
      <c r="Y920" s="1428"/>
      <c r="Z920" s="1429"/>
      <c r="AA920" s="1622"/>
      <c r="AB920" s="1524"/>
      <c r="AC920" s="1524"/>
      <c r="AD920" s="1524"/>
      <c r="AE920" s="1524"/>
      <c r="AF920" s="1623"/>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618" t="s">
        <v>592</v>
      </c>
      <c r="V921" s="1428"/>
      <c r="W921" s="1428"/>
      <c r="X921" s="1428"/>
      <c r="Y921" s="1428"/>
      <c r="Z921" s="1429"/>
      <c r="AA921" s="1622"/>
      <c r="AB921" s="1524"/>
      <c r="AC921" s="1524"/>
      <c r="AD921" s="1524"/>
      <c r="AE921" s="1524"/>
      <c r="AF921" s="1623"/>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618" t="s">
        <v>592</v>
      </c>
      <c r="V922" s="1428"/>
      <c r="W922" s="1428"/>
      <c r="X922" s="1428"/>
      <c r="Y922" s="1428"/>
      <c r="Z922" s="1429"/>
      <c r="AA922" s="1622"/>
      <c r="AB922" s="1524"/>
      <c r="AC922" s="1524"/>
      <c r="AD922" s="1524"/>
      <c r="AE922" s="1524"/>
      <c r="AF922" s="1623"/>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618" t="s">
        <v>592</v>
      </c>
      <c r="V923" s="1428"/>
      <c r="W923" s="1428"/>
      <c r="X923" s="1428"/>
      <c r="Y923" s="1428"/>
      <c r="Z923" s="1429"/>
      <c r="AA923" s="1622"/>
      <c r="AB923" s="1524"/>
      <c r="AC923" s="1524"/>
      <c r="AD923" s="1524"/>
      <c r="AE923" s="1524"/>
      <c r="AF923" s="1623"/>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618" t="s">
        <v>592</v>
      </c>
      <c r="V924" s="1428"/>
      <c r="W924" s="1428"/>
      <c r="X924" s="1428"/>
      <c r="Y924" s="1428"/>
      <c r="Z924" s="1429"/>
      <c r="AA924" s="1622"/>
      <c r="AB924" s="1524"/>
      <c r="AC924" s="1524"/>
      <c r="AD924" s="1524"/>
      <c r="AE924" s="1524"/>
      <c r="AF924" s="1623"/>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618" t="s">
        <v>592</v>
      </c>
      <c r="V925" s="1428"/>
      <c r="W925" s="1428"/>
      <c r="X925" s="1428"/>
      <c r="Y925" s="1428"/>
      <c r="Z925" s="1429"/>
      <c r="AA925" s="1622"/>
      <c r="AB925" s="1524"/>
      <c r="AC925" s="1524"/>
      <c r="AD925" s="1524"/>
      <c r="AE925" s="1524"/>
      <c r="AF925" s="1623"/>
      <c r="AZ925" s="34"/>
      <c r="BA925" s="34"/>
      <c r="BB925" s="34"/>
      <c r="BC925" s="34"/>
    </row>
    <row r="926" spans="1:58" ht="12.95" customHeight="1">
      <c r="F926" s="1615" t="s">
        <v>2193</v>
      </c>
      <c r="G926" s="1616"/>
      <c r="H926" s="1616"/>
      <c r="I926" s="1616"/>
      <c r="J926" s="1616"/>
      <c r="K926" s="1616"/>
      <c r="L926" s="1616"/>
      <c r="M926" s="1616"/>
      <c r="N926" s="1616"/>
      <c r="O926" s="1616"/>
      <c r="P926" s="1616"/>
      <c r="Q926" s="1616"/>
      <c r="R926" s="1616"/>
      <c r="S926" s="1616"/>
      <c r="T926" s="1617"/>
      <c r="U926" s="1618" t="s">
        <v>592</v>
      </c>
      <c r="V926" s="1428"/>
      <c r="W926" s="1428"/>
      <c r="X926" s="1428"/>
      <c r="Y926" s="1428"/>
      <c r="Z926" s="1429"/>
      <c r="AA926" s="1622"/>
      <c r="AB926" s="1524"/>
      <c r="AC926" s="1524"/>
      <c r="AD926" s="1524"/>
      <c r="AE926" s="1524"/>
      <c r="AF926" s="1623"/>
      <c r="AZ926" s="34"/>
      <c r="BA926" s="34"/>
      <c r="BB926" s="34"/>
      <c r="BC926" s="34"/>
    </row>
    <row r="927" spans="1:58" ht="12.95" customHeight="1">
      <c r="F927" s="1615" t="s">
        <v>680</v>
      </c>
      <c r="G927" s="1616"/>
      <c r="H927" s="1616"/>
      <c r="I927" s="1616"/>
      <c r="J927" s="1616"/>
      <c r="K927" s="1616"/>
      <c r="L927" s="1616"/>
      <c r="M927" s="1616"/>
      <c r="N927" s="1616"/>
      <c r="O927" s="1616"/>
      <c r="P927" s="1616"/>
      <c r="Q927" s="1616"/>
      <c r="R927" s="1616"/>
      <c r="S927" s="1616"/>
      <c r="T927" s="1617"/>
      <c r="U927" s="1618" t="s">
        <v>592</v>
      </c>
      <c r="V927" s="1428"/>
      <c r="W927" s="1428"/>
      <c r="X927" s="1428"/>
      <c r="Y927" s="1428"/>
      <c r="Z927" s="1429"/>
      <c r="AA927" s="1622"/>
      <c r="AB927" s="1524"/>
      <c r="AC927" s="1524"/>
      <c r="AD927" s="1524"/>
      <c r="AE927" s="1524"/>
      <c r="AF927" s="1623"/>
      <c r="AU927" s="2"/>
      <c r="AZ927" s="34"/>
      <c r="BA927" s="34"/>
      <c r="BB927" s="34"/>
      <c r="BC927" s="34"/>
    </row>
    <row r="928" spans="1:58" ht="12.95" customHeight="1">
      <c r="F928" s="1615" t="s">
        <v>2194</v>
      </c>
      <c r="G928" s="1616"/>
      <c r="H928" s="1616"/>
      <c r="I928" s="1616"/>
      <c r="J928" s="1616"/>
      <c r="K928" s="1616"/>
      <c r="L928" s="1616"/>
      <c r="M928" s="1616"/>
      <c r="N928" s="1616"/>
      <c r="O928" s="1616"/>
      <c r="P928" s="1616"/>
      <c r="Q928" s="1616"/>
      <c r="R928" s="1616"/>
      <c r="S928" s="1616"/>
      <c r="T928" s="1617"/>
      <c r="U928" s="1618" t="s">
        <v>592</v>
      </c>
      <c r="V928" s="1428"/>
      <c r="W928" s="1428"/>
      <c r="X928" s="1428"/>
      <c r="Y928" s="1428"/>
      <c r="Z928" s="1429"/>
      <c r="AA928" s="1622"/>
      <c r="AB928" s="1524"/>
      <c r="AC928" s="1524"/>
      <c r="AD928" s="1524"/>
      <c r="AE928" s="1524"/>
      <c r="AF928" s="1623"/>
      <c r="AU928" s="2"/>
      <c r="AZ928" s="34"/>
      <c r="BA928" s="34"/>
      <c r="BB928" s="34"/>
      <c r="BC928" s="34"/>
    </row>
    <row r="929" spans="6:55" ht="12.95" customHeight="1">
      <c r="F929" s="1615" t="s">
        <v>2195</v>
      </c>
      <c r="G929" s="1616"/>
      <c r="H929" s="1616"/>
      <c r="I929" s="1616"/>
      <c r="J929" s="1616"/>
      <c r="K929" s="1616"/>
      <c r="L929" s="1616"/>
      <c r="M929" s="1616"/>
      <c r="N929" s="1616"/>
      <c r="O929" s="1616"/>
      <c r="P929" s="1616"/>
      <c r="Q929" s="1616"/>
      <c r="R929" s="1616"/>
      <c r="S929" s="1616"/>
      <c r="T929" s="1617"/>
      <c r="U929" s="1618" t="s">
        <v>592</v>
      </c>
      <c r="V929" s="1428"/>
      <c r="W929" s="1428"/>
      <c r="X929" s="1428"/>
      <c r="Y929" s="1428"/>
      <c r="Z929" s="1429"/>
      <c r="AA929" s="1622"/>
      <c r="AB929" s="1524"/>
      <c r="AC929" s="1524"/>
      <c r="AD929" s="1524"/>
      <c r="AE929" s="1524"/>
      <c r="AF929" s="1623"/>
      <c r="AU929" s="2"/>
      <c r="AZ929" s="34"/>
      <c r="BA929" s="34"/>
      <c r="BB929" s="34"/>
      <c r="BC929" s="34"/>
    </row>
    <row r="930" spans="6:55" ht="12.95" customHeight="1">
      <c r="F930" s="1615" t="s">
        <v>2196</v>
      </c>
      <c r="G930" s="1616"/>
      <c r="H930" s="1616"/>
      <c r="I930" s="1616"/>
      <c r="J930" s="1616"/>
      <c r="K930" s="1616"/>
      <c r="L930" s="1616"/>
      <c r="M930" s="1616"/>
      <c r="N930" s="1616"/>
      <c r="O930" s="1616"/>
      <c r="P930" s="1616"/>
      <c r="Q930" s="1616"/>
      <c r="R930" s="1616"/>
      <c r="S930" s="1616"/>
      <c r="T930" s="1617"/>
      <c r="U930" s="1618" t="s">
        <v>592</v>
      </c>
      <c r="V930" s="1428"/>
      <c r="W930" s="1428"/>
      <c r="X930" s="1428"/>
      <c r="Y930" s="1428"/>
      <c r="Z930" s="1429"/>
      <c r="AA930" s="1622"/>
      <c r="AB930" s="1524"/>
      <c r="AC930" s="1524"/>
      <c r="AD930" s="1524"/>
      <c r="AE930" s="1524"/>
      <c r="AF930" s="1623"/>
      <c r="AU930" s="2"/>
      <c r="AZ930" s="34"/>
      <c r="BA930" s="34"/>
      <c r="BB930" s="34"/>
      <c r="BC930" s="34"/>
    </row>
    <row r="931" spans="6:55" ht="12.95" customHeight="1">
      <c r="F931" s="1615" t="s">
        <v>2197</v>
      </c>
      <c r="G931" s="1616"/>
      <c r="H931" s="1616"/>
      <c r="I931" s="1616"/>
      <c r="J931" s="1616"/>
      <c r="K931" s="1616"/>
      <c r="L931" s="1616"/>
      <c r="M931" s="1616"/>
      <c r="N931" s="1616"/>
      <c r="O931" s="1616"/>
      <c r="P931" s="1616"/>
      <c r="Q931" s="1616"/>
      <c r="R931" s="1616"/>
      <c r="S931" s="1616"/>
      <c r="T931" s="1617"/>
      <c r="U931" s="1618" t="s">
        <v>592</v>
      </c>
      <c r="V931" s="1428"/>
      <c r="W931" s="1428"/>
      <c r="X931" s="1428"/>
      <c r="Y931" s="1428"/>
      <c r="Z931" s="1429"/>
      <c r="AA931" s="1622"/>
      <c r="AB931" s="1524"/>
      <c r="AC931" s="1524"/>
      <c r="AD931" s="1524"/>
      <c r="AE931" s="1524"/>
      <c r="AF931" s="1623"/>
      <c r="AU931" s="2"/>
      <c r="AZ931" s="34"/>
      <c r="BA931" s="34"/>
      <c r="BB931" s="34"/>
      <c r="BC931" s="34"/>
    </row>
    <row r="932" spans="6:55" ht="12.95" customHeight="1">
      <c r="F932" s="1615" t="s">
        <v>2198</v>
      </c>
      <c r="G932" s="1616"/>
      <c r="H932" s="1616"/>
      <c r="I932" s="1616"/>
      <c r="J932" s="1616"/>
      <c r="K932" s="1616"/>
      <c r="L932" s="1616"/>
      <c r="M932" s="1616"/>
      <c r="N932" s="1616"/>
      <c r="O932" s="1616"/>
      <c r="P932" s="1616"/>
      <c r="Q932" s="1616"/>
      <c r="R932" s="1616"/>
      <c r="S932" s="1616"/>
      <c r="T932" s="1617"/>
      <c r="U932" s="1618" t="s">
        <v>592</v>
      </c>
      <c r="V932" s="1428"/>
      <c r="W932" s="1428"/>
      <c r="X932" s="1428"/>
      <c r="Y932" s="1428"/>
      <c r="Z932" s="1429"/>
      <c r="AA932" s="1622"/>
      <c r="AB932" s="1524"/>
      <c r="AC932" s="1524"/>
      <c r="AD932" s="1524"/>
      <c r="AE932" s="1524"/>
      <c r="AF932" s="1623"/>
      <c r="AZ932" s="30"/>
      <c r="BA932" s="30"/>
    </row>
    <row r="933" spans="6:55" ht="12.95" customHeight="1">
      <c r="F933" s="178" t="s">
        <v>677</v>
      </c>
      <c r="G933" s="5"/>
      <c r="H933" s="5"/>
      <c r="I933" s="5"/>
      <c r="J933" s="5"/>
      <c r="K933" s="5"/>
      <c r="L933" s="5"/>
      <c r="M933" s="5"/>
      <c r="N933" s="5"/>
      <c r="O933" s="5"/>
      <c r="P933" s="5"/>
      <c r="Q933" s="5"/>
      <c r="R933" s="5"/>
      <c r="S933" s="5"/>
      <c r="T933" s="46"/>
      <c r="U933" s="1618" t="s">
        <v>592</v>
      </c>
      <c r="V933" s="1428"/>
      <c r="W933" s="1428"/>
      <c r="X933" s="1428"/>
      <c r="Y933" s="1428"/>
      <c r="Z933" s="1429"/>
      <c r="AA933" s="1622"/>
      <c r="AB933" s="1524"/>
      <c r="AC933" s="1524"/>
      <c r="AD933" s="1524"/>
      <c r="AE933" s="1524"/>
      <c r="AF933" s="1623"/>
    </row>
    <row r="934" spans="6:55" ht="12.95" customHeight="1">
      <c r="F934" s="121" t="s">
        <v>1278</v>
      </c>
      <c r="G934" s="5"/>
      <c r="H934" s="5"/>
      <c r="I934" s="5"/>
      <c r="J934" s="5"/>
      <c r="K934" s="5"/>
      <c r="L934" s="5"/>
      <c r="M934" s="5"/>
      <c r="N934" s="5"/>
      <c r="O934" s="5"/>
      <c r="P934" s="5"/>
      <c r="Q934" s="5"/>
      <c r="R934" s="5"/>
      <c r="S934" s="5"/>
      <c r="T934" s="46"/>
      <c r="U934" s="1618" t="s">
        <v>592</v>
      </c>
      <c r="V934" s="1428"/>
      <c r="W934" s="1428"/>
      <c r="X934" s="1428"/>
      <c r="Y934" s="1428"/>
      <c r="Z934" s="1429"/>
      <c r="AA934" s="1622"/>
      <c r="AB934" s="1524"/>
      <c r="AC934" s="1524"/>
      <c r="AD934" s="1524"/>
      <c r="AE934" s="1524"/>
      <c r="AF934" s="1623"/>
      <c r="AZ934" s="30"/>
      <c r="BA934" s="14"/>
    </row>
    <row r="935" spans="6:55" ht="12.95" customHeight="1">
      <c r="F935" s="66" t="s">
        <v>803</v>
      </c>
      <c r="G935" s="5"/>
      <c r="H935" s="5"/>
      <c r="I935" s="5"/>
      <c r="J935" s="5"/>
      <c r="K935" s="5"/>
      <c r="L935" s="5"/>
      <c r="M935" s="5"/>
      <c r="N935" s="5"/>
      <c r="O935" s="5"/>
      <c r="P935" s="5"/>
      <c r="Q935" s="5"/>
      <c r="R935" s="5"/>
      <c r="S935" s="5"/>
      <c r="T935" s="46"/>
      <c r="U935" s="1618" t="s">
        <v>592</v>
      </c>
      <c r="V935" s="1428"/>
      <c r="W935" s="1428"/>
      <c r="X935" s="1428"/>
      <c r="Y935" s="1428"/>
      <c r="Z935" s="1429"/>
      <c r="AA935" s="1622"/>
      <c r="AB935" s="1524"/>
      <c r="AC935" s="1524"/>
      <c r="AD935" s="1524"/>
      <c r="AE935" s="1524"/>
      <c r="AF935" s="1623"/>
      <c r="AZ935" s="30"/>
      <c r="BA935" s="14"/>
    </row>
    <row r="936" spans="6:55" ht="12.95" customHeight="1">
      <c r="F936" s="1619" t="s">
        <v>2202</v>
      </c>
      <c r="G936" s="1620"/>
      <c r="H936" s="1620"/>
      <c r="I936" s="1620"/>
      <c r="J936" s="1620"/>
      <c r="K936" s="1620"/>
      <c r="L936" s="1620"/>
      <c r="M936" s="1620"/>
      <c r="N936" s="1620"/>
      <c r="O936" s="1620"/>
      <c r="P936" s="1620"/>
      <c r="Q936" s="1620"/>
      <c r="R936" s="1620"/>
      <c r="S936" s="1620"/>
      <c r="T936" s="1621"/>
      <c r="U936" s="1618" t="s">
        <v>592</v>
      </c>
      <c r="V936" s="1428"/>
      <c r="W936" s="1428"/>
      <c r="X936" s="1428"/>
      <c r="Y936" s="1428"/>
      <c r="Z936" s="1429"/>
      <c r="AA936" s="1622"/>
      <c r="AB936" s="1524"/>
      <c r="AC936" s="1524"/>
      <c r="AD936" s="1524"/>
      <c r="AE936" s="1524"/>
      <c r="AF936" s="1623"/>
      <c r="AZ936" s="30"/>
      <c r="BA936" s="14"/>
    </row>
    <row r="937" spans="6:55" ht="12.95" customHeight="1">
      <c r="F937" s="1619" t="s">
        <v>2203</v>
      </c>
      <c r="G937" s="1620"/>
      <c r="H937" s="1620"/>
      <c r="I937" s="1620"/>
      <c r="J937" s="1620"/>
      <c r="K937" s="1620"/>
      <c r="L937" s="1620"/>
      <c r="M937" s="1620"/>
      <c r="N937" s="1620"/>
      <c r="O937" s="1620"/>
      <c r="P937" s="1620"/>
      <c r="Q937" s="1620"/>
      <c r="R937" s="1620"/>
      <c r="S937" s="1620"/>
      <c r="T937" s="1621"/>
      <c r="U937" s="1618" t="s">
        <v>592</v>
      </c>
      <c r="V937" s="1428"/>
      <c r="W937" s="1428"/>
      <c r="X937" s="1428"/>
      <c r="Y937" s="1428"/>
      <c r="Z937" s="1429"/>
      <c r="AA937" s="1622"/>
      <c r="AB937" s="1524"/>
      <c r="AC937" s="1524"/>
      <c r="AD937" s="1524"/>
      <c r="AE937" s="1524"/>
      <c r="AF937" s="1623"/>
      <c r="AZ937" s="30"/>
      <c r="BA937" s="30"/>
    </row>
    <row r="938" spans="6:55" ht="12.95" customHeight="1">
      <c r="F938" s="1615" t="s">
        <v>2199</v>
      </c>
      <c r="G938" s="1616"/>
      <c r="H938" s="1616"/>
      <c r="I938" s="1616"/>
      <c r="J938" s="1616"/>
      <c r="K938" s="1616"/>
      <c r="L938" s="1616"/>
      <c r="M938" s="1616"/>
      <c r="N938" s="1616"/>
      <c r="O938" s="1616"/>
      <c r="P938" s="1616"/>
      <c r="Q938" s="1616"/>
      <c r="R938" s="1616"/>
      <c r="S938" s="1616"/>
      <c r="T938" s="1617"/>
      <c r="U938" s="1618" t="s">
        <v>592</v>
      </c>
      <c r="V938" s="1428"/>
      <c r="W938" s="1428"/>
      <c r="X938" s="1428"/>
      <c r="Y938" s="1428"/>
      <c r="Z938" s="1429"/>
      <c r="AA938" s="1622"/>
      <c r="AB938" s="1524"/>
      <c r="AC938" s="1524"/>
      <c r="AD938" s="1524"/>
      <c r="AE938" s="1524"/>
      <c r="AF938" s="1623"/>
      <c r="AZ938" s="30"/>
      <c r="BA938" s="30"/>
    </row>
    <row r="939" spans="6:55" ht="12.95" customHeight="1">
      <c r="F939" s="1615" t="s">
        <v>2200</v>
      </c>
      <c r="G939" s="1616"/>
      <c r="H939" s="1616"/>
      <c r="I939" s="1616"/>
      <c r="J939" s="1616"/>
      <c r="K939" s="1616"/>
      <c r="L939" s="1616"/>
      <c r="M939" s="1616"/>
      <c r="N939" s="1616"/>
      <c r="O939" s="1616"/>
      <c r="P939" s="1616"/>
      <c r="Q939" s="1616"/>
      <c r="R939" s="1616"/>
      <c r="S939" s="1616"/>
      <c r="T939" s="1617"/>
      <c r="U939" s="1618" t="s">
        <v>592</v>
      </c>
      <c r="V939" s="1428"/>
      <c r="W939" s="1428"/>
      <c r="X939" s="1428"/>
      <c r="Y939" s="1428"/>
      <c r="Z939" s="1429"/>
      <c r="AA939" s="1622"/>
      <c r="AB939" s="1524"/>
      <c r="AC939" s="1524"/>
      <c r="AD939" s="1524"/>
      <c r="AE939" s="1524"/>
      <c r="AF939" s="1623"/>
      <c r="AZ939" s="30"/>
      <c r="BA939" s="30"/>
    </row>
    <row r="940" spans="6:55" ht="12.95" customHeight="1">
      <c r="F940" s="1615" t="s">
        <v>2201</v>
      </c>
      <c r="G940" s="1616"/>
      <c r="H940" s="1616"/>
      <c r="I940" s="1616"/>
      <c r="J940" s="1616"/>
      <c r="K940" s="1616"/>
      <c r="L940" s="1616"/>
      <c r="M940" s="1616"/>
      <c r="N940" s="1616"/>
      <c r="O940" s="1616"/>
      <c r="P940" s="1616"/>
      <c r="Q940" s="1616"/>
      <c r="R940" s="1616"/>
      <c r="S940" s="1616"/>
      <c r="T940" s="1617"/>
      <c r="U940" s="1618" t="s">
        <v>592</v>
      </c>
      <c r="V940" s="1428"/>
      <c r="W940" s="1428"/>
      <c r="X940" s="1428"/>
      <c r="Y940" s="1428"/>
      <c r="Z940" s="1429"/>
      <c r="AA940" s="1622"/>
      <c r="AB940" s="1524"/>
      <c r="AC940" s="1524"/>
      <c r="AD940" s="1524"/>
      <c r="AE940" s="1524"/>
      <c r="AF940" s="1623"/>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618" t="s">
        <v>592</v>
      </c>
      <c r="V941" s="1428"/>
      <c r="W941" s="1428"/>
      <c r="X941" s="1428"/>
      <c r="Y941" s="1428"/>
      <c r="Z941" s="1429"/>
      <c r="AA941" s="1622"/>
      <c r="AB941" s="1524"/>
      <c r="AC941" s="1524"/>
      <c r="AD941" s="1524"/>
      <c r="AE941" s="1524"/>
      <c r="AF941" s="1623"/>
      <c r="AZ941" s="34"/>
      <c r="BA941" s="34"/>
      <c r="BB941" s="14"/>
      <c r="BC941" s="14"/>
    </row>
    <row r="942" spans="6:55" ht="12.95" customHeight="1">
      <c r="F942" s="1619" t="s">
        <v>2204</v>
      </c>
      <c r="G942" s="1620"/>
      <c r="H942" s="1620"/>
      <c r="I942" s="1620"/>
      <c r="J942" s="1620"/>
      <c r="K942" s="1620"/>
      <c r="L942" s="1620"/>
      <c r="M942" s="1620"/>
      <c r="N942" s="1620"/>
      <c r="O942" s="1620"/>
      <c r="P942" s="1620"/>
      <c r="Q942" s="1620"/>
      <c r="R942" s="1620"/>
      <c r="S942" s="1620"/>
      <c r="T942" s="1621"/>
      <c r="U942" s="1618" t="s">
        <v>592</v>
      </c>
      <c r="V942" s="1428"/>
      <c r="W942" s="1428"/>
      <c r="X942" s="1428"/>
      <c r="Y942" s="1428"/>
      <c r="Z942" s="1429"/>
      <c r="AA942" s="1622"/>
      <c r="AB942" s="1524"/>
      <c r="AC942" s="1524"/>
      <c r="AD942" s="1524"/>
      <c r="AE942" s="1524"/>
      <c r="AF942" s="1623"/>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618" t="s">
        <v>592</v>
      </c>
      <c r="V943" s="1428"/>
      <c r="W943" s="1428"/>
      <c r="X943" s="1428"/>
      <c r="Y943" s="1428"/>
      <c r="Z943" s="1429"/>
      <c r="AA943" s="1622"/>
      <c r="AB943" s="1524"/>
      <c r="AC943" s="1524"/>
      <c r="AD943" s="1524"/>
      <c r="AE943" s="1524"/>
      <c r="AF943" s="1623"/>
      <c r="AZ943" s="34"/>
      <c r="BA943" s="34"/>
      <c r="BB943" s="34"/>
      <c r="BC943" s="34"/>
    </row>
    <row r="944" spans="6:55" ht="12.95" customHeight="1">
      <c r="F944" s="1619" t="s">
        <v>2205</v>
      </c>
      <c r="G944" s="1620"/>
      <c r="H944" s="1620"/>
      <c r="I944" s="1620"/>
      <c r="J944" s="1620"/>
      <c r="K944" s="1620"/>
      <c r="L944" s="1620"/>
      <c r="M944" s="1620"/>
      <c r="N944" s="1620"/>
      <c r="O944" s="1620"/>
      <c r="P944" s="1620"/>
      <c r="Q944" s="1620"/>
      <c r="R944" s="1620"/>
      <c r="S944" s="1620"/>
      <c r="T944" s="1621"/>
      <c r="U944" s="1618" t="s">
        <v>592</v>
      </c>
      <c r="V944" s="1428"/>
      <c r="W944" s="1428"/>
      <c r="X944" s="1428"/>
      <c r="Y944" s="1428"/>
      <c r="Z944" s="1429"/>
      <c r="AA944" s="1622"/>
      <c r="AB944" s="1524"/>
      <c r="AC944" s="1524"/>
      <c r="AD944" s="1524"/>
      <c r="AE944" s="1524"/>
      <c r="AF944" s="1623"/>
      <c r="AZ944" s="34"/>
      <c r="BA944" s="34"/>
      <c r="BB944" s="34"/>
      <c r="BC944" s="34"/>
    </row>
    <row r="945" spans="1:55" ht="12.95" customHeight="1">
      <c r="F945" s="45" t="s">
        <v>807</v>
      </c>
      <c r="G945" s="5"/>
      <c r="H945" s="5"/>
      <c r="I945" s="5"/>
      <c r="J945" s="5"/>
      <c r="K945" s="5"/>
      <c r="L945" s="5"/>
      <c r="M945" s="5"/>
      <c r="N945" s="5"/>
      <c r="O945" s="5"/>
      <c r="P945" s="1618" t="s">
        <v>670</v>
      </c>
      <c r="Q945" s="1428"/>
      <c r="R945" s="1428"/>
      <c r="S945" s="1428"/>
      <c r="T945" s="1429"/>
      <c r="U945" s="1618" t="s">
        <v>592</v>
      </c>
      <c r="V945" s="1428"/>
      <c r="W945" s="1428"/>
      <c r="X945" s="1428"/>
      <c r="Y945" s="1428"/>
      <c r="Z945" s="1429"/>
      <c r="AA945" s="1622"/>
      <c r="AB945" s="1524"/>
      <c r="AC945" s="1524"/>
      <c r="AD945" s="1524"/>
      <c r="AE945" s="1524"/>
      <c r="AF945" s="1623"/>
      <c r="AZ945" s="34"/>
      <c r="BA945" s="34"/>
      <c r="BB945" s="34"/>
      <c r="BC945" s="34"/>
    </row>
    <row r="946" spans="1:55" ht="12.95" customHeight="1">
      <c r="F946" s="1615" t="s">
        <v>2192</v>
      </c>
      <c r="G946" s="1616"/>
      <c r="H946" s="1617"/>
      <c r="I946" s="1633" t="s">
        <v>334</v>
      </c>
      <c r="J946" s="1634"/>
      <c r="K946" s="1634"/>
      <c r="L946" s="1634"/>
      <c r="M946" s="1634"/>
      <c r="N946" s="1634"/>
      <c r="O946" s="1634"/>
      <c r="P946" s="1634"/>
      <c r="Q946" s="1634"/>
      <c r="R946" s="1634"/>
      <c r="S946" s="1634"/>
      <c r="T946" s="1635"/>
      <c r="U946" s="1618" t="s">
        <v>592</v>
      </c>
      <c r="V946" s="1428"/>
      <c r="W946" s="1428"/>
      <c r="X946" s="1428"/>
      <c r="Y946" s="1428"/>
      <c r="Z946" s="1429"/>
      <c r="AA946" s="1622"/>
      <c r="AB946" s="1524"/>
      <c r="AC946" s="1524"/>
      <c r="AD946" s="1524"/>
      <c r="AE946" s="1524"/>
      <c r="AF946" s="1623"/>
      <c r="AZ946" s="34"/>
      <c r="BA946" s="34"/>
      <c r="BB946" s="34"/>
      <c r="BC946" s="34"/>
    </row>
    <row r="947" spans="1:55" ht="12.95" customHeight="1">
      <c r="F947" s="45" t="s">
        <v>86</v>
      </c>
      <c r="G947" s="48"/>
      <c r="H947" s="48"/>
      <c r="I947" s="1633" t="s">
        <v>334</v>
      </c>
      <c r="J947" s="1634"/>
      <c r="K947" s="1634"/>
      <c r="L947" s="1634"/>
      <c r="M947" s="1634"/>
      <c r="N947" s="1634"/>
      <c r="O947" s="1634"/>
      <c r="P947" s="1634"/>
      <c r="Q947" s="1634"/>
      <c r="R947" s="1634"/>
      <c r="S947" s="1634"/>
      <c r="T947" s="1635"/>
      <c r="U947" s="1618" t="s">
        <v>592</v>
      </c>
      <c r="V947" s="1428"/>
      <c r="W947" s="1428"/>
      <c r="X947" s="1428"/>
      <c r="Y947" s="1428"/>
      <c r="Z947" s="1429"/>
      <c r="AA947" s="1622"/>
      <c r="AB947" s="1524"/>
      <c r="AC947" s="1524"/>
      <c r="AD947" s="1524"/>
      <c r="AE947" s="1524"/>
      <c r="AF947" s="1623"/>
      <c r="AZ947" s="34"/>
      <c r="BA947" s="34"/>
      <c r="BB947" s="34"/>
      <c r="BC947" s="34"/>
    </row>
    <row r="948" spans="1:55" ht="12.95" customHeight="1">
      <c r="F948" s="45" t="s">
        <v>10</v>
      </c>
      <c r="G948" s="48"/>
      <c r="H948" s="48"/>
      <c r="I948" s="1633" t="s">
        <v>2718</v>
      </c>
      <c r="J948" s="1697"/>
      <c r="K948" s="1697"/>
      <c r="L948" s="1697"/>
      <c r="M948" s="1697"/>
      <c r="N948" s="1697"/>
      <c r="O948" s="1697"/>
      <c r="P948" s="1697"/>
      <c r="Q948" s="1697"/>
      <c r="R948" s="1697"/>
      <c r="S948" s="1697"/>
      <c r="T948" s="1698"/>
      <c r="U948" s="1618" t="s">
        <v>546</v>
      </c>
      <c r="V948" s="1428"/>
      <c r="W948" s="1428"/>
      <c r="X948" s="1428"/>
      <c r="Y948" s="1428"/>
      <c r="Z948" s="1429"/>
      <c r="AA948" s="1622">
        <f>+AM557</f>
        <v>8000000</v>
      </c>
      <c r="AB948" s="1524"/>
      <c r="AC948" s="1524"/>
      <c r="AD948" s="1524"/>
      <c r="AE948" s="1524"/>
      <c r="AF948" s="1623"/>
      <c r="AV948" s="2"/>
      <c r="AW948" s="2"/>
      <c r="AX948" s="2"/>
      <c r="AY948" s="2"/>
      <c r="AZ948" s="34"/>
      <c r="BA948" s="34"/>
      <c r="BB948" s="34"/>
      <c r="BC948" s="34"/>
    </row>
    <row r="949" spans="1:55" ht="12.95" customHeight="1">
      <c r="F949" s="47" t="s">
        <v>170</v>
      </c>
      <c r="G949" s="48"/>
      <c r="H949" s="48"/>
      <c r="I949" s="1633" t="s">
        <v>2715</v>
      </c>
      <c r="J949" s="1697"/>
      <c r="K949" s="1697"/>
      <c r="L949" s="1697"/>
      <c r="M949" s="1697"/>
      <c r="N949" s="1697"/>
      <c r="O949" s="1697"/>
      <c r="P949" s="1697"/>
      <c r="Q949" s="1697"/>
      <c r="R949" s="1697"/>
      <c r="S949" s="1697"/>
      <c r="T949" s="1698"/>
      <c r="U949" s="1618" t="s">
        <v>546</v>
      </c>
      <c r="V949" s="1428"/>
      <c r="W949" s="1428"/>
      <c r="X949" s="1428"/>
      <c r="Y949" s="1428"/>
      <c r="Z949" s="1429"/>
      <c r="AA949" s="1622">
        <f>+AM558</f>
        <v>7900000</v>
      </c>
      <c r="AB949" s="1524"/>
      <c r="AC949" s="1524"/>
      <c r="AD949" s="1524"/>
      <c r="AE949" s="1524"/>
      <c r="AF949" s="1623"/>
      <c r="AU949" s="2"/>
      <c r="AZ949" s="34"/>
      <c r="BA949" s="34"/>
      <c r="BB949" s="34"/>
      <c r="BC949" s="34"/>
    </row>
    <row r="950" spans="1:55" ht="12.95" customHeight="1">
      <c r="F950" s="47" t="s">
        <v>170</v>
      </c>
      <c r="G950" s="48"/>
      <c r="H950" s="48"/>
      <c r="I950" s="1820" t="s">
        <v>334</v>
      </c>
      <c r="J950" s="1697"/>
      <c r="K950" s="1697"/>
      <c r="L950" s="1697"/>
      <c r="M950" s="1697"/>
      <c r="N950" s="1697"/>
      <c r="O950" s="1697"/>
      <c r="P950" s="1697"/>
      <c r="Q950" s="1697"/>
      <c r="R950" s="1697"/>
      <c r="S950" s="1697"/>
      <c r="T950" s="1698"/>
      <c r="U950" s="1618" t="s">
        <v>592</v>
      </c>
      <c r="V950" s="1428"/>
      <c r="W950" s="1428"/>
      <c r="X950" s="1428"/>
      <c r="Y950" s="1428"/>
      <c r="Z950" s="1429"/>
      <c r="AA950" s="1622"/>
      <c r="AB950" s="1524"/>
      <c r="AC950" s="1524"/>
      <c r="AD950" s="1524"/>
      <c r="AE950" s="1524"/>
      <c r="AF950" s="1623"/>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00">
        <v>45400</v>
      </c>
      <c r="N955" s="1520"/>
      <c r="O955" s="1520"/>
      <c r="P955" s="1520"/>
      <c r="Q955" s="1520"/>
      <c r="R955" s="1520"/>
      <c r="S955" s="1613"/>
      <c r="U955" s="66" t="s">
        <v>11</v>
      </c>
      <c r="V955" s="5"/>
      <c r="W955" s="5"/>
      <c r="X955" s="5"/>
      <c r="Y955" s="5"/>
      <c r="Z955" s="5"/>
      <c r="AA955" s="5"/>
      <c r="AB955" s="5"/>
      <c r="AC955" s="5"/>
      <c r="AD955" s="46"/>
      <c r="AE955" s="1700"/>
      <c r="AF955" s="1520"/>
      <c r="AG955" s="1520"/>
      <c r="AH955" s="1520"/>
      <c r="AI955" s="1520"/>
      <c r="AJ955" s="1520"/>
      <c r="AK955" s="1613"/>
      <c r="AZ955" s="34"/>
      <c r="BA955" s="34"/>
      <c r="BB955" s="34"/>
      <c r="BC955" s="34"/>
    </row>
    <row r="956" spans="1:55" ht="12.95" customHeight="1">
      <c r="C956" s="66" t="s">
        <v>12</v>
      </c>
      <c r="D956" s="5"/>
      <c r="E956" s="5"/>
      <c r="F956" s="5"/>
      <c r="G956" s="5"/>
      <c r="H956" s="5"/>
      <c r="I956" s="5"/>
      <c r="J956" s="5"/>
      <c r="K956" s="5"/>
      <c r="L956" s="46"/>
      <c r="M956" s="1652" t="s">
        <v>2723</v>
      </c>
      <c r="N956" s="1547"/>
      <c r="O956" s="1547"/>
      <c r="P956" s="1547"/>
      <c r="Q956" s="1547"/>
      <c r="R956" s="1547"/>
      <c r="S956" s="1653"/>
      <c r="U956" s="66" t="s">
        <v>12</v>
      </c>
      <c r="V956" s="5"/>
      <c r="W956" s="5"/>
      <c r="X956" s="5"/>
      <c r="Y956" s="5"/>
      <c r="Z956" s="5"/>
      <c r="AA956" s="5"/>
      <c r="AB956" s="5"/>
      <c r="AC956" s="5"/>
      <c r="AD956" s="46"/>
      <c r="AE956" s="1652"/>
      <c r="AF956" s="1547"/>
      <c r="AG956" s="1547"/>
      <c r="AH956" s="1547"/>
      <c r="AI956" s="1547"/>
      <c r="AJ956" s="1547"/>
      <c r="AK956" s="1653"/>
      <c r="AZ956" s="34"/>
      <c r="BA956" s="34"/>
      <c r="BB956" s="34"/>
      <c r="BC956" s="34"/>
    </row>
    <row r="957" spans="1:55" ht="12.95" customHeight="1">
      <c r="C957" s="66" t="s">
        <v>881</v>
      </c>
      <c r="D957" s="5"/>
      <c r="E957" s="5"/>
      <c r="J957" s="1805" t="s">
        <v>2724</v>
      </c>
      <c r="K957" s="1806"/>
      <c r="L957" s="1806"/>
      <c r="M957" s="1806"/>
      <c r="N957" s="1806"/>
      <c r="O957" s="1806"/>
      <c r="P957" s="1806"/>
      <c r="Q957" s="1806"/>
      <c r="R957" s="1806"/>
      <c r="S957" s="1807"/>
      <c r="U957" s="66" t="s">
        <v>881</v>
      </c>
      <c r="V957" s="5"/>
      <c r="W957" s="5"/>
      <c r="AB957" s="1805" t="s">
        <v>307</v>
      </c>
      <c r="AC957" s="1806"/>
      <c r="AD957" s="1806"/>
      <c r="AE957" s="1806"/>
      <c r="AF957" s="1806"/>
      <c r="AG957" s="1806"/>
      <c r="AH957" s="1806"/>
      <c r="AI957" s="1806"/>
      <c r="AJ957" s="1806"/>
      <c r="AK957" s="1807"/>
      <c r="AZ957" s="34"/>
      <c r="BA957" s="34"/>
      <c r="BB957" s="34"/>
      <c r="BC957" s="34"/>
    </row>
    <row r="958" spans="1:55" ht="12.95" customHeight="1">
      <c r="C958" s="66" t="s">
        <v>13</v>
      </c>
      <c r="D958" s="5"/>
      <c r="E958" s="5"/>
      <c r="F958" s="5"/>
      <c r="G958" s="5"/>
      <c r="H958" s="5"/>
      <c r="I958" s="5"/>
      <c r="J958" s="5"/>
      <c r="K958" s="5"/>
      <c r="L958" s="46"/>
      <c r="M958" s="1701">
        <v>0.15</v>
      </c>
      <c r="N958" s="1702"/>
      <c r="O958" s="1702"/>
      <c r="P958" s="1702"/>
      <c r="Q958" s="1702"/>
      <c r="R958" s="1702"/>
      <c r="S958" s="1703"/>
      <c r="U958" s="66" t="s">
        <v>13</v>
      </c>
      <c r="V958" s="5"/>
      <c r="W958" s="5"/>
      <c r="X958" s="5"/>
      <c r="Y958" s="5"/>
      <c r="Z958" s="5"/>
      <c r="AA958" s="5"/>
      <c r="AB958" s="5"/>
      <c r="AC958" s="5"/>
      <c r="AD958" s="46"/>
      <c r="AE958" s="1776"/>
      <c r="AF958" s="1702"/>
      <c r="AG958" s="1702"/>
      <c r="AH958" s="1702"/>
      <c r="AI958" s="1702"/>
      <c r="AJ958" s="1702"/>
      <c r="AK958" s="1703"/>
      <c r="AZ958" s="34"/>
      <c r="BA958" s="34"/>
      <c r="BB958" s="34"/>
      <c r="BC958" s="34"/>
    </row>
    <row r="959" spans="1:55" ht="12.95" customHeight="1">
      <c r="C959" s="66" t="s">
        <v>14</v>
      </c>
      <c r="D959" s="5"/>
      <c r="E959" s="5"/>
      <c r="F959" s="5"/>
      <c r="G959" s="5"/>
      <c r="H959" s="5"/>
      <c r="I959" s="5"/>
      <c r="J959" s="5"/>
      <c r="K959" s="5"/>
      <c r="L959" s="46"/>
      <c r="M959" s="1723">
        <v>12</v>
      </c>
      <c r="N959" s="1598"/>
      <c r="O959" s="1598"/>
      <c r="P959" s="1598"/>
      <c r="Q959" s="1598"/>
      <c r="R959" s="1598"/>
      <c r="S959" s="1599"/>
      <c r="U959" s="66" t="s">
        <v>14</v>
      </c>
      <c r="V959" s="5"/>
      <c r="W959" s="5"/>
      <c r="X959" s="5"/>
      <c r="Y959" s="5"/>
      <c r="Z959" s="5"/>
      <c r="AA959" s="5"/>
      <c r="AB959" s="5"/>
      <c r="AC959" s="5"/>
      <c r="AD959" s="46"/>
      <c r="AE959" s="1723"/>
      <c r="AF959" s="1598"/>
      <c r="AG959" s="1598"/>
      <c r="AH959" s="1598"/>
      <c r="AI959" s="1598"/>
      <c r="AJ959" s="1598"/>
      <c r="AK959" s="1599"/>
      <c r="AV959" s="2"/>
      <c r="AW959" s="2"/>
      <c r="AX959" s="2"/>
      <c r="AY959" s="2"/>
      <c r="AZ959" s="34"/>
      <c r="BA959" s="34"/>
      <c r="BB959" s="34"/>
      <c r="BC959" s="34"/>
    </row>
    <row r="960" spans="1:55" ht="12.95" customHeight="1">
      <c r="C960" s="66" t="s">
        <v>15</v>
      </c>
      <c r="D960" s="5"/>
      <c r="E960" s="5"/>
      <c r="F960" s="5"/>
      <c r="G960" s="5"/>
      <c r="H960" s="5"/>
      <c r="I960" s="5"/>
      <c r="J960" s="5"/>
      <c r="K960" s="5"/>
      <c r="L960" s="46"/>
      <c r="M960" s="1709">
        <v>433872</v>
      </c>
      <c r="N960" s="1524"/>
      <c r="O960" s="1524"/>
      <c r="P960" s="1524"/>
      <c r="Q960" s="1524"/>
      <c r="R960" s="1524"/>
      <c r="S960" s="1623"/>
      <c r="U960" s="66" t="s">
        <v>15</v>
      </c>
      <c r="V960" s="5"/>
      <c r="W960" s="5"/>
      <c r="X960" s="5"/>
      <c r="Y960" s="5"/>
      <c r="Z960" s="5"/>
      <c r="AA960" s="5"/>
      <c r="AB960" s="5"/>
      <c r="AC960" s="5"/>
      <c r="AD960" s="46"/>
      <c r="AE960" s="1622"/>
      <c r="AF960" s="1524"/>
      <c r="AG960" s="1524"/>
      <c r="AH960" s="1524"/>
      <c r="AI960" s="1524"/>
      <c r="AJ960" s="1524"/>
      <c r="AK960" s="1623"/>
      <c r="AV960" s="2"/>
      <c r="AW960" s="2"/>
      <c r="AX960" s="2"/>
      <c r="AY960" s="2"/>
      <c r="AZ960" s="34"/>
      <c r="BA960" s="34"/>
      <c r="BB960" s="34"/>
      <c r="BC960" s="34"/>
    </row>
    <row r="961" spans="1:64" ht="12.95" customHeight="1">
      <c r="C961" s="66" t="s">
        <v>16</v>
      </c>
      <c r="D961" s="5"/>
      <c r="E961" s="5"/>
      <c r="F961" s="5"/>
      <c r="G961" s="5"/>
      <c r="H961" s="5"/>
      <c r="I961" s="5"/>
      <c r="J961" s="5"/>
      <c r="K961" s="5"/>
      <c r="L961" s="46"/>
      <c r="M961" s="1622">
        <f>+M960*20</f>
        <v>8677440</v>
      </c>
      <c r="N961" s="1524"/>
      <c r="O961" s="1524"/>
      <c r="P961" s="1524"/>
      <c r="Q961" s="1524"/>
      <c r="R961" s="1524"/>
      <c r="S961" s="1623"/>
      <c r="U961" s="66" t="s">
        <v>16</v>
      </c>
      <c r="V961" s="5"/>
      <c r="W961" s="5"/>
      <c r="X961" s="5"/>
      <c r="Y961" s="5"/>
      <c r="Z961" s="5"/>
      <c r="AA961" s="5"/>
      <c r="AB961" s="5"/>
      <c r="AC961" s="5"/>
      <c r="AD961" s="46"/>
      <c r="AE961" s="1622"/>
      <c r="AF961" s="1524"/>
      <c r="AG961" s="1524"/>
      <c r="AH961" s="1524"/>
      <c r="AI961" s="1524"/>
      <c r="AJ961" s="1524"/>
      <c r="AK961" s="1623"/>
      <c r="AV961" s="2"/>
      <c r="AW961" s="2"/>
      <c r="AX961" s="2"/>
      <c r="AY961" s="2"/>
      <c r="AZ961" s="34"/>
      <c r="BB961" s="34"/>
      <c r="BC961" s="34"/>
    </row>
    <row r="962" spans="1:64" ht="12.95" customHeight="1">
      <c r="C962" s="121" t="s">
        <v>1662</v>
      </c>
      <c r="D962" s="5"/>
      <c r="E962" s="5"/>
      <c r="F962" s="5"/>
      <c r="G962" s="5"/>
      <c r="H962" s="5"/>
      <c r="I962" s="5"/>
      <c r="J962" s="5"/>
      <c r="K962" s="5"/>
      <c r="L962" s="46"/>
      <c r="M962" s="1773">
        <v>20</v>
      </c>
      <c r="N962" s="1774"/>
      <c r="O962" s="1774"/>
      <c r="P962" s="1774"/>
      <c r="Q962" s="1774"/>
      <c r="R962" s="1774"/>
      <c r="S962" s="1775"/>
      <c r="U962" s="121" t="s">
        <v>1662</v>
      </c>
      <c r="V962" s="5"/>
      <c r="W962" s="5"/>
      <c r="X962" s="5"/>
      <c r="Y962" s="5"/>
      <c r="Z962" s="5"/>
      <c r="AA962" s="5"/>
      <c r="AB962" s="5"/>
      <c r="AC962" s="5"/>
      <c r="AD962" s="46"/>
      <c r="AE962" s="1773"/>
      <c r="AF962" s="1774"/>
      <c r="AG962" s="1774"/>
      <c r="AH962" s="1774"/>
      <c r="AI962" s="1774"/>
      <c r="AJ962" s="1774"/>
      <c r="AK962" s="1775"/>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649"/>
      <c r="N967" s="1650"/>
      <c r="O967" s="1650"/>
      <c r="P967" s="1650"/>
      <c r="Q967" s="1650"/>
      <c r="R967" s="1650"/>
      <c r="S967" s="1651"/>
      <c r="T967" s="66" t="s">
        <v>791</v>
      </c>
      <c r="U967" s="5"/>
      <c r="V967" s="5"/>
      <c r="W967" s="5"/>
      <c r="X967" s="5"/>
      <c r="Y967" s="5"/>
      <c r="Z967" s="46"/>
      <c r="AA967" s="1649"/>
      <c r="AB967" s="1650"/>
      <c r="AC967" s="1650"/>
      <c r="AD967" s="1650"/>
      <c r="AE967" s="1650"/>
      <c r="AF967" s="1650"/>
      <c r="AG967" s="1651"/>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649"/>
      <c r="N968" s="1650"/>
      <c r="O968" s="1650"/>
      <c r="P968" s="1650"/>
      <c r="Q968" s="1650"/>
      <c r="R968" s="1650"/>
      <c r="S968" s="1651"/>
      <c r="T968" s="66" t="s">
        <v>790</v>
      </c>
      <c r="U968" s="5"/>
      <c r="V968" s="5"/>
      <c r="W968" s="5"/>
      <c r="X968" s="5"/>
      <c r="Y968" s="5"/>
      <c r="Z968" s="46"/>
      <c r="AA968" s="1649"/>
      <c r="AB968" s="1650"/>
      <c r="AC968" s="1650"/>
      <c r="AD968" s="1650"/>
      <c r="AE968" s="1650"/>
      <c r="AF968" s="1650"/>
      <c r="AG968" s="165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704" t="s">
        <v>592</v>
      </c>
      <c r="N969" s="1705"/>
      <c r="O969" s="1705"/>
      <c r="P969" s="1705"/>
      <c r="Q969" s="1705"/>
      <c r="R969" s="1705"/>
      <c r="S969" s="1706"/>
      <c r="T969" s="45" t="s">
        <v>337</v>
      </c>
      <c r="U969" s="5"/>
      <c r="V969" s="5"/>
      <c r="W969" s="5"/>
      <c r="X969" s="5"/>
      <c r="Y969" s="5"/>
      <c r="Z969" s="46"/>
      <c r="AA969" s="1649"/>
      <c r="AB969" s="1650"/>
      <c r="AC969" s="1650"/>
      <c r="AD969" s="1650"/>
      <c r="AE969" s="1650"/>
      <c r="AF969" s="1650"/>
      <c r="AG969" s="165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649"/>
      <c r="N970" s="1650"/>
      <c r="O970" s="1650"/>
      <c r="P970" s="1650"/>
      <c r="Q970" s="1650"/>
      <c r="R970" s="1650"/>
      <c r="S970" s="1651"/>
      <c r="T970" s="45" t="s">
        <v>338</v>
      </c>
      <c r="U970" s="5"/>
      <c r="V970" s="5"/>
      <c r="W970" s="5"/>
      <c r="X970" s="5"/>
      <c r="Y970" s="5"/>
      <c r="Z970" s="46"/>
      <c r="AA970" s="1649"/>
      <c r="AB970" s="1650"/>
      <c r="AC970" s="1650"/>
      <c r="AD970" s="1650"/>
      <c r="AE970" s="1650"/>
      <c r="AF970" s="1650"/>
      <c r="AG970" s="165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649"/>
      <c r="N971" s="1650"/>
      <c r="O971" s="1650"/>
      <c r="P971" s="1650"/>
      <c r="Q971" s="1650"/>
      <c r="R971" s="1650"/>
      <c r="S971" s="1651"/>
      <c r="T971" s="45" t="s">
        <v>376</v>
      </c>
      <c r="U971" s="5"/>
      <c r="V971" s="5"/>
      <c r="W971" s="5"/>
      <c r="X971" s="5"/>
      <c r="Y971" s="5"/>
      <c r="Z971" s="46"/>
      <c r="AA971" s="1649"/>
      <c r="AB971" s="1650"/>
      <c r="AC971" s="1650"/>
      <c r="AD971" s="1650"/>
      <c r="AE971" s="1650"/>
      <c r="AF971" s="1650"/>
      <c r="AG971" s="1651"/>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805" t="s">
        <v>307</v>
      </c>
      <c r="N972" s="1806"/>
      <c r="O972" s="1806"/>
      <c r="P972" s="1806"/>
      <c r="Q972" s="1806"/>
      <c r="R972" s="1806"/>
      <c r="S972" s="1807"/>
      <c r="T972" s="1760"/>
      <c r="U972" s="1761"/>
      <c r="V972" s="1761"/>
      <c r="W972" s="1761"/>
      <c r="X972" s="1761"/>
      <c r="Y972" s="1761"/>
      <c r="Z972" s="1762"/>
      <c r="AA972" s="1649"/>
      <c r="AB972" s="1650"/>
      <c r="AC972" s="1650"/>
      <c r="AD972" s="1650"/>
      <c r="AE972" s="1650"/>
      <c r="AF972" s="1650"/>
      <c r="AG972" s="165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649"/>
      <c r="N973" s="1650"/>
      <c r="O973" s="1650"/>
      <c r="P973" s="1650"/>
      <c r="Q973" s="1650"/>
      <c r="R973" s="1650"/>
      <c r="S973" s="1651"/>
      <c r="T973" s="1760"/>
      <c r="U973" s="1761"/>
      <c r="V973" s="1761"/>
      <c r="W973" s="1761"/>
      <c r="X973" s="1761"/>
      <c r="Y973" s="1761"/>
      <c r="Z973" s="1762"/>
      <c r="AA973" s="1649"/>
      <c r="AB973" s="1650"/>
      <c r="AC973" s="1650"/>
      <c r="AD973" s="1650"/>
      <c r="AE973" s="1650"/>
      <c r="AF973" s="1650"/>
      <c r="AG973" s="1651"/>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400" t="s">
        <v>670</v>
      </c>
      <c r="P974" s="1402"/>
      <c r="Q974" s="92"/>
      <c r="R974" s="92"/>
      <c r="S974" s="93"/>
      <c r="T974" s="41" t="s">
        <v>170</v>
      </c>
      <c r="U974" s="42"/>
      <c r="V974" s="42"/>
      <c r="W974" s="1808" t="s">
        <v>334</v>
      </c>
      <c r="X974" s="1809"/>
      <c r="Y974" s="1809"/>
      <c r="Z974" s="1809"/>
      <c r="AA974" s="1809"/>
      <c r="AB974" s="1809"/>
      <c r="AC974" s="1809"/>
      <c r="AD974" s="1809"/>
      <c r="AE974" s="1809"/>
      <c r="AF974" s="1809"/>
      <c r="AG974" s="1810"/>
      <c r="AU974" s="68"/>
      <c r="AV974" s="95"/>
      <c r="AW974" s="95"/>
      <c r="AX974" s="95"/>
      <c r="AY974" s="95"/>
      <c r="AZ974" s="34"/>
      <c r="BB974" s="34"/>
      <c r="BC974" s="34"/>
      <c r="BD974" s="34"/>
      <c r="BE974" s="34"/>
      <c r="BF974" s="34"/>
      <c r="BG974" s="34"/>
      <c r="BH974" s="34"/>
      <c r="BI974" s="34"/>
      <c r="BJ974" s="34"/>
      <c r="BK974" s="34"/>
      <c r="BL974" s="34"/>
    </row>
    <row r="975" spans="1:64" ht="12.95" customHeight="1">
      <c r="F975" s="1593" t="s">
        <v>33</v>
      </c>
      <c r="G975" s="1476"/>
      <c r="H975" s="1476"/>
      <c r="I975" s="1476"/>
      <c r="J975" s="1476"/>
      <c r="K975" s="1476"/>
      <c r="L975" s="1476"/>
      <c r="M975" s="1649"/>
      <c r="N975" s="1650"/>
      <c r="O975" s="1650"/>
      <c r="P975" s="1650"/>
      <c r="Q975" s="1650"/>
      <c r="R975" s="1650"/>
      <c r="S975" s="1651"/>
      <c r="T975" s="47"/>
      <c r="U975" s="48"/>
      <c r="V975" s="48"/>
      <c r="W975" s="48"/>
      <c r="X975" s="48"/>
      <c r="Y975" s="48"/>
      <c r="Z975" s="124" t="s">
        <v>134</v>
      </c>
      <c r="AA975" s="1709"/>
      <c r="AB975" s="1758"/>
      <c r="AC975" s="1758"/>
      <c r="AD975" s="1758"/>
      <c r="AE975" s="1758"/>
      <c r="AF975" s="1758"/>
      <c r="AG975" s="1759"/>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4"/>
      <c r="BH976" s="1624"/>
      <c r="BI976" s="1624"/>
      <c r="BJ976" s="1624"/>
      <c r="BK976" s="1624"/>
      <c r="BL976" s="1624"/>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35" t="s">
        <v>549</v>
      </c>
      <c r="B979" s="1535"/>
      <c r="C979" s="1535"/>
      <c r="D979" s="1535"/>
      <c r="E979" s="1535"/>
      <c r="F979" s="1535"/>
      <c r="G979" s="1535"/>
      <c r="H979" s="1535"/>
      <c r="I979" s="1535"/>
      <c r="J979" s="1535"/>
      <c r="K979" s="1535"/>
      <c r="L979" s="1535"/>
      <c r="M979" s="1535"/>
      <c r="N979" s="1535"/>
      <c r="O979" s="1535"/>
      <c r="P979" s="1535"/>
      <c r="Q979" s="1535"/>
      <c r="R979" s="1535"/>
      <c r="S979" s="1535"/>
      <c r="T979" s="1535"/>
      <c r="U979" s="1535"/>
      <c r="V979" s="1535"/>
      <c r="W979" s="1535"/>
      <c r="X979" s="1535"/>
      <c r="Y979" s="1535"/>
      <c r="Z979" s="1535"/>
      <c r="AA979" s="1535"/>
      <c r="AB979" s="1535"/>
      <c r="AC979" s="1535"/>
      <c r="AD979" s="1535"/>
      <c r="AE979" s="1535"/>
      <c r="AF979" s="1535"/>
      <c r="AG979" s="1535"/>
      <c r="AH979" s="1535"/>
      <c r="AI979" s="1535"/>
      <c r="AJ979" s="1535"/>
      <c r="AK979" s="1535"/>
      <c r="AL979" s="1535"/>
      <c r="AM979" s="1535"/>
      <c r="AN979" s="1535"/>
      <c r="AO979" s="1535"/>
      <c r="AP979" s="1535"/>
      <c r="AQ979" s="1535"/>
      <c r="AR979" s="1535"/>
      <c r="AS979" s="1535"/>
      <c r="AT979" s="1535"/>
      <c r="AU979" s="68"/>
      <c r="AV979" s="68"/>
      <c r="AW979" s="68"/>
      <c r="AX979" s="68"/>
      <c r="AY979" s="68"/>
      <c r="AZ979" s="14"/>
      <c r="BA979" s="14"/>
      <c r="BB979" s="912"/>
      <c r="BC979" s="912"/>
    </row>
    <row r="980" spans="1:64" ht="12.95" customHeight="1">
      <c r="A980" s="1535"/>
      <c r="B980" s="1535"/>
      <c r="C980" s="1535"/>
      <c r="D980" s="1535"/>
      <c r="E980" s="1535"/>
      <c r="F980" s="1535"/>
      <c r="G980" s="1535"/>
      <c r="H980" s="1535"/>
      <c r="I980" s="1535"/>
      <c r="J980" s="1535"/>
      <c r="K980" s="1535"/>
      <c r="L980" s="1535"/>
      <c r="M980" s="1535"/>
      <c r="N980" s="1535"/>
      <c r="O980" s="1535"/>
      <c r="P980" s="1535"/>
      <c r="Q980" s="1535"/>
      <c r="R980" s="1535"/>
      <c r="S980" s="1535"/>
      <c r="T980" s="1535"/>
      <c r="U980" s="1535"/>
      <c r="V980" s="1535"/>
      <c r="W980" s="1535"/>
      <c r="X980" s="1535"/>
      <c r="Y980" s="1535"/>
      <c r="Z980" s="1535"/>
      <c r="AA980" s="1535"/>
      <c r="AB980" s="1535"/>
      <c r="AC980" s="1535"/>
      <c r="AD980" s="1535"/>
      <c r="AE980" s="1535"/>
      <c r="AF980" s="1535"/>
      <c r="AG980" s="1535"/>
      <c r="AH980" s="1535"/>
      <c r="AI980" s="1535"/>
      <c r="AJ980" s="1535"/>
      <c r="AK980" s="1535"/>
      <c r="AL980" s="1535"/>
      <c r="AM980" s="1535"/>
      <c r="AN980" s="1535"/>
      <c r="AO980" s="1535"/>
      <c r="AP980" s="1535"/>
      <c r="AQ980" s="1535"/>
      <c r="AR980" s="1535"/>
      <c r="AS980" s="1535"/>
      <c r="AT980" s="1535"/>
      <c r="AU980" s="68"/>
      <c r="AV980" s="68"/>
      <c r="AW980" s="68"/>
      <c r="AX980" s="68"/>
      <c r="AY980" s="68"/>
      <c r="AZ980" s="30"/>
      <c r="BA980" s="14"/>
      <c r="BB980" s="14"/>
      <c r="BC980" s="14"/>
    </row>
    <row r="981" spans="1:64" ht="12.95" customHeight="1">
      <c r="A981" s="1535"/>
      <c r="B981" s="1535"/>
      <c r="C981" s="1535"/>
      <c r="D981" s="1535"/>
      <c r="E981" s="1535"/>
      <c r="F981" s="1535"/>
      <c r="G981" s="1535"/>
      <c r="H981" s="1535"/>
      <c r="I981" s="1535"/>
      <c r="J981" s="1535"/>
      <c r="K981" s="1535"/>
      <c r="L981" s="1535"/>
      <c r="M981" s="1535"/>
      <c r="N981" s="1535"/>
      <c r="O981" s="1535"/>
      <c r="P981" s="1535"/>
      <c r="Q981" s="1535"/>
      <c r="R981" s="1535"/>
      <c r="S981" s="1535"/>
      <c r="T981" s="1535"/>
      <c r="U981" s="1535"/>
      <c r="V981" s="1535"/>
      <c r="W981" s="1535"/>
      <c r="X981" s="1535"/>
      <c r="Y981" s="1535"/>
      <c r="Z981" s="1535"/>
      <c r="AA981" s="1535"/>
      <c r="AB981" s="1535"/>
      <c r="AC981" s="1535"/>
      <c r="AD981" s="1535"/>
      <c r="AE981" s="1535"/>
      <c r="AF981" s="1535"/>
      <c r="AG981" s="1535"/>
      <c r="AH981" s="1535"/>
      <c r="AI981" s="1535"/>
      <c r="AJ981" s="1535"/>
      <c r="AK981" s="1535"/>
      <c r="AL981" s="1535"/>
      <c r="AM981" s="1535"/>
      <c r="AN981" s="1535"/>
      <c r="AO981" s="1535"/>
      <c r="AP981" s="1535"/>
      <c r="AQ981" s="1535"/>
      <c r="AR981" s="1535"/>
      <c r="AS981" s="1535"/>
      <c r="AT981" s="1535"/>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88" t="s">
        <v>639</v>
      </c>
      <c r="E985" s="1789"/>
      <c r="F985" s="1789"/>
      <c r="G985" s="1789"/>
      <c r="H985" s="1789"/>
      <c r="I985" s="1789"/>
      <c r="J985" s="1789"/>
      <c r="K985" s="1789"/>
      <c r="L985" s="1789"/>
      <c r="M985" s="1789"/>
      <c r="N985" s="1789"/>
      <c r="O985" s="1789"/>
      <c r="P985" s="1789"/>
      <c r="Q985" s="1790"/>
      <c r="R985" s="1788" t="s">
        <v>640</v>
      </c>
      <c r="S985" s="1789"/>
      <c r="T985" s="1789"/>
      <c r="U985" s="1789"/>
      <c r="V985" s="1789"/>
      <c r="W985" s="1789"/>
      <c r="X985" s="1789"/>
      <c r="Y985" s="1789"/>
      <c r="Z985" s="1789"/>
      <c r="AA985" s="1790"/>
      <c r="AB985" s="1788" t="s">
        <v>641</v>
      </c>
      <c r="AC985" s="1789"/>
      <c r="AD985" s="1789"/>
      <c r="AE985" s="1789"/>
      <c r="AF985" s="1789"/>
      <c r="AG985" s="1789"/>
      <c r="AH985" s="1789"/>
      <c r="AI985" s="1790"/>
      <c r="AJ985" s="1788" t="s">
        <v>642</v>
      </c>
      <c r="AK985" s="1789"/>
      <c r="AL985" s="1789"/>
      <c r="AM985" s="1789"/>
      <c r="AN985" s="1789"/>
      <c r="AO985" s="1789"/>
      <c r="AP985" s="1789"/>
      <c r="AQ985" s="1790"/>
      <c r="AR985" s="68"/>
      <c r="AS985" s="68"/>
      <c r="AT985" s="68"/>
      <c r="AU985" s="68"/>
      <c r="AV985" s="68"/>
      <c r="AW985" s="68"/>
      <c r="AX985" s="68"/>
      <c r="AY985" s="68"/>
      <c r="AZ985" s="30"/>
      <c r="BB985" s="14"/>
      <c r="BC985" s="14"/>
    </row>
    <row r="986" spans="1:64" ht="12.95" customHeight="1">
      <c r="A986" s="14"/>
      <c r="B986" s="73"/>
      <c r="C986" s="929"/>
      <c r="D986" s="1794" t="s">
        <v>634</v>
      </c>
      <c r="E986" s="1795"/>
      <c r="F986" s="1795"/>
      <c r="G986" s="1795"/>
      <c r="H986" s="1795"/>
      <c r="I986" s="1795"/>
      <c r="J986" s="1795"/>
      <c r="K986" s="1795"/>
      <c r="L986" s="1795"/>
      <c r="M986" s="1795"/>
      <c r="N986" s="1795"/>
      <c r="O986" s="1795"/>
      <c r="P986" s="1795"/>
      <c r="Q986" s="1796"/>
      <c r="R986" s="1781">
        <f>IF(ISNA(IF($CU$122="4%",(INDEX($CS$160:$CW$217,MATCH($DG$122,$CR$160:$CR$217,0),MATCH(D986,$CS$159:$CW$159,0))),(INDEX($CZ$160:$DD$217,MATCH($DG$122,$CY$160:$CY$217,0),MATCH(D986,$CZ$159:$DD$159,0))))),0,IF($CU$122="4%",(INDEX($CS$160:$CW$217,MATCH($DG$122,$CR$160:$CR$217,0),MATCH(D986,$CS$159:$CW$159,0))),(INDEX($CZ$160:$DD$217,MATCH($DG$122,$CY$160:$CY$217,0),MATCH(D986,$CZ$159:$DD$159,0)))))</f>
        <v>532060</v>
      </c>
      <c r="S986" s="1781"/>
      <c r="T986" s="1781"/>
      <c r="U986" s="1781"/>
      <c r="V986" s="1781"/>
      <c r="W986" s="1781"/>
      <c r="X986" s="1781"/>
      <c r="Y986" s="1781"/>
      <c r="Z986" s="1781"/>
      <c r="AA986" s="1781"/>
      <c r="AB986" s="1778">
        <f>CP802</f>
        <v>5</v>
      </c>
      <c r="AC986" s="1779"/>
      <c r="AD986" s="1779"/>
      <c r="AE986" s="1779"/>
      <c r="AF986" s="1779"/>
      <c r="AG986" s="1779"/>
      <c r="AH986" s="1779"/>
      <c r="AI986" s="1780"/>
      <c r="AJ986" s="1715">
        <f>IF(ISERROR((R986*AB986)),0,(R986*AB986))</f>
        <v>2660300</v>
      </c>
      <c r="AK986" s="1716"/>
      <c r="AL986" s="1716"/>
      <c r="AM986" s="1716"/>
      <c r="AN986" s="1716"/>
      <c r="AO986" s="1716"/>
      <c r="AP986" s="1716"/>
      <c r="AQ986" s="1717"/>
      <c r="AR986" s="68"/>
      <c r="AS986" s="68"/>
      <c r="AT986" s="68"/>
      <c r="AU986" s="68"/>
      <c r="AV986" s="68"/>
      <c r="AW986" s="68"/>
      <c r="AX986" s="68"/>
      <c r="AY986" s="68"/>
      <c r="AZ986" s="30"/>
      <c r="BB986" s="14"/>
      <c r="BC986" s="14"/>
    </row>
    <row r="987" spans="1:64" ht="12.95" customHeight="1">
      <c r="A987" s="14"/>
      <c r="B987" s="73"/>
      <c r="C987" s="83"/>
      <c r="D987" s="1794" t="s">
        <v>325</v>
      </c>
      <c r="E987" s="1795"/>
      <c r="F987" s="1795"/>
      <c r="G987" s="1795"/>
      <c r="H987" s="1795"/>
      <c r="I987" s="1795"/>
      <c r="J987" s="1795"/>
      <c r="K987" s="1795"/>
      <c r="L987" s="1795"/>
      <c r="M987" s="1795"/>
      <c r="N987" s="1795"/>
      <c r="O987" s="1795"/>
      <c r="P987" s="1795"/>
      <c r="Q987" s="1796"/>
      <c r="R987" s="1781">
        <f>IF(ISNA(IF($CU$122="4%",(INDEX($CS$160:$CW$217,MATCH($DG$122,$CR$160:$CR$217,0),MATCH(D987,$CS$159:$CW$159,0))),(INDEX($CZ$160:$DD$217,MATCH($DG$122,$CY$160:$CY$217,0),MATCH(D987,$CZ$159:$DD$159,0))))),0,IF($CU$122="4%",(INDEX($CS$160:$CW$217,MATCH($DG$122,$CR$160:$CR$217,0),MATCH(D987,$CS$159:$CW$159,0))),(INDEX($CZ$160:$DD$217,MATCH($DG$122,$CY$160:$CY$217,0),MATCH(D987,$CZ$159:$DD$159,0)))))</f>
        <v>613460</v>
      </c>
      <c r="S987" s="1781"/>
      <c r="T987" s="1781"/>
      <c r="U987" s="1781"/>
      <c r="V987" s="1781"/>
      <c r="W987" s="1781"/>
      <c r="X987" s="1781"/>
      <c r="Y987" s="1781"/>
      <c r="Z987" s="1781"/>
      <c r="AA987" s="1781"/>
      <c r="AB987" s="1778">
        <f>CU802</f>
        <v>32</v>
      </c>
      <c r="AC987" s="1779"/>
      <c r="AD987" s="1779"/>
      <c r="AE987" s="1779"/>
      <c r="AF987" s="1779"/>
      <c r="AG987" s="1779"/>
      <c r="AH987" s="1779"/>
      <c r="AI987" s="1780"/>
      <c r="AJ987" s="1715">
        <f>IF(ISERROR((R987*AB987)),0,(R987*AB987))</f>
        <v>19630720</v>
      </c>
      <c r="AK987" s="1716"/>
      <c r="AL987" s="1716"/>
      <c r="AM987" s="1716"/>
      <c r="AN987" s="1716"/>
      <c r="AO987" s="1716"/>
      <c r="AP987" s="1716"/>
      <c r="AQ987" s="1717"/>
      <c r="AR987" s="68"/>
      <c r="AS987" s="68"/>
      <c r="AT987" s="68"/>
      <c r="AU987" s="68"/>
      <c r="AV987" s="68"/>
      <c r="AW987" s="68"/>
      <c r="AX987" s="68"/>
      <c r="AY987" s="68"/>
      <c r="AZ987" s="30"/>
      <c r="BB987" s="14"/>
      <c r="BC987" s="14"/>
    </row>
    <row r="988" spans="1:64" ht="12.95" customHeight="1">
      <c r="A988" s="14"/>
      <c r="B988" s="73"/>
      <c r="C988" s="83"/>
      <c r="D988" s="1794" t="s">
        <v>163</v>
      </c>
      <c r="E988" s="1795"/>
      <c r="F988" s="1795"/>
      <c r="G988" s="1795"/>
      <c r="H988" s="1795"/>
      <c r="I988" s="1795"/>
      <c r="J988" s="1795"/>
      <c r="K988" s="1795"/>
      <c r="L988" s="1795"/>
      <c r="M988" s="1795"/>
      <c r="N988" s="1795"/>
      <c r="O988" s="1795"/>
      <c r="P988" s="1795"/>
      <c r="Q988" s="1796"/>
      <c r="R988" s="1781">
        <f>IF(ISNA(IF($CU$122="4%",(INDEX($CS$160:$CW$217,MATCH($DG$122,$CR$160:$CR$217,0),MATCH(D988,$CS$159:$CW$159,0))),(INDEX($CZ$160:$DD$217,MATCH($DG$122,$CY$160:$CY$217,0),MATCH(D988,$CZ$159:$DD$159,0))))),0,IF($CU$122="4%",(INDEX($CS$160:$CW$217,MATCH($DG$122,$CR$160:$CR$217,0),MATCH(D988,$CS$159:$CW$159,0))),(INDEX($CZ$160:$DD$217,MATCH($DG$122,$CY$160:$CY$217,0),MATCH(D988,$CZ$159:$DD$159,0)))))</f>
        <v>740000</v>
      </c>
      <c r="S988" s="1781"/>
      <c r="T988" s="1781"/>
      <c r="U988" s="1781"/>
      <c r="V988" s="1781"/>
      <c r="W988" s="1781"/>
      <c r="X988" s="1781"/>
      <c r="Y988" s="1781"/>
      <c r="Z988" s="1781"/>
      <c r="AA988" s="1781"/>
      <c r="AB988" s="1778">
        <f>CZ802</f>
        <v>21</v>
      </c>
      <c r="AC988" s="1779"/>
      <c r="AD988" s="1779"/>
      <c r="AE988" s="1779"/>
      <c r="AF988" s="1779"/>
      <c r="AG988" s="1779"/>
      <c r="AH988" s="1779"/>
      <c r="AI988" s="1780"/>
      <c r="AJ988" s="1715">
        <f>IF(ISERROR((R988*AB988)),0,(R988*AB988))</f>
        <v>15540000</v>
      </c>
      <c r="AK988" s="1716"/>
      <c r="AL988" s="1716"/>
      <c r="AM988" s="1716"/>
      <c r="AN988" s="1716"/>
      <c r="AO988" s="1716"/>
      <c r="AP988" s="1716"/>
      <c r="AQ988" s="1717"/>
      <c r="AR988" s="68"/>
      <c r="AS988" s="68"/>
      <c r="AT988" s="68"/>
      <c r="AU988" s="68"/>
      <c r="AV988" s="68"/>
      <c r="AW988" s="68"/>
      <c r="AX988" s="68"/>
      <c r="AY988" s="68"/>
      <c r="AZ988" s="30"/>
      <c r="BB988" s="14"/>
      <c r="BC988" s="14"/>
    </row>
    <row r="989" spans="1:64" ht="12.95" customHeight="1">
      <c r="A989" s="14"/>
      <c r="B989" s="73"/>
      <c r="C989" s="83"/>
      <c r="D989" s="1794" t="s">
        <v>164</v>
      </c>
      <c r="E989" s="1795"/>
      <c r="F989" s="1795"/>
      <c r="G989" s="1795"/>
      <c r="H989" s="1795"/>
      <c r="I989" s="1795"/>
      <c r="J989" s="1795"/>
      <c r="K989" s="1795"/>
      <c r="L989" s="1795"/>
      <c r="M989" s="1795"/>
      <c r="N989" s="1795"/>
      <c r="O989" s="1795"/>
      <c r="P989" s="1795"/>
      <c r="Q989" s="1796"/>
      <c r="R989" s="1781">
        <f>IF(ISNA(IF($CU$122="4%",(INDEX($CS$160:$CW$217,MATCH($DG$122,$CR$160:$CR$217,0),MATCH(D989,$CS$159:$CW$159,0))),(INDEX($CZ$160:$DD$217,MATCH($DG$122,$CY$160:$CY$217,0),MATCH(D989,$CZ$159:$DD$159,0))))),0,IF($CU$122="4%",(INDEX($CS$160:$CW$217,MATCH($DG$122,$CR$160:$CR$217,0),MATCH(D989,$CS$159:$CW$159,0))),(INDEX($CZ$160:$DD$217,MATCH($DG$122,$CY$160:$CY$217,0),MATCH(D989,$CZ$159:$DD$159,0)))))</f>
        <v>947200</v>
      </c>
      <c r="S989" s="1781"/>
      <c r="T989" s="1781"/>
      <c r="U989" s="1781"/>
      <c r="V989" s="1781"/>
      <c r="W989" s="1781"/>
      <c r="X989" s="1781"/>
      <c r="Y989" s="1781"/>
      <c r="Z989" s="1781"/>
      <c r="AA989" s="1781"/>
      <c r="AB989" s="1778">
        <f>DE802</f>
        <v>21</v>
      </c>
      <c r="AC989" s="1779"/>
      <c r="AD989" s="1779"/>
      <c r="AE989" s="1779"/>
      <c r="AF989" s="1779"/>
      <c r="AG989" s="1779"/>
      <c r="AH989" s="1779"/>
      <c r="AI989" s="1780"/>
      <c r="AJ989" s="1715">
        <f>IF(ISERROR((R989*AB989)),0,(R989*AB989))</f>
        <v>19891200</v>
      </c>
      <c r="AK989" s="1716"/>
      <c r="AL989" s="1716"/>
      <c r="AM989" s="1716"/>
      <c r="AN989" s="1716"/>
      <c r="AO989" s="1716"/>
      <c r="AP989" s="1716"/>
      <c r="AQ989" s="1717"/>
      <c r="AR989" s="68"/>
      <c r="AS989" s="68"/>
      <c r="AT989" s="68"/>
      <c r="AU989" s="68"/>
      <c r="AV989" s="68"/>
      <c r="AW989" s="68"/>
      <c r="AX989" s="68"/>
      <c r="AY989" s="68"/>
      <c r="AZ989" s="30"/>
      <c r="BA989" s="34"/>
      <c r="BB989" s="14"/>
      <c r="BC989" s="14"/>
    </row>
    <row r="990" spans="1:64" ht="12.95" customHeight="1">
      <c r="A990" s="14"/>
      <c r="B990" s="47"/>
      <c r="C990" s="78"/>
      <c r="D990" s="1794" t="s">
        <v>461</v>
      </c>
      <c r="E990" s="1795"/>
      <c r="F990" s="1795"/>
      <c r="G990" s="1795"/>
      <c r="H990" s="1795"/>
      <c r="I990" s="1795"/>
      <c r="J990" s="1795"/>
      <c r="K990" s="1795"/>
      <c r="L990" s="1795"/>
      <c r="M990" s="1795"/>
      <c r="N990" s="1795"/>
      <c r="O990" s="1795"/>
      <c r="P990" s="1795"/>
      <c r="Q990" s="1796"/>
      <c r="R990" s="1781">
        <f>IF(ISNA(IF($CU$122="4%",(INDEX($CS$160:$CW$217,MATCH($DG$122,$CR$160:$CR$217,0),MATCH(D990,$CS$159:$CW$159,0))),(INDEX($CZ$160:$DD$217,MATCH($DG$122,$CY$160:$CY$217,0),MATCH(D990,$CZ$159:$DD$159,0))))),0,IF($CU$122="4%",(INDEX($CS$160:$CW$217,MATCH($DG$122,$CR$160:$CR$217,0),MATCH(D990,$CS$159:$CW$159,0))),(INDEX($CZ$160:$DD$217,MATCH($DG$122,$CY$160:$CY$217,0),MATCH(D990,$CZ$159:$DD$159,0)))))</f>
        <v>1055240</v>
      </c>
      <c r="S990" s="1781"/>
      <c r="T990" s="1781"/>
      <c r="U990" s="1781"/>
      <c r="V990" s="1781"/>
      <c r="W990" s="1781"/>
      <c r="X990" s="1781"/>
      <c r="Y990" s="1781"/>
      <c r="Z990" s="1781"/>
      <c r="AA990" s="1781"/>
      <c r="AB990" s="1778">
        <f>DO802+DJ802</f>
        <v>0</v>
      </c>
      <c r="AC990" s="1779"/>
      <c r="AD990" s="1779"/>
      <c r="AE990" s="1779"/>
      <c r="AF990" s="1779"/>
      <c r="AG990" s="1779"/>
      <c r="AH990" s="1779"/>
      <c r="AI990" s="1780"/>
      <c r="AJ990" s="1715">
        <f>IF(ISERROR((R990*AB990)),0,(R990*AB990))</f>
        <v>0</v>
      </c>
      <c r="AK990" s="1716"/>
      <c r="AL990" s="1716"/>
      <c r="AM990" s="1716"/>
      <c r="AN990" s="1716"/>
      <c r="AO990" s="1716"/>
      <c r="AP990" s="1716"/>
      <c r="AQ990" s="1717"/>
      <c r="AR990" s="68"/>
      <c r="AS990" s="68"/>
      <c r="AT990" s="68"/>
      <c r="AU990" s="68"/>
      <c r="AV990" s="68"/>
      <c r="AW990" s="68"/>
      <c r="AX990" s="68"/>
      <c r="AY990" s="68"/>
      <c r="AZ990" s="30"/>
      <c r="BB990" s="14"/>
      <c r="BC990" s="14"/>
    </row>
    <row r="991" spans="1:64" ht="12.95" customHeight="1">
      <c r="A991" s="14"/>
      <c r="B991" s="1736" t="s">
        <v>792</v>
      </c>
      <c r="C991" s="1737"/>
      <c r="D991" s="1737"/>
      <c r="E991" s="1737"/>
      <c r="F991" s="1737"/>
      <c r="G991" s="1737"/>
      <c r="H991" s="1737"/>
      <c r="I991" s="1737"/>
      <c r="J991" s="1737"/>
      <c r="K991" s="1737"/>
      <c r="L991" s="1737"/>
      <c r="M991" s="1737"/>
      <c r="N991" s="1737"/>
      <c r="O991" s="1737"/>
      <c r="P991" s="1737"/>
      <c r="Q991" s="1737"/>
      <c r="R991" s="1737"/>
      <c r="S991" s="1737"/>
      <c r="T991" s="1737"/>
      <c r="U991" s="1737"/>
      <c r="V991" s="1737"/>
      <c r="W991" s="1737"/>
      <c r="X991" s="1737"/>
      <c r="Y991" s="1737"/>
      <c r="Z991" s="1737"/>
      <c r="AA991" s="1738"/>
      <c r="AB991" s="1778">
        <f>SUM(AB986:AI990)</f>
        <v>79</v>
      </c>
      <c r="AC991" s="1779"/>
      <c r="AD991" s="1779"/>
      <c r="AE991" s="1779"/>
      <c r="AF991" s="1779"/>
      <c r="AG991" s="1779"/>
      <c r="AH991" s="1779"/>
      <c r="AI991" s="1780"/>
      <c r="AJ991" s="1715"/>
      <c r="AK991" s="1716"/>
      <c r="AL991" s="1716"/>
      <c r="AM991" s="1716"/>
      <c r="AN991" s="1716"/>
      <c r="AO991" s="1716"/>
      <c r="AP991" s="1716"/>
      <c r="AQ991" s="1717"/>
      <c r="AR991" s="68"/>
      <c r="AS991" s="68"/>
      <c r="AT991" s="68"/>
      <c r="AU991" s="68"/>
      <c r="AV991" s="68"/>
      <c r="AW991" s="68"/>
      <c r="AX991" s="68"/>
      <c r="AY991" s="68"/>
      <c r="AZ991" s="34"/>
      <c r="BA991" s="34"/>
      <c r="BB991" s="14"/>
      <c r="BC991" s="14"/>
    </row>
    <row r="992" spans="1:64" ht="12.95" customHeight="1">
      <c r="A992" s="14"/>
      <c r="B992" s="1791" t="s">
        <v>513</v>
      </c>
      <c r="C992" s="1792"/>
      <c r="D992" s="1792"/>
      <c r="E992" s="1792"/>
      <c r="F992" s="1792"/>
      <c r="G992" s="1792"/>
      <c r="H992" s="1792"/>
      <c r="I992" s="1792"/>
      <c r="J992" s="1792"/>
      <c r="K992" s="1792"/>
      <c r="L992" s="1792"/>
      <c r="M992" s="1792"/>
      <c r="N992" s="1792"/>
      <c r="O992" s="1792"/>
      <c r="P992" s="1792"/>
      <c r="Q992" s="1792"/>
      <c r="R992" s="1792"/>
      <c r="S992" s="1792"/>
      <c r="T992" s="1792"/>
      <c r="U992" s="1792"/>
      <c r="V992" s="1792"/>
      <c r="W992" s="1792"/>
      <c r="X992" s="1792"/>
      <c r="Y992" s="1792"/>
      <c r="Z992" s="1792"/>
      <c r="AA992" s="1792"/>
      <c r="AB992" s="1792"/>
      <c r="AC992" s="1792"/>
      <c r="AD992" s="1792"/>
      <c r="AE992" s="1792"/>
      <c r="AF992" s="1792"/>
      <c r="AG992" s="1792"/>
      <c r="AH992" s="1792"/>
      <c r="AI992" s="1793"/>
      <c r="AJ992" s="1715">
        <f>SUM(AJ986:AQ990)</f>
        <v>57722220</v>
      </c>
      <c r="AK992" s="1716"/>
      <c r="AL992" s="1716"/>
      <c r="AM992" s="1716"/>
      <c r="AN992" s="1716"/>
      <c r="AO992" s="1716"/>
      <c r="AP992" s="1716"/>
      <c r="AQ992" s="1717"/>
      <c r="AR992" s="68"/>
      <c r="AS992" s="68"/>
      <c r="AT992" s="68"/>
      <c r="AU992" s="68"/>
      <c r="AV992" s="68"/>
      <c r="AW992" s="68"/>
      <c r="AX992" s="68"/>
      <c r="AY992" s="68"/>
      <c r="AZ992" s="34"/>
      <c r="BB992" s="34"/>
      <c r="BC992" s="34"/>
    </row>
    <row r="993" spans="1:55" ht="12.95" customHeight="1">
      <c r="A993" s="14"/>
      <c r="B993" s="1745"/>
      <c r="C993" s="1746"/>
      <c r="D993" s="1746"/>
      <c r="E993" s="1746"/>
      <c r="F993" s="1746"/>
      <c r="G993" s="1746"/>
      <c r="H993" s="1746"/>
      <c r="I993" s="1746"/>
      <c r="J993" s="1746"/>
      <c r="K993" s="1746"/>
      <c r="L993" s="1746"/>
      <c r="M993" s="1746"/>
      <c r="N993" s="1746"/>
      <c r="O993" s="1746"/>
      <c r="P993" s="1746"/>
      <c r="Q993" s="1746"/>
      <c r="R993" s="1746"/>
      <c r="S993" s="1746"/>
      <c r="T993" s="1746"/>
      <c r="U993" s="1746"/>
      <c r="V993" s="1746"/>
      <c r="W993" s="1746"/>
      <c r="X993" s="1746"/>
      <c r="Y993" s="1746"/>
      <c r="Z993" s="1746"/>
      <c r="AA993" s="1746"/>
      <c r="AB993" s="1746"/>
      <c r="AC993" s="1746"/>
      <c r="AD993" s="1746"/>
      <c r="AE993" s="1747"/>
      <c r="AF993" s="1824" t="s">
        <v>667</v>
      </c>
      <c r="AG993" s="1825"/>
      <c r="AH993" s="1825"/>
      <c r="AI993" s="1826"/>
      <c r="AJ993" s="1745"/>
      <c r="AK993" s="1746"/>
      <c r="AL993" s="1746"/>
      <c r="AM993" s="1746"/>
      <c r="AN993" s="1746"/>
      <c r="AO993" s="1746"/>
      <c r="AP993" s="1746"/>
      <c r="AQ993" s="1747"/>
      <c r="AR993" s="68"/>
      <c r="AS993" s="68"/>
      <c r="AT993" s="68"/>
      <c r="AU993" s="68"/>
      <c r="AV993" s="68"/>
      <c r="AW993" s="68"/>
      <c r="AX993" s="68"/>
      <c r="AY993" s="68"/>
      <c r="AZ993" s="34"/>
      <c r="BA993" s="34"/>
      <c r="BB993" s="34"/>
      <c r="BC993" s="34"/>
    </row>
    <row r="994" spans="1:55" ht="12.95" customHeight="1">
      <c r="A994" s="14"/>
      <c r="B994" s="73"/>
      <c r="C994" s="927" t="s">
        <v>669</v>
      </c>
      <c r="D994" s="1733" t="s">
        <v>1221</v>
      </c>
      <c r="E994" s="1734"/>
      <c r="F994" s="1734"/>
      <c r="G994" s="1734"/>
      <c r="H994" s="1734"/>
      <c r="I994" s="1734"/>
      <c r="J994" s="1734"/>
      <c r="K994" s="1734"/>
      <c r="L994" s="1734"/>
      <c r="M994" s="1734"/>
      <c r="N994" s="1734"/>
      <c r="O994" s="1734"/>
      <c r="P994" s="1734"/>
      <c r="Q994" s="1734"/>
      <c r="R994" s="1734"/>
      <c r="S994" s="1734"/>
      <c r="T994" s="1734"/>
      <c r="U994" s="1734"/>
      <c r="V994" s="1734"/>
      <c r="W994" s="1734"/>
      <c r="X994" s="1734"/>
      <c r="Y994" s="1734"/>
      <c r="Z994" s="1734"/>
      <c r="AA994" s="1734"/>
      <c r="AB994" s="1734"/>
      <c r="AC994" s="1734"/>
      <c r="AD994" s="1734"/>
      <c r="AE994" s="1735"/>
      <c r="AF994" s="79"/>
      <c r="AG994" s="1827" t="s">
        <v>546</v>
      </c>
      <c r="AH994" s="1828"/>
      <c r="AI994" s="87"/>
      <c r="AJ994" s="1724">
        <f>ROUND(IF(AND(AG994="yes",D1000&gt;0),AJ992*0.2,0),0)</f>
        <v>11544444</v>
      </c>
      <c r="AK994" s="1725"/>
      <c r="AL994" s="1725"/>
      <c r="AM994" s="1725"/>
      <c r="AN994" s="1725"/>
      <c r="AO994" s="1725"/>
      <c r="AP994" s="1725"/>
      <c r="AQ994" s="1726"/>
      <c r="AR994" s="68"/>
      <c r="AS994" s="68"/>
      <c r="AT994" s="68"/>
      <c r="AU994" s="68"/>
      <c r="AV994" s="68"/>
      <c r="AW994" s="68"/>
      <c r="AX994" s="68"/>
      <c r="AY994" s="68"/>
      <c r="AZ994" s="34"/>
      <c r="BA994" s="34"/>
      <c r="BB994" s="34"/>
      <c r="BC994" s="34"/>
    </row>
    <row r="995" spans="1:55" ht="12.95" customHeight="1">
      <c r="A995" s="14"/>
      <c r="B995" s="257"/>
      <c r="C995" s="256"/>
      <c r="D995" s="1766" t="s">
        <v>2235</v>
      </c>
      <c r="E995" s="1767"/>
      <c r="F995" s="1767"/>
      <c r="G995" s="1767"/>
      <c r="H995" s="1767"/>
      <c r="I995" s="1767"/>
      <c r="J995" s="1767"/>
      <c r="K995" s="1767"/>
      <c r="L995" s="1767"/>
      <c r="M995" s="1767"/>
      <c r="N995" s="1767"/>
      <c r="O995" s="1767"/>
      <c r="P995" s="1767"/>
      <c r="Q995" s="1767"/>
      <c r="R995" s="1767"/>
      <c r="S995" s="1767"/>
      <c r="T995" s="1767"/>
      <c r="U995" s="1767"/>
      <c r="V995" s="1767"/>
      <c r="W995" s="1767"/>
      <c r="X995" s="1767"/>
      <c r="Y995" s="1767"/>
      <c r="Z995" s="1767"/>
      <c r="AA995" s="1767"/>
      <c r="AB995" s="1767"/>
      <c r="AC995" s="1767"/>
      <c r="AD995" s="1767"/>
      <c r="AE995" s="1768"/>
      <c r="AF995" s="73"/>
      <c r="AG995" s="14"/>
      <c r="AH995" s="14"/>
      <c r="AI995" s="83"/>
      <c r="AJ995" s="1727"/>
      <c r="AK995" s="1728"/>
      <c r="AL995" s="1728"/>
      <c r="AM995" s="1728"/>
      <c r="AN995" s="1728"/>
      <c r="AO995" s="1728"/>
      <c r="AP995" s="1728"/>
      <c r="AQ995" s="1729"/>
      <c r="AR995" s="68"/>
      <c r="AS995" s="68"/>
      <c r="AT995" s="68"/>
      <c r="AU995" s="68"/>
      <c r="AV995" s="68"/>
      <c r="AW995" s="68"/>
      <c r="AX995" s="68"/>
      <c r="AY995" s="68"/>
      <c r="AZ995" s="34"/>
      <c r="BA995" s="34"/>
      <c r="BB995" s="34"/>
      <c r="BC995" s="34"/>
    </row>
    <row r="996" spans="1:55" ht="12.95" customHeight="1">
      <c r="A996" s="14"/>
      <c r="B996" s="257"/>
      <c r="C996" s="256"/>
      <c r="D996" s="1766"/>
      <c r="E996" s="1767"/>
      <c r="F996" s="1767"/>
      <c r="G996" s="1767"/>
      <c r="H996" s="1767"/>
      <c r="I996" s="1767"/>
      <c r="J996" s="1767"/>
      <c r="K996" s="1767"/>
      <c r="L996" s="1767"/>
      <c r="M996" s="1767"/>
      <c r="N996" s="1767"/>
      <c r="O996" s="1767"/>
      <c r="P996" s="1767"/>
      <c r="Q996" s="1767"/>
      <c r="R996" s="1767"/>
      <c r="S996" s="1767"/>
      <c r="T996" s="1767"/>
      <c r="U996" s="1767"/>
      <c r="V996" s="1767"/>
      <c r="W996" s="1767"/>
      <c r="X996" s="1767"/>
      <c r="Y996" s="1767"/>
      <c r="Z996" s="1767"/>
      <c r="AA996" s="1767"/>
      <c r="AB996" s="1767"/>
      <c r="AC996" s="1767"/>
      <c r="AD996" s="1767"/>
      <c r="AE996" s="1768"/>
      <c r="AF996" s="73"/>
      <c r="AG996" s="14"/>
      <c r="AH996" s="14"/>
      <c r="AI996" s="83"/>
      <c r="AJ996" s="1727"/>
      <c r="AK996" s="1728"/>
      <c r="AL996" s="1728"/>
      <c r="AM996" s="1728"/>
      <c r="AN996" s="1728"/>
      <c r="AO996" s="1728"/>
      <c r="AP996" s="1728"/>
      <c r="AQ996" s="1729"/>
      <c r="AR996" s="68"/>
      <c r="AS996" s="68"/>
      <c r="AT996" s="68"/>
      <c r="AU996" s="68"/>
      <c r="AV996" s="68"/>
      <c r="AW996" s="68"/>
      <c r="AX996" s="68"/>
      <c r="AY996" s="68"/>
      <c r="AZ996" s="34"/>
      <c r="BA996" s="34"/>
      <c r="BB996" s="34"/>
      <c r="BC996" s="34"/>
    </row>
    <row r="997" spans="1:55" ht="12.95" customHeight="1">
      <c r="A997" s="14"/>
      <c r="B997" s="257"/>
      <c r="C997" s="256"/>
      <c r="D997" s="1766"/>
      <c r="E997" s="1767"/>
      <c r="F997" s="1767"/>
      <c r="G997" s="1767"/>
      <c r="H997" s="1767"/>
      <c r="I997" s="1767"/>
      <c r="J997" s="1767"/>
      <c r="K997" s="1767"/>
      <c r="L997" s="1767"/>
      <c r="M997" s="1767"/>
      <c r="N997" s="1767"/>
      <c r="O997" s="1767"/>
      <c r="P997" s="1767"/>
      <c r="Q997" s="1767"/>
      <c r="R997" s="1767"/>
      <c r="S997" s="1767"/>
      <c r="T997" s="1767"/>
      <c r="U997" s="1767"/>
      <c r="V997" s="1767"/>
      <c r="W997" s="1767"/>
      <c r="X997" s="1767"/>
      <c r="Y997" s="1767"/>
      <c r="Z997" s="1767"/>
      <c r="AA997" s="1767"/>
      <c r="AB997" s="1767"/>
      <c r="AC997" s="1767"/>
      <c r="AD997" s="1767"/>
      <c r="AE997" s="1768"/>
      <c r="AF997" s="73"/>
      <c r="AG997" s="14"/>
      <c r="AH997" s="14"/>
      <c r="AI997" s="83"/>
      <c r="AJ997" s="1727"/>
      <c r="AK997" s="1728"/>
      <c r="AL997" s="1728"/>
      <c r="AM997" s="1728"/>
      <c r="AN997" s="1728"/>
      <c r="AO997" s="1728"/>
      <c r="AP997" s="1728"/>
      <c r="AQ997" s="1729"/>
      <c r="AR997" s="68"/>
      <c r="AS997" s="68"/>
      <c r="AT997" s="68"/>
      <c r="AU997" s="68"/>
      <c r="AV997" s="68"/>
      <c r="AW997" s="68"/>
      <c r="AX997" s="68"/>
      <c r="AY997" s="68"/>
      <c r="AZ997" s="34"/>
      <c r="BA997" s="34"/>
      <c r="BB997" s="34"/>
      <c r="BC997" s="34"/>
    </row>
    <row r="998" spans="1:55" ht="12.95" customHeight="1">
      <c r="A998" s="14"/>
      <c r="B998" s="257"/>
      <c r="C998" s="256"/>
      <c r="D998" s="1766"/>
      <c r="E998" s="1767"/>
      <c r="F998" s="1767"/>
      <c r="G998" s="1767"/>
      <c r="H998" s="1767"/>
      <c r="I998" s="1767"/>
      <c r="J998" s="1767"/>
      <c r="K998" s="1767"/>
      <c r="L998" s="1767"/>
      <c r="M998" s="1767"/>
      <c r="N998" s="1767"/>
      <c r="O998" s="1767"/>
      <c r="P998" s="1767"/>
      <c r="Q998" s="1767"/>
      <c r="R998" s="1767"/>
      <c r="S998" s="1767"/>
      <c r="T998" s="1767"/>
      <c r="U998" s="1767"/>
      <c r="V998" s="1767"/>
      <c r="W998" s="1767"/>
      <c r="X998" s="1767"/>
      <c r="Y998" s="1767"/>
      <c r="Z998" s="1767"/>
      <c r="AA998" s="1767"/>
      <c r="AB998" s="1767"/>
      <c r="AC998" s="1767"/>
      <c r="AD998" s="1767"/>
      <c r="AE998" s="1768"/>
      <c r="AF998" s="73"/>
      <c r="AG998" s="14"/>
      <c r="AH998" s="14"/>
      <c r="AI998" s="83"/>
      <c r="AJ998" s="1727"/>
      <c r="AK998" s="1728"/>
      <c r="AL998" s="1728"/>
      <c r="AM998" s="1728"/>
      <c r="AN998" s="1728"/>
      <c r="AO998" s="1728"/>
      <c r="AP998" s="1728"/>
      <c r="AQ998" s="1729"/>
      <c r="AR998" s="68"/>
      <c r="AS998" s="68"/>
      <c r="AT998" s="68"/>
      <c r="AU998" s="68"/>
      <c r="AV998" s="68"/>
      <c r="AW998" s="68"/>
      <c r="AX998" s="68"/>
      <c r="AY998" s="68"/>
      <c r="AZ998" s="34"/>
      <c r="BA998" s="34"/>
      <c r="BB998" s="34"/>
      <c r="BC998" s="34"/>
    </row>
    <row r="999" spans="1:55" ht="12.95" customHeight="1">
      <c r="A999" s="14"/>
      <c r="B999" s="257"/>
      <c r="C999" s="256"/>
      <c r="D999" s="1769" t="s">
        <v>2206</v>
      </c>
      <c r="E999" s="1770"/>
      <c r="F999" s="1770"/>
      <c r="G999" s="1770"/>
      <c r="H999" s="1770"/>
      <c r="I999" s="1770"/>
      <c r="J999" s="1770"/>
      <c r="K999" s="1770"/>
      <c r="L999" s="1770"/>
      <c r="M999" s="1770"/>
      <c r="N999" s="1770"/>
      <c r="O999" s="1770"/>
      <c r="P999" s="1770"/>
      <c r="Q999" s="1770"/>
      <c r="R999" s="1770"/>
      <c r="S999" s="1770"/>
      <c r="T999" s="1770"/>
      <c r="U999" s="1770"/>
      <c r="V999" s="1770"/>
      <c r="W999" s="1770"/>
      <c r="X999" s="1770"/>
      <c r="Y999" s="1770"/>
      <c r="Z999" s="1770"/>
      <c r="AA999" s="1770"/>
      <c r="AB999" s="1770"/>
      <c r="AC999" s="1770"/>
      <c r="AD999" s="1770"/>
      <c r="AE999" s="1771"/>
      <c r="AF999" s="73"/>
      <c r="AG999" s="14"/>
      <c r="AH999" s="14"/>
      <c r="AI999" s="83"/>
      <c r="AJ999" s="1727"/>
      <c r="AK999" s="1728"/>
      <c r="AL999" s="1728"/>
      <c r="AM999" s="1728"/>
      <c r="AN999" s="1728"/>
      <c r="AO999" s="1728"/>
      <c r="AP999" s="1728"/>
      <c r="AQ999" s="1729"/>
      <c r="AR999" s="68"/>
      <c r="AS999" s="68"/>
      <c r="AT999" s="68"/>
      <c r="AU999" s="68"/>
      <c r="AV999" s="68"/>
      <c r="AW999" s="68"/>
      <c r="AX999" s="68"/>
      <c r="AY999" s="68"/>
      <c r="AZ999" s="34"/>
      <c r="BA999" s="34"/>
      <c r="BB999" s="34"/>
      <c r="BC999" s="34"/>
    </row>
    <row r="1000" spans="1:55" ht="12.95" customHeight="1">
      <c r="A1000" s="14"/>
      <c r="B1000" s="257"/>
      <c r="C1000" s="256"/>
      <c r="D1000" s="1739" t="s">
        <v>2723</v>
      </c>
      <c r="E1000" s="1740"/>
      <c r="F1000" s="1740"/>
      <c r="G1000" s="1740"/>
      <c r="H1000" s="1740"/>
      <c r="I1000" s="1740"/>
      <c r="J1000" s="1740"/>
      <c r="K1000" s="1740"/>
      <c r="L1000" s="1740"/>
      <c r="M1000" s="1740"/>
      <c r="N1000" s="1740"/>
      <c r="O1000" s="1740"/>
      <c r="P1000" s="1740"/>
      <c r="Q1000" s="1740"/>
      <c r="R1000" s="1740"/>
      <c r="S1000" s="1740"/>
      <c r="T1000" s="1740"/>
      <c r="U1000" s="1740"/>
      <c r="V1000" s="1740"/>
      <c r="W1000" s="1740"/>
      <c r="X1000" s="1740"/>
      <c r="Y1000" s="1740"/>
      <c r="Z1000" s="1740"/>
      <c r="AA1000" s="1740"/>
      <c r="AB1000" s="1740"/>
      <c r="AC1000" s="1740"/>
      <c r="AD1000" s="1740"/>
      <c r="AE1000" s="1741"/>
      <c r="AF1000" s="77"/>
      <c r="AG1000" s="7"/>
      <c r="AH1000" s="7"/>
      <c r="AI1000" s="78"/>
      <c r="AJ1000" s="1730"/>
      <c r="AK1000" s="1731"/>
      <c r="AL1000" s="1731"/>
      <c r="AM1000" s="1731"/>
      <c r="AN1000" s="1731"/>
      <c r="AO1000" s="1731"/>
      <c r="AP1000" s="1731"/>
      <c r="AQ1000" s="1732"/>
      <c r="AR1000" s="68"/>
      <c r="AS1000" s="68"/>
      <c r="AT1000" s="68"/>
      <c r="AU1000" s="68"/>
      <c r="AV1000" s="68"/>
      <c r="AW1000" s="68"/>
      <c r="AX1000" s="68"/>
      <c r="AY1000" s="68"/>
      <c r="AZ1000" s="34"/>
      <c r="BA1000" s="34"/>
      <c r="BB1000" s="34"/>
      <c r="BC1000" s="34"/>
    </row>
    <row r="1001" spans="1:55" ht="12.95" customHeight="1">
      <c r="A1001" s="14"/>
      <c r="B1001" s="255"/>
      <c r="C1001" s="318"/>
      <c r="D1001" s="1763" t="s">
        <v>1287</v>
      </c>
      <c r="E1001" s="1764"/>
      <c r="F1001" s="1764"/>
      <c r="G1001" s="1764"/>
      <c r="H1001" s="1764"/>
      <c r="I1001" s="1764"/>
      <c r="J1001" s="1764"/>
      <c r="K1001" s="1764"/>
      <c r="L1001" s="1764"/>
      <c r="M1001" s="1764"/>
      <c r="N1001" s="1764"/>
      <c r="O1001" s="1764"/>
      <c r="P1001" s="1764"/>
      <c r="Q1001" s="1764"/>
      <c r="R1001" s="1764"/>
      <c r="S1001" s="1764"/>
      <c r="T1001" s="1764"/>
      <c r="U1001" s="1764"/>
      <c r="V1001" s="1764"/>
      <c r="W1001" s="1764"/>
      <c r="X1001" s="1764"/>
      <c r="Y1001" s="1764"/>
      <c r="Z1001" s="1764"/>
      <c r="AA1001" s="1764"/>
      <c r="AB1001" s="1764"/>
      <c r="AC1001" s="1764"/>
      <c r="AD1001" s="1764"/>
      <c r="AE1001" s="1765"/>
      <c r="AF1001" s="79"/>
      <c r="AG1001" s="1750" t="s">
        <v>670</v>
      </c>
      <c r="AH1001" s="1751"/>
      <c r="AI1001" s="87"/>
      <c r="AJ1001" s="1724">
        <f>ROUND(IF(AG1001="yes",AJ992*0.05,0),0)</f>
        <v>0</v>
      </c>
      <c r="AK1001" s="1725"/>
      <c r="AL1001" s="1725"/>
      <c r="AM1001" s="1725"/>
      <c r="AN1001" s="1725"/>
      <c r="AO1001" s="1725"/>
      <c r="AP1001" s="1725"/>
      <c r="AQ1001" s="1726"/>
      <c r="AR1001" s="68"/>
      <c r="AS1001" s="68"/>
      <c r="AT1001" s="68"/>
      <c r="AU1001" s="68"/>
      <c r="AV1001" s="68"/>
      <c r="AW1001" s="68"/>
      <c r="AX1001" s="68"/>
      <c r="AY1001" s="68"/>
      <c r="AZ1001" s="34"/>
      <c r="BA1001" s="34"/>
      <c r="BB1001" s="34"/>
      <c r="BC1001" s="34"/>
    </row>
    <row r="1002" spans="1:55" ht="12.95" customHeight="1">
      <c r="A1002" s="14"/>
      <c r="B1002" s="257"/>
      <c r="C1002" s="82"/>
      <c r="D1002" s="1766" t="s">
        <v>1285</v>
      </c>
      <c r="E1002" s="1767"/>
      <c r="F1002" s="1767"/>
      <c r="G1002" s="1767"/>
      <c r="H1002" s="1767"/>
      <c r="I1002" s="1767"/>
      <c r="J1002" s="1767"/>
      <c r="K1002" s="1767"/>
      <c r="L1002" s="1767"/>
      <c r="M1002" s="1767"/>
      <c r="N1002" s="1767"/>
      <c r="O1002" s="1767"/>
      <c r="P1002" s="1767"/>
      <c r="Q1002" s="1767"/>
      <c r="R1002" s="1767"/>
      <c r="S1002" s="1767"/>
      <c r="T1002" s="1767"/>
      <c r="U1002" s="1767"/>
      <c r="V1002" s="1767"/>
      <c r="W1002" s="1767"/>
      <c r="X1002" s="1767"/>
      <c r="Y1002" s="1767"/>
      <c r="Z1002" s="1767"/>
      <c r="AA1002" s="1767"/>
      <c r="AB1002" s="1767"/>
      <c r="AC1002" s="1767"/>
      <c r="AD1002" s="1767"/>
      <c r="AE1002" s="1768"/>
      <c r="AF1002" s="73"/>
      <c r="AG1002" s="14"/>
      <c r="AH1002" s="14"/>
      <c r="AI1002" s="83"/>
      <c r="AJ1002" s="1727"/>
      <c r="AK1002" s="1728"/>
      <c r="AL1002" s="1728"/>
      <c r="AM1002" s="1728"/>
      <c r="AN1002" s="1728"/>
      <c r="AO1002" s="1728"/>
      <c r="AP1002" s="1728"/>
      <c r="AQ1002" s="1729"/>
      <c r="AR1002" s="68"/>
      <c r="AS1002" s="68"/>
      <c r="AT1002" s="68"/>
      <c r="AU1002" s="68"/>
      <c r="AV1002" s="68"/>
      <c r="AW1002" s="68"/>
      <c r="AX1002" s="68"/>
      <c r="AY1002" s="34"/>
      <c r="AZ1002" s="34"/>
      <c r="BB1002" s="34"/>
    </row>
    <row r="1003" spans="1:55" ht="12.95" customHeight="1">
      <c r="A1003" s="14"/>
      <c r="B1003" s="257"/>
      <c r="C1003" s="82"/>
      <c r="D1003" s="1766"/>
      <c r="E1003" s="1767"/>
      <c r="F1003" s="1767"/>
      <c r="G1003" s="1767"/>
      <c r="H1003" s="1767"/>
      <c r="I1003" s="1767"/>
      <c r="J1003" s="1767"/>
      <c r="K1003" s="1767"/>
      <c r="L1003" s="1767"/>
      <c r="M1003" s="1767"/>
      <c r="N1003" s="1767"/>
      <c r="O1003" s="1767"/>
      <c r="P1003" s="1767"/>
      <c r="Q1003" s="1767"/>
      <c r="R1003" s="1767"/>
      <c r="S1003" s="1767"/>
      <c r="T1003" s="1767"/>
      <c r="U1003" s="1767"/>
      <c r="V1003" s="1767"/>
      <c r="W1003" s="1767"/>
      <c r="X1003" s="1767"/>
      <c r="Y1003" s="1767"/>
      <c r="Z1003" s="1767"/>
      <c r="AA1003" s="1767"/>
      <c r="AB1003" s="1767"/>
      <c r="AC1003" s="1767"/>
      <c r="AD1003" s="1767"/>
      <c r="AE1003" s="1768"/>
      <c r="AF1003" s="73"/>
      <c r="AG1003" s="14"/>
      <c r="AH1003" s="14"/>
      <c r="AI1003" s="83"/>
      <c r="AJ1003" s="1727"/>
      <c r="AK1003" s="1728"/>
      <c r="AL1003" s="1728"/>
      <c r="AM1003" s="1728"/>
      <c r="AN1003" s="1728"/>
      <c r="AO1003" s="1728"/>
      <c r="AP1003" s="1728"/>
      <c r="AQ1003" s="1729"/>
      <c r="AR1003" s="68"/>
      <c r="AS1003" s="68"/>
      <c r="AT1003" s="68"/>
      <c r="AU1003" s="68"/>
      <c r="AV1003" s="68"/>
      <c r="AW1003" s="68"/>
      <c r="AX1003" s="68"/>
      <c r="AY1003" s="914">
        <f>G753+O797</f>
        <v>78</v>
      </c>
      <c r="AZ1003" s="34"/>
      <c r="BB1003" s="34"/>
    </row>
    <row r="1004" spans="1:55" ht="12.95" customHeight="1">
      <c r="A1004" s="14"/>
      <c r="B1004" s="257"/>
      <c r="C1004" s="82"/>
      <c r="D1004" s="1766"/>
      <c r="E1004" s="1767"/>
      <c r="F1004" s="1767"/>
      <c r="G1004" s="1767"/>
      <c r="H1004" s="1767"/>
      <c r="I1004" s="1767"/>
      <c r="J1004" s="1767"/>
      <c r="K1004" s="1767"/>
      <c r="L1004" s="1767"/>
      <c r="M1004" s="1767"/>
      <c r="N1004" s="1767"/>
      <c r="O1004" s="1767"/>
      <c r="P1004" s="1767"/>
      <c r="Q1004" s="1767"/>
      <c r="R1004" s="1767"/>
      <c r="S1004" s="1767"/>
      <c r="T1004" s="1767"/>
      <c r="U1004" s="1767"/>
      <c r="V1004" s="1767"/>
      <c r="W1004" s="1767"/>
      <c r="X1004" s="1767"/>
      <c r="Y1004" s="1767"/>
      <c r="Z1004" s="1767"/>
      <c r="AA1004" s="1767"/>
      <c r="AB1004" s="1767"/>
      <c r="AC1004" s="1767"/>
      <c r="AD1004" s="1767"/>
      <c r="AE1004" s="1768"/>
      <c r="AF1004" s="73"/>
      <c r="AG1004" s="14"/>
      <c r="AH1004" s="14"/>
      <c r="AI1004" s="83"/>
      <c r="AJ1004" s="1727"/>
      <c r="AK1004" s="1728"/>
      <c r="AL1004" s="1728"/>
      <c r="AM1004" s="1728"/>
      <c r="AN1004" s="1728"/>
      <c r="AO1004" s="1728"/>
      <c r="AP1004" s="1728"/>
      <c r="AQ1004" s="1729"/>
      <c r="AR1004" s="68"/>
      <c r="AS1004" s="68"/>
      <c r="AT1004" s="68"/>
      <c r="AU1004" s="68"/>
      <c r="AV1004" s="68"/>
      <c r="AW1004" s="68"/>
      <c r="AX1004" s="68"/>
      <c r="AY1004" s="14"/>
      <c r="AZ1004" s="34"/>
      <c r="BB1004" s="34"/>
    </row>
    <row r="1005" spans="1:55" ht="12.95" customHeight="1">
      <c r="A1005" s="14"/>
      <c r="B1005" s="257"/>
      <c r="C1005" s="82"/>
      <c r="D1005" s="1766"/>
      <c r="E1005" s="1767"/>
      <c r="F1005" s="1767"/>
      <c r="G1005" s="1767"/>
      <c r="H1005" s="1767"/>
      <c r="I1005" s="1767"/>
      <c r="J1005" s="1767"/>
      <c r="K1005" s="1767"/>
      <c r="L1005" s="1767"/>
      <c r="M1005" s="1767"/>
      <c r="N1005" s="1767"/>
      <c r="O1005" s="1767"/>
      <c r="P1005" s="1767"/>
      <c r="Q1005" s="1767"/>
      <c r="R1005" s="1767"/>
      <c r="S1005" s="1767"/>
      <c r="T1005" s="1767"/>
      <c r="U1005" s="1767"/>
      <c r="V1005" s="1767"/>
      <c r="W1005" s="1767"/>
      <c r="X1005" s="1767"/>
      <c r="Y1005" s="1767"/>
      <c r="Z1005" s="1767"/>
      <c r="AA1005" s="1767"/>
      <c r="AB1005" s="1767"/>
      <c r="AC1005" s="1767"/>
      <c r="AD1005" s="1767"/>
      <c r="AE1005" s="1768"/>
      <c r="AF1005" s="73"/>
      <c r="AG1005" s="14"/>
      <c r="AH1005" s="14"/>
      <c r="AI1005" s="83"/>
      <c r="AJ1005" s="1727"/>
      <c r="AK1005" s="1728"/>
      <c r="AL1005" s="1728"/>
      <c r="AM1005" s="1728"/>
      <c r="AN1005" s="1728"/>
      <c r="AO1005" s="1728"/>
      <c r="AP1005" s="1728"/>
      <c r="AQ1005" s="1729"/>
      <c r="AR1005" s="68"/>
      <c r="AS1005" s="68"/>
      <c r="AT1005" s="68"/>
      <c r="AU1005" s="68"/>
      <c r="AV1005" s="68"/>
      <c r="AW1005" s="68"/>
      <c r="AX1005" s="68"/>
      <c r="AY1005" s="913">
        <f>ROUNDDOWN(X1048/I1048,2)</f>
        <v>0.2</v>
      </c>
      <c r="AZ1005" s="34"/>
      <c r="BB1005" s="34"/>
    </row>
    <row r="1006" spans="1:55" ht="12.95" customHeight="1">
      <c r="A1006" s="14"/>
      <c r="B1006" s="75"/>
      <c r="C1006" s="76"/>
      <c r="D1006" s="1769"/>
      <c r="E1006" s="1770"/>
      <c r="F1006" s="1770"/>
      <c r="G1006" s="1770"/>
      <c r="H1006" s="1770"/>
      <c r="I1006" s="1770"/>
      <c r="J1006" s="1770"/>
      <c r="K1006" s="1770"/>
      <c r="L1006" s="1770"/>
      <c r="M1006" s="1770"/>
      <c r="N1006" s="1770"/>
      <c r="O1006" s="1770"/>
      <c r="P1006" s="1770"/>
      <c r="Q1006" s="1770"/>
      <c r="R1006" s="1770"/>
      <c r="S1006" s="1770"/>
      <c r="T1006" s="1770"/>
      <c r="U1006" s="1770"/>
      <c r="V1006" s="1770"/>
      <c r="W1006" s="1770"/>
      <c r="X1006" s="1770"/>
      <c r="Y1006" s="1770"/>
      <c r="Z1006" s="1770"/>
      <c r="AA1006" s="1770"/>
      <c r="AB1006" s="1770"/>
      <c r="AC1006" s="1770"/>
      <c r="AD1006" s="1770"/>
      <c r="AE1006" s="1771"/>
      <c r="AF1006" s="77"/>
      <c r="AG1006" s="7"/>
      <c r="AH1006" s="7"/>
      <c r="AI1006" s="78"/>
      <c r="AJ1006" s="1730"/>
      <c r="AK1006" s="1731"/>
      <c r="AL1006" s="1731"/>
      <c r="AM1006" s="1731"/>
      <c r="AN1006" s="1731"/>
      <c r="AO1006" s="1731"/>
      <c r="AP1006" s="1731"/>
      <c r="AQ1006" s="1732"/>
      <c r="AR1006" s="68"/>
      <c r="AS1006" s="68"/>
      <c r="AT1006" s="68"/>
      <c r="AU1006" s="68"/>
      <c r="AV1006" s="68"/>
      <c r="AW1006" s="68"/>
      <c r="AX1006" s="68"/>
      <c r="AY1006" s="913">
        <f>ROUNDDOWN(X1052/I1052,2)</f>
        <v>0.3</v>
      </c>
      <c r="AZ1006" s="34"/>
      <c r="BB1006" s="34"/>
    </row>
    <row r="1007" spans="1:55" ht="12.95" customHeight="1">
      <c r="A1007" s="14"/>
      <c r="B1007" s="255"/>
      <c r="C1007" s="80" t="s">
        <v>673</v>
      </c>
      <c r="D1007" s="1763" t="s">
        <v>1684</v>
      </c>
      <c r="E1007" s="1764"/>
      <c r="F1007" s="1764"/>
      <c r="G1007" s="1764"/>
      <c r="H1007" s="1764"/>
      <c r="I1007" s="1764"/>
      <c r="J1007" s="1764"/>
      <c r="K1007" s="1764"/>
      <c r="L1007" s="1764"/>
      <c r="M1007" s="1764"/>
      <c r="N1007" s="1764"/>
      <c r="O1007" s="1764"/>
      <c r="P1007" s="1764"/>
      <c r="Q1007" s="1764"/>
      <c r="R1007" s="1764"/>
      <c r="S1007" s="1764"/>
      <c r="T1007" s="1764"/>
      <c r="U1007" s="1764"/>
      <c r="V1007" s="1764"/>
      <c r="W1007" s="1764"/>
      <c r="X1007" s="1764"/>
      <c r="Y1007" s="1764"/>
      <c r="Z1007" s="1764"/>
      <c r="AA1007" s="1764"/>
      <c r="AB1007" s="1764"/>
      <c r="AC1007" s="1764"/>
      <c r="AD1007" s="1764"/>
      <c r="AE1007" s="1765"/>
      <c r="AF1007" s="86"/>
      <c r="AG1007" s="1750" t="s">
        <v>670</v>
      </c>
      <c r="AH1007" s="1751"/>
      <c r="AI1007" s="87"/>
      <c r="AJ1007" s="1724">
        <f>ROUND(IF(AG1007="yes",AJ992*0.1,0),0)</f>
        <v>0</v>
      </c>
      <c r="AK1007" s="1725"/>
      <c r="AL1007" s="1725"/>
      <c r="AM1007" s="1725"/>
      <c r="AN1007" s="1725"/>
      <c r="AO1007" s="1725"/>
      <c r="AP1007" s="1725"/>
      <c r="AQ1007" s="1726"/>
      <c r="AR1007" s="68"/>
      <c r="AS1007" s="68"/>
      <c r="AT1007" s="68"/>
      <c r="AU1007" s="68"/>
      <c r="AV1007" s="68"/>
      <c r="AW1007" s="68"/>
      <c r="AX1007" s="68"/>
      <c r="BB1007" s="34"/>
    </row>
    <row r="1008" spans="1:55" ht="12.95" customHeight="1">
      <c r="A1008" s="14"/>
      <c r="B1008" s="73"/>
      <c r="C1008" s="74"/>
      <c r="D1008" s="1694" t="s">
        <v>1286</v>
      </c>
      <c r="E1008" s="1695"/>
      <c r="F1008" s="1695"/>
      <c r="G1008" s="1695"/>
      <c r="H1008" s="1695"/>
      <c r="I1008" s="1695"/>
      <c r="J1008" s="1695"/>
      <c r="K1008" s="1695"/>
      <c r="L1008" s="1695"/>
      <c r="M1008" s="1695"/>
      <c r="N1008" s="1695"/>
      <c r="O1008" s="1695"/>
      <c r="P1008" s="1695"/>
      <c r="Q1008" s="1695"/>
      <c r="R1008" s="1695"/>
      <c r="S1008" s="1695"/>
      <c r="T1008" s="1695"/>
      <c r="U1008" s="1695"/>
      <c r="V1008" s="1695"/>
      <c r="W1008" s="1695"/>
      <c r="X1008" s="1695"/>
      <c r="Y1008" s="1695"/>
      <c r="Z1008" s="1695"/>
      <c r="AA1008" s="1695"/>
      <c r="AB1008" s="1695"/>
      <c r="AC1008" s="1695"/>
      <c r="AD1008" s="1695"/>
      <c r="AE1008" s="1696"/>
      <c r="AF1008" s="73"/>
      <c r="AI1008" s="83"/>
      <c r="AJ1008" s="1727"/>
      <c r="AK1008" s="1728"/>
      <c r="AL1008" s="1728"/>
      <c r="AM1008" s="1728"/>
      <c r="AN1008" s="1728"/>
      <c r="AO1008" s="1728"/>
      <c r="AP1008" s="1728"/>
      <c r="AQ1008" s="1729"/>
      <c r="AR1008" s="68"/>
      <c r="AS1008" s="68"/>
      <c r="AT1008" s="68"/>
      <c r="AU1008" s="68"/>
      <c r="AV1008" s="68"/>
      <c r="AW1008" s="68"/>
      <c r="AX1008" s="68"/>
    </row>
    <row r="1009" spans="1:52" ht="12.95" customHeight="1">
      <c r="A1009" s="14"/>
      <c r="B1009" s="73"/>
      <c r="C1009" s="74"/>
      <c r="D1009" s="1694"/>
      <c r="E1009" s="1695"/>
      <c r="F1009" s="1695"/>
      <c r="G1009" s="1695"/>
      <c r="H1009" s="1695"/>
      <c r="I1009" s="1695"/>
      <c r="J1009" s="1695"/>
      <c r="K1009" s="1695"/>
      <c r="L1009" s="1695"/>
      <c r="M1009" s="1695"/>
      <c r="N1009" s="1695"/>
      <c r="O1009" s="1695"/>
      <c r="P1009" s="1695"/>
      <c r="Q1009" s="1695"/>
      <c r="R1009" s="1695"/>
      <c r="S1009" s="1695"/>
      <c r="T1009" s="1695"/>
      <c r="U1009" s="1695"/>
      <c r="V1009" s="1695"/>
      <c r="W1009" s="1695"/>
      <c r="X1009" s="1695"/>
      <c r="Y1009" s="1695"/>
      <c r="Z1009" s="1695"/>
      <c r="AA1009" s="1695"/>
      <c r="AB1009" s="1695"/>
      <c r="AC1009" s="1695"/>
      <c r="AD1009" s="1695"/>
      <c r="AE1009" s="1696"/>
      <c r="AF1009" s="73"/>
      <c r="AG1009" s="14"/>
      <c r="AH1009" s="14"/>
      <c r="AI1009" s="83"/>
      <c r="AJ1009" s="1727"/>
      <c r="AK1009" s="1728"/>
      <c r="AL1009" s="1728"/>
      <c r="AM1009" s="1728"/>
      <c r="AN1009" s="1728"/>
      <c r="AO1009" s="1728"/>
      <c r="AP1009" s="1728"/>
      <c r="AQ1009" s="1729"/>
      <c r="AR1009" s="68"/>
      <c r="AS1009" s="68"/>
      <c r="AT1009" s="68"/>
      <c r="AU1009" s="68"/>
      <c r="AV1009" s="68"/>
      <c r="AW1009" s="68"/>
      <c r="AX1009" s="68"/>
    </row>
    <row r="1010" spans="1:52" ht="12.95" customHeight="1">
      <c r="A1010" s="14"/>
      <c r="B1010" s="85"/>
      <c r="C1010" s="76"/>
      <c r="D1010" s="1742"/>
      <c r="E1010" s="1743"/>
      <c r="F1010" s="1743"/>
      <c r="G1010" s="1743"/>
      <c r="H1010" s="1743"/>
      <c r="I1010" s="1743"/>
      <c r="J1010" s="1743"/>
      <c r="K1010" s="1743"/>
      <c r="L1010" s="1743"/>
      <c r="M1010" s="1743"/>
      <c r="N1010" s="1743"/>
      <c r="O1010" s="1743"/>
      <c r="P1010" s="1743"/>
      <c r="Q1010" s="1743"/>
      <c r="R1010" s="1743"/>
      <c r="S1010" s="1743"/>
      <c r="T1010" s="1743"/>
      <c r="U1010" s="1743"/>
      <c r="V1010" s="1743"/>
      <c r="W1010" s="1743"/>
      <c r="X1010" s="1743"/>
      <c r="Y1010" s="1743"/>
      <c r="Z1010" s="1743"/>
      <c r="AA1010" s="1743"/>
      <c r="AB1010" s="1743"/>
      <c r="AC1010" s="1743"/>
      <c r="AD1010" s="1743"/>
      <c r="AE1010" s="1744"/>
      <c r="AF1010" s="77"/>
      <c r="AG1010" s="7"/>
      <c r="AH1010" s="7"/>
      <c r="AI1010" s="78"/>
      <c r="AJ1010" s="1730"/>
      <c r="AK1010" s="1731"/>
      <c r="AL1010" s="1731"/>
      <c r="AM1010" s="1731"/>
      <c r="AN1010" s="1731"/>
      <c r="AO1010" s="1731"/>
      <c r="AP1010" s="1731"/>
      <c r="AQ1010" s="1732"/>
      <c r="AR1010" s="68"/>
      <c r="AS1010" s="68"/>
      <c r="AT1010" s="68"/>
      <c r="AU1010" s="68"/>
      <c r="AV1010" s="68"/>
      <c r="AW1010" s="68"/>
      <c r="AX1010" s="68"/>
    </row>
    <row r="1011" spans="1:52" ht="12.95" customHeight="1">
      <c r="A1011" s="14"/>
      <c r="B1011" s="79"/>
      <c r="C1011" s="80" t="s">
        <v>212</v>
      </c>
      <c r="D1011" s="1763" t="s">
        <v>1288</v>
      </c>
      <c r="E1011" s="1764"/>
      <c r="F1011" s="1764"/>
      <c r="G1011" s="1764"/>
      <c r="H1011" s="1764"/>
      <c r="I1011" s="1764"/>
      <c r="J1011" s="1764"/>
      <c r="K1011" s="1764"/>
      <c r="L1011" s="1764"/>
      <c r="M1011" s="1764"/>
      <c r="N1011" s="1764"/>
      <c r="O1011" s="1764"/>
      <c r="P1011" s="1764"/>
      <c r="Q1011" s="1764"/>
      <c r="R1011" s="1764"/>
      <c r="S1011" s="1764"/>
      <c r="T1011" s="1764"/>
      <c r="U1011" s="1764"/>
      <c r="V1011" s="1764"/>
      <c r="W1011" s="1764"/>
      <c r="X1011" s="1764"/>
      <c r="Y1011" s="1764"/>
      <c r="Z1011" s="1764"/>
      <c r="AA1011" s="1764"/>
      <c r="AB1011" s="1764"/>
      <c r="AC1011" s="1764"/>
      <c r="AD1011" s="1764"/>
      <c r="AE1011" s="1765"/>
      <c r="AF1011" s="79"/>
      <c r="AG1011" s="1750" t="s">
        <v>670</v>
      </c>
      <c r="AH1011" s="1751"/>
      <c r="AI1011" s="87"/>
      <c r="AJ1011" s="1724">
        <f>ROUND(IF(AG1011="yes",AJ992*0.02,0),0)</f>
        <v>0</v>
      </c>
      <c r="AK1011" s="1725"/>
      <c r="AL1011" s="1725"/>
      <c r="AM1011" s="1725"/>
      <c r="AN1011" s="1725"/>
      <c r="AO1011" s="1725"/>
      <c r="AP1011" s="1725"/>
      <c r="AQ1011" s="1726"/>
      <c r="AR1011" s="68"/>
      <c r="AS1011" s="68"/>
      <c r="AT1011" s="68"/>
      <c r="AU1011" s="68"/>
      <c r="AV1011" s="68"/>
      <c r="AW1011" s="68"/>
      <c r="AX1011" s="68"/>
    </row>
    <row r="1012" spans="1:52" ht="14.25" customHeight="1">
      <c r="A1012" s="14"/>
      <c r="B1012" s="73"/>
      <c r="C1012" s="74"/>
      <c r="D1012" s="1742" t="s">
        <v>1289</v>
      </c>
      <c r="E1012" s="1743"/>
      <c r="F1012" s="1743"/>
      <c r="G1012" s="1743"/>
      <c r="H1012" s="1743"/>
      <c r="I1012" s="1743"/>
      <c r="J1012" s="1743"/>
      <c r="K1012" s="1743"/>
      <c r="L1012" s="1743"/>
      <c r="M1012" s="1743"/>
      <c r="N1012" s="1743"/>
      <c r="O1012" s="1743"/>
      <c r="P1012" s="1743"/>
      <c r="Q1012" s="1743"/>
      <c r="R1012" s="1743"/>
      <c r="S1012" s="1743"/>
      <c r="T1012" s="1743"/>
      <c r="U1012" s="1743"/>
      <c r="V1012" s="1743"/>
      <c r="W1012" s="1743"/>
      <c r="X1012" s="1743"/>
      <c r="Y1012" s="1743"/>
      <c r="Z1012" s="1743"/>
      <c r="AA1012" s="1743"/>
      <c r="AB1012" s="1743"/>
      <c r="AC1012" s="1743"/>
      <c r="AD1012" s="1743"/>
      <c r="AE1012" s="1744"/>
      <c r="AF1012" s="77"/>
      <c r="AG1012" s="7"/>
      <c r="AH1012" s="7"/>
      <c r="AI1012" s="78"/>
      <c r="AJ1012" s="1730"/>
      <c r="AK1012" s="1731"/>
      <c r="AL1012" s="1731"/>
      <c r="AM1012" s="1731"/>
      <c r="AN1012" s="1731"/>
      <c r="AO1012" s="1731"/>
      <c r="AP1012" s="1731"/>
      <c r="AQ1012" s="1732"/>
      <c r="AR1012" s="68"/>
      <c r="AS1012" s="68"/>
      <c r="AT1012" s="68"/>
      <c r="AU1012" s="68"/>
      <c r="AV1012" s="68"/>
      <c r="AW1012" s="68"/>
      <c r="AX1012" s="3" t="s">
        <v>1842</v>
      </c>
      <c r="AZ1012" s="3" t="s">
        <v>2607</v>
      </c>
    </row>
    <row r="1013" spans="1:52" ht="12.95" customHeight="1">
      <c r="A1013" s="14"/>
      <c r="B1013" s="79"/>
      <c r="C1013" s="80" t="s">
        <v>215</v>
      </c>
      <c r="D1013" s="1763" t="s">
        <v>1290</v>
      </c>
      <c r="E1013" s="1764"/>
      <c r="F1013" s="1764"/>
      <c r="G1013" s="1764"/>
      <c r="H1013" s="1764"/>
      <c r="I1013" s="1764"/>
      <c r="J1013" s="1764"/>
      <c r="K1013" s="1764"/>
      <c r="L1013" s="1764"/>
      <c r="M1013" s="1764"/>
      <c r="N1013" s="1764"/>
      <c r="O1013" s="1764"/>
      <c r="P1013" s="1764"/>
      <c r="Q1013" s="1764"/>
      <c r="R1013" s="1764"/>
      <c r="S1013" s="1764"/>
      <c r="T1013" s="1764"/>
      <c r="U1013" s="1764"/>
      <c r="V1013" s="1764"/>
      <c r="W1013" s="1764"/>
      <c r="X1013" s="1764"/>
      <c r="Y1013" s="1764"/>
      <c r="Z1013" s="1764"/>
      <c r="AA1013" s="1764"/>
      <c r="AB1013" s="1764"/>
      <c r="AC1013" s="1764"/>
      <c r="AD1013" s="1764"/>
      <c r="AE1013" s="1765"/>
      <c r="AF1013" s="79"/>
      <c r="AG1013" s="1750" t="s">
        <v>670</v>
      </c>
      <c r="AH1013" s="1751"/>
      <c r="AI1013" s="79"/>
      <c r="AJ1013" s="1724">
        <f>ROUND(IF(AG1013="yes",AJ992*0.02,0),0)</f>
        <v>0</v>
      </c>
      <c r="AK1013" s="1725"/>
      <c r="AL1013" s="1725"/>
      <c r="AM1013" s="1725"/>
      <c r="AN1013" s="1725"/>
      <c r="AO1013" s="1725"/>
      <c r="AP1013" s="1725"/>
      <c r="AQ1013" s="1726"/>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694" t="s">
        <v>1291</v>
      </c>
      <c r="E1014" s="1695"/>
      <c r="F1014" s="1695"/>
      <c r="G1014" s="1695"/>
      <c r="H1014" s="1695"/>
      <c r="I1014" s="1695"/>
      <c r="J1014" s="1695"/>
      <c r="K1014" s="1695"/>
      <c r="L1014" s="1695"/>
      <c r="M1014" s="1695"/>
      <c r="N1014" s="1695"/>
      <c r="O1014" s="1695"/>
      <c r="P1014" s="1695"/>
      <c r="Q1014" s="1695"/>
      <c r="R1014" s="1695"/>
      <c r="S1014" s="1695"/>
      <c r="T1014" s="1695"/>
      <c r="U1014" s="1695"/>
      <c r="V1014" s="1695"/>
      <c r="W1014" s="1695"/>
      <c r="X1014" s="1695"/>
      <c r="Y1014" s="1695"/>
      <c r="Z1014" s="1695"/>
      <c r="AA1014" s="1695"/>
      <c r="AB1014" s="1695"/>
      <c r="AC1014" s="1695"/>
      <c r="AD1014" s="1695"/>
      <c r="AE1014" s="1696"/>
      <c r="AF1014" s="1850" t="str">
        <f>IF(AND(AG1013="yes",T212&lt;&gt;1),"The project may not be eligible for this boost","")</f>
        <v/>
      </c>
      <c r="AG1014" s="1851"/>
      <c r="AH1014" s="1851"/>
      <c r="AI1014" s="1852"/>
      <c r="AJ1014" s="1727"/>
      <c r="AK1014" s="1728"/>
      <c r="AL1014" s="1728"/>
      <c r="AM1014" s="1728"/>
      <c r="AN1014" s="1728"/>
      <c r="AO1014" s="1728"/>
      <c r="AP1014" s="1728"/>
      <c r="AQ1014" s="1729"/>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742"/>
      <c r="E1015" s="1743"/>
      <c r="F1015" s="1743"/>
      <c r="G1015" s="1743"/>
      <c r="H1015" s="1743"/>
      <c r="I1015" s="1743"/>
      <c r="J1015" s="1743"/>
      <c r="K1015" s="1743"/>
      <c r="L1015" s="1743"/>
      <c r="M1015" s="1743"/>
      <c r="N1015" s="1743"/>
      <c r="O1015" s="1743"/>
      <c r="P1015" s="1743"/>
      <c r="Q1015" s="1743"/>
      <c r="R1015" s="1743"/>
      <c r="S1015" s="1743"/>
      <c r="T1015" s="1743"/>
      <c r="U1015" s="1743"/>
      <c r="V1015" s="1743"/>
      <c r="W1015" s="1743"/>
      <c r="X1015" s="1743"/>
      <c r="Y1015" s="1743"/>
      <c r="Z1015" s="1743"/>
      <c r="AA1015" s="1743"/>
      <c r="AB1015" s="1743"/>
      <c r="AC1015" s="1743"/>
      <c r="AD1015" s="1743"/>
      <c r="AE1015" s="1744"/>
      <c r="AF1015" s="1853"/>
      <c r="AG1015" s="1854"/>
      <c r="AH1015" s="1854"/>
      <c r="AI1015" s="1855"/>
      <c r="AJ1015" s="1730"/>
      <c r="AK1015" s="1731"/>
      <c r="AL1015" s="1731"/>
      <c r="AM1015" s="1731"/>
      <c r="AN1015" s="1731"/>
      <c r="AO1015" s="1731"/>
      <c r="AP1015" s="1731"/>
      <c r="AQ1015" s="1732"/>
      <c r="AR1015" s="68"/>
      <c r="AS1015" s="68"/>
      <c r="AT1015" s="68"/>
      <c r="AU1015" s="68"/>
      <c r="AV1015" s="68"/>
      <c r="AW1015" s="68"/>
      <c r="AX1015" s="3">
        <v>3</v>
      </c>
      <c r="AY1015" s="200">
        <f t="shared" si="53"/>
        <v>0</v>
      </c>
      <c r="AZ1015" s="1255">
        <v>0.05</v>
      </c>
    </row>
    <row r="1016" spans="1:52" ht="12.95" customHeight="1">
      <c r="A1016" s="14"/>
      <c r="B1016" s="79"/>
      <c r="C1016" s="80" t="s">
        <v>218</v>
      </c>
      <c r="D1016" s="1733" t="s">
        <v>2236</v>
      </c>
      <c r="E1016" s="1734"/>
      <c r="F1016" s="1734"/>
      <c r="G1016" s="1734"/>
      <c r="H1016" s="1734"/>
      <c r="I1016" s="1734"/>
      <c r="J1016" s="1734"/>
      <c r="K1016" s="1734"/>
      <c r="L1016" s="1734"/>
      <c r="M1016" s="1734"/>
      <c r="N1016" s="1734"/>
      <c r="O1016" s="1734"/>
      <c r="P1016" s="1734"/>
      <c r="Q1016" s="1734"/>
      <c r="R1016" s="1734"/>
      <c r="S1016" s="1734"/>
      <c r="T1016" s="1734"/>
      <c r="U1016" s="1734"/>
      <c r="V1016" s="1734"/>
      <c r="W1016" s="1734"/>
      <c r="X1016" s="1734"/>
      <c r="Y1016" s="1734"/>
      <c r="Z1016" s="1734"/>
      <c r="AA1016" s="1734"/>
      <c r="AB1016" s="1734"/>
      <c r="AC1016" s="1734"/>
      <c r="AD1016" s="1734"/>
      <c r="AE1016" s="1735"/>
      <c r="AF1016" s="79"/>
      <c r="AG1016" s="1750" t="s">
        <v>670</v>
      </c>
      <c r="AH1016" s="1751"/>
      <c r="AI1016" s="87"/>
      <c r="AJ1016" s="1724">
        <f>IF(AG1016="yes",AJ992*AY1024,0)</f>
        <v>0</v>
      </c>
      <c r="AK1016" s="1725"/>
      <c r="AL1016" s="1725"/>
      <c r="AM1016" s="1725"/>
      <c r="AN1016" s="1725"/>
      <c r="AO1016" s="1725"/>
      <c r="AP1016" s="1725"/>
      <c r="AQ1016" s="1726"/>
      <c r="AR1016" s="68"/>
      <c r="AS1016" s="68"/>
      <c r="AT1016" s="68"/>
      <c r="AU1016" s="68"/>
      <c r="AV1016" s="68"/>
      <c r="AW1016" s="68"/>
      <c r="AX1016" s="3">
        <v>4</v>
      </c>
      <c r="AY1016" s="200">
        <f t="shared" si="53"/>
        <v>0</v>
      </c>
      <c r="AZ1016" s="1255">
        <v>0.02</v>
      </c>
    </row>
    <row r="1017" spans="1:52" ht="12.95" customHeight="1">
      <c r="A1017" s="14"/>
      <c r="B1017" s="73"/>
      <c r="C1017" s="74"/>
      <c r="D1017" s="1694" t="s">
        <v>1292</v>
      </c>
      <c r="E1017" s="1695"/>
      <c r="F1017" s="1695"/>
      <c r="G1017" s="1695"/>
      <c r="H1017" s="1695"/>
      <c r="I1017" s="1695"/>
      <c r="J1017" s="1695"/>
      <c r="K1017" s="1695"/>
      <c r="L1017" s="1695"/>
      <c r="M1017" s="1695"/>
      <c r="N1017" s="1695"/>
      <c r="O1017" s="1695"/>
      <c r="P1017" s="1695"/>
      <c r="Q1017" s="1695"/>
      <c r="R1017" s="1695"/>
      <c r="S1017" s="1695"/>
      <c r="T1017" s="1695"/>
      <c r="U1017" s="1695"/>
      <c r="V1017" s="1695"/>
      <c r="W1017" s="1695"/>
      <c r="X1017" s="1695"/>
      <c r="Y1017" s="1695"/>
      <c r="Z1017" s="1695"/>
      <c r="AA1017" s="1695"/>
      <c r="AB1017" s="1695"/>
      <c r="AC1017" s="1695"/>
      <c r="AD1017" s="1695"/>
      <c r="AE1017" s="1696"/>
      <c r="AF1017" s="1844" t="str">
        <f>IF(AND(AG1016="Yes",AY1024=0),AY1027,"")</f>
        <v/>
      </c>
      <c r="AG1017" s="1845"/>
      <c r="AH1017" s="1845"/>
      <c r="AI1017" s="1846"/>
      <c r="AJ1017" s="1727"/>
      <c r="AK1017" s="1728"/>
      <c r="AL1017" s="1728"/>
      <c r="AM1017" s="1728"/>
      <c r="AN1017" s="1728"/>
      <c r="AO1017" s="1728"/>
      <c r="AP1017" s="1728"/>
      <c r="AQ1017" s="1729"/>
      <c r="AR1017" s="68"/>
      <c r="AS1017" s="68"/>
      <c r="AT1017" s="68"/>
      <c r="AU1017" s="68"/>
      <c r="AV1017" s="68"/>
      <c r="AW1017" s="68"/>
      <c r="AX1017" s="3">
        <v>5</v>
      </c>
      <c r="AY1017" s="200">
        <f t="shared" si="53"/>
        <v>0</v>
      </c>
      <c r="AZ1017" s="1255">
        <v>0.04</v>
      </c>
    </row>
    <row r="1018" spans="1:52" ht="12.95" customHeight="1">
      <c r="A1018" s="14"/>
      <c r="B1018" s="73"/>
      <c r="C1018" s="74"/>
      <c r="D1018" s="1694"/>
      <c r="E1018" s="1695"/>
      <c r="F1018" s="1695"/>
      <c r="G1018" s="1695"/>
      <c r="H1018" s="1695"/>
      <c r="I1018" s="1695"/>
      <c r="J1018" s="1695"/>
      <c r="K1018" s="1695"/>
      <c r="L1018" s="1695"/>
      <c r="M1018" s="1695"/>
      <c r="N1018" s="1695"/>
      <c r="O1018" s="1695"/>
      <c r="P1018" s="1695"/>
      <c r="Q1018" s="1695"/>
      <c r="R1018" s="1695"/>
      <c r="S1018" s="1695"/>
      <c r="T1018" s="1695"/>
      <c r="U1018" s="1695"/>
      <c r="V1018" s="1695"/>
      <c r="W1018" s="1695"/>
      <c r="X1018" s="1695"/>
      <c r="Y1018" s="1695"/>
      <c r="Z1018" s="1695"/>
      <c r="AA1018" s="1695"/>
      <c r="AB1018" s="1695"/>
      <c r="AC1018" s="1695"/>
      <c r="AD1018" s="1695"/>
      <c r="AE1018" s="1696"/>
      <c r="AF1018" s="1844"/>
      <c r="AG1018" s="1845"/>
      <c r="AH1018" s="1845"/>
      <c r="AI1018" s="1846"/>
      <c r="AJ1018" s="1727"/>
      <c r="AK1018" s="1728"/>
      <c r="AL1018" s="1728"/>
      <c r="AM1018" s="1728"/>
      <c r="AN1018" s="1728"/>
      <c r="AO1018" s="1728"/>
      <c r="AP1018" s="1728"/>
      <c r="AQ1018" s="1729"/>
      <c r="AR1018" s="68"/>
      <c r="AS1018" s="68"/>
      <c r="AT1018" s="68"/>
      <c r="AU1018" s="68"/>
      <c r="AV1018" s="68"/>
      <c r="AW1018" s="68"/>
      <c r="AX1018" s="3">
        <v>6</v>
      </c>
      <c r="AY1018" s="200">
        <f t="shared" si="53"/>
        <v>0</v>
      </c>
      <c r="AZ1018" s="1255">
        <v>0.04</v>
      </c>
    </row>
    <row r="1019" spans="1:52" ht="12.95" customHeight="1">
      <c r="A1019" s="14"/>
      <c r="B1019" s="81"/>
      <c r="C1019" s="82"/>
      <c r="D1019" s="1742"/>
      <c r="E1019" s="1743"/>
      <c r="F1019" s="1743"/>
      <c r="G1019" s="1743"/>
      <c r="H1019" s="1743"/>
      <c r="I1019" s="1743"/>
      <c r="J1019" s="1743"/>
      <c r="K1019" s="1743"/>
      <c r="L1019" s="1743"/>
      <c r="M1019" s="1743"/>
      <c r="N1019" s="1743"/>
      <c r="O1019" s="1743"/>
      <c r="P1019" s="1743"/>
      <c r="Q1019" s="1743"/>
      <c r="R1019" s="1743"/>
      <c r="S1019" s="1743"/>
      <c r="T1019" s="1743"/>
      <c r="U1019" s="1743"/>
      <c r="V1019" s="1743"/>
      <c r="W1019" s="1743"/>
      <c r="X1019" s="1743"/>
      <c r="Y1019" s="1743"/>
      <c r="Z1019" s="1743"/>
      <c r="AA1019" s="1743"/>
      <c r="AB1019" s="1743"/>
      <c r="AC1019" s="1743"/>
      <c r="AD1019" s="1743"/>
      <c r="AE1019" s="1744"/>
      <c r="AF1019" s="1847"/>
      <c r="AG1019" s="1848"/>
      <c r="AH1019" s="1848"/>
      <c r="AI1019" s="1849"/>
      <c r="AJ1019" s="1730"/>
      <c r="AK1019" s="1731"/>
      <c r="AL1019" s="1731"/>
      <c r="AM1019" s="1731"/>
      <c r="AN1019" s="1731"/>
      <c r="AO1019" s="1731"/>
      <c r="AP1019" s="1731"/>
      <c r="AQ1019" s="1732"/>
      <c r="AR1019" s="68"/>
      <c r="AS1019" s="68"/>
      <c r="AT1019" s="68"/>
      <c r="AU1019" s="68"/>
      <c r="AV1019" s="68"/>
      <c r="AW1019" s="68"/>
      <c r="AX1019" s="3">
        <v>7</v>
      </c>
      <c r="AY1019" s="200">
        <f t="shared" si="53"/>
        <v>0</v>
      </c>
      <c r="AZ1019" s="1255">
        <v>0.01</v>
      </c>
    </row>
    <row r="1020" spans="1:52" ht="12.95" customHeight="1">
      <c r="A1020" s="14"/>
      <c r="B1020" s="79"/>
      <c r="C1020" s="80" t="s">
        <v>223</v>
      </c>
      <c r="D1020" s="1811" t="s">
        <v>1293</v>
      </c>
      <c r="E1020" s="1812"/>
      <c r="F1020" s="1812"/>
      <c r="G1020" s="1812"/>
      <c r="H1020" s="1812"/>
      <c r="I1020" s="1812"/>
      <c r="J1020" s="1812"/>
      <c r="K1020" s="1812"/>
      <c r="L1020" s="1812"/>
      <c r="M1020" s="1812"/>
      <c r="N1020" s="1812"/>
      <c r="O1020" s="1812"/>
      <c r="P1020" s="1812"/>
      <c r="Q1020" s="1812"/>
      <c r="R1020" s="1812"/>
      <c r="S1020" s="1812"/>
      <c r="T1020" s="1812"/>
      <c r="U1020" s="1812"/>
      <c r="V1020" s="1812"/>
      <c r="W1020" s="1812"/>
      <c r="X1020" s="1812"/>
      <c r="Y1020" s="1812"/>
      <c r="Z1020" s="1812"/>
      <c r="AA1020" s="1812"/>
      <c r="AB1020" s="1812"/>
      <c r="AC1020" s="1812"/>
      <c r="AD1020" s="1812"/>
      <c r="AE1020" s="1813"/>
      <c r="AF1020" s="79"/>
      <c r="AG1020" s="1750" t="s">
        <v>670</v>
      </c>
      <c r="AH1020" s="1751"/>
      <c r="AI1020" s="87"/>
      <c r="AJ1020" s="1724">
        <f>ROUND(IF(AND(AG1020="Yes",J1024&lt;&gt;"N/A",AF1023&lt;&gt;""),MIN(AF1023,(0.15*AJ992)),0),0)</f>
        <v>0</v>
      </c>
      <c r="AK1020" s="1725"/>
      <c r="AL1020" s="1725"/>
      <c r="AM1020" s="1725"/>
      <c r="AN1020" s="1725"/>
      <c r="AO1020" s="1725"/>
      <c r="AP1020" s="1725"/>
      <c r="AQ1020" s="1726"/>
      <c r="AR1020" s="68"/>
      <c r="AS1020" s="68"/>
      <c r="AT1020" s="68"/>
      <c r="AU1020" s="68"/>
      <c r="AV1020" s="68"/>
      <c r="AW1020" s="68"/>
      <c r="AX1020" s="3">
        <v>8</v>
      </c>
      <c r="AY1020" s="200">
        <f t="shared" si="53"/>
        <v>0</v>
      </c>
      <c r="AZ1020" s="1255">
        <v>0.01</v>
      </c>
    </row>
    <row r="1021" spans="1:52" ht="12.95" customHeight="1">
      <c r="A1021" s="14"/>
      <c r="B1021" s="81"/>
      <c r="C1021" s="84"/>
      <c r="D1021" s="1814"/>
      <c r="E1021" s="1815"/>
      <c r="F1021" s="1815"/>
      <c r="G1021" s="1815"/>
      <c r="H1021" s="1815"/>
      <c r="I1021" s="1815"/>
      <c r="J1021" s="1815"/>
      <c r="K1021" s="1815"/>
      <c r="L1021" s="1815"/>
      <c r="M1021" s="1815"/>
      <c r="N1021" s="1815"/>
      <c r="O1021" s="1815"/>
      <c r="P1021" s="1815"/>
      <c r="Q1021" s="1815"/>
      <c r="R1021" s="1815"/>
      <c r="S1021" s="1815"/>
      <c r="T1021" s="1815"/>
      <c r="U1021" s="1815"/>
      <c r="V1021" s="1815"/>
      <c r="W1021" s="1815"/>
      <c r="X1021" s="1815"/>
      <c r="Y1021" s="1815"/>
      <c r="Z1021" s="1815"/>
      <c r="AA1021" s="1815"/>
      <c r="AB1021" s="1815"/>
      <c r="AC1021" s="1815"/>
      <c r="AD1021" s="1815"/>
      <c r="AE1021" s="1816"/>
      <c r="AF1021" s="1829" t="str">
        <f>IF(AG1020="yes","Please Select Type and Enter Amount:","")</f>
        <v/>
      </c>
      <c r="AG1021" s="1830"/>
      <c r="AH1021" s="1830"/>
      <c r="AI1021" s="1831"/>
      <c r="AJ1021" s="1727"/>
      <c r="AK1021" s="1728"/>
      <c r="AL1021" s="1728"/>
      <c r="AM1021" s="1728"/>
      <c r="AN1021" s="1728"/>
      <c r="AO1021" s="1728"/>
      <c r="AP1021" s="1728"/>
      <c r="AQ1021" s="1729"/>
      <c r="AR1021" s="68"/>
      <c r="AS1021" s="68"/>
      <c r="AT1021" s="68"/>
      <c r="AU1021" s="68"/>
      <c r="AV1021" s="68"/>
      <c r="AW1021" s="68"/>
      <c r="AX1021" s="3">
        <v>9</v>
      </c>
      <c r="AY1021" s="200">
        <f t="shared" si="53"/>
        <v>0</v>
      </c>
      <c r="AZ1021" s="1255">
        <v>0.01</v>
      </c>
    </row>
    <row r="1022" spans="1:52" ht="12.95" customHeight="1">
      <c r="A1022" s="14"/>
      <c r="B1022" s="81"/>
      <c r="C1022" s="84"/>
      <c r="D1022" s="1694" t="s">
        <v>1294</v>
      </c>
      <c r="E1022" s="1695"/>
      <c r="F1022" s="1695"/>
      <c r="G1022" s="1695"/>
      <c r="H1022" s="1695"/>
      <c r="I1022" s="1695"/>
      <c r="J1022" s="1695"/>
      <c r="K1022" s="1695"/>
      <c r="L1022" s="1695"/>
      <c r="M1022" s="1695"/>
      <c r="N1022" s="1695"/>
      <c r="O1022" s="1695"/>
      <c r="P1022" s="1695"/>
      <c r="Q1022" s="1695"/>
      <c r="R1022" s="1695"/>
      <c r="S1022" s="1695"/>
      <c r="T1022" s="1695"/>
      <c r="U1022" s="1695"/>
      <c r="V1022" s="1695"/>
      <c r="W1022" s="1695"/>
      <c r="X1022" s="1695"/>
      <c r="Y1022" s="1695"/>
      <c r="Z1022" s="1695"/>
      <c r="AA1022" s="1695"/>
      <c r="AB1022" s="1695"/>
      <c r="AC1022" s="1695"/>
      <c r="AD1022" s="1695"/>
      <c r="AE1022" s="1696"/>
      <c r="AF1022" s="1829"/>
      <c r="AG1022" s="1830"/>
      <c r="AH1022" s="1830"/>
      <c r="AI1022" s="1831"/>
      <c r="AJ1022" s="1727"/>
      <c r="AK1022" s="1728"/>
      <c r="AL1022" s="1728"/>
      <c r="AM1022" s="1728"/>
      <c r="AN1022" s="1728"/>
      <c r="AO1022" s="1728"/>
      <c r="AP1022" s="1728"/>
      <c r="AQ1022" s="1729"/>
      <c r="AR1022" s="68"/>
      <c r="AS1022" s="68"/>
      <c r="AT1022" s="68"/>
      <c r="AU1022" s="68"/>
      <c r="AV1022" s="68"/>
      <c r="AW1022" s="68"/>
      <c r="AX1022" s="3">
        <v>10</v>
      </c>
      <c r="AY1022" s="200">
        <f t="shared" si="53"/>
        <v>0</v>
      </c>
      <c r="AZ1022" s="1255">
        <v>0.02</v>
      </c>
    </row>
    <row r="1023" spans="1:52" ht="12.95" customHeight="1">
      <c r="A1023" s="14"/>
      <c r="B1023" s="81"/>
      <c r="C1023" s="84"/>
      <c r="D1023" s="1694"/>
      <c r="E1023" s="1695"/>
      <c r="F1023" s="1695"/>
      <c r="G1023" s="1695"/>
      <c r="H1023" s="1695"/>
      <c r="I1023" s="1695"/>
      <c r="J1023" s="1695"/>
      <c r="K1023" s="1695"/>
      <c r="L1023" s="1695"/>
      <c r="M1023" s="1695"/>
      <c r="N1023" s="1695"/>
      <c r="O1023" s="1695"/>
      <c r="P1023" s="1695"/>
      <c r="Q1023" s="1695"/>
      <c r="R1023" s="1695"/>
      <c r="S1023" s="1695"/>
      <c r="T1023" s="1695"/>
      <c r="U1023" s="1695"/>
      <c r="V1023" s="1695"/>
      <c r="W1023" s="1695"/>
      <c r="X1023" s="1695"/>
      <c r="Y1023" s="1695"/>
      <c r="Z1023" s="1695"/>
      <c r="AA1023" s="1695"/>
      <c r="AB1023" s="1695"/>
      <c r="AC1023" s="1695"/>
      <c r="AD1023" s="1695"/>
      <c r="AE1023" s="1696"/>
      <c r="AF1023" s="1772"/>
      <c r="AG1023" s="1772"/>
      <c r="AH1023" s="1772"/>
      <c r="AI1023" s="1772"/>
      <c r="AJ1023" s="1727"/>
      <c r="AK1023" s="1728"/>
      <c r="AL1023" s="1728"/>
      <c r="AM1023" s="1728"/>
      <c r="AN1023" s="1728"/>
      <c r="AO1023" s="1728"/>
      <c r="AP1023" s="1728"/>
      <c r="AQ1023" s="1729"/>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821" t="s">
        <v>592</v>
      </c>
      <c r="K1024" s="1822"/>
      <c r="L1024" s="1822"/>
      <c r="M1024" s="1822"/>
      <c r="N1024" s="1822"/>
      <c r="O1024" s="1822"/>
      <c r="P1024" s="1822"/>
      <c r="Q1024" s="1822"/>
      <c r="R1024" s="1822"/>
      <c r="S1024" s="1822"/>
      <c r="T1024" s="1822"/>
      <c r="U1024" s="1822"/>
      <c r="V1024" s="1822"/>
      <c r="W1024" s="1822"/>
      <c r="X1024" s="1822"/>
      <c r="Y1024" s="1822"/>
      <c r="Z1024" s="1822"/>
      <c r="AA1024" s="1822"/>
      <c r="AB1024" s="1822"/>
      <c r="AC1024" s="1822"/>
      <c r="AD1024" s="1822"/>
      <c r="AE1024" s="1823"/>
      <c r="AF1024" s="1772"/>
      <c r="AG1024" s="1772"/>
      <c r="AH1024" s="1772"/>
      <c r="AI1024" s="1772"/>
      <c r="AJ1024" s="1730"/>
      <c r="AK1024" s="1731"/>
      <c r="AL1024" s="1731"/>
      <c r="AM1024" s="1731"/>
      <c r="AN1024" s="1731"/>
      <c r="AO1024" s="1731"/>
      <c r="AP1024" s="1731"/>
      <c r="AQ1024" s="1732"/>
      <c r="AR1024" s="68"/>
      <c r="AS1024" s="68"/>
      <c r="AT1024" s="68"/>
      <c r="AU1024" s="68"/>
      <c r="AV1024" s="68"/>
      <c r="AW1024" s="68"/>
      <c r="AX1024" s="1032" t="s">
        <v>2606</v>
      </c>
      <c r="AY1024" s="201">
        <f>IF(SUM(AY1013:AY1023)&lt;=0.2,SUM(AY1013:AY1023),0.2)</f>
        <v>0</v>
      </c>
    </row>
    <row r="1025" spans="1:57" ht="12.95" customHeight="1">
      <c r="A1025" s="14"/>
      <c r="B1025" s="79"/>
      <c r="C1025" s="80" t="s">
        <v>229</v>
      </c>
      <c r="D1025" s="1763" t="s">
        <v>1295</v>
      </c>
      <c r="E1025" s="1764"/>
      <c r="F1025" s="1764"/>
      <c r="G1025" s="1764"/>
      <c r="H1025" s="1764"/>
      <c r="I1025" s="1764"/>
      <c r="J1025" s="1764"/>
      <c r="K1025" s="1764"/>
      <c r="L1025" s="1764"/>
      <c r="M1025" s="1764"/>
      <c r="N1025" s="1764"/>
      <c r="O1025" s="1764"/>
      <c r="P1025" s="1764"/>
      <c r="Q1025" s="1764"/>
      <c r="R1025" s="1764"/>
      <c r="S1025" s="1764"/>
      <c r="T1025" s="1764"/>
      <c r="U1025" s="1764"/>
      <c r="V1025" s="1764"/>
      <c r="W1025" s="1764"/>
      <c r="X1025" s="1764"/>
      <c r="Y1025" s="1764"/>
      <c r="Z1025" s="1764"/>
      <c r="AA1025" s="1764"/>
      <c r="AB1025" s="1764"/>
      <c r="AC1025" s="1764"/>
      <c r="AD1025" s="1764"/>
      <c r="AE1025" s="1765"/>
      <c r="AF1025" s="79"/>
      <c r="AG1025" s="1750" t="s">
        <v>670</v>
      </c>
      <c r="AH1025" s="1751"/>
      <c r="AI1025" s="87"/>
      <c r="AJ1025" s="1724">
        <f>ROUND(IF(AG1025="Yes",AF1027,0),0)</f>
        <v>0</v>
      </c>
      <c r="AK1025" s="1725"/>
      <c r="AL1025" s="1725"/>
      <c r="AM1025" s="1725"/>
      <c r="AN1025" s="1725"/>
      <c r="AO1025" s="1725"/>
      <c r="AP1025" s="1725"/>
      <c r="AQ1025" s="1726"/>
      <c r="AR1025" s="68"/>
      <c r="AS1025" s="68"/>
      <c r="AT1025" s="68"/>
      <c r="AU1025" s="68"/>
      <c r="AV1025" s="68"/>
      <c r="AW1025" s="68"/>
      <c r="AX1025" s="68"/>
      <c r="AY1025" s="68"/>
    </row>
    <row r="1026" spans="1:57" ht="12.95" customHeight="1">
      <c r="A1026" s="14"/>
      <c r="B1026" s="73"/>
      <c r="C1026" s="74"/>
      <c r="D1026" s="1694" t="s">
        <v>1691</v>
      </c>
      <c r="E1026" s="1695"/>
      <c r="F1026" s="1695"/>
      <c r="G1026" s="1695"/>
      <c r="H1026" s="1695"/>
      <c r="I1026" s="1695"/>
      <c r="J1026" s="1695"/>
      <c r="K1026" s="1695"/>
      <c r="L1026" s="1695"/>
      <c r="M1026" s="1695"/>
      <c r="N1026" s="1695"/>
      <c r="O1026" s="1695"/>
      <c r="P1026" s="1695"/>
      <c r="Q1026" s="1695"/>
      <c r="R1026" s="1695"/>
      <c r="S1026" s="1695"/>
      <c r="T1026" s="1695"/>
      <c r="U1026" s="1695"/>
      <c r="V1026" s="1695"/>
      <c r="W1026" s="1695"/>
      <c r="X1026" s="1695"/>
      <c r="Y1026" s="1695"/>
      <c r="Z1026" s="1695"/>
      <c r="AA1026" s="1695"/>
      <c r="AB1026" s="1695"/>
      <c r="AC1026" s="1695"/>
      <c r="AD1026" s="1695"/>
      <c r="AE1026" s="1696"/>
      <c r="AF1026" s="1817" t="str">
        <f>IF(AG1025="yes","Enter Amount:","")</f>
        <v/>
      </c>
      <c r="AG1026" s="1818"/>
      <c r="AH1026" s="1818"/>
      <c r="AI1026" s="1819"/>
      <c r="AJ1026" s="1727"/>
      <c r="AK1026" s="1728"/>
      <c r="AL1026" s="1728"/>
      <c r="AM1026" s="1728"/>
      <c r="AN1026" s="1728"/>
      <c r="AO1026" s="1728"/>
      <c r="AP1026" s="1728"/>
      <c r="AQ1026" s="1729"/>
      <c r="AR1026" s="68"/>
      <c r="AS1026" s="68"/>
      <c r="AT1026" s="68"/>
      <c r="AU1026" s="68"/>
      <c r="AV1026" s="68"/>
      <c r="AW1026" s="68"/>
      <c r="AX1026" s="68"/>
      <c r="AY1026" s="68"/>
    </row>
    <row r="1027" spans="1:57" ht="12.95" customHeight="1">
      <c r="A1027" s="14"/>
      <c r="B1027" s="73"/>
      <c r="C1027" s="74"/>
      <c r="D1027" s="1694"/>
      <c r="E1027" s="1695"/>
      <c r="F1027" s="1695"/>
      <c r="G1027" s="1695"/>
      <c r="H1027" s="1695"/>
      <c r="I1027" s="1695"/>
      <c r="J1027" s="1695"/>
      <c r="K1027" s="1695"/>
      <c r="L1027" s="1695"/>
      <c r="M1027" s="1695"/>
      <c r="N1027" s="1695"/>
      <c r="O1027" s="1695"/>
      <c r="P1027" s="1695"/>
      <c r="Q1027" s="1695"/>
      <c r="R1027" s="1695"/>
      <c r="S1027" s="1695"/>
      <c r="T1027" s="1695"/>
      <c r="U1027" s="1695"/>
      <c r="V1027" s="1695"/>
      <c r="W1027" s="1695"/>
      <c r="X1027" s="1695"/>
      <c r="Y1027" s="1695"/>
      <c r="Z1027" s="1695"/>
      <c r="AA1027" s="1695"/>
      <c r="AB1027" s="1695"/>
      <c r="AC1027" s="1695"/>
      <c r="AD1027" s="1695"/>
      <c r="AE1027" s="1696"/>
      <c r="AF1027" s="1772"/>
      <c r="AG1027" s="1772"/>
      <c r="AH1027" s="1772"/>
      <c r="AI1027" s="1772"/>
      <c r="AJ1027" s="1727"/>
      <c r="AK1027" s="1728"/>
      <c r="AL1027" s="1728"/>
      <c r="AM1027" s="1728"/>
      <c r="AN1027" s="1728"/>
      <c r="AO1027" s="1728"/>
      <c r="AP1027" s="1728"/>
      <c r="AQ1027" s="1729"/>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42"/>
      <c r="E1028" s="1743"/>
      <c r="F1028" s="1743"/>
      <c r="G1028" s="1743"/>
      <c r="H1028" s="1743"/>
      <c r="I1028" s="1743"/>
      <c r="J1028" s="1743"/>
      <c r="K1028" s="1743"/>
      <c r="L1028" s="1743"/>
      <c r="M1028" s="1743"/>
      <c r="N1028" s="1743"/>
      <c r="O1028" s="1743"/>
      <c r="P1028" s="1743"/>
      <c r="Q1028" s="1743"/>
      <c r="R1028" s="1743"/>
      <c r="S1028" s="1743"/>
      <c r="T1028" s="1743"/>
      <c r="U1028" s="1743"/>
      <c r="V1028" s="1743"/>
      <c r="W1028" s="1743"/>
      <c r="X1028" s="1743"/>
      <c r="Y1028" s="1743"/>
      <c r="Z1028" s="1743"/>
      <c r="AA1028" s="1743"/>
      <c r="AB1028" s="1743"/>
      <c r="AC1028" s="1743"/>
      <c r="AD1028" s="1743"/>
      <c r="AE1028" s="1744"/>
      <c r="AF1028" s="1772"/>
      <c r="AG1028" s="1772"/>
      <c r="AH1028" s="1772"/>
      <c r="AI1028" s="1772"/>
      <c r="AJ1028" s="1730"/>
      <c r="AK1028" s="1731"/>
      <c r="AL1028" s="1731"/>
      <c r="AM1028" s="1731"/>
      <c r="AN1028" s="1731"/>
      <c r="AO1028" s="1731"/>
      <c r="AP1028" s="1731"/>
      <c r="AQ1028" s="1732"/>
      <c r="AR1028" s="68"/>
      <c r="AS1028" s="68"/>
      <c r="AT1028" s="68"/>
      <c r="AU1028" s="68"/>
      <c r="AV1028" s="68"/>
      <c r="AW1028" s="68"/>
      <c r="AX1028" s="68"/>
      <c r="AY1028" s="68"/>
    </row>
    <row r="1029" spans="1:57" ht="12.95" customHeight="1">
      <c r="A1029" s="14"/>
      <c r="B1029" s="79"/>
      <c r="C1029" s="80" t="s">
        <v>234</v>
      </c>
      <c r="D1029" s="1733" t="s">
        <v>1296</v>
      </c>
      <c r="E1029" s="1734"/>
      <c r="F1029" s="1734"/>
      <c r="G1029" s="1734"/>
      <c r="H1029" s="1734"/>
      <c r="I1029" s="1734"/>
      <c r="J1029" s="1734"/>
      <c r="K1029" s="1734"/>
      <c r="L1029" s="1734"/>
      <c r="M1029" s="1734"/>
      <c r="N1029" s="1734"/>
      <c r="O1029" s="1734"/>
      <c r="P1029" s="1734"/>
      <c r="Q1029" s="1734"/>
      <c r="R1029" s="1734"/>
      <c r="S1029" s="1734"/>
      <c r="T1029" s="1734"/>
      <c r="U1029" s="1734"/>
      <c r="V1029" s="1734"/>
      <c r="W1029" s="1734"/>
      <c r="X1029" s="1734"/>
      <c r="Y1029" s="1734"/>
      <c r="Z1029" s="1734"/>
      <c r="AA1029" s="1734"/>
      <c r="AB1029" s="1734"/>
      <c r="AC1029" s="1734"/>
      <c r="AD1029" s="1734"/>
      <c r="AE1029" s="1735"/>
      <c r="AF1029" s="79"/>
      <c r="AG1029" s="1750" t="s">
        <v>546</v>
      </c>
      <c r="AH1029" s="1751"/>
      <c r="AI1029" s="87"/>
      <c r="AJ1029" s="1724">
        <f>ROUND(IF(AG1029="yes",(AJ992*0.1),0),0)</f>
        <v>5772222</v>
      </c>
      <c r="AK1029" s="1725"/>
      <c r="AL1029" s="1725"/>
      <c r="AM1029" s="1725"/>
      <c r="AN1029" s="1725"/>
      <c r="AO1029" s="1725"/>
      <c r="AP1029" s="1725"/>
      <c r="AQ1029" s="1726"/>
      <c r="AR1029" s="68"/>
      <c r="AS1029" s="68"/>
      <c r="AT1029" s="68"/>
      <c r="AU1029" s="68"/>
      <c r="AV1029" s="68"/>
      <c r="AW1029" s="68"/>
      <c r="AX1029" s="68"/>
      <c r="AY1029" s="68"/>
    </row>
    <row r="1030" spans="1:57" ht="12.95" customHeight="1">
      <c r="A1030" s="14"/>
      <c r="B1030" s="73"/>
      <c r="C1030" s="74"/>
      <c r="D1030" s="1694" t="s">
        <v>1297</v>
      </c>
      <c r="E1030" s="1695"/>
      <c r="F1030" s="1695"/>
      <c r="G1030" s="1695"/>
      <c r="H1030" s="1695"/>
      <c r="I1030" s="1695"/>
      <c r="J1030" s="1695"/>
      <c r="K1030" s="1695"/>
      <c r="L1030" s="1695"/>
      <c r="M1030" s="1695"/>
      <c r="N1030" s="1695"/>
      <c r="O1030" s="1695"/>
      <c r="P1030" s="1695"/>
      <c r="Q1030" s="1695"/>
      <c r="R1030" s="1695"/>
      <c r="S1030" s="1695"/>
      <c r="T1030" s="1695"/>
      <c r="U1030" s="1695"/>
      <c r="V1030" s="1695"/>
      <c r="W1030" s="1695"/>
      <c r="X1030" s="1695"/>
      <c r="Y1030" s="1695"/>
      <c r="Z1030" s="1695"/>
      <c r="AA1030" s="1695"/>
      <c r="AB1030" s="1695"/>
      <c r="AC1030" s="1695"/>
      <c r="AD1030" s="1695"/>
      <c r="AE1030" s="1696"/>
      <c r="AF1030" s="73"/>
      <c r="AG1030" s="14"/>
      <c r="AH1030" s="14"/>
      <c r="AI1030" s="83"/>
      <c r="AJ1030" s="1727"/>
      <c r="AK1030" s="1728"/>
      <c r="AL1030" s="1728"/>
      <c r="AM1030" s="1728"/>
      <c r="AN1030" s="1728"/>
      <c r="AO1030" s="1728"/>
      <c r="AP1030" s="1728"/>
      <c r="AQ1030" s="1729"/>
      <c r="AR1030" s="68"/>
      <c r="AS1030" s="68"/>
      <c r="AT1030" s="68"/>
      <c r="AU1030" s="68"/>
      <c r="AV1030" s="68"/>
      <c r="AW1030" s="68"/>
      <c r="AX1030" s="68"/>
      <c r="AY1030" s="68"/>
    </row>
    <row r="1031" spans="1:57" ht="12.95" customHeight="1">
      <c r="A1031" s="14"/>
      <c r="B1031" s="77"/>
      <c r="C1031" s="74"/>
      <c r="D1031" s="1742"/>
      <c r="E1031" s="1743"/>
      <c r="F1031" s="1743"/>
      <c r="G1031" s="1743"/>
      <c r="H1031" s="1743"/>
      <c r="I1031" s="1743"/>
      <c r="J1031" s="1743"/>
      <c r="K1031" s="1743"/>
      <c r="L1031" s="1743"/>
      <c r="M1031" s="1743"/>
      <c r="N1031" s="1743"/>
      <c r="O1031" s="1743"/>
      <c r="P1031" s="1743"/>
      <c r="Q1031" s="1743"/>
      <c r="R1031" s="1743"/>
      <c r="S1031" s="1743"/>
      <c r="T1031" s="1743"/>
      <c r="U1031" s="1743"/>
      <c r="V1031" s="1743"/>
      <c r="W1031" s="1743"/>
      <c r="X1031" s="1743"/>
      <c r="Y1031" s="1743"/>
      <c r="Z1031" s="1743"/>
      <c r="AA1031" s="1743"/>
      <c r="AB1031" s="1743"/>
      <c r="AC1031" s="1743"/>
      <c r="AD1031" s="1743"/>
      <c r="AE1031" s="1744"/>
      <c r="AF1031" s="73"/>
      <c r="AG1031" s="14"/>
      <c r="AH1031" s="14"/>
      <c r="AI1031" s="83"/>
      <c r="AJ1031" s="1730"/>
      <c r="AK1031" s="1731"/>
      <c r="AL1031" s="1731"/>
      <c r="AM1031" s="1731"/>
      <c r="AN1031" s="1731"/>
      <c r="AO1031" s="1731"/>
      <c r="AP1031" s="1731"/>
      <c r="AQ1031" s="1732"/>
      <c r="AR1031" s="68"/>
      <c r="AS1031" s="68"/>
      <c r="AT1031" s="68"/>
      <c r="AU1031" s="68"/>
      <c r="AV1031" s="68"/>
      <c r="AW1031" s="68"/>
      <c r="AX1031" s="68"/>
      <c r="AY1031" s="68"/>
    </row>
    <row r="1032" spans="1:57" ht="12.95" customHeight="1">
      <c r="A1032" s="14"/>
      <c r="B1032" s="73"/>
      <c r="C1032" s="339" t="s">
        <v>688</v>
      </c>
      <c r="D1032" s="1763" t="s">
        <v>1687</v>
      </c>
      <c r="E1032" s="1764"/>
      <c r="F1032" s="1764"/>
      <c r="G1032" s="1764"/>
      <c r="H1032" s="1764"/>
      <c r="I1032" s="1764"/>
      <c r="J1032" s="1764"/>
      <c r="K1032" s="1764"/>
      <c r="L1032" s="1764"/>
      <c r="M1032" s="1764"/>
      <c r="N1032" s="1764"/>
      <c r="O1032" s="1764"/>
      <c r="P1032" s="1764"/>
      <c r="Q1032" s="1764"/>
      <c r="R1032" s="1764"/>
      <c r="S1032" s="1764"/>
      <c r="T1032" s="1764"/>
      <c r="U1032" s="1764"/>
      <c r="V1032" s="1764"/>
      <c r="W1032" s="1764"/>
      <c r="X1032" s="1764"/>
      <c r="Y1032" s="1764"/>
      <c r="Z1032" s="1764"/>
      <c r="AA1032" s="1764"/>
      <c r="AB1032" s="1764"/>
      <c r="AC1032" s="1764"/>
      <c r="AD1032" s="1764"/>
      <c r="AE1032" s="1765"/>
      <c r="AF1032" s="79"/>
      <c r="AG1032" s="1750" t="s">
        <v>670</v>
      </c>
      <c r="AH1032" s="1751"/>
      <c r="AI1032" s="87"/>
      <c r="AJ1032" s="1724">
        <f>ROUND(IF(AG1032="yes",(AJ992*0.15),0),0)</f>
        <v>0</v>
      </c>
      <c r="AK1032" s="1725"/>
      <c r="AL1032" s="1725"/>
      <c r="AM1032" s="1725"/>
      <c r="AN1032" s="1725"/>
      <c r="AO1032" s="1725"/>
      <c r="AP1032" s="1725"/>
      <c r="AQ1032" s="1726"/>
      <c r="AR1032" s="68"/>
      <c r="AS1032" s="68"/>
      <c r="AT1032" s="68"/>
      <c r="AU1032" s="68"/>
      <c r="AV1032" s="68"/>
      <c r="AW1032" s="68"/>
      <c r="AX1032" s="68"/>
      <c r="AY1032" s="68"/>
    </row>
    <row r="1033" spans="1:57" ht="12.95" customHeight="1">
      <c r="A1033" s="14"/>
      <c r="B1033" s="73"/>
      <c r="C1033" s="74"/>
      <c r="D1033" s="1800" t="s">
        <v>1688</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1"/>
      <c r="AF1033" s="915"/>
      <c r="AG1033" s="916"/>
      <c r="AH1033" s="916"/>
      <c r="AI1033" s="917"/>
      <c r="AJ1033" s="1727"/>
      <c r="AK1033" s="1728"/>
      <c r="AL1033" s="1728"/>
      <c r="AM1033" s="1728"/>
      <c r="AN1033" s="1728"/>
      <c r="AO1033" s="1728"/>
      <c r="AP1033" s="1728"/>
      <c r="AQ1033" s="1729"/>
      <c r="AR1033" s="68"/>
      <c r="AS1033" s="68"/>
      <c r="AT1033" s="68"/>
      <c r="AU1033" s="68"/>
      <c r="AV1033" s="68"/>
      <c r="AW1033" s="68"/>
      <c r="AX1033" s="68"/>
      <c r="AY1033" s="68"/>
    </row>
    <row r="1034" spans="1:57" ht="12.95" customHeight="1">
      <c r="A1034" s="14"/>
      <c r="B1034" s="73"/>
      <c r="C1034" s="74"/>
      <c r="D1034" s="1800"/>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1"/>
      <c r="AF1034" s="915"/>
      <c r="AG1034" s="916"/>
      <c r="AH1034" s="916"/>
      <c r="AI1034" s="917"/>
      <c r="AJ1034" s="1727"/>
      <c r="AK1034" s="1728"/>
      <c r="AL1034" s="1728"/>
      <c r="AM1034" s="1728"/>
      <c r="AN1034" s="1728"/>
      <c r="AO1034" s="1728"/>
      <c r="AP1034" s="1728"/>
      <c r="AQ1034" s="1729"/>
      <c r="AR1034" s="68"/>
      <c r="AS1034" s="68"/>
      <c r="AT1034" s="68"/>
      <c r="AU1034" s="68"/>
      <c r="AV1034" s="68"/>
      <c r="AW1034" s="68"/>
      <c r="AX1034" s="68"/>
      <c r="AY1034" s="68"/>
    </row>
    <row r="1035" spans="1:57" ht="12.95" customHeight="1">
      <c r="A1035" s="14"/>
      <c r="B1035" s="73"/>
      <c r="C1035" s="74"/>
      <c r="D1035" s="1802"/>
      <c r="E1035" s="1803"/>
      <c r="F1035" s="1803"/>
      <c r="G1035" s="1803"/>
      <c r="H1035" s="1803"/>
      <c r="I1035" s="1803"/>
      <c r="J1035" s="1803"/>
      <c r="K1035" s="1803"/>
      <c r="L1035" s="1803"/>
      <c r="M1035" s="1803"/>
      <c r="N1035" s="1803"/>
      <c r="O1035" s="1803"/>
      <c r="P1035" s="1803"/>
      <c r="Q1035" s="1803"/>
      <c r="R1035" s="1803"/>
      <c r="S1035" s="1803"/>
      <c r="T1035" s="1803"/>
      <c r="U1035" s="1803"/>
      <c r="V1035" s="1803"/>
      <c r="W1035" s="1803"/>
      <c r="X1035" s="1803"/>
      <c r="Y1035" s="1803"/>
      <c r="Z1035" s="1803"/>
      <c r="AA1035" s="1803"/>
      <c r="AB1035" s="1803"/>
      <c r="AC1035" s="1803"/>
      <c r="AD1035" s="1803"/>
      <c r="AE1035" s="1804"/>
      <c r="AF1035" s="918"/>
      <c r="AG1035" s="919"/>
      <c r="AH1035" s="919"/>
      <c r="AI1035" s="920"/>
      <c r="AJ1035" s="1730"/>
      <c r="AK1035" s="1731"/>
      <c r="AL1035" s="1731"/>
      <c r="AM1035" s="1731"/>
      <c r="AN1035" s="1731"/>
      <c r="AO1035" s="1731"/>
      <c r="AP1035" s="1731"/>
      <c r="AQ1035" s="1732"/>
      <c r="AR1035" s="68"/>
      <c r="AS1035" s="68"/>
      <c r="AT1035" s="68"/>
      <c r="AU1035" s="68"/>
      <c r="AV1035" s="68"/>
      <c r="AW1035" s="68"/>
      <c r="AX1035" s="68"/>
      <c r="AY1035" s="68"/>
    </row>
    <row r="1036" spans="1:57" ht="12.95" customHeight="1">
      <c r="A1036" s="14"/>
      <c r="B1036" s="73"/>
      <c r="C1036" s="339" t="s">
        <v>688</v>
      </c>
      <c r="D1036" s="1733" t="s">
        <v>1689</v>
      </c>
      <c r="E1036" s="1734"/>
      <c r="F1036" s="1734"/>
      <c r="G1036" s="1734"/>
      <c r="H1036" s="1734"/>
      <c r="I1036" s="1734"/>
      <c r="J1036" s="1734"/>
      <c r="K1036" s="1734"/>
      <c r="L1036" s="1734"/>
      <c r="M1036" s="1734"/>
      <c r="N1036" s="1734"/>
      <c r="O1036" s="1734"/>
      <c r="P1036" s="1734"/>
      <c r="Q1036" s="1734"/>
      <c r="R1036" s="1734"/>
      <c r="S1036" s="1734"/>
      <c r="T1036" s="1734"/>
      <c r="U1036" s="1734"/>
      <c r="V1036" s="1734"/>
      <c r="W1036" s="1734"/>
      <c r="X1036" s="1734"/>
      <c r="Y1036" s="1734"/>
      <c r="Z1036" s="1734"/>
      <c r="AA1036" s="1734"/>
      <c r="AB1036" s="1734"/>
      <c r="AC1036" s="1734"/>
      <c r="AD1036" s="1734"/>
      <c r="AE1036" s="1735"/>
      <c r="AF1036" s="73"/>
      <c r="AG1036" s="1752" t="s">
        <v>546</v>
      </c>
      <c r="AH1036" s="1753"/>
      <c r="AI1036" s="83"/>
      <c r="AJ1036" s="1724">
        <f>ROUND(IF(AND(AG1036="yes",AJ1032=0),(AJ992*0.1),0),0)</f>
        <v>5772222</v>
      </c>
      <c r="AK1036" s="1725"/>
      <c r="AL1036" s="1725"/>
      <c r="AM1036" s="1725"/>
      <c r="AN1036" s="1725"/>
      <c r="AO1036" s="1725"/>
      <c r="AP1036" s="1725"/>
      <c r="AQ1036" s="1726"/>
      <c r="AR1036" s="68"/>
      <c r="AS1036" s="68"/>
      <c r="AT1036" s="68"/>
      <c r="AU1036" s="68"/>
      <c r="AV1036" s="68"/>
      <c r="AW1036" s="68"/>
      <c r="AX1036" s="68"/>
      <c r="AY1036" s="68"/>
    </row>
    <row r="1037" spans="1:57" ht="12.95" customHeight="1">
      <c r="A1037" s="14"/>
      <c r="B1037" s="73"/>
      <c r="C1037" s="74"/>
      <c r="D1037" s="1800" t="s">
        <v>1690</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1"/>
      <c r="AF1037" s="73"/>
      <c r="AG1037" s="14"/>
      <c r="AH1037" s="14"/>
      <c r="AI1037" s="83"/>
      <c r="AJ1037" s="1727"/>
      <c r="AK1037" s="1728"/>
      <c r="AL1037" s="1728"/>
      <c r="AM1037" s="1728"/>
      <c r="AN1037" s="1728"/>
      <c r="AO1037" s="1728"/>
      <c r="AP1037" s="1728"/>
      <c r="AQ1037" s="1729"/>
      <c r="AR1037" s="68"/>
      <c r="AS1037" s="68"/>
      <c r="AT1037" s="68"/>
      <c r="AU1037" s="68"/>
      <c r="AV1037" s="68"/>
      <c r="AW1037" s="68"/>
      <c r="AX1037" s="68"/>
      <c r="AY1037" s="68"/>
    </row>
    <row r="1038" spans="1:57" ht="12.95" customHeight="1">
      <c r="A1038" s="14"/>
      <c r="B1038" s="73"/>
      <c r="C1038" s="74"/>
      <c r="D1038" s="1800"/>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1"/>
      <c r="AF1038" s="73"/>
      <c r="AG1038" s="14"/>
      <c r="AH1038" s="14"/>
      <c r="AI1038" s="83"/>
      <c r="AJ1038" s="1727"/>
      <c r="AK1038" s="1728"/>
      <c r="AL1038" s="1728"/>
      <c r="AM1038" s="1728"/>
      <c r="AN1038" s="1728"/>
      <c r="AO1038" s="1728"/>
      <c r="AP1038" s="1728"/>
      <c r="AQ1038" s="1729"/>
      <c r="AR1038" s="68"/>
      <c r="AS1038" s="68"/>
      <c r="AT1038" s="68"/>
      <c r="AU1038" s="68"/>
      <c r="AV1038" s="68"/>
      <c r="AW1038" s="68"/>
      <c r="AX1038" s="68"/>
      <c r="AY1038" s="68"/>
      <c r="BA1038" s="1183">
        <f>IFERROR(('Sources and Uses Budget'!$C$17+'Sources and Uses Budget'!$C$18+'Sources and Uses Budget'!$C$22)/$AG$437,0)</f>
        <v>0</v>
      </c>
      <c r="BB1038" s="1183" t="s">
        <v>2489</v>
      </c>
      <c r="BC1038" s="1183"/>
      <c r="BD1038" s="1183"/>
      <c r="BE1038" s="1183"/>
    </row>
    <row r="1039" spans="1:57" ht="12.95" customHeight="1">
      <c r="A1039" s="14"/>
      <c r="B1039" s="73"/>
      <c r="C1039" s="74"/>
      <c r="D1039" s="1800"/>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1"/>
      <c r="AF1039" s="73"/>
      <c r="AG1039" s="14"/>
      <c r="AH1039" s="14"/>
      <c r="AI1039" s="83"/>
      <c r="AJ1039" s="1727"/>
      <c r="AK1039" s="1728"/>
      <c r="AL1039" s="1728"/>
      <c r="AM1039" s="1728"/>
      <c r="AN1039" s="1728"/>
      <c r="AO1039" s="1728"/>
      <c r="AP1039" s="1728"/>
      <c r="AQ1039" s="1729"/>
      <c r="AR1039" s="68"/>
      <c r="AS1039" s="68"/>
      <c r="AT1039" s="68"/>
      <c r="AU1039" s="68"/>
      <c r="AV1039" s="68"/>
      <c r="AW1039" s="68"/>
      <c r="AX1039" s="68"/>
      <c r="AY1039" s="68"/>
      <c r="BA1039">
        <f>IFERROR((($CI$753+$CM$753)/$AG$440),0)</f>
        <v>0.51282051282051277</v>
      </c>
      <c r="BB1039" s="3" t="s">
        <v>2493</v>
      </c>
    </row>
    <row r="1040" spans="1:57" ht="12.95" customHeight="1">
      <c r="A1040" s="14"/>
      <c r="B1040" s="73"/>
      <c r="C1040" s="74"/>
      <c r="D1040" s="1802"/>
      <c r="E1040" s="1803"/>
      <c r="F1040" s="1803"/>
      <c r="G1040" s="1803"/>
      <c r="H1040" s="1803"/>
      <c r="I1040" s="1803"/>
      <c r="J1040" s="1803"/>
      <c r="K1040" s="1803"/>
      <c r="L1040" s="1803"/>
      <c r="M1040" s="1803"/>
      <c r="N1040" s="1803"/>
      <c r="O1040" s="1803"/>
      <c r="P1040" s="1803"/>
      <c r="Q1040" s="1803"/>
      <c r="R1040" s="1803"/>
      <c r="S1040" s="1803"/>
      <c r="T1040" s="1803"/>
      <c r="U1040" s="1803"/>
      <c r="V1040" s="1803"/>
      <c r="W1040" s="1803"/>
      <c r="X1040" s="1803"/>
      <c r="Y1040" s="1803"/>
      <c r="Z1040" s="1803"/>
      <c r="AA1040" s="1803"/>
      <c r="AB1040" s="1803"/>
      <c r="AC1040" s="1803"/>
      <c r="AD1040" s="1803"/>
      <c r="AE1040" s="1804"/>
      <c r="AF1040" s="73"/>
      <c r="AG1040" s="14"/>
      <c r="AH1040" s="14"/>
      <c r="AI1040" s="83"/>
      <c r="AJ1040" s="1727"/>
      <c r="AK1040" s="1728"/>
      <c r="AL1040" s="1728"/>
      <c r="AM1040" s="1728"/>
      <c r="AN1040" s="1728"/>
      <c r="AO1040" s="1728"/>
      <c r="AP1040" s="1728"/>
      <c r="AQ1040" s="1729"/>
      <c r="AR1040" s="68"/>
      <c r="AS1040" s="68"/>
      <c r="AT1040" s="68"/>
      <c r="AU1040" s="68"/>
      <c r="AV1040" s="68"/>
      <c r="AW1040" s="68"/>
      <c r="AX1040" s="68"/>
      <c r="AY1040" s="68"/>
      <c r="BA1040" t="b">
        <f>'Points System'!AJ164="Yes"</f>
        <v>0</v>
      </c>
      <c r="BB1040" s="3" t="s">
        <v>2490</v>
      </c>
    </row>
    <row r="1041" spans="1:56" ht="12.95" customHeight="1">
      <c r="A1041" s="14"/>
      <c r="B1041" s="79"/>
      <c r="C1041" s="131" t="s">
        <v>1011</v>
      </c>
      <c r="D1041" s="1763" t="s">
        <v>1298</v>
      </c>
      <c r="E1041" s="1764"/>
      <c r="F1041" s="1764"/>
      <c r="G1041" s="1764"/>
      <c r="H1041" s="1764"/>
      <c r="I1041" s="1764"/>
      <c r="J1041" s="1764"/>
      <c r="K1041" s="1764"/>
      <c r="L1041" s="1764"/>
      <c r="M1041" s="1764"/>
      <c r="N1041" s="1764"/>
      <c r="O1041" s="1764"/>
      <c r="P1041" s="1764"/>
      <c r="Q1041" s="1764"/>
      <c r="R1041" s="1764"/>
      <c r="S1041" s="1764"/>
      <c r="T1041" s="1764"/>
      <c r="U1041" s="1764"/>
      <c r="V1041" s="1764"/>
      <c r="W1041" s="1764"/>
      <c r="X1041" s="1764"/>
      <c r="Y1041" s="1764"/>
      <c r="Z1041" s="1764"/>
      <c r="AA1041" s="1764"/>
      <c r="AB1041" s="1764"/>
      <c r="AC1041" s="1764"/>
      <c r="AD1041" s="1764"/>
      <c r="AE1041" s="1765"/>
      <c r="AF1041" s="79"/>
      <c r="AG1041" s="1750" t="s">
        <v>670</v>
      </c>
      <c r="AH1041" s="1751"/>
      <c r="AI1041" s="87"/>
      <c r="AJ1041" s="1724">
        <f>ROUND(IF(AG1041="yes",(AJ992*0.1),0),0)</f>
        <v>0</v>
      </c>
      <c r="AK1041" s="1725"/>
      <c r="AL1041" s="1725"/>
      <c r="AM1041" s="1725"/>
      <c r="AN1041" s="1725"/>
      <c r="AO1041" s="1725"/>
      <c r="AP1041" s="1725"/>
      <c r="AQ1041" s="1726"/>
      <c r="AR1041" s="68"/>
      <c r="AS1041" s="68"/>
      <c r="AT1041" s="68"/>
      <c r="AU1041" s="68"/>
      <c r="AV1041" s="68"/>
      <c r="AW1041" s="68"/>
      <c r="AX1041" s="68"/>
      <c r="AY1041" s="68"/>
      <c r="BA1041">
        <f>Q212</f>
        <v>24</v>
      </c>
      <c r="BB1041" s="3" t="s">
        <v>2491</v>
      </c>
    </row>
    <row r="1042" spans="1:56" ht="12.95" customHeight="1">
      <c r="A1042" s="14"/>
      <c r="B1042" s="73"/>
      <c r="C1042" s="74"/>
      <c r="D1042" s="1694" t="s">
        <v>2145</v>
      </c>
      <c r="E1042" s="1695"/>
      <c r="F1042" s="1695"/>
      <c r="G1042" s="1695"/>
      <c r="H1042" s="1695"/>
      <c r="I1042" s="1695"/>
      <c r="J1042" s="1695"/>
      <c r="K1042" s="1695"/>
      <c r="L1042" s="1695"/>
      <c r="M1042" s="1695"/>
      <c r="N1042" s="1695"/>
      <c r="O1042" s="1695"/>
      <c r="P1042" s="1695"/>
      <c r="Q1042" s="1695"/>
      <c r="R1042" s="1695"/>
      <c r="S1042" s="1695"/>
      <c r="T1042" s="1695"/>
      <c r="U1042" s="1695"/>
      <c r="V1042" s="1695"/>
      <c r="W1042" s="1695"/>
      <c r="X1042" s="1695"/>
      <c r="Y1042" s="1695"/>
      <c r="Z1042" s="1695"/>
      <c r="AA1042" s="1695"/>
      <c r="AB1042" s="1695"/>
      <c r="AC1042" s="1695"/>
      <c r="AD1042" s="1695"/>
      <c r="AE1042" s="1696"/>
      <c r="AF1042" s="73"/>
      <c r="AG1042" s="14"/>
      <c r="AH1042" s="14"/>
      <c r="AI1042" s="83"/>
      <c r="AJ1042" s="1727"/>
      <c r="AK1042" s="1728"/>
      <c r="AL1042" s="1728"/>
      <c r="AM1042" s="1728"/>
      <c r="AN1042" s="1728"/>
      <c r="AO1042" s="1728"/>
      <c r="AP1042" s="1728"/>
      <c r="AQ1042" s="1729"/>
      <c r="AR1042" s="68"/>
      <c r="AS1042" s="68"/>
      <c r="AT1042" s="68"/>
      <c r="AU1042" s="68"/>
      <c r="AV1042" s="68"/>
      <c r="AW1042" s="68"/>
      <c r="AX1042" s="68"/>
      <c r="AY1042" s="68"/>
      <c r="BA1042" s="1184">
        <f>T212</f>
        <v>0.30769230769230771</v>
      </c>
      <c r="BB1042" s="3" t="s">
        <v>2492</v>
      </c>
    </row>
    <row r="1043" spans="1:56" ht="12.95" customHeight="1">
      <c r="A1043" s="14"/>
      <c r="B1043" s="73"/>
      <c r="C1043" s="74"/>
      <c r="D1043" s="1694"/>
      <c r="E1043" s="1695"/>
      <c r="F1043" s="1695"/>
      <c r="G1043" s="1695"/>
      <c r="H1043" s="1695"/>
      <c r="I1043" s="1695"/>
      <c r="J1043" s="1695"/>
      <c r="K1043" s="1695"/>
      <c r="L1043" s="1695"/>
      <c r="M1043" s="1695"/>
      <c r="N1043" s="1695"/>
      <c r="O1043" s="1695"/>
      <c r="P1043" s="1695"/>
      <c r="Q1043" s="1695"/>
      <c r="R1043" s="1695"/>
      <c r="S1043" s="1695"/>
      <c r="T1043" s="1695"/>
      <c r="U1043" s="1695"/>
      <c r="V1043" s="1695"/>
      <c r="W1043" s="1695"/>
      <c r="X1043" s="1695"/>
      <c r="Y1043" s="1695"/>
      <c r="Z1043" s="1695"/>
      <c r="AA1043" s="1695"/>
      <c r="AB1043" s="1695"/>
      <c r="AC1043" s="1695"/>
      <c r="AD1043" s="1695"/>
      <c r="AE1043" s="1696"/>
      <c r="AF1043" s="73"/>
      <c r="AG1043" s="14"/>
      <c r="AH1043" s="14"/>
      <c r="AI1043" s="83"/>
      <c r="AJ1043" s="1727"/>
      <c r="AK1043" s="1728"/>
      <c r="AL1043" s="1728"/>
      <c r="AM1043" s="1728"/>
      <c r="AN1043" s="1728"/>
      <c r="AO1043" s="1728"/>
      <c r="AP1043" s="1728"/>
      <c r="AQ1043" s="1729"/>
      <c r="AR1043" s="68"/>
      <c r="AS1043" s="68"/>
      <c r="AT1043" s="68"/>
      <c r="AU1043" s="68"/>
      <c r="AV1043" s="68"/>
      <c r="AW1043" s="68"/>
      <c r="AX1043" s="68"/>
      <c r="AY1043" s="68"/>
    </row>
    <row r="1044" spans="1:56" ht="12.95" customHeight="1">
      <c r="A1044" s="14"/>
      <c r="B1044" s="73"/>
      <c r="C1044" s="74"/>
      <c r="D1044" s="1742"/>
      <c r="E1044" s="1743"/>
      <c r="F1044" s="1743"/>
      <c r="G1044" s="1743"/>
      <c r="H1044" s="1743"/>
      <c r="I1044" s="1743"/>
      <c r="J1044" s="1743"/>
      <c r="K1044" s="1743"/>
      <c r="L1044" s="1743"/>
      <c r="M1044" s="1743"/>
      <c r="N1044" s="1743"/>
      <c r="O1044" s="1743"/>
      <c r="P1044" s="1743"/>
      <c r="Q1044" s="1743"/>
      <c r="R1044" s="1743"/>
      <c r="S1044" s="1743"/>
      <c r="T1044" s="1743"/>
      <c r="U1044" s="1743"/>
      <c r="V1044" s="1743"/>
      <c r="W1044" s="1743"/>
      <c r="X1044" s="1743"/>
      <c r="Y1044" s="1743"/>
      <c r="Z1044" s="1743"/>
      <c r="AA1044" s="1743"/>
      <c r="AB1044" s="1743"/>
      <c r="AC1044" s="1743"/>
      <c r="AD1044" s="1743"/>
      <c r="AE1044" s="1744"/>
      <c r="AF1044" s="73"/>
      <c r="AG1044" s="14"/>
      <c r="AH1044" s="14"/>
      <c r="AI1044" s="83"/>
      <c r="AJ1044" s="1730"/>
      <c r="AK1044" s="1731"/>
      <c r="AL1044" s="1731"/>
      <c r="AM1044" s="1731"/>
      <c r="AN1044" s="1731"/>
      <c r="AO1044" s="1731"/>
      <c r="AP1044" s="1731"/>
      <c r="AQ1044" s="1732"/>
      <c r="AR1044" s="68"/>
      <c r="AS1044" s="68"/>
      <c r="AT1044" s="68"/>
      <c r="AU1044" s="68"/>
      <c r="AV1044" s="68"/>
      <c r="AW1044" s="68"/>
      <c r="AX1044" s="68"/>
      <c r="AY1044" s="68"/>
    </row>
    <row r="1045" spans="1:56" ht="12.95" customHeight="1">
      <c r="A1045" s="14"/>
      <c r="B1045" s="79"/>
      <c r="C1045" s="131" t="s">
        <v>1685</v>
      </c>
      <c r="D1045" s="1733" t="s">
        <v>1865</v>
      </c>
      <c r="E1045" s="1734"/>
      <c r="F1045" s="1734"/>
      <c r="G1045" s="1734"/>
      <c r="H1045" s="1734"/>
      <c r="I1045" s="1734"/>
      <c r="J1045" s="1734"/>
      <c r="K1045" s="1734"/>
      <c r="L1045" s="1734"/>
      <c r="M1045" s="1734"/>
      <c r="N1045" s="1734"/>
      <c r="O1045" s="1734"/>
      <c r="P1045" s="1734"/>
      <c r="Q1045" s="1734"/>
      <c r="R1045" s="1734"/>
      <c r="S1045" s="1734"/>
      <c r="T1045" s="1734"/>
      <c r="U1045" s="1734"/>
      <c r="V1045" s="1734"/>
      <c r="W1045" s="1734"/>
      <c r="X1045" s="1734"/>
      <c r="Y1045" s="1734"/>
      <c r="Z1045" s="1734"/>
      <c r="AA1045" s="1734"/>
      <c r="AB1045" s="1734"/>
      <c r="AC1045" s="1734"/>
      <c r="AD1045" s="1734"/>
      <c r="AE1045" s="1735"/>
      <c r="AF1045" s="79"/>
      <c r="AG1045" s="1748" t="str">
        <f>IF(X1048&gt;0,"Yes","No")</f>
        <v>Yes</v>
      </c>
      <c r="AH1045" s="1749"/>
      <c r="AI1045" s="87"/>
      <c r="AJ1045" s="1724">
        <f>IF((X1048=0),0,AY1005*AJ992)</f>
        <v>11544444</v>
      </c>
      <c r="AK1045" s="1725"/>
      <c r="AL1045" s="1725"/>
      <c r="AM1045" s="1725"/>
      <c r="AN1045" s="1725"/>
      <c r="AO1045" s="1725"/>
      <c r="AP1045" s="1725"/>
      <c r="AQ1045" s="1726"/>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2.95" customHeight="1">
      <c r="A1046" s="14"/>
      <c r="B1046" s="73"/>
      <c r="C1046" s="442"/>
      <c r="D1046" s="1694" t="s">
        <v>1300</v>
      </c>
      <c r="E1046" s="1695"/>
      <c r="F1046" s="1695"/>
      <c r="G1046" s="1695"/>
      <c r="H1046" s="1695"/>
      <c r="I1046" s="1695"/>
      <c r="J1046" s="1695"/>
      <c r="K1046" s="1695"/>
      <c r="L1046" s="1695"/>
      <c r="M1046" s="1695"/>
      <c r="N1046" s="1695"/>
      <c r="O1046" s="1695"/>
      <c r="P1046" s="1695"/>
      <c r="Q1046" s="1695"/>
      <c r="R1046" s="1695"/>
      <c r="S1046" s="1695"/>
      <c r="T1046" s="1695"/>
      <c r="U1046" s="1695"/>
      <c r="V1046" s="1695"/>
      <c r="W1046" s="1695"/>
      <c r="X1046" s="1695"/>
      <c r="Y1046" s="1695"/>
      <c r="Z1046" s="1695"/>
      <c r="AA1046" s="1695"/>
      <c r="AB1046" s="1695"/>
      <c r="AC1046" s="1695"/>
      <c r="AD1046" s="1695"/>
      <c r="AE1046" s="1696"/>
      <c r="AF1046" s="73"/>
      <c r="AG1046" s="443"/>
      <c r="AH1046" s="443"/>
      <c r="AI1046" s="83"/>
      <c r="AJ1046" s="1727"/>
      <c r="AK1046" s="1728"/>
      <c r="AL1046" s="1728"/>
      <c r="AM1046" s="1728"/>
      <c r="AN1046" s="1728"/>
      <c r="AO1046" s="1728"/>
      <c r="AP1046" s="1728"/>
      <c r="AQ1046" s="1729"/>
      <c r="AR1046" s="68"/>
      <c r="AS1046" s="68"/>
      <c r="AT1046" s="68"/>
      <c r="AU1046" s="13"/>
      <c r="AV1046" s="68"/>
      <c r="AW1046" s="68"/>
      <c r="AX1046" s="68"/>
      <c r="AY1046" s="68"/>
      <c r="AZ1046" s="962">
        <f>'Sources and Uses Budget'!S97*BA1046</f>
        <v>9261344.0999999996</v>
      </c>
      <c r="BA1046" s="1182">
        <f>IF(BA1040,20%,15%)</f>
        <v>0.15</v>
      </c>
      <c r="BB1046" s="3" t="s">
        <v>2479</v>
      </c>
      <c r="BC1046" s="3" t="s">
        <v>2480</v>
      </c>
      <c r="BD1046" s="3"/>
    </row>
    <row r="1047" spans="1:56" ht="12.95" customHeight="1">
      <c r="A1047" s="14"/>
      <c r="B1047" s="73"/>
      <c r="C1047" s="442"/>
      <c r="D1047" s="1694"/>
      <c r="E1047" s="1695"/>
      <c r="F1047" s="1695"/>
      <c r="G1047" s="1695"/>
      <c r="H1047" s="1695"/>
      <c r="I1047" s="1695"/>
      <c r="J1047" s="1695"/>
      <c r="K1047" s="1695"/>
      <c r="L1047" s="1695"/>
      <c r="M1047" s="1695"/>
      <c r="N1047" s="1695"/>
      <c r="O1047" s="1695"/>
      <c r="P1047" s="1695"/>
      <c r="Q1047" s="1695"/>
      <c r="R1047" s="1695"/>
      <c r="S1047" s="1695"/>
      <c r="T1047" s="1695"/>
      <c r="U1047" s="1695"/>
      <c r="V1047" s="1695"/>
      <c r="W1047" s="1695"/>
      <c r="X1047" s="1695"/>
      <c r="Y1047" s="1695"/>
      <c r="Z1047" s="1695"/>
      <c r="AA1047" s="1695"/>
      <c r="AB1047" s="1695"/>
      <c r="AC1047" s="1695"/>
      <c r="AD1047" s="1695"/>
      <c r="AE1047" s="1696"/>
      <c r="AF1047" s="73"/>
      <c r="AG1047" s="443"/>
      <c r="AH1047" s="443"/>
      <c r="AI1047" s="83"/>
      <c r="AJ1047" s="1727"/>
      <c r="AK1047" s="1728"/>
      <c r="AL1047" s="1728"/>
      <c r="AM1047" s="1728"/>
      <c r="AN1047" s="1728"/>
      <c r="AO1047" s="1728"/>
      <c r="AP1047" s="1728"/>
      <c r="AQ1047" s="1729"/>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2.95" customHeight="1">
      <c r="A1048" s="14"/>
      <c r="B1048" s="77"/>
      <c r="C1048" s="78"/>
      <c r="D1048" s="132" t="s">
        <v>973</v>
      </c>
      <c r="E1048" s="133"/>
      <c r="F1048" s="133"/>
      <c r="G1048" s="133"/>
      <c r="H1048" s="133"/>
      <c r="I1048" s="1786">
        <f>AY1003</f>
        <v>78</v>
      </c>
      <c r="J1048" s="1787"/>
      <c r="K1048" s="7"/>
      <c r="L1048" s="133"/>
      <c r="M1048" s="133"/>
      <c r="N1048" s="133"/>
      <c r="O1048" s="133"/>
      <c r="P1048" s="133"/>
      <c r="Q1048" s="133"/>
      <c r="R1048" s="133"/>
      <c r="S1048" s="133"/>
      <c r="T1048" s="133"/>
      <c r="U1048" s="133"/>
      <c r="V1048" s="134" t="s">
        <v>974</v>
      </c>
      <c r="W1048" s="48"/>
      <c r="X1048" s="1784">
        <f>CI753</f>
        <v>16</v>
      </c>
      <c r="Y1048" s="1785"/>
      <c r="Z1048" s="48"/>
      <c r="AA1048" s="48"/>
      <c r="AB1048" s="48"/>
      <c r="AC1048" s="48"/>
      <c r="AD1048" s="48"/>
      <c r="AE1048" s="49"/>
      <c r="AF1048" s="924"/>
      <c r="AG1048" s="925"/>
      <c r="AH1048" s="925"/>
      <c r="AI1048" s="926"/>
      <c r="AJ1048" s="1730"/>
      <c r="AK1048" s="1731"/>
      <c r="AL1048" s="1731"/>
      <c r="AM1048" s="1731"/>
      <c r="AN1048" s="1731"/>
      <c r="AO1048" s="1731"/>
      <c r="AP1048" s="1731"/>
      <c r="AQ1048" s="1732"/>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2479</v>
      </c>
      <c r="BC1048" s="3" t="s">
        <v>2482</v>
      </c>
      <c r="BD1048" s="3"/>
    </row>
    <row r="1049" spans="1:56" ht="12.95" customHeight="1">
      <c r="A1049" s="14"/>
      <c r="B1049" s="79"/>
      <c r="C1049" s="131" t="s">
        <v>1686</v>
      </c>
      <c r="D1049" s="1763" t="s">
        <v>2171</v>
      </c>
      <c r="E1049" s="1764"/>
      <c r="F1049" s="1764"/>
      <c r="G1049" s="1764"/>
      <c r="H1049" s="1764"/>
      <c r="I1049" s="1764"/>
      <c r="J1049" s="1764"/>
      <c r="K1049" s="1764"/>
      <c r="L1049" s="1764"/>
      <c r="M1049" s="1764"/>
      <c r="N1049" s="1764"/>
      <c r="O1049" s="1764"/>
      <c r="P1049" s="1764"/>
      <c r="Q1049" s="1764"/>
      <c r="R1049" s="1764"/>
      <c r="S1049" s="1764"/>
      <c r="T1049" s="1764"/>
      <c r="U1049" s="1764"/>
      <c r="V1049" s="1764"/>
      <c r="W1049" s="1764"/>
      <c r="X1049" s="1764"/>
      <c r="Y1049" s="1764"/>
      <c r="Z1049" s="1764"/>
      <c r="AA1049" s="1764"/>
      <c r="AB1049" s="1764"/>
      <c r="AC1049" s="1764"/>
      <c r="AD1049" s="1764"/>
      <c r="AE1049" s="1765"/>
      <c r="AF1049" s="73"/>
      <c r="AG1049" s="1748" t="str">
        <f>IF(X1052&gt;0,"Yes","No")</f>
        <v>Yes</v>
      </c>
      <c r="AH1049" s="1749"/>
      <c r="AI1049" s="83"/>
      <c r="AJ1049" s="1724">
        <f>IF((X1052=0),0,(2*AY1006)*AJ992)</f>
        <v>34633332</v>
      </c>
      <c r="AK1049" s="1725"/>
      <c r="AL1049" s="1725"/>
      <c r="AM1049" s="1725"/>
      <c r="AN1049" s="1725"/>
      <c r="AO1049" s="1725"/>
      <c r="AP1049" s="1725"/>
      <c r="AQ1049" s="1726"/>
      <c r="AR1049" s="68"/>
      <c r="AS1049" s="68"/>
      <c r="AT1049" s="68"/>
      <c r="AU1049" s="14"/>
      <c r="AV1049" s="68"/>
      <c r="AW1049" s="68"/>
      <c r="AX1049" s="68"/>
      <c r="AY1049" s="68"/>
      <c r="AZ1049" s="962">
        <f>AZ1045*BA1049</f>
        <v>0</v>
      </c>
      <c r="BA1049" s="1182">
        <v>0.15</v>
      </c>
      <c r="BB1049" s="3" t="s">
        <v>2479</v>
      </c>
      <c r="BC1049" s="3" t="s">
        <v>2483</v>
      </c>
      <c r="BD1049" s="3"/>
    </row>
    <row r="1050" spans="1:56" ht="12.95" customHeight="1">
      <c r="A1050" s="14"/>
      <c r="B1050" s="73"/>
      <c r="C1050" s="442"/>
      <c r="D1050" s="1694" t="s">
        <v>1299</v>
      </c>
      <c r="E1050" s="1695"/>
      <c r="F1050" s="1695"/>
      <c r="G1050" s="1695"/>
      <c r="H1050" s="1695"/>
      <c r="I1050" s="1695"/>
      <c r="J1050" s="1695"/>
      <c r="K1050" s="1695"/>
      <c r="L1050" s="1695"/>
      <c r="M1050" s="1695"/>
      <c r="N1050" s="1695"/>
      <c r="O1050" s="1695"/>
      <c r="P1050" s="1695"/>
      <c r="Q1050" s="1695"/>
      <c r="R1050" s="1695"/>
      <c r="S1050" s="1695"/>
      <c r="T1050" s="1695"/>
      <c r="U1050" s="1695"/>
      <c r="V1050" s="1695"/>
      <c r="W1050" s="1695"/>
      <c r="X1050" s="1695"/>
      <c r="Y1050" s="1695"/>
      <c r="Z1050" s="1695"/>
      <c r="AA1050" s="1695"/>
      <c r="AB1050" s="1695"/>
      <c r="AC1050" s="1695"/>
      <c r="AD1050" s="1695"/>
      <c r="AE1050" s="1696"/>
      <c r="AF1050" s="73"/>
      <c r="AG1050" s="443"/>
      <c r="AH1050" s="443"/>
      <c r="AI1050" s="83"/>
      <c r="AJ1050" s="1727"/>
      <c r="AK1050" s="1728"/>
      <c r="AL1050" s="1728"/>
      <c r="AM1050" s="1728"/>
      <c r="AN1050" s="1728"/>
      <c r="AO1050" s="1728"/>
      <c r="AP1050" s="1728"/>
      <c r="AQ1050" s="1729"/>
      <c r="AR1050" s="68"/>
      <c r="AS1050" s="68"/>
      <c r="AT1050" s="68"/>
      <c r="AU1050" s="68"/>
      <c r="AV1050" s="68"/>
      <c r="AW1050" s="68"/>
      <c r="AX1050" s="68"/>
      <c r="AY1050" s="68"/>
      <c r="AZ1050" s="962"/>
      <c r="BA1050" s="3"/>
      <c r="BB1050" s="3"/>
      <c r="BC1050" s="3"/>
      <c r="BD1050" s="3"/>
    </row>
    <row r="1051" spans="1:56" ht="12.95" customHeight="1">
      <c r="A1051" s="14"/>
      <c r="B1051" s="73"/>
      <c r="C1051" s="83"/>
      <c r="D1051" s="1694"/>
      <c r="E1051" s="1695"/>
      <c r="F1051" s="1695"/>
      <c r="G1051" s="1695"/>
      <c r="H1051" s="1695"/>
      <c r="I1051" s="1695"/>
      <c r="J1051" s="1695"/>
      <c r="K1051" s="1695"/>
      <c r="L1051" s="1695"/>
      <c r="M1051" s="1695"/>
      <c r="N1051" s="1695"/>
      <c r="O1051" s="1695"/>
      <c r="P1051" s="1695"/>
      <c r="Q1051" s="1695"/>
      <c r="R1051" s="1695"/>
      <c r="S1051" s="1695"/>
      <c r="T1051" s="1695"/>
      <c r="U1051" s="1695"/>
      <c r="V1051" s="1695"/>
      <c r="W1051" s="1695"/>
      <c r="X1051" s="1695"/>
      <c r="Y1051" s="1695"/>
      <c r="Z1051" s="1695"/>
      <c r="AA1051" s="1695"/>
      <c r="AB1051" s="1695"/>
      <c r="AC1051" s="1695"/>
      <c r="AD1051" s="1695"/>
      <c r="AE1051" s="1696"/>
      <c r="AF1051" s="921"/>
      <c r="AG1051" s="922"/>
      <c r="AH1051" s="922"/>
      <c r="AI1051" s="923"/>
      <c r="AJ1051" s="1727"/>
      <c r="AK1051" s="1728"/>
      <c r="AL1051" s="1728"/>
      <c r="AM1051" s="1728"/>
      <c r="AN1051" s="1728"/>
      <c r="AO1051" s="1728"/>
      <c r="AP1051" s="1728"/>
      <c r="AQ1051" s="1729"/>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786">
        <f>AY1003</f>
        <v>78</v>
      </c>
      <c r="J1052" s="1787"/>
      <c r="K1052" s="14"/>
      <c r="L1052" s="133"/>
      <c r="M1052" s="133"/>
      <c r="N1052" s="133"/>
      <c r="O1052" s="133"/>
      <c r="P1052" s="133"/>
      <c r="Q1052" s="133"/>
      <c r="R1052" s="133"/>
      <c r="S1052" s="133"/>
      <c r="T1052" s="133"/>
      <c r="U1052" s="133"/>
      <c r="V1052" s="134" t="s">
        <v>975</v>
      </c>
      <c r="X1052" s="1784">
        <f>CM753</f>
        <v>24</v>
      </c>
      <c r="Y1052" s="1785"/>
      <c r="AF1052" s="924"/>
      <c r="AG1052" s="925"/>
      <c r="AH1052" s="925"/>
      <c r="AI1052" s="926"/>
      <c r="AJ1052" s="1730"/>
      <c r="AK1052" s="1731"/>
      <c r="AL1052" s="1731"/>
      <c r="AM1052" s="1731"/>
      <c r="AN1052" s="1731"/>
      <c r="AO1052" s="1731"/>
      <c r="AP1052" s="1731"/>
      <c r="AQ1052" s="1732"/>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2.95" customHeight="1">
      <c r="A1053" s="14"/>
      <c r="B1053" s="102"/>
      <c r="C1053" s="103"/>
      <c r="D1053" s="1782" t="s">
        <v>514</v>
      </c>
      <c r="E1053" s="1782"/>
      <c r="F1053" s="1782"/>
      <c r="G1053" s="1782"/>
      <c r="H1053" s="1782"/>
      <c r="I1053" s="1782"/>
      <c r="J1053" s="1782"/>
      <c r="K1053" s="1782"/>
      <c r="L1053" s="1782"/>
      <c r="M1053" s="1782"/>
      <c r="N1053" s="1782"/>
      <c r="O1053" s="1782"/>
      <c r="P1053" s="1782"/>
      <c r="Q1053" s="1782"/>
      <c r="R1053" s="1782"/>
      <c r="S1053" s="1782"/>
      <c r="T1053" s="1782"/>
      <c r="U1053" s="1782"/>
      <c r="V1053" s="1782"/>
      <c r="W1053" s="1782"/>
      <c r="X1053" s="1782"/>
      <c r="Y1053" s="1782"/>
      <c r="Z1053" s="1782"/>
      <c r="AA1053" s="1782"/>
      <c r="AB1053" s="1782"/>
      <c r="AC1053" s="1782"/>
      <c r="AD1053" s="1782"/>
      <c r="AE1053" s="1782"/>
      <c r="AF1053" s="1782"/>
      <c r="AG1053" s="1782"/>
      <c r="AH1053" s="1782"/>
      <c r="AI1053" s="1783"/>
      <c r="AJ1053" s="1797">
        <f>SUM(AJ992:AQ1052)</f>
        <v>126988884</v>
      </c>
      <c r="AK1053" s="1798"/>
      <c r="AL1053" s="1798"/>
      <c r="AM1053" s="1798"/>
      <c r="AN1053" s="1798"/>
      <c r="AO1053" s="1798"/>
      <c r="AP1053" s="1798"/>
      <c r="AQ1053" s="1799"/>
      <c r="AR1053" s="68"/>
      <c r="AS1053" s="68"/>
      <c r="AT1053" s="68"/>
      <c r="AU1053" s="68"/>
      <c r="AV1053" s="68"/>
      <c r="AW1053" s="68"/>
      <c r="AX1053" s="68"/>
      <c r="AY1053" s="68"/>
      <c r="AZ1053" s="1181">
        <v>6000000</v>
      </c>
      <c r="BA1053" s="3" t="s">
        <v>2486</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2.95"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7">
        <f>'Sources and Uses Budget'!S107+'Sources and Uses Budget'!T107</f>
        <v>71002344</v>
      </c>
      <c r="AB1056" s="1347"/>
      <c r="AC1056" s="1347"/>
      <c r="AD1056" s="1347"/>
      <c r="AE1056" s="1347"/>
      <c r="AF1056" s="1347"/>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9261344.0999999996</v>
      </c>
      <c r="BB1056" s="3" t="s">
        <v>2488</v>
      </c>
      <c r="BC1056" s="3"/>
      <c r="BD1056" s="3"/>
    </row>
    <row r="1057" spans="1:54" ht="12.95"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8">
        <f>IFERROR((AA1056-BA1059)/(AJ1053-AJ1045-AJ1049),"")</f>
        <v>0.79496860753350884</v>
      </c>
      <c r="AB1057" s="1349"/>
      <c r="AC1057" s="1349"/>
      <c r="AD1057" s="1349"/>
      <c r="AE1057" s="1349"/>
      <c r="AF1057" s="1350"/>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51"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51"/>
      <c r="I1058" s="1351"/>
      <c r="J1058" s="1351"/>
      <c r="K1058" s="1351"/>
      <c r="L1058" s="1351"/>
      <c r="M1058" s="1351"/>
      <c r="N1058" s="1351"/>
      <c r="O1058" s="1351"/>
      <c r="P1058" s="1351"/>
      <c r="Q1058" s="1351"/>
      <c r="R1058" s="1351"/>
      <c r="S1058" s="1351"/>
      <c r="T1058" s="1351"/>
      <c r="U1058" s="1351"/>
      <c r="V1058" s="1351"/>
      <c r="W1058" s="1351"/>
      <c r="X1058" s="1351"/>
      <c r="Y1058" s="1351"/>
      <c r="Z1058" s="1351"/>
      <c r="AA1058" s="1351"/>
      <c r="AB1058" s="1351"/>
      <c r="AC1058" s="1351"/>
      <c r="AD1058" s="1351"/>
      <c r="AE1058" s="1351"/>
      <c r="AF1058" s="1351"/>
      <c r="AG1058" s="1351"/>
      <c r="AH1058" s="1351"/>
      <c r="AI1058" s="1351"/>
      <c r="AJ1058" s="1351"/>
      <c r="AK1058" s="1351"/>
      <c r="AL1058" s="1351"/>
      <c r="AM1058" s="1351"/>
      <c r="AN1058" s="1351"/>
      <c r="AO1058" s="68"/>
      <c r="AP1058" s="68"/>
      <c r="AQ1058" s="68"/>
      <c r="AR1058" s="68"/>
      <c r="AS1058" s="68"/>
      <c r="AT1058" s="68"/>
      <c r="AU1058" s="68"/>
      <c r="AV1058" s="14"/>
      <c r="AW1058" s="14"/>
      <c r="AX1058" s="14"/>
      <c r="AY1058" s="14"/>
      <c r="BA1058" s="1185">
        <f>'Sources and Uses Budget'!$S$104+'Sources and Uses Budget'!$T$104</f>
        <v>9260050</v>
      </c>
      <c r="BB1058" s="3" t="s">
        <v>2494</v>
      </c>
    </row>
    <row r="1059" spans="1:54" ht="12.95" customHeight="1">
      <c r="A1059" s="14"/>
      <c r="B1059" s="14"/>
      <c r="C1059" s="208"/>
      <c r="D1059" s="858"/>
      <c r="E1059" s="858"/>
      <c r="F1059" s="858"/>
      <c r="G1059" s="1351"/>
      <c r="H1059" s="1351"/>
      <c r="I1059" s="1351"/>
      <c r="J1059" s="1351"/>
      <c r="K1059" s="1351"/>
      <c r="L1059" s="1351"/>
      <c r="M1059" s="1351"/>
      <c r="N1059" s="1351"/>
      <c r="O1059" s="1351"/>
      <c r="P1059" s="1351"/>
      <c r="Q1059" s="1351"/>
      <c r="R1059" s="1351"/>
      <c r="S1059" s="1351"/>
      <c r="T1059" s="1351"/>
      <c r="U1059" s="1351"/>
      <c r="V1059" s="1351"/>
      <c r="W1059" s="1351"/>
      <c r="X1059" s="1351"/>
      <c r="Y1059" s="1351"/>
      <c r="Z1059" s="1351"/>
      <c r="AA1059" s="1351"/>
      <c r="AB1059" s="1351"/>
      <c r="AC1059" s="1351"/>
      <c r="AD1059" s="1351"/>
      <c r="AE1059" s="1351"/>
      <c r="AF1059" s="1351"/>
      <c r="AG1059" s="1351"/>
      <c r="AH1059" s="1351"/>
      <c r="AI1059" s="1351"/>
      <c r="AJ1059" s="1351"/>
      <c r="AK1059" s="1351"/>
      <c r="AL1059" s="1351"/>
      <c r="AM1059" s="1351"/>
      <c r="AN1059" s="1351"/>
      <c r="AO1059" s="68"/>
      <c r="AP1059" s="68"/>
      <c r="AQ1059" s="68"/>
      <c r="AR1059" s="68"/>
      <c r="AS1059" s="68"/>
      <c r="AT1059" s="68"/>
      <c r="AU1059" s="68"/>
      <c r="AV1059" s="14"/>
      <c r="AW1059" s="14"/>
      <c r="AX1059" s="14"/>
      <c r="AY1059" s="14"/>
      <c r="BA1059" s="1186">
        <f>MAX($BA$1058-$BA$1055,0)</f>
        <v>6760050</v>
      </c>
      <c r="BB1059" s="3" t="s">
        <v>2495</v>
      </c>
    </row>
    <row r="1060" spans="1:54" ht="12.95" customHeight="1">
      <c r="A1060" s="88"/>
      <c r="B1060" s="1172"/>
      <c r="C1060" s="1172"/>
      <c r="D1060" s="1172"/>
      <c r="E1060" s="1172"/>
      <c r="F1060" s="1172"/>
      <c r="G1060" s="1351"/>
      <c r="H1060" s="1351"/>
      <c r="I1060" s="1351"/>
      <c r="J1060" s="1351"/>
      <c r="K1060" s="1351"/>
      <c r="L1060" s="1351"/>
      <c r="M1060" s="1351"/>
      <c r="N1060" s="1351"/>
      <c r="O1060" s="1351"/>
      <c r="P1060" s="1351"/>
      <c r="Q1060" s="1351"/>
      <c r="R1060" s="1351"/>
      <c r="S1060" s="1351"/>
      <c r="T1060" s="1351"/>
      <c r="U1060" s="1351"/>
      <c r="V1060" s="1351"/>
      <c r="W1060" s="1351"/>
      <c r="X1060" s="1351"/>
      <c r="Y1060" s="1351"/>
      <c r="Z1060" s="1351"/>
      <c r="AA1060" s="1351"/>
      <c r="AB1060" s="1351"/>
      <c r="AC1060" s="1351"/>
      <c r="AD1060" s="1351"/>
      <c r="AE1060" s="1351"/>
      <c r="AF1060" s="1351"/>
      <c r="AG1060" s="1351"/>
      <c r="AH1060" s="1351"/>
      <c r="AI1060" s="1351"/>
      <c r="AJ1060" s="1351"/>
      <c r="AK1060" s="1351"/>
      <c r="AL1060" s="1351"/>
      <c r="AM1060" s="1351"/>
      <c r="AN1060" s="1351"/>
      <c r="AO1060" s="1172"/>
      <c r="AP1060" s="1172"/>
      <c r="AQ1060" s="68"/>
      <c r="AR1060" s="68"/>
      <c r="AS1060" s="68"/>
      <c r="AT1060" s="68"/>
      <c r="AU1060" s="68"/>
      <c r="AV1060" s="68"/>
      <c r="AW1060" s="68"/>
      <c r="AX1060" s="68"/>
      <c r="AY1060" s="68"/>
    </row>
    <row r="1061" spans="1:54" ht="12.95" customHeight="1">
      <c r="A1061" s="1837" t="s">
        <v>795</v>
      </c>
      <c r="B1061" s="1837"/>
      <c r="C1061" s="1837"/>
      <c r="D1061" s="1837"/>
      <c r="E1061" s="1837"/>
      <c r="F1061" s="1837"/>
      <c r="G1061" s="1837"/>
      <c r="H1061" s="1837"/>
      <c r="I1061" s="1837"/>
      <c r="J1061" s="1837"/>
      <c r="K1061" s="1837"/>
      <c r="L1061" s="1837"/>
      <c r="M1061" s="1837"/>
      <c r="N1061" s="1837"/>
      <c r="O1061" s="1837"/>
      <c r="P1061" s="1837"/>
      <c r="Q1061" s="1837"/>
      <c r="R1061" s="1837"/>
      <c r="S1061" s="1837"/>
      <c r="T1061" s="1837"/>
      <c r="U1061" s="1837"/>
      <c r="V1061" s="1837"/>
      <c r="W1061" s="1837"/>
      <c r="X1061" s="1837"/>
      <c r="Y1061" s="1837"/>
      <c r="Z1061" s="1837"/>
      <c r="AA1061" s="1837"/>
      <c r="AB1061" s="1837"/>
      <c r="AC1061" s="1837"/>
      <c r="AD1061" s="1837"/>
      <c r="AE1061" s="1837"/>
      <c r="AF1061" s="1837"/>
      <c r="AG1061" s="1837"/>
      <c r="AH1061" s="1837"/>
      <c r="AI1061" s="1837"/>
      <c r="AJ1061" s="1837"/>
      <c r="AK1061" s="1837"/>
      <c r="AL1061" s="1837"/>
      <c r="AM1061" s="1837"/>
      <c r="AN1061" s="1837"/>
      <c r="AO1061" s="1837"/>
      <c r="AP1061" s="1837"/>
      <c r="AQ1061" s="1837"/>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91" t="s">
        <v>592</v>
      </c>
      <c r="B1065" s="1391"/>
      <c r="C1065" s="1857">
        <v>1</v>
      </c>
      <c r="D1065" s="1857"/>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57"/>
      <c r="D1066" s="1857"/>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91" t="s">
        <v>592</v>
      </c>
      <c r="B1067" s="1391"/>
      <c r="C1067" s="1857">
        <v>2</v>
      </c>
      <c r="D1067" s="1857"/>
      <c r="E1067" s="1859" t="s">
        <v>2238</v>
      </c>
      <c r="F1067" s="1859"/>
      <c r="G1067" s="1859"/>
      <c r="H1067" s="1859"/>
      <c r="I1067" s="1859"/>
      <c r="J1067" s="1859"/>
      <c r="K1067" s="1859"/>
      <c r="L1067" s="1859"/>
      <c r="M1067" s="1859"/>
      <c r="N1067" s="1859"/>
      <c r="O1067" s="1859"/>
      <c r="P1067" s="1859"/>
      <c r="Q1067" s="1859"/>
      <c r="R1067" s="1859"/>
      <c r="S1067" s="1859"/>
      <c r="T1067" s="1859"/>
      <c r="U1067" s="1859"/>
      <c r="V1067" s="1859"/>
      <c r="W1067" s="1859"/>
      <c r="X1067" s="1859"/>
      <c r="Y1067" s="1859"/>
      <c r="Z1067" s="1859"/>
      <c r="AA1067" s="1859"/>
      <c r="AB1067" s="1859"/>
      <c r="AC1067" s="1859"/>
      <c r="AD1067" s="1859"/>
      <c r="AE1067" s="1859"/>
      <c r="AF1067" s="1859"/>
      <c r="AG1067" s="1859"/>
      <c r="AH1067" s="1859"/>
      <c r="AI1067" s="1859"/>
      <c r="AJ1067" s="1859"/>
      <c r="AK1067" s="1859"/>
      <c r="AL1067" s="1859"/>
      <c r="AM1067" s="1859"/>
      <c r="AN1067" s="1859"/>
      <c r="AO1067" s="1859"/>
      <c r="AP1067" s="1859"/>
      <c r="AQ1067" s="1859"/>
      <c r="AR1067" s="1859"/>
      <c r="AS1067" s="14"/>
      <c r="AT1067" s="14"/>
      <c r="AV1067" s="68"/>
      <c r="AW1067" s="68"/>
      <c r="AX1067" s="68"/>
      <c r="AY1067" s="68"/>
    </row>
    <row r="1068" spans="1:54" ht="12.95" customHeight="1">
      <c r="A1068" s="198"/>
      <c r="B1068" s="67"/>
      <c r="C1068" s="1857"/>
      <c r="D1068" s="1857"/>
      <c r="E1068" s="1859"/>
      <c r="F1068" s="1859"/>
      <c r="G1068" s="1859"/>
      <c r="H1068" s="1859"/>
      <c r="I1068" s="1859"/>
      <c r="J1068" s="1859"/>
      <c r="K1068" s="1859"/>
      <c r="L1068" s="1859"/>
      <c r="M1068" s="1859"/>
      <c r="N1068" s="1859"/>
      <c r="O1068" s="1859"/>
      <c r="P1068" s="1859"/>
      <c r="Q1068" s="1859"/>
      <c r="R1068" s="1859"/>
      <c r="S1068" s="1859"/>
      <c r="T1068" s="1859"/>
      <c r="U1068" s="1859"/>
      <c r="V1068" s="1859"/>
      <c r="W1068" s="1859"/>
      <c r="X1068" s="1859"/>
      <c r="Y1068" s="1859"/>
      <c r="Z1068" s="1859"/>
      <c r="AA1068" s="1859"/>
      <c r="AB1068" s="1859"/>
      <c r="AC1068" s="1859"/>
      <c r="AD1068" s="1859"/>
      <c r="AE1068" s="1859"/>
      <c r="AF1068" s="1859"/>
      <c r="AG1068" s="1859"/>
      <c r="AH1068" s="1859"/>
      <c r="AI1068" s="1859"/>
      <c r="AJ1068" s="1859"/>
      <c r="AK1068" s="1859"/>
      <c r="AL1068" s="1859"/>
      <c r="AM1068" s="1859"/>
      <c r="AN1068" s="1859"/>
      <c r="AO1068" s="1859"/>
      <c r="AP1068" s="1859"/>
      <c r="AQ1068" s="1859"/>
      <c r="AR1068" s="1859"/>
      <c r="AS1068" s="14"/>
      <c r="AT1068" s="14"/>
      <c r="AV1068" s="68"/>
      <c r="AW1068" s="68"/>
      <c r="AX1068" s="68"/>
      <c r="AY1068" s="68"/>
    </row>
    <row r="1069" spans="1:54" ht="12.95" customHeight="1">
      <c r="A1069" s="198"/>
      <c r="B1069" s="67"/>
      <c r="C1069" s="1857"/>
      <c r="D1069" s="1857"/>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91" t="s">
        <v>592</v>
      </c>
      <c r="B1070" s="1391"/>
      <c r="C1070" s="1389">
        <v>3</v>
      </c>
      <c r="D1070" s="1389"/>
      <c r="E1070" s="1328" t="s">
        <v>1081</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2.95" customHeight="1">
      <c r="A1071" s="1"/>
      <c r="B1071" s="1"/>
      <c r="C1071" s="1389"/>
      <c r="D1071" s="1389"/>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2.95" customHeight="1">
      <c r="A1072" s="1"/>
      <c r="B1072" s="1"/>
      <c r="C1072" s="1389"/>
      <c r="D1072" s="1389"/>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2.95" customHeight="1">
      <c r="A1073" s="1"/>
      <c r="B1073" s="1"/>
      <c r="C1073" s="1389"/>
      <c r="D1073" s="1389"/>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2.95" customHeight="1">
      <c r="A1074" s="2"/>
      <c r="B1074" s="25"/>
      <c r="C1074" s="1389"/>
      <c r="D1074" s="1389"/>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91" t="s">
        <v>592</v>
      </c>
      <c r="B1075" s="1391"/>
      <c r="C1075" s="1389">
        <v>4</v>
      </c>
      <c r="D1075" s="1389"/>
      <c r="E1075" s="1328" t="s">
        <v>1080</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2.95" customHeight="1">
      <c r="A1076" s="1"/>
      <c r="B1076" s="1"/>
      <c r="C1076" s="1389"/>
      <c r="D1076" s="1389"/>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2.95" customHeight="1">
      <c r="A1077" s="1"/>
      <c r="B1077" s="1"/>
      <c r="C1077" s="1389"/>
      <c r="D1077" s="1389"/>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2.95" customHeight="1">
      <c r="A1078" s="1"/>
      <c r="B1078" s="1"/>
      <c r="C1078" s="1389"/>
      <c r="D1078" s="1389"/>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2.95" customHeight="1">
      <c r="A1079" s="1"/>
      <c r="B1079" s="1"/>
      <c r="C1079" s="1389"/>
      <c r="D1079" s="1389"/>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2.95" customHeight="1">
      <c r="A1080" s="1"/>
      <c r="B1080" s="1"/>
      <c r="C1080" s="1389"/>
      <c r="D1080" s="1389"/>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91" t="s">
        <v>592</v>
      </c>
      <c r="B1081" s="1391"/>
      <c r="C1081" s="1389">
        <v>5</v>
      </c>
      <c r="D1081" s="1389"/>
      <c r="E1081" s="1328" t="s">
        <v>2242</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2.95" customHeight="1">
      <c r="A1082" s="4"/>
      <c r="B1082" s="4"/>
      <c r="C1082" s="1389"/>
      <c r="D1082" s="1389"/>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2.95" customHeight="1">
      <c r="A1083" s="4"/>
      <c r="B1083" s="4"/>
      <c r="C1083" s="1389"/>
      <c r="D1083" s="1389"/>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2.95" customHeight="1">
      <c r="A1084" s="35"/>
      <c r="B1084" s="25"/>
      <c r="C1084" s="1389"/>
      <c r="D1084" s="1389"/>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91" t="s">
        <v>592</v>
      </c>
      <c r="B1085" s="1391"/>
      <c r="C1085" s="1389">
        <v>6</v>
      </c>
      <c r="D1085" s="1389"/>
      <c r="E1085" s="1328" t="s">
        <v>2243</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2.95"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2.95" customHeight="1">
      <c r="A1087" s="1"/>
      <c r="B1087" s="1"/>
      <c r="C1087" s="1389"/>
      <c r="D1087" s="1389"/>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2.95" customHeight="1">
      <c r="A1088" s="35"/>
      <c r="B1088" s="25"/>
      <c r="C1088" s="1389"/>
      <c r="D1088" s="1389"/>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91" t="s">
        <v>592</v>
      </c>
      <c r="B1089" s="1391"/>
      <c r="C1089" s="1389">
        <v>7</v>
      </c>
      <c r="D1089" s="1389"/>
      <c r="E1089" s="1328" t="s">
        <v>2139</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2.95" customHeight="1">
      <c r="A1090" s="1"/>
      <c r="B1090" s="1"/>
      <c r="C1090" s="1389"/>
      <c r="D1090" s="1389"/>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2.95" customHeight="1">
      <c r="A1091" s="1"/>
      <c r="B1091" s="1"/>
      <c r="C1091" s="1389"/>
      <c r="D1091" s="1389"/>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2.95" customHeight="1">
      <c r="A1092" s="1"/>
      <c r="B1092" s="1"/>
      <c r="C1092" s="1389"/>
      <c r="D1092" s="1389"/>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89"/>
      <c r="D1093" s="1389"/>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91" t="s">
        <v>592</v>
      </c>
      <c r="B1094" s="1391"/>
      <c r="C1094" s="1389">
        <v>8</v>
      </c>
      <c r="D1094" s="1389"/>
      <c r="E1094" s="1328" t="s">
        <v>1074</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2.95" customHeight="1">
      <c r="A1095" s="35"/>
      <c r="B1095" s="25"/>
      <c r="C1095" s="1389"/>
      <c r="D1095" s="1389"/>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2.95" customHeight="1">
      <c r="A1096" s="35"/>
      <c r="B1096" s="25"/>
      <c r="C1096" s="1389"/>
      <c r="D1096" s="1389"/>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91" t="s">
        <v>592</v>
      </c>
      <c r="B1097" s="1391"/>
      <c r="C1097" s="1857">
        <v>9</v>
      </c>
      <c r="D1097" s="1857"/>
      <c r="E1097" s="1328" t="s">
        <v>1076</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2.95" customHeight="1">
      <c r="A1098" s="1"/>
      <c r="B1098" s="1"/>
      <c r="C1098" s="1857"/>
      <c r="D1098" s="1857"/>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2.95" customHeight="1">
      <c r="A1099" s="35"/>
      <c r="B1099" s="25"/>
      <c r="C1099" s="1857"/>
      <c r="D1099" s="1857"/>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91" t="s">
        <v>592</v>
      </c>
      <c r="B1100" s="1391"/>
      <c r="C1100" s="1857">
        <v>10</v>
      </c>
      <c r="D1100" s="1857"/>
      <c r="E1100" s="1858" t="s">
        <v>2239</v>
      </c>
      <c r="F1100" s="1858"/>
      <c r="G1100" s="1858"/>
      <c r="H1100" s="1858"/>
      <c r="I1100" s="1858"/>
      <c r="J1100" s="1858"/>
      <c r="K1100" s="1858"/>
      <c r="L1100" s="1858"/>
      <c r="M1100" s="1858"/>
      <c r="N1100" s="1858"/>
      <c r="O1100" s="1858"/>
      <c r="P1100" s="1858"/>
      <c r="Q1100" s="1858"/>
      <c r="R1100" s="1858"/>
      <c r="S1100" s="1858"/>
      <c r="T1100" s="1858"/>
      <c r="U1100" s="1858"/>
      <c r="V1100" s="1858"/>
      <c r="W1100" s="1858"/>
      <c r="X1100" s="1858"/>
      <c r="Y1100" s="1858"/>
      <c r="Z1100" s="1858"/>
      <c r="AA1100" s="1858"/>
      <c r="AB1100" s="1858"/>
      <c r="AC1100" s="1858"/>
      <c r="AD1100" s="1858"/>
      <c r="AE1100" s="1858"/>
      <c r="AF1100" s="1858"/>
      <c r="AG1100" s="1858"/>
      <c r="AH1100" s="1858"/>
      <c r="AI1100" s="1858"/>
      <c r="AJ1100" s="1858"/>
      <c r="AK1100" s="1858"/>
      <c r="AL1100" s="1858"/>
      <c r="AM1100" s="1858"/>
      <c r="AN1100" s="1858"/>
      <c r="AO1100" s="1858"/>
      <c r="AP1100" s="1858"/>
      <c r="AQ1100" s="1858"/>
      <c r="AR1100" s="1858"/>
    </row>
    <row r="1101" spans="1:45" ht="12.95" customHeight="1">
      <c r="A1101" s="1"/>
      <c r="B1101" s="1"/>
      <c r="C1101" s="199"/>
      <c r="D1101" s="1161"/>
      <c r="E1101" s="1858"/>
      <c r="F1101" s="1858"/>
      <c r="G1101" s="1858"/>
      <c r="H1101" s="1858"/>
      <c r="I1101" s="1858"/>
      <c r="J1101" s="1858"/>
      <c r="K1101" s="1858"/>
      <c r="L1101" s="1858"/>
      <c r="M1101" s="1858"/>
      <c r="N1101" s="1858"/>
      <c r="O1101" s="1858"/>
      <c r="P1101" s="1858"/>
      <c r="Q1101" s="1858"/>
      <c r="R1101" s="1858"/>
      <c r="S1101" s="1858"/>
      <c r="T1101" s="1858"/>
      <c r="U1101" s="1858"/>
      <c r="V1101" s="1858"/>
      <c r="W1101" s="1858"/>
      <c r="X1101" s="1858"/>
      <c r="Y1101" s="1858"/>
      <c r="Z1101" s="1858"/>
      <c r="AA1101" s="1858"/>
      <c r="AB1101" s="1858"/>
      <c r="AC1101" s="1858"/>
      <c r="AD1101" s="1858"/>
      <c r="AE1101" s="1858"/>
      <c r="AF1101" s="1858"/>
      <c r="AG1101" s="1858"/>
      <c r="AH1101" s="1858"/>
      <c r="AI1101" s="1858"/>
      <c r="AJ1101" s="1858"/>
      <c r="AK1101" s="1858"/>
      <c r="AL1101" s="1858"/>
      <c r="AM1101" s="1858"/>
      <c r="AN1101" s="1858"/>
      <c r="AO1101" s="1858"/>
      <c r="AP1101" s="1858"/>
      <c r="AQ1101" s="1858"/>
      <c r="AR1101" s="1858"/>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91" t="s">
        <v>592</v>
      </c>
      <c r="B1103" s="1391"/>
      <c r="C1103" s="1857">
        <v>11</v>
      </c>
      <c r="D1103" s="1857"/>
      <c r="E1103" s="1858" t="s">
        <v>2241</v>
      </c>
      <c r="F1103" s="1858"/>
      <c r="G1103" s="1858"/>
      <c r="H1103" s="1858"/>
      <c r="I1103" s="1858"/>
      <c r="J1103" s="1858"/>
      <c r="K1103" s="1858"/>
      <c r="L1103" s="1858"/>
      <c r="M1103" s="1858"/>
      <c r="N1103" s="1858"/>
      <c r="O1103" s="1858"/>
      <c r="P1103" s="1858"/>
      <c r="Q1103" s="1858"/>
      <c r="R1103" s="1858"/>
      <c r="S1103" s="1858"/>
      <c r="T1103" s="1858"/>
      <c r="U1103" s="1858"/>
      <c r="V1103" s="1858"/>
      <c r="W1103" s="1858"/>
      <c r="X1103" s="1858"/>
      <c r="Y1103" s="1858"/>
      <c r="Z1103" s="1858"/>
      <c r="AA1103" s="1858"/>
      <c r="AB1103" s="1858"/>
      <c r="AC1103" s="1858"/>
      <c r="AD1103" s="1858"/>
      <c r="AE1103" s="1858"/>
      <c r="AF1103" s="1858"/>
      <c r="AG1103" s="1858"/>
      <c r="AH1103" s="1858"/>
      <c r="AI1103" s="1858"/>
      <c r="AJ1103" s="1858"/>
      <c r="AK1103" s="1858"/>
      <c r="AL1103" s="1858"/>
      <c r="AM1103" s="1858"/>
      <c r="AN1103" s="1858"/>
      <c r="AO1103" s="1858"/>
      <c r="AP1103" s="1858"/>
      <c r="AQ1103" s="1858"/>
      <c r="AR1103" s="1858"/>
    </row>
    <row r="1104" spans="1:45" ht="12.95" customHeight="1">
      <c r="A1104" s="1"/>
      <c r="B1104" s="1"/>
      <c r="C1104" s="199"/>
      <c r="D1104" s="1161"/>
      <c r="E1104" s="1858"/>
      <c r="F1104" s="1858"/>
      <c r="G1104" s="1858"/>
      <c r="H1104" s="1858"/>
      <c r="I1104" s="1858"/>
      <c r="J1104" s="1858"/>
      <c r="K1104" s="1858"/>
      <c r="L1104" s="1858"/>
      <c r="M1104" s="1858"/>
      <c r="N1104" s="1858"/>
      <c r="O1104" s="1858"/>
      <c r="P1104" s="1858"/>
      <c r="Q1104" s="1858"/>
      <c r="R1104" s="1858"/>
      <c r="S1104" s="1858"/>
      <c r="T1104" s="1858"/>
      <c r="U1104" s="1858"/>
      <c r="V1104" s="1858"/>
      <c r="W1104" s="1858"/>
      <c r="X1104" s="1858"/>
      <c r="Y1104" s="1858"/>
      <c r="Z1104" s="1858"/>
      <c r="AA1104" s="1858"/>
      <c r="AB1104" s="1858"/>
      <c r="AC1104" s="1858"/>
      <c r="AD1104" s="1858"/>
      <c r="AE1104" s="1858"/>
      <c r="AF1104" s="1858"/>
      <c r="AG1104" s="1858"/>
      <c r="AH1104" s="1858"/>
      <c r="AI1104" s="1858"/>
      <c r="AJ1104" s="1858"/>
      <c r="AK1104" s="1858"/>
      <c r="AL1104" s="1858"/>
      <c r="AM1104" s="1858"/>
      <c r="AN1104" s="1858"/>
      <c r="AO1104" s="1858"/>
      <c r="AP1104" s="1858"/>
      <c r="AQ1104" s="1858"/>
      <c r="AR1104" s="1858"/>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91" t="s">
        <v>592</v>
      </c>
      <c r="B1125" s="1391"/>
      <c r="C1125" s="199">
        <v>9</v>
      </c>
      <c r="D1125" s="1260" t="s">
        <v>1075</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B740:F740"/>
    <mergeCell ref="O739:S739"/>
    <mergeCell ref="O740:S740"/>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AC503:AF503"/>
    <mergeCell ref="AC513:AF513"/>
    <mergeCell ref="Z611:AK611"/>
    <mergeCell ref="AC518:AF518"/>
    <mergeCell ref="AH504:AK504"/>
    <mergeCell ref="AH517:AK517"/>
    <mergeCell ref="W471:Y471"/>
    <mergeCell ref="EH652:EL652"/>
    <mergeCell ref="AI671:AK671"/>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DZ738:ED738"/>
    <mergeCell ref="EE738:EI738"/>
    <mergeCell ref="EJ738:EN738"/>
    <mergeCell ref="DE735:DI735"/>
    <mergeCell ref="DO732:DS732"/>
    <mergeCell ref="DZ739:ED739"/>
    <mergeCell ref="EE739:EI739"/>
    <mergeCell ref="DO753:DS753"/>
    <mergeCell ref="DO773:DS773"/>
    <mergeCell ref="DJ751:DN751"/>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R649:EV649"/>
    <mergeCell ref="AK723:AO723"/>
    <mergeCell ref="AK724:AO724"/>
    <mergeCell ref="DU739:DY739"/>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DE740:DI740"/>
    <mergeCell ref="DU740:DY740"/>
    <mergeCell ref="DZ740:ED740"/>
    <mergeCell ref="EE740:EI740"/>
    <mergeCell ref="EJ740:EN740"/>
    <mergeCell ref="CU775:CY775"/>
    <mergeCell ref="EE745:EI745"/>
    <mergeCell ref="EO745:ES745"/>
    <mergeCell ref="DU749:DY749"/>
    <mergeCell ref="DZ749:ED749"/>
    <mergeCell ref="CP753:CT753"/>
    <mergeCell ref="CP751:CT751"/>
    <mergeCell ref="DZ741:ED741"/>
    <mergeCell ref="DJ747:DN747"/>
    <mergeCell ref="DO747:DS747"/>
    <mergeCell ref="DU745:DY745"/>
    <mergeCell ref="DZ745:ED745"/>
    <mergeCell ref="CU751:CY751"/>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X732:AB732"/>
    <mergeCell ref="K734:N734"/>
    <mergeCell ref="AH733:AJ733"/>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G723:J723"/>
    <mergeCell ref="O725:S725"/>
    <mergeCell ref="O726:S726"/>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AK747:AO747"/>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J792:N792"/>
    <mergeCell ref="Z806:AE806"/>
    <mergeCell ref="X791:AB791"/>
    <mergeCell ref="T744:W744"/>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I949:T949"/>
    <mergeCell ref="U938:Z938"/>
    <mergeCell ref="M955:S955"/>
    <mergeCell ref="U928:Z928"/>
    <mergeCell ref="U948:Z948"/>
    <mergeCell ref="U935:Z935"/>
    <mergeCell ref="AA923:AF923"/>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Z687:AE687"/>
    <mergeCell ref="AH718:AJ718"/>
    <mergeCell ref="AC718:AG718"/>
    <mergeCell ref="AK714:AO717"/>
    <mergeCell ref="AK718:AO718"/>
    <mergeCell ref="AK630:AN630"/>
    <mergeCell ref="AK631:AN631"/>
    <mergeCell ref="AK632:AN632"/>
    <mergeCell ref="AM563:AS563"/>
    <mergeCell ref="Z676:AK676"/>
    <mergeCell ref="W700:AK700"/>
    <mergeCell ref="Z683:AK683"/>
    <mergeCell ref="AA688:AK688"/>
    <mergeCell ref="AO628:AS628"/>
    <mergeCell ref="AG607:AH607"/>
    <mergeCell ref="AO624:AS626"/>
    <mergeCell ref="AG591:AH591"/>
    <mergeCell ref="Z632:AB632"/>
    <mergeCell ref="AA573:AK573"/>
    <mergeCell ref="DJ723:DN723"/>
    <mergeCell ref="AM566:AS566"/>
    <mergeCell ref="AA590:AK590"/>
    <mergeCell ref="AI589:AK589"/>
    <mergeCell ref="Z596:AK596"/>
    <mergeCell ref="W636:Y636"/>
    <mergeCell ref="CZ722:DD722"/>
    <mergeCell ref="Z634:AB634"/>
    <mergeCell ref="T720:W720"/>
    <mergeCell ref="X718:AB718"/>
    <mergeCell ref="Z578:AK578"/>
    <mergeCell ref="AI565:AL565"/>
    <mergeCell ref="AE702:AF702"/>
    <mergeCell ref="W629:Y629"/>
    <mergeCell ref="X721:AB721"/>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Z631:AB631"/>
    <mergeCell ref="AF624:AJ626"/>
    <mergeCell ref="G719:J719"/>
    <mergeCell ref="AK627:AN627"/>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AH509:AK509"/>
    <mergeCell ref="AM561:AS561"/>
    <mergeCell ref="AM558:AS558"/>
    <mergeCell ref="AF632:AJ632"/>
    <mergeCell ref="AC631:AE631"/>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AK624:AN626"/>
    <mergeCell ref="AG599:AH599"/>
    <mergeCell ref="G595:R595"/>
    <mergeCell ref="G596:R596"/>
    <mergeCell ref="H614:R614"/>
    <mergeCell ref="G613:L613"/>
    <mergeCell ref="Z585:AK585"/>
    <mergeCell ref="G579:R579"/>
    <mergeCell ref="G594:R594"/>
    <mergeCell ref="Z594:AK594"/>
    <mergeCell ref="Z610:AK610"/>
    <mergeCell ref="N599:O599"/>
    <mergeCell ref="P589:R589"/>
    <mergeCell ref="Z588:AK588"/>
    <mergeCell ref="AM565:AS565"/>
    <mergeCell ref="AE563:AH563"/>
    <mergeCell ref="Q630:S630"/>
    <mergeCell ref="G589:L589"/>
    <mergeCell ref="G569:R569"/>
    <mergeCell ref="H582:R582"/>
    <mergeCell ref="Z579:AK579"/>
    <mergeCell ref="AM559:AS559"/>
    <mergeCell ref="AE559:AH559"/>
    <mergeCell ref="AI559:AL559"/>
    <mergeCell ref="O722:S722"/>
    <mergeCell ref="W563:Y563"/>
    <mergeCell ref="Z595:AK595"/>
    <mergeCell ref="G603:R603"/>
    <mergeCell ref="P597:R597"/>
    <mergeCell ref="G597:L597"/>
    <mergeCell ref="G602:R602"/>
    <mergeCell ref="W564:Y564"/>
    <mergeCell ref="W565:Y565"/>
    <mergeCell ref="AO632:AS632"/>
    <mergeCell ref="AA680:AK680"/>
    <mergeCell ref="G679:L679"/>
    <mergeCell ref="G610:R610"/>
    <mergeCell ref="A617:AT618"/>
    <mergeCell ref="B624:L626"/>
    <mergeCell ref="Z613:AE613"/>
    <mergeCell ref="AC629:AE629"/>
    <mergeCell ref="AO633:AS633"/>
    <mergeCell ref="G677:R677"/>
    <mergeCell ref="Z678:AK678"/>
    <mergeCell ref="M627:P627"/>
    <mergeCell ref="M629:P629"/>
    <mergeCell ref="W624:Y626"/>
    <mergeCell ref="AM562:AS562"/>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Q638:S638"/>
    <mergeCell ref="H648:R648"/>
    <mergeCell ref="M634:P634"/>
    <mergeCell ref="Z661:AK661"/>
    <mergeCell ref="Q634:S634"/>
    <mergeCell ref="AK636:AN636"/>
    <mergeCell ref="C637:L637"/>
    <mergeCell ref="Z662:AK662"/>
    <mergeCell ref="G651:R651"/>
    <mergeCell ref="G652:R652"/>
    <mergeCell ref="Q632:S632"/>
    <mergeCell ref="W628:Y628"/>
    <mergeCell ref="AF628:AJ6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E562:AH562"/>
    <mergeCell ref="Q562:S562"/>
    <mergeCell ref="AC528:AF528"/>
    <mergeCell ref="C554:L554"/>
    <mergeCell ref="C556:L556"/>
    <mergeCell ref="M556:P556"/>
    <mergeCell ref="C559:L559"/>
    <mergeCell ref="Z559:AD559"/>
    <mergeCell ref="W557:Y557"/>
    <mergeCell ref="AE557:AH557"/>
    <mergeCell ref="AI560:AL560"/>
    <mergeCell ref="Q551:S553"/>
    <mergeCell ref="T551:V553"/>
    <mergeCell ref="M555:P555"/>
    <mergeCell ref="G568:R568"/>
    <mergeCell ref="M574:R574"/>
    <mergeCell ref="AH501:AK501"/>
    <mergeCell ref="G474:V474"/>
    <mergeCell ref="AH526:AK526"/>
    <mergeCell ref="M561:P561"/>
    <mergeCell ref="Z577:AK577"/>
    <mergeCell ref="AF574:AK574"/>
    <mergeCell ref="AH505:AK505"/>
    <mergeCell ref="T561:V561"/>
    <mergeCell ref="M636:P636"/>
    <mergeCell ref="AA664:AK664"/>
    <mergeCell ref="T635:V635"/>
    <mergeCell ref="T636:V636"/>
    <mergeCell ref="T637:V637"/>
    <mergeCell ref="AO631:AS631"/>
    <mergeCell ref="DE734:DI734"/>
    <mergeCell ref="Z635:AB635"/>
    <mergeCell ref="G644:R644"/>
    <mergeCell ref="P655:R655"/>
    <mergeCell ref="J704:X704"/>
    <mergeCell ref="K720:N720"/>
    <mergeCell ref="T714:W717"/>
    <mergeCell ref="H664:R664"/>
    <mergeCell ref="AA648:AK648"/>
    <mergeCell ref="AK637:AN637"/>
    <mergeCell ref="AK727:AO727"/>
    <mergeCell ref="AH724:AJ724"/>
    <mergeCell ref="N657:O657"/>
    <mergeCell ref="Z660:AK660"/>
    <mergeCell ref="G663:L663"/>
    <mergeCell ref="T732:W732"/>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U722:CY722"/>
    <mergeCell ref="CU736:CY736"/>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J724:DN724"/>
    <mergeCell ref="DE725:DI725"/>
    <mergeCell ref="CP726:CT726"/>
    <mergeCell ref="DE729:DI729"/>
    <mergeCell ref="DE726:DI726"/>
    <mergeCell ref="CZ724:DD724"/>
    <mergeCell ref="CZ729:DD729"/>
    <mergeCell ref="CZ727:DD727"/>
    <mergeCell ref="DE730:DI730"/>
    <mergeCell ref="CM730:CN730"/>
    <mergeCell ref="CK727:CL727"/>
    <mergeCell ref="DE731:DI731"/>
    <mergeCell ref="DE739:DI739"/>
    <mergeCell ref="CK730:CL730"/>
    <mergeCell ref="CP731:CT731"/>
    <mergeCell ref="CI729:CJ729"/>
    <mergeCell ref="CP729:CT729"/>
    <mergeCell ref="CK736:CL736"/>
    <mergeCell ref="CG742:CH742"/>
    <mergeCell ref="CK739:CL739"/>
    <mergeCell ref="DJ737:DN737"/>
    <mergeCell ref="DJ735:DN735"/>
    <mergeCell ref="CG727:CH727"/>
    <mergeCell ref="CZ728:DD728"/>
    <mergeCell ref="CU730:CY730"/>
    <mergeCell ref="CK728:CL728"/>
    <mergeCell ref="CZ731:DD731"/>
    <mergeCell ref="CK731:CL731"/>
    <mergeCell ref="CK729:CL729"/>
    <mergeCell ref="DE737:DI737"/>
    <mergeCell ref="DJ727:DN727"/>
    <mergeCell ref="CG735:CH735"/>
    <mergeCell ref="CI737:CJ737"/>
    <mergeCell ref="CG737:CH737"/>
    <mergeCell ref="CG733:CH733"/>
    <mergeCell ref="CI734:CJ734"/>
    <mergeCell ref="CZ723:DD723"/>
    <mergeCell ref="CI723:CJ723"/>
    <mergeCell ref="CP728:CT728"/>
    <mergeCell ref="CU728:CY728"/>
    <mergeCell ref="CK732:CL732"/>
    <mergeCell ref="CG740:CH740"/>
    <mergeCell ref="CK737:CL737"/>
    <mergeCell ref="CG732:CH732"/>
    <mergeCell ref="CP734:CT734"/>
    <mergeCell ref="CG724:CH724"/>
    <mergeCell ref="CG730:CH730"/>
    <mergeCell ref="CG728:CH728"/>
    <mergeCell ref="CG725:CH725"/>
    <mergeCell ref="CM724:CN724"/>
    <mergeCell ref="CG741:CH741"/>
    <mergeCell ref="CI741:CJ741"/>
    <mergeCell ref="CG738:CH738"/>
    <mergeCell ref="CU740:CY740"/>
    <mergeCell ref="CI739:CJ739"/>
    <mergeCell ref="CK725:CL725"/>
    <mergeCell ref="CP723:CT723"/>
    <mergeCell ref="CU727:CY727"/>
    <mergeCell ref="CK724:CL724"/>
    <mergeCell ref="CU733:CY733"/>
    <mergeCell ref="CZ740:DD740"/>
    <mergeCell ref="CU741:CY741"/>
    <mergeCell ref="CZ739:DD739"/>
    <mergeCell ref="CK734:CL734"/>
    <mergeCell ref="CM734:CN734"/>
    <mergeCell ref="CK738:CL738"/>
    <mergeCell ref="CI731:CJ731"/>
    <mergeCell ref="CI728:CJ728"/>
    <mergeCell ref="CP725:CT725"/>
    <mergeCell ref="CG739:CH739"/>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AO640:AS640"/>
    <mergeCell ref="AH738:AJ738"/>
    <mergeCell ref="AH736:AJ736"/>
    <mergeCell ref="AC739:AG739"/>
    <mergeCell ref="T742:W742"/>
    <mergeCell ref="X745:AB745"/>
    <mergeCell ref="X746:AB746"/>
    <mergeCell ref="K724:N724"/>
    <mergeCell ref="AI655:AK655"/>
    <mergeCell ref="G662:R662"/>
    <mergeCell ref="AG681:AH681"/>
    <mergeCell ref="AI687:AK687"/>
    <mergeCell ref="J705:O705"/>
    <mergeCell ref="Z655:AE655"/>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G661:R661"/>
    <mergeCell ref="B720:F720"/>
    <mergeCell ref="B722:F722"/>
    <mergeCell ref="AG673:AH673"/>
    <mergeCell ref="B728:F728"/>
    <mergeCell ref="B725:F725"/>
    <mergeCell ref="B724:F724"/>
    <mergeCell ref="B727:F727"/>
    <mergeCell ref="H680:R680"/>
    <mergeCell ref="Z668:AK668"/>
    <mergeCell ref="G676:R676"/>
    <mergeCell ref="N649:O649"/>
    <mergeCell ref="AH719:AJ719"/>
    <mergeCell ref="CM739:CN739"/>
    <mergeCell ref="X728:AB728"/>
    <mergeCell ref="O719:S719"/>
    <mergeCell ref="CI717:CJ717"/>
    <mergeCell ref="P663:R663"/>
    <mergeCell ref="CG729:CH729"/>
    <mergeCell ref="CG723:CH723"/>
    <mergeCell ref="CG720:CH720"/>
    <mergeCell ref="CI719:CJ719"/>
    <mergeCell ref="G734:J734"/>
    <mergeCell ref="O729:S729"/>
    <mergeCell ref="O731:S731"/>
    <mergeCell ref="AK737:AO737"/>
    <mergeCell ref="AK725:AO725"/>
    <mergeCell ref="AH737:AJ737"/>
    <mergeCell ref="K737:N737"/>
    <mergeCell ref="T731:W731"/>
    <mergeCell ref="X727:AB727"/>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B736:F736"/>
    <mergeCell ref="B733:F733"/>
    <mergeCell ref="B731:F731"/>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O795:S795"/>
    <mergeCell ref="AC791:AG791"/>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T796:W796"/>
    <mergeCell ref="X719:AB719"/>
    <mergeCell ref="M823:P824"/>
    <mergeCell ref="Y827:AB827"/>
    <mergeCell ref="AG827:AJ827"/>
    <mergeCell ref="Z817:AE817"/>
    <mergeCell ref="X740:AB740"/>
    <mergeCell ref="X748:AB748"/>
    <mergeCell ref="X749:AB749"/>
    <mergeCell ref="X750:AB750"/>
    <mergeCell ref="AC749:AG749"/>
    <mergeCell ref="AC750:AG750"/>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B730:F730"/>
    <mergeCell ref="G683:R683"/>
    <mergeCell ref="N681:O681"/>
    <mergeCell ref="G686:R686"/>
    <mergeCell ref="N689:O689"/>
    <mergeCell ref="G678:R678"/>
    <mergeCell ref="P679:R679"/>
    <mergeCell ref="B742:F742"/>
    <mergeCell ref="B743:F743"/>
    <mergeCell ref="AC751:AG751"/>
    <mergeCell ref="P572:R572"/>
    <mergeCell ref="AI605:AK605"/>
    <mergeCell ref="G604:R604"/>
    <mergeCell ref="G577:R577"/>
    <mergeCell ref="C561:L561"/>
    <mergeCell ref="C558:L558"/>
    <mergeCell ref="AE560:AH560"/>
    <mergeCell ref="N575:O575"/>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Q389:U389"/>
    <mergeCell ref="D444:AF444"/>
    <mergeCell ref="W556:Y556"/>
    <mergeCell ref="Q556:S556"/>
    <mergeCell ref="W469:Y469"/>
    <mergeCell ref="AH515:AK515"/>
    <mergeCell ref="AC516:AF516"/>
    <mergeCell ref="AE556:AH556"/>
    <mergeCell ref="D469:V469"/>
    <mergeCell ref="R411:S411"/>
    <mergeCell ref="I421:K421"/>
    <mergeCell ref="AH524:AK524"/>
    <mergeCell ref="AH525:AK525"/>
    <mergeCell ref="P418:R418"/>
    <mergeCell ref="Q492:AK492"/>
    <mergeCell ref="AF418:AH418"/>
    <mergeCell ref="H598:R598"/>
    <mergeCell ref="AG583:AH583"/>
    <mergeCell ref="G588:R588"/>
    <mergeCell ref="Z580:AK580"/>
    <mergeCell ref="G593:R593"/>
    <mergeCell ref="AI597:AK597"/>
    <mergeCell ref="C565:L565"/>
    <mergeCell ref="W558:Y558"/>
    <mergeCell ref="AE558:AH558"/>
    <mergeCell ref="C557:L557"/>
    <mergeCell ref="Z570:AK570"/>
    <mergeCell ref="T565:V565"/>
    <mergeCell ref="C560:L560"/>
    <mergeCell ref="Z560:AD560"/>
    <mergeCell ref="AI563:AL563"/>
    <mergeCell ref="Z563:AD563"/>
    <mergeCell ref="D440:AF440"/>
    <mergeCell ref="AC526:AF526"/>
    <mergeCell ref="AG441:AJ441"/>
    <mergeCell ref="Z554:AD554"/>
    <mergeCell ref="AH531:AK531"/>
    <mergeCell ref="AC515:AF515"/>
    <mergeCell ref="AC514:AF514"/>
    <mergeCell ref="Z551:AD553"/>
    <mergeCell ref="AH513:AK513"/>
    <mergeCell ref="AC531:AF531"/>
    <mergeCell ref="L508:AB508"/>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AI556:AL556"/>
    <mergeCell ref="T557:V557"/>
    <mergeCell ref="AH519:AK519"/>
    <mergeCell ref="AH536:AK536"/>
    <mergeCell ref="AG448:AJ448"/>
    <mergeCell ref="AH528:AK528"/>
    <mergeCell ref="O520:AA520"/>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W473:Y473"/>
    <mergeCell ref="Q394:U394"/>
    <mergeCell ref="AD412:AE412"/>
    <mergeCell ref="AA341:AK341"/>
    <mergeCell ref="H414:AE415"/>
    <mergeCell ref="AE425:AF425"/>
    <mergeCell ref="Q365:AG365"/>
    <mergeCell ref="D446:AF446"/>
    <mergeCell ref="D447:AF447"/>
    <mergeCell ref="W466:Y466"/>
    <mergeCell ref="AG446:AJ446"/>
    <mergeCell ref="W467:Y467"/>
    <mergeCell ref="W470:Y470"/>
    <mergeCell ref="D471:V471"/>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D470:V47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H307:M307"/>
    <mergeCell ref="H329:R329"/>
    <mergeCell ref="H330:R330"/>
    <mergeCell ref="P323:R323"/>
    <mergeCell ref="AA315:AF315"/>
    <mergeCell ref="H313:R313"/>
    <mergeCell ref="H314:R314"/>
    <mergeCell ref="H316:M316"/>
    <mergeCell ref="AA322:AK322"/>
    <mergeCell ref="H292:M292"/>
    <mergeCell ref="H309:R309"/>
    <mergeCell ref="Z263:AE263"/>
    <mergeCell ref="V276:W276"/>
    <mergeCell ref="AA301:AK301"/>
    <mergeCell ref="AA296:AK296"/>
    <mergeCell ref="H301:R301"/>
    <mergeCell ref="L277:AD277"/>
    <mergeCell ref="AA298:AK298"/>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AA290:AK290"/>
    <mergeCell ref="AA336:AK336"/>
    <mergeCell ref="H333:R333"/>
    <mergeCell ref="AJ357:AK357"/>
    <mergeCell ref="M358:N358"/>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H254:AK254"/>
    <mergeCell ref="M259:AE259"/>
    <mergeCell ref="AA293:AK293"/>
    <mergeCell ref="L280:AD280"/>
    <mergeCell ref="L275:AD275"/>
    <mergeCell ref="H290:R290"/>
    <mergeCell ref="AP205:AQ205"/>
    <mergeCell ref="AI229:AJ229"/>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U175:V175"/>
    <mergeCell ref="Y120:AK120"/>
    <mergeCell ref="O160:T160"/>
    <mergeCell ref="AI178:AK178"/>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M248:AE248"/>
    <mergeCell ref="R177:S177"/>
    <mergeCell ref="M243:AE243"/>
    <mergeCell ref="D204:M204"/>
    <mergeCell ref="M238:T238"/>
    <mergeCell ref="AC370:AF370"/>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AA292:AF292"/>
    <mergeCell ref="M235:AE235"/>
    <mergeCell ref="I185:AE185"/>
    <mergeCell ref="U236:W236"/>
    <mergeCell ref="T189:AE189"/>
    <mergeCell ref="T197:U197"/>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V388:AJ388"/>
    <mergeCell ref="AG395:AJ395"/>
    <mergeCell ref="AI392:AJ392"/>
    <mergeCell ref="E368:AH369"/>
    <mergeCell ref="Y364:Z364"/>
    <mergeCell ref="N378:P378"/>
    <mergeCell ref="W418:Y418"/>
    <mergeCell ref="AG439:AJ439"/>
    <mergeCell ref="AE424:AF424"/>
    <mergeCell ref="P345:AE345"/>
    <mergeCell ref="R412:S412"/>
    <mergeCell ref="P331:R331"/>
    <mergeCell ref="AA324:AF324"/>
    <mergeCell ref="H328:R328"/>
    <mergeCell ref="AI323:AK323"/>
    <mergeCell ref="AA320:AK320"/>
    <mergeCell ref="H317:R31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C627:L627"/>
    <mergeCell ref="P581:R581"/>
    <mergeCell ref="N591:O591"/>
    <mergeCell ref="Q560:S560"/>
    <mergeCell ref="K714:N717"/>
    <mergeCell ref="Q393:U393"/>
    <mergeCell ref="AG380:AH380"/>
    <mergeCell ref="Q429:R429"/>
    <mergeCell ref="CP747:CT747"/>
    <mergeCell ref="CG748:CH748"/>
    <mergeCell ref="CZ750:DD750"/>
    <mergeCell ref="CK723:CL723"/>
    <mergeCell ref="CK721:CL721"/>
    <mergeCell ref="CM726:CN726"/>
    <mergeCell ref="CM718:CN718"/>
    <mergeCell ref="CI732:CJ732"/>
    <mergeCell ref="CM728:CN728"/>
    <mergeCell ref="Z652:AK652"/>
    <mergeCell ref="CU726:CY726"/>
    <mergeCell ref="CZ726:DD726"/>
    <mergeCell ref="CK722:CL722"/>
    <mergeCell ref="AG689:AH689"/>
    <mergeCell ref="CK719:CL719"/>
    <mergeCell ref="CU748:CY748"/>
    <mergeCell ref="AG394:AJ394"/>
    <mergeCell ref="E420:AJ420"/>
    <mergeCell ref="D448:AF448"/>
    <mergeCell ref="AG445:AJ445"/>
    <mergeCell ref="O529:AA529"/>
    <mergeCell ref="AH533:AK533"/>
    <mergeCell ref="O532:AA532"/>
    <mergeCell ref="P424:Q424"/>
    <mergeCell ref="M554:P554"/>
    <mergeCell ref="W465:Y465"/>
    <mergeCell ref="D473:V473"/>
    <mergeCell ref="Q493:AK493"/>
    <mergeCell ref="AC502:AF502"/>
    <mergeCell ref="B514:H516"/>
    <mergeCell ref="B517:H519"/>
    <mergeCell ref="D438:AF438"/>
    <mergeCell ref="B723:F723"/>
    <mergeCell ref="AF630:AJ630"/>
    <mergeCell ref="G685:R685"/>
    <mergeCell ref="M635:P635"/>
    <mergeCell ref="G646:R646"/>
    <mergeCell ref="G714:J717"/>
    <mergeCell ref="G668:R668"/>
    <mergeCell ref="CK748:CL748"/>
    <mergeCell ref="Z562:AD562"/>
    <mergeCell ref="W561:Y561"/>
    <mergeCell ref="W562:Y562"/>
    <mergeCell ref="T559:V559"/>
    <mergeCell ref="Z569:AK569"/>
    <mergeCell ref="AA582:AK582"/>
    <mergeCell ref="CP748:CT748"/>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K752:CL752"/>
    <mergeCell ref="M558:P558"/>
    <mergeCell ref="G571:R571"/>
    <mergeCell ref="Q559:S559"/>
    <mergeCell ref="C562:L562"/>
    <mergeCell ref="C635:L635"/>
    <mergeCell ref="C630:L630"/>
    <mergeCell ref="C631:L631"/>
    <mergeCell ref="Q565:S565"/>
    <mergeCell ref="Q561:S561"/>
    <mergeCell ref="T556:V556"/>
    <mergeCell ref="AC520:AF520"/>
    <mergeCell ref="AC527:AF527"/>
    <mergeCell ref="W551:Y553"/>
    <mergeCell ref="AH521:AK521"/>
    <mergeCell ref="AC530:AF530"/>
    <mergeCell ref="Z555:AD555"/>
    <mergeCell ref="CP750:CT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632:L632"/>
    <mergeCell ref="P687:R687"/>
    <mergeCell ref="AH527:AK527"/>
    <mergeCell ref="AC517:AF517"/>
    <mergeCell ref="AG443:AJ443"/>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R705:T705"/>
    <mergeCell ref="AC456:AF456"/>
    <mergeCell ref="AC533:AF533"/>
    <mergeCell ref="D443:AF443"/>
    <mergeCell ref="AG444:AJ444"/>
    <mergeCell ref="N607:O607"/>
    <mergeCell ref="G605:L605"/>
    <mergeCell ref="H606:R606"/>
    <mergeCell ref="T560:V560"/>
    <mergeCell ref="G570:R570"/>
    <mergeCell ref="Z561:AD561"/>
    <mergeCell ref="G586:R586"/>
    <mergeCell ref="W560:Y560"/>
    <mergeCell ref="AH507:AK507"/>
    <mergeCell ref="AG450:AJ450"/>
    <mergeCell ref="D467:V467"/>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H518:AK518"/>
    <mergeCell ref="AH514:AK514"/>
    <mergeCell ref="AC535:AF535"/>
    <mergeCell ref="AC512:AF512"/>
    <mergeCell ref="B489:P490"/>
    <mergeCell ref="AC506:AF506"/>
    <mergeCell ref="Q489:R490"/>
    <mergeCell ref="Q488:AK488"/>
    <mergeCell ref="AH535:AK535"/>
    <mergeCell ref="AC532:AF532"/>
    <mergeCell ref="M495:P495"/>
    <mergeCell ref="AC501:AF501"/>
    <mergeCell ref="AG438:AJ438"/>
    <mergeCell ref="B551:L553"/>
    <mergeCell ref="AC521:AF521"/>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H573:R573"/>
    <mergeCell ref="B566:AL566"/>
    <mergeCell ref="D449:AF449"/>
    <mergeCell ref="Q554:S554"/>
    <mergeCell ref="AH529:AK529"/>
    <mergeCell ref="AH534:AK534"/>
    <mergeCell ref="AC510:AF510"/>
    <mergeCell ref="Q555:S555"/>
    <mergeCell ref="AI554:AL554"/>
    <mergeCell ref="AI558:AL558"/>
    <mergeCell ref="B501:H502"/>
    <mergeCell ref="O523:AA523"/>
    <mergeCell ref="AC507:AF507"/>
    <mergeCell ref="AC504:AF504"/>
    <mergeCell ref="O535:AA535"/>
    <mergeCell ref="AH523:AK523"/>
    <mergeCell ref="AE554:AH554"/>
    <mergeCell ref="T562:V562"/>
    <mergeCell ref="CP745:CT745"/>
    <mergeCell ref="X742:AB742"/>
    <mergeCell ref="AH742:AJ742"/>
    <mergeCell ref="AK739:AO739"/>
    <mergeCell ref="B741:F741"/>
    <mergeCell ref="DJ733:DN733"/>
    <mergeCell ref="D472:V472"/>
    <mergeCell ref="W472:Y472"/>
    <mergeCell ref="AE551:AH553"/>
    <mergeCell ref="AI551:AL553"/>
    <mergeCell ref="AH510:AK510"/>
    <mergeCell ref="CZ732:DD732"/>
    <mergeCell ref="G721:J721"/>
    <mergeCell ref="G722:J722"/>
    <mergeCell ref="DE718:DI718"/>
    <mergeCell ref="CK718:CL718"/>
    <mergeCell ref="N583:O583"/>
    <mergeCell ref="AE555:AH555"/>
    <mergeCell ref="Q557:S557"/>
    <mergeCell ref="Z557:AD557"/>
    <mergeCell ref="C555:L555"/>
    <mergeCell ref="AH503:AK503"/>
    <mergeCell ref="AC500:AF500"/>
    <mergeCell ref="AH532:AK532"/>
    <mergeCell ref="AC522:AF522"/>
    <mergeCell ref="T554:V554"/>
    <mergeCell ref="AC524:AF524"/>
    <mergeCell ref="AH506:AK506"/>
    <mergeCell ref="AH508:AK508"/>
    <mergeCell ref="AC508:AF508"/>
    <mergeCell ref="AH537:AK537"/>
    <mergeCell ref="AC534:AF53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U741:DY741"/>
    <mergeCell ref="CI750:CJ750"/>
    <mergeCell ref="CI752:CJ752"/>
    <mergeCell ref="CI753:CJ753"/>
    <mergeCell ref="CM748:CN748"/>
    <mergeCell ref="CG749:CH749"/>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CU787:CY787"/>
    <mergeCell ref="CP793:CT793"/>
    <mergeCell ref="CP792:CT792"/>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CP797:CT797"/>
    <mergeCell ref="DU794:DY794"/>
    <mergeCell ref="DU795:DY795"/>
    <mergeCell ref="DE787:DI787"/>
    <mergeCell ref="DE788:DI788"/>
    <mergeCell ref="CU776:CY776"/>
    <mergeCell ref="CU750:CY750"/>
    <mergeCell ref="CK746:CL746"/>
    <mergeCell ref="CM746:CN746"/>
    <mergeCell ref="CK744:CL744"/>
    <mergeCell ref="CM744:CN744"/>
    <mergeCell ref="DJ792:DN792"/>
    <mergeCell ref="DJ793:DN793"/>
    <mergeCell ref="DJ794:DN794"/>
    <mergeCell ref="DJ795:DN795"/>
    <mergeCell ref="DJ796:DN796"/>
    <mergeCell ref="DJ797:DN797"/>
    <mergeCell ref="DO787:DS787"/>
    <mergeCell ref="DO788:DS788"/>
    <mergeCell ref="DO789:DS789"/>
    <mergeCell ref="DO790:DS790"/>
    <mergeCell ref="DO791:DS791"/>
    <mergeCell ref="DO793:DS793"/>
    <mergeCell ref="DO794:DS794"/>
    <mergeCell ref="DO795:DS795"/>
    <mergeCell ref="DO796:DS796"/>
    <mergeCell ref="DO797:DS797"/>
    <mergeCell ref="CP789:CT789"/>
    <mergeCell ref="CP787:CT787"/>
    <mergeCell ref="CM753:CN753"/>
    <mergeCell ref="CP794:CT794"/>
    <mergeCell ref="CP795:CT795"/>
    <mergeCell ref="CP796:CT796"/>
    <mergeCell ref="DZ793:ED793"/>
    <mergeCell ref="DZ794:ED794"/>
    <mergeCell ref="CP791:CT791"/>
    <mergeCell ref="CP790:CT790"/>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J788:DN788"/>
    <mergeCell ref="DJ789:DN789"/>
    <mergeCell ref="DU796:DY796"/>
    <mergeCell ref="DE789:DI789"/>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EO797:ES797"/>
    <mergeCell ref="DZ787:ED787"/>
    <mergeCell ref="DZ788:ED788"/>
    <mergeCell ref="DZ789:ED789"/>
    <mergeCell ref="DZ790:ED790"/>
    <mergeCell ref="DZ791:ED791"/>
    <mergeCell ref="DZ792:ED792"/>
    <mergeCell ref="DJ790:DN790"/>
    <mergeCell ref="DJ791:DN791"/>
    <mergeCell ref="DZ795:ED795"/>
    <mergeCell ref="DZ796:ED796"/>
    <mergeCell ref="AC541:AF541"/>
    <mergeCell ref="AC540:AF540"/>
    <mergeCell ref="AC538:AF538"/>
    <mergeCell ref="AC539:AF539"/>
    <mergeCell ref="AC542:AF542"/>
    <mergeCell ref="AH538:AK538"/>
    <mergeCell ref="AH542:AK542"/>
    <mergeCell ref="AH540:AK540"/>
    <mergeCell ref="AH539:AK539"/>
    <mergeCell ref="AH541:AK541"/>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DZ797:ED797"/>
    <mergeCell ref="DE795:DI795"/>
    <mergeCell ref="DE796:DI796"/>
    <mergeCell ref="DE797:DI797"/>
    <mergeCell ref="DJ787:DN787"/>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37"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B66" workbookViewId="0">
      <selection activeCell="H112" sqref="H112"/>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66" t="s">
        <v>622</v>
      </c>
      <c r="G1" s="1867"/>
      <c r="H1" s="1867"/>
      <c r="I1" s="1867"/>
      <c r="J1" s="1867"/>
      <c r="K1" s="1867"/>
      <c r="L1" s="1867"/>
      <c r="M1" s="1867"/>
      <c r="N1" s="1867"/>
      <c r="O1" s="1867"/>
      <c r="P1" s="1867"/>
      <c r="Q1" s="1867"/>
      <c r="R1" s="1868"/>
      <c r="S1" s="112"/>
      <c r="T1" s="111"/>
      <c r="U1" s="113"/>
    </row>
    <row r="2" spans="1:21" s="138" customFormat="1" ht="71.25" customHeight="1">
      <c r="A2" s="137"/>
      <c r="B2" s="138" t="s">
        <v>23</v>
      </c>
      <c r="C2" s="138" t="s">
        <v>374</v>
      </c>
      <c r="D2" s="138" t="s">
        <v>373</v>
      </c>
      <c r="E2" s="138" t="s">
        <v>24</v>
      </c>
      <c r="F2" s="139" t="str">
        <f>Application!B627&amp;Application!C627</f>
        <v>1)Citi Bank Perm Loan</v>
      </c>
      <c r="G2" s="139" t="str">
        <f>Application!B628&amp;Application!C628</f>
        <v>2)Developer Note</v>
      </c>
      <c r="H2" s="139" t="str">
        <f>Application!B629&amp;Application!C629</f>
        <v>3)City of Mountain View</v>
      </c>
      <c r="I2" s="139" t="str">
        <f>Application!B630&amp;Application!C630</f>
        <v>4)County of Santa Clara Measure A</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11000000</v>
      </c>
      <c r="C4" s="147">
        <v>11000000</v>
      </c>
      <c r="D4" s="147"/>
      <c r="E4" s="147">
        <f>+C4-SUM(F4:J4)</f>
        <v>11000000</v>
      </c>
      <c r="F4" s="147"/>
      <c r="G4" s="147"/>
      <c r="H4" s="147"/>
      <c r="I4" s="147"/>
      <c r="J4" s="147"/>
      <c r="K4" s="147"/>
      <c r="L4" s="147"/>
      <c r="M4" s="147"/>
      <c r="N4" s="147"/>
      <c r="O4" s="147"/>
      <c r="P4" s="147"/>
      <c r="Q4" s="147"/>
      <c r="R4" s="516">
        <f>SUM(E4:Q4)</f>
        <v>11000000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11000000</v>
      </c>
      <c r="C8" s="146">
        <f t="shared" ref="C8:Q8" si="0">SUM(C4:C7)</f>
        <v>11000000</v>
      </c>
      <c r="D8" s="146">
        <f t="shared" si="0"/>
        <v>0</v>
      </c>
      <c r="E8" s="146">
        <f t="shared" si="0"/>
        <v>11000000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11000000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11000000</v>
      </c>
      <c r="C12" s="146">
        <f t="shared" si="2"/>
        <v>11000000</v>
      </c>
      <c r="D12" s="146">
        <f t="shared" si="2"/>
        <v>0</v>
      </c>
      <c r="E12" s="146">
        <f t="shared" si="2"/>
        <v>11000000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11000000</v>
      </c>
      <c r="S12" s="148"/>
      <c r="T12" s="148"/>
      <c r="U12" s="143"/>
    </row>
    <row r="13" spans="1:21" s="144" customFormat="1">
      <c r="A13" s="287" t="s">
        <v>903</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f t="shared" ref="E17:E25" si="4">+C17-SUM(F17:J17)</f>
        <v>0</v>
      </c>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f t="shared" si="4"/>
        <v>0</v>
      </c>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f t="shared" si="4"/>
        <v>0</v>
      </c>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f t="shared" si="4"/>
        <v>0</v>
      </c>
      <c r="F20" s="147"/>
      <c r="G20" s="147"/>
      <c r="H20" s="147"/>
      <c r="I20" s="147"/>
      <c r="J20" s="147"/>
      <c r="K20" s="147"/>
      <c r="L20" s="147"/>
      <c r="M20" s="147"/>
      <c r="N20" s="147"/>
      <c r="O20" s="147"/>
      <c r="P20" s="147"/>
      <c r="Q20" s="147"/>
      <c r="R20" s="516">
        <f t="shared" ref="R20:R27" si="5">SUM(E20:Q20)</f>
        <v>0</v>
      </c>
      <c r="S20" s="147"/>
      <c r="T20" s="147"/>
      <c r="U20" s="143"/>
    </row>
    <row r="21" spans="1:21" s="144" customFormat="1">
      <c r="A21" s="145" t="s">
        <v>138</v>
      </c>
      <c r="B21" s="146">
        <f t="shared" si="3"/>
        <v>0</v>
      </c>
      <c r="C21" s="147"/>
      <c r="D21" s="147"/>
      <c r="E21" s="147">
        <f t="shared" si="4"/>
        <v>0</v>
      </c>
      <c r="F21" s="147"/>
      <c r="G21" s="147"/>
      <c r="H21" s="147"/>
      <c r="I21" s="147"/>
      <c r="J21" s="147"/>
      <c r="K21" s="147"/>
      <c r="L21" s="147"/>
      <c r="M21" s="147"/>
      <c r="N21" s="147"/>
      <c r="O21" s="147"/>
      <c r="P21" s="147"/>
      <c r="Q21" s="147"/>
      <c r="R21" s="516">
        <f t="shared" si="5"/>
        <v>0</v>
      </c>
      <c r="S21" s="147"/>
      <c r="T21" s="147"/>
      <c r="U21" s="143"/>
    </row>
    <row r="22" spans="1:21" s="144" customFormat="1">
      <c r="A22" s="145" t="s">
        <v>139</v>
      </c>
      <c r="B22" s="146">
        <f t="shared" si="3"/>
        <v>0</v>
      </c>
      <c r="C22" s="147"/>
      <c r="D22" s="147"/>
      <c r="E22" s="147">
        <f t="shared" si="4"/>
        <v>0</v>
      </c>
      <c r="F22" s="147"/>
      <c r="G22" s="147"/>
      <c r="H22" s="147"/>
      <c r="I22" s="147"/>
      <c r="J22" s="147"/>
      <c r="K22" s="147"/>
      <c r="L22" s="147"/>
      <c r="M22" s="147"/>
      <c r="N22" s="147"/>
      <c r="O22" s="147"/>
      <c r="P22" s="147"/>
      <c r="Q22" s="147"/>
      <c r="R22" s="516">
        <f t="shared" si="5"/>
        <v>0</v>
      </c>
      <c r="S22" s="147"/>
      <c r="T22" s="147"/>
      <c r="U22" s="143"/>
    </row>
    <row r="23" spans="1:21" s="144" customFormat="1">
      <c r="A23" s="145" t="s">
        <v>140</v>
      </c>
      <c r="B23" s="146">
        <f t="shared" si="3"/>
        <v>0</v>
      </c>
      <c r="C23" s="147"/>
      <c r="D23" s="147"/>
      <c r="E23" s="147">
        <f t="shared" si="4"/>
        <v>0</v>
      </c>
      <c r="F23" s="147"/>
      <c r="G23" s="147"/>
      <c r="H23" s="147"/>
      <c r="I23" s="147"/>
      <c r="J23" s="147"/>
      <c r="K23" s="147"/>
      <c r="L23" s="147"/>
      <c r="M23" s="147"/>
      <c r="N23" s="147"/>
      <c r="O23" s="147"/>
      <c r="P23" s="147"/>
      <c r="Q23" s="147"/>
      <c r="R23" s="516">
        <f t="shared" si="5"/>
        <v>0</v>
      </c>
      <c r="S23" s="147"/>
      <c r="T23" s="147"/>
      <c r="U23" s="143"/>
    </row>
    <row r="24" spans="1:21" s="144" customFormat="1">
      <c r="A24" s="508" t="s">
        <v>1641</v>
      </c>
      <c r="B24" s="146">
        <f t="shared" si="3"/>
        <v>0</v>
      </c>
      <c r="C24" s="147"/>
      <c r="D24" s="147"/>
      <c r="E24" s="147">
        <f t="shared" si="4"/>
        <v>0</v>
      </c>
      <c r="F24" s="147"/>
      <c r="G24" s="147"/>
      <c r="H24" s="147"/>
      <c r="I24" s="147"/>
      <c r="J24" s="147"/>
      <c r="K24" s="147"/>
      <c r="L24" s="147"/>
      <c r="M24" s="147"/>
      <c r="N24" s="147"/>
      <c r="O24" s="147"/>
      <c r="P24" s="147"/>
      <c r="Q24" s="147"/>
      <c r="R24" s="516">
        <f t="shared" si="5"/>
        <v>0</v>
      </c>
      <c r="S24" s="147"/>
      <c r="T24" s="147"/>
      <c r="U24" s="143"/>
    </row>
    <row r="25" spans="1:21" s="144" customFormat="1">
      <c r="A25" s="1149" t="s">
        <v>34</v>
      </c>
      <c r="B25" s="146">
        <f t="shared" si="3"/>
        <v>0</v>
      </c>
      <c r="C25" s="147"/>
      <c r="D25" s="147"/>
      <c r="E25" s="147">
        <f t="shared" si="4"/>
        <v>0</v>
      </c>
      <c r="F25" s="147"/>
      <c r="G25" s="147"/>
      <c r="H25" s="147"/>
      <c r="I25" s="147"/>
      <c r="J25" s="147"/>
      <c r="K25" s="147"/>
      <c r="L25" s="147"/>
      <c r="M25" s="147"/>
      <c r="N25" s="147"/>
      <c r="O25" s="147"/>
      <c r="P25" s="147"/>
      <c r="Q25" s="147"/>
      <c r="R25" s="516">
        <f t="shared" si="5"/>
        <v>0</v>
      </c>
      <c r="S25" s="147"/>
      <c r="T25" s="147"/>
      <c r="U25" s="143"/>
    </row>
    <row r="26" spans="1:21" s="144" customFormat="1">
      <c r="A26" s="149" t="s">
        <v>133</v>
      </c>
      <c r="B26" s="146">
        <f t="shared" si="3"/>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42">
        <f>SUM(R17:R25)</f>
        <v>0</v>
      </c>
      <c r="S26" s="150">
        <f>SUM(S17:S25)</f>
        <v>0</v>
      </c>
      <c r="T26" s="150">
        <f>SUM(T17:T25)</f>
        <v>0</v>
      </c>
      <c r="U26" s="143"/>
    </row>
    <row r="27" spans="1:21" s="144" customFormat="1">
      <c r="A27" s="149" t="s">
        <v>141</v>
      </c>
      <c r="B27" s="146">
        <f>SUM(C27:D27)</f>
        <v>0</v>
      </c>
      <c r="C27" s="147"/>
      <c r="D27" s="147"/>
      <c r="E27" s="147">
        <f>+C27-SUM(F27:J27)</f>
        <v>0</v>
      </c>
      <c r="F27" s="147"/>
      <c r="G27" s="147"/>
      <c r="H27" s="147"/>
      <c r="I27" s="147"/>
      <c r="J27" s="147"/>
      <c r="K27" s="147"/>
      <c r="L27" s="147"/>
      <c r="M27" s="147"/>
      <c r="N27" s="147"/>
      <c r="O27" s="147"/>
      <c r="P27" s="147"/>
      <c r="Q27" s="147"/>
      <c r="R27" s="516">
        <f t="shared" si="5"/>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7">SUM(C29+D29)</f>
        <v>7832081</v>
      </c>
      <c r="C29" s="147">
        <v>7832081</v>
      </c>
      <c r="D29" s="147"/>
      <c r="E29" s="147">
        <f t="shared" ref="E29:E37" si="8">+C29-SUM(F29:J29)</f>
        <v>7832081</v>
      </c>
      <c r="F29" s="147"/>
      <c r="G29" s="147"/>
      <c r="H29" s="147"/>
      <c r="I29" s="147"/>
      <c r="J29" s="147"/>
      <c r="K29" s="147"/>
      <c r="L29" s="147"/>
      <c r="M29" s="147"/>
      <c r="N29" s="147"/>
      <c r="O29" s="147"/>
      <c r="P29" s="147"/>
      <c r="Q29" s="147"/>
      <c r="R29" s="516">
        <f t="shared" ref="R29:R37" si="9">SUM(E29:Q29)</f>
        <v>7832081</v>
      </c>
      <c r="S29" s="147">
        <f>+R29</f>
        <v>7832081</v>
      </c>
      <c r="T29" s="147"/>
      <c r="U29" s="143"/>
    </row>
    <row r="30" spans="1:21" s="144" customFormat="1">
      <c r="A30" s="145" t="s">
        <v>600</v>
      </c>
      <c r="B30" s="146">
        <f t="shared" si="7"/>
        <v>35126372</v>
      </c>
      <c r="C30" s="147">
        <v>35126372</v>
      </c>
      <c r="D30" s="147"/>
      <c r="E30" s="147">
        <f t="shared" si="8"/>
        <v>109089</v>
      </c>
      <c r="F30" s="147">
        <f>+Application!AO627</f>
        <v>19117283</v>
      </c>
      <c r="G30" s="147"/>
      <c r="H30" s="147">
        <f>+Application!AO629</f>
        <v>8000000</v>
      </c>
      <c r="I30" s="147">
        <f>+Application!AO630</f>
        <v>7900000</v>
      </c>
      <c r="J30" s="147"/>
      <c r="K30" s="147"/>
      <c r="L30" s="147"/>
      <c r="M30" s="147"/>
      <c r="N30" s="147"/>
      <c r="O30" s="147"/>
      <c r="P30" s="147"/>
      <c r="Q30" s="147"/>
      <c r="R30" s="516">
        <f t="shared" si="9"/>
        <v>35126372</v>
      </c>
      <c r="S30" s="147">
        <f t="shared" ref="S30:S37" si="10">+R30</f>
        <v>35126372</v>
      </c>
      <c r="T30" s="147"/>
      <c r="U30" s="143"/>
    </row>
    <row r="31" spans="1:21" s="144" customFormat="1">
      <c r="A31" s="145" t="s">
        <v>601</v>
      </c>
      <c r="B31" s="146">
        <f t="shared" si="7"/>
        <v>2577507</v>
      </c>
      <c r="C31" s="147">
        <v>2577507</v>
      </c>
      <c r="D31" s="147"/>
      <c r="E31" s="147">
        <f t="shared" si="8"/>
        <v>2577507</v>
      </c>
      <c r="F31" s="147"/>
      <c r="G31" s="147"/>
      <c r="H31" s="147"/>
      <c r="I31" s="147"/>
      <c r="J31" s="147"/>
      <c r="K31" s="147"/>
      <c r="L31" s="147"/>
      <c r="M31" s="147"/>
      <c r="N31" s="147"/>
      <c r="O31" s="147"/>
      <c r="P31" s="147"/>
      <c r="Q31" s="147"/>
      <c r="R31" s="516">
        <f t="shared" si="9"/>
        <v>2577507</v>
      </c>
      <c r="S31" s="147">
        <f t="shared" si="10"/>
        <v>2577507</v>
      </c>
      <c r="T31" s="147"/>
      <c r="U31" s="143"/>
    </row>
    <row r="32" spans="1:21" s="144" customFormat="1">
      <c r="A32" s="145" t="s">
        <v>137</v>
      </c>
      <c r="B32" s="146">
        <f t="shared" si="7"/>
        <v>910719</v>
      </c>
      <c r="C32" s="147">
        <v>910719</v>
      </c>
      <c r="D32" s="147"/>
      <c r="E32" s="147">
        <f t="shared" si="8"/>
        <v>910719</v>
      </c>
      <c r="F32" s="147"/>
      <c r="G32" s="147"/>
      <c r="H32" s="147"/>
      <c r="I32" s="147"/>
      <c r="J32" s="147"/>
      <c r="K32" s="147"/>
      <c r="L32" s="147"/>
      <c r="M32" s="147"/>
      <c r="N32" s="147"/>
      <c r="O32" s="147"/>
      <c r="P32" s="147"/>
      <c r="Q32" s="147"/>
      <c r="R32" s="516">
        <f t="shared" si="9"/>
        <v>910719</v>
      </c>
      <c r="S32" s="147">
        <f t="shared" si="10"/>
        <v>910719</v>
      </c>
      <c r="T32" s="147"/>
      <c r="U32" s="143"/>
    </row>
    <row r="33" spans="1:21" s="144" customFormat="1">
      <c r="A33" s="145" t="s">
        <v>138</v>
      </c>
      <c r="B33" s="146">
        <f t="shared" si="7"/>
        <v>2732158</v>
      </c>
      <c r="C33" s="147">
        <v>2732158</v>
      </c>
      <c r="D33" s="147"/>
      <c r="E33" s="147">
        <f t="shared" si="8"/>
        <v>2732158</v>
      </c>
      <c r="F33" s="147"/>
      <c r="G33" s="147"/>
      <c r="H33" s="147"/>
      <c r="I33" s="147"/>
      <c r="J33" s="147"/>
      <c r="K33" s="147"/>
      <c r="L33" s="147"/>
      <c r="M33" s="147"/>
      <c r="N33" s="147"/>
      <c r="O33" s="147"/>
      <c r="P33" s="147"/>
      <c r="Q33" s="147"/>
      <c r="R33" s="516">
        <f t="shared" si="9"/>
        <v>2732158</v>
      </c>
      <c r="S33" s="147">
        <f t="shared" si="10"/>
        <v>2732158</v>
      </c>
      <c r="T33" s="147"/>
      <c r="U33" s="143"/>
    </row>
    <row r="34" spans="1:21" s="144" customFormat="1">
      <c r="A34" s="145" t="s">
        <v>139</v>
      </c>
      <c r="B34" s="146">
        <f t="shared" si="7"/>
        <v>0</v>
      </c>
      <c r="C34" s="147"/>
      <c r="D34" s="147"/>
      <c r="E34" s="147">
        <f t="shared" si="8"/>
        <v>0</v>
      </c>
      <c r="F34" s="147"/>
      <c r="G34" s="147"/>
      <c r="H34" s="147"/>
      <c r="I34" s="147"/>
      <c r="J34" s="147"/>
      <c r="K34" s="147"/>
      <c r="L34" s="147"/>
      <c r="M34" s="147"/>
      <c r="N34" s="147"/>
      <c r="O34" s="147"/>
      <c r="P34" s="147"/>
      <c r="Q34" s="147"/>
      <c r="R34" s="516">
        <f t="shared" si="9"/>
        <v>0</v>
      </c>
      <c r="S34" s="147">
        <f t="shared" si="10"/>
        <v>0</v>
      </c>
      <c r="T34" s="147"/>
      <c r="U34" s="143"/>
    </row>
    <row r="35" spans="1:21" s="144" customFormat="1">
      <c r="A35" s="145" t="s">
        <v>140</v>
      </c>
      <c r="B35" s="146">
        <f t="shared" si="7"/>
        <v>1475365</v>
      </c>
      <c r="C35" s="147">
        <v>1475365</v>
      </c>
      <c r="D35" s="147"/>
      <c r="E35" s="147">
        <f t="shared" si="8"/>
        <v>1475365</v>
      </c>
      <c r="F35" s="147"/>
      <c r="G35" s="147"/>
      <c r="H35" s="147"/>
      <c r="I35" s="147"/>
      <c r="J35" s="147"/>
      <c r="K35" s="147"/>
      <c r="L35" s="147"/>
      <c r="M35" s="147"/>
      <c r="N35" s="147"/>
      <c r="O35" s="147"/>
      <c r="P35" s="147"/>
      <c r="Q35" s="147"/>
      <c r="R35" s="516">
        <f t="shared" si="9"/>
        <v>1475365</v>
      </c>
      <c r="S35" s="147">
        <f t="shared" si="10"/>
        <v>1475365</v>
      </c>
      <c r="T35" s="147"/>
      <c r="U35" s="143"/>
    </row>
    <row r="36" spans="1:21" s="144" customFormat="1">
      <c r="A36" s="283" t="s">
        <v>1641</v>
      </c>
      <c r="B36" s="146">
        <f t="shared" si="7"/>
        <v>0</v>
      </c>
      <c r="C36" s="147"/>
      <c r="D36" s="147"/>
      <c r="E36" s="147">
        <f t="shared" si="8"/>
        <v>0</v>
      </c>
      <c r="F36" s="147"/>
      <c r="G36" s="147"/>
      <c r="H36" s="147"/>
      <c r="I36" s="147"/>
      <c r="J36" s="147"/>
      <c r="K36" s="147"/>
      <c r="L36" s="147"/>
      <c r="M36" s="147"/>
      <c r="N36" s="147"/>
      <c r="O36" s="147"/>
      <c r="P36" s="147"/>
      <c r="Q36" s="147"/>
      <c r="R36" s="516">
        <f t="shared" si="9"/>
        <v>0</v>
      </c>
      <c r="S36" s="147">
        <f t="shared" si="10"/>
        <v>0</v>
      </c>
      <c r="T36" s="147"/>
      <c r="U36" s="143"/>
    </row>
    <row r="37" spans="1:21" s="144" customFormat="1">
      <c r="A37" s="1149" t="s">
        <v>34</v>
      </c>
      <c r="B37" s="146">
        <f t="shared" si="7"/>
        <v>0</v>
      </c>
      <c r="C37" s="147"/>
      <c r="D37" s="147"/>
      <c r="E37" s="147">
        <f t="shared" si="8"/>
        <v>0</v>
      </c>
      <c r="F37" s="147"/>
      <c r="G37" s="147"/>
      <c r="H37" s="147"/>
      <c r="I37" s="147"/>
      <c r="J37" s="147"/>
      <c r="K37" s="147"/>
      <c r="L37" s="147"/>
      <c r="M37" s="147"/>
      <c r="N37" s="147"/>
      <c r="O37" s="147"/>
      <c r="P37" s="147"/>
      <c r="Q37" s="147"/>
      <c r="R37" s="516">
        <f t="shared" si="9"/>
        <v>0</v>
      </c>
      <c r="S37" s="147">
        <f t="shared" si="10"/>
        <v>0</v>
      </c>
      <c r="T37" s="147"/>
      <c r="U37" s="143"/>
    </row>
    <row r="38" spans="1:21" s="144" customFormat="1">
      <c r="A38" s="149" t="s">
        <v>143</v>
      </c>
      <c r="B38" s="146">
        <f t="shared" si="7"/>
        <v>50654202</v>
      </c>
      <c r="C38" s="146">
        <f>SUM(C29:C37)</f>
        <v>50654202</v>
      </c>
      <c r="D38" s="146">
        <f t="shared" ref="D38:Q38" si="11">SUM(D29:D37)</f>
        <v>0</v>
      </c>
      <c r="E38" s="146">
        <f t="shared" si="11"/>
        <v>15636919</v>
      </c>
      <c r="F38" s="146">
        <f t="shared" si="11"/>
        <v>19117283</v>
      </c>
      <c r="G38" s="146">
        <f t="shared" si="11"/>
        <v>0</v>
      </c>
      <c r="H38" s="146">
        <f t="shared" si="11"/>
        <v>8000000</v>
      </c>
      <c r="I38" s="146">
        <f t="shared" si="11"/>
        <v>7900000</v>
      </c>
      <c r="J38" s="146">
        <f t="shared" si="11"/>
        <v>0</v>
      </c>
      <c r="K38" s="146">
        <f t="shared" si="11"/>
        <v>0</v>
      </c>
      <c r="L38" s="146">
        <f t="shared" si="11"/>
        <v>0</v>
      </c>
      <c r="M38" s="146">
        <f t="shared" si="11"/>
        <v>0</v>
      </c>
      <c r="N38" s="146">
        <f t="shared" si="11"/>
        <v>0</v>
      </c>
      <c r="O38" s="146">
        <f t="shared" si="11"/>
        <v>0</v>
      </c>
      <c r="P38" s="146">
        <f t="shared" si="11"/>
        <v>0</v>
      </c>
      <c r="Q38" s="146">
        <f t="shared" si="11"/>
        <v>0</v>
      </c>
      <c r="R38" s="342">
        <f>SUM(R29:R37)</f>
        <v>50654202</v>
      </c>
      <c r="S38" s="150">
        <f>SUM(S29:S37)</f>
        <v>50654202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1528818</v>
      </c>
      <c r="C40" s="147">
        <v>1528818</v>
      </c>
      <c r="D40" s="147"/>
      <c r="E40" s="147">
        <f t="shared" ref="E40:E41" si="12">+C40-SUM(F40:J40)</f>
        <v>1528818</v>
      </c>
      <c r="F40" s="147"/>
      <c r="G40" s="147"/>
      <c r="H40" s="147"/>
      <c r="I40" s="147"/>
      <c r="J40" s="147"/>
      <c r="K40" s="147"/>
      <c r="L40" s="147"/>
      <c r="M40" s="147"/>
      <c r="N40" s="147"/>
      <c r="O40" s="147"/>
      <c r="P40" s="147"/>
      <c r="Q40" s="147"/>
      <c r="R40" s="516">
        <f>SUM(E40:Q40)</f>
        <v>1528818</v>
      </c>
      <c r="S40" s="147">
        <f t="shared" ref="S40:S41" si="13">+R40</f>
        <v>1528818</v>
      </c>
      <c r="T40" s="147"/>
      <c r="U40" s="143"/>
    </row>
    <row r="41" spans="1:21" s="144" customFormat="1">
      <c r="A41" s="145" t="s">
        <v>146</v>
      </c>
      <c r="B41" s="146">
        <f>SUM(C41+D41)</f>
        <v>0</v>
      </c>
      <c r="C41" s="147"/>
      <c r="D41" s="147"/>
      <c r="E41" s="147">
        <f t="shared" si="12"/>
        <v>0</v>
      </c>
      <c r="F41" s="147"/>
      <c r="G41" s="147"/>
      <c r="H41" s="147"/>
      <c r="I41" s="147"/>
      <c r="J41" s="147"/>
      <c r="K41" s="147"/>
      <c r="L41" s="147"/>
      <c r="M41" s="147"/>
      <c r="N41" s="147"/>
      <c r="O41" s="147"/>
      <c r="P41" s="147"/>
      <c r="Q41" s="147"/>
      <c r="R41" s="516">
        <f>SUM(E41:Q41)</f>
        <v>0</v>
      </c>
      <c r="S41" s="147">
        <f t="shared" si="13"/>
        <v>0</v>
      </c>
      <c r="T41" s="147"/>
      <c r="U41" s="143"/>
    </row>
    <row r="42" spans="1:21" s="144" customFormat="1">
      <c r="A42" s="149" t="s">
        <v>147</v>
      </c>
      <c r="B42" s="146">
        <f>SUM(C42:D42)</f>
        <v>1528818</v>
      </c>
      <c r="C42" s="146">
        <f>SUM(C39:C41)</f>
        <v>1528818</v>
      </c>
      <c r="D42" s="146">
        <f>SUM(D39:D41)</f>
        <v>0</v>
      </c>
      <c r="E42" s="146">
        <f t="shared" ref="E42:T42" si="14">SUM(E40:E41)</f>
        <v>1528818</v>
      </c>
      <c r="F42" s="146">
        <f t="shared" si="14"/>
        <v>0</v>
      </c>
      <c r="G42" s="146">
        <f t="shared" si="14"/>
        <v>0</v>
      </c>
      <c r="H42" s="146">
        <f t="shared" si="14"/>
        <v>0</v>
      </c>
      <c r="I42" s="146">
        <f t="shared" si="14"/>
        <v>0</v>
      </c>
      <c r="J42" s="146">
        <f t="shared" si="14"/>
        <v>0</v>
      </c>
      <c r="K42" s="146">
        <f t="shared" si="14"/>
        <v>0</v>
      </c>
      <c r="L42" s="146">
        <f t="shared" si="14"/>
        <v>0</v>
      </c>
      <c r="M42" s="146">
        <f t="shared" si="14"/>
        <v>0</v>
      </c>
      <c r="N42" s="146">
        <f t="shared" si="14"/>
        <v>0</v>
      </c>
      <c r="O42" s="146">
        <f t="shared" si="14"/>
        <v>0</v>
      </c>
      <c r="P42" s="146">
        <f t="shared" si="14"/>
        <v>0</v>
      </c>
      <c r="Q42" s="146">
        <f t="shared" si="14"/>
        <v>0</v>
      </c>
      <c r="R42" s="342">
        <f>SUM(R40:R41)</f>
        <v>1528818</v>
      </c>
      <c r="S42" s="150">
        <f t="shared" si="14"/>
        <v>1528818</v>
      </c>
      <c r="T42" s="150">
        <f t="shared" si="14"/>
        <v>0</v>
      </c>
      <c r="U42" s="143"/>
    </row>
    <row r="43" spans="1:21" s="144" customFormat="1">
      <c r="A43" s="149" t="s">
        <v>148</v>
      </c>
      <c r="B43" s="146">
        <f>SUM(C43:D43)</f>
        <v>500000</v>
      </c>
      <c r="C43" s="147">
        <v>500000</v>
      </c>
      <c r="D43" s="147"/>
      <c r="E43" s="147">
        <f t="shared" ref="E43:E53" si="15">+C43-SUM(F43:J43)</f>
        <v>500000</v>
      </c>
      <c r="F43" s="147"/>
      <c r="G43" s="147"/>
      <c r="H43" s="147"/>
      <c r="I43" s="147"/>
      <c r="J43" s="147"/>
      <c r="K43" s="147"/>
      <c r="L43" s="147"/>
      <c r="M43" s="147"/>
      <c r="N43" s="147"/>
      <c r="O43" s="147"/>
      <c r="P43" s="147"/>
      <c r="Q43" s="147"/>
      <c r="R43" s="516">
        <f>SUM(E43:Q43)</f>
        <v>500000</v>
      </c>
      <c r="S43" s="147">
        <f>+R43</f>
        <v>500000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6">SUM(C45+D45)</f>
        <v>2924789</v>
      </c>
      <c r="C45" s="147">
        <v>2924789</v>
      </c>
      <c r="D45" s="147"/>
      <c r="E45" s="147">
        <f t="shared" si="15"/>
        <v>2924789</v>
      </c>
      <c r="F45" s="147"/>
      <c r="G45" s="147"/>
      <c r="H45" s="147"/>
      <c r="I45" s="147"/>
      <c r="J45" s="147"/>
      <c r="K45" s="147"/>
      <c r="L45" s="147"/>
      <c r="M45" s="147"/>
      <c r="N45" s="147"/>
      <c r="O45" s="147"/>
      <c r="P45" s="147"/>
      <c r="Q45" s="147"/>
      <c r="R45" s="516">
        <f t="shared" ref="R45:R53" si="17">SUM(E45:Q45)</f>
        <v>2924789</v>
      </c>
      <c r="S45" s="147">
        <f t="shared" ref="S45:S53" si="18">+R45</f>
        <v>2924789</v>
      </c>
      <c r="T45" s="147"/>
      <c r="U45" s="143"/>
    </row>
    <row r="46" spans="1:21" s="144" customFormat="1">
      <c r="A46" s="145" t="s">
        <v>151</v>
      </c>
      <c r="B46" s="146">
        <f t="shared" si="16"/>
        <v>529444</v>
      </c>
      <c r="C46" s="147">
        <v>529444</v>
      </c>
      <c r="D46" s="147"/>
      <c r="E46" s="147">
        <f t="shared" si="15"/>
        <v>529444</v>
      </c>
      <c r="F46" s="147"/>
      <c r="G46" s="147"/>
      <c r="H46" s="147"/>
      <c r="I46" s="147"/>
      <c r="J46" s="147"/>
      <c r="K46" s="147"/>
      <c r="L46" s="147"/>
      <c r="M46" s="147"/>
      <c r="N46" s="147"/>
      <c r="O46" s="147"/>
      <c r="P46" s="147"/>
      <c r="Q46" s="147"/>
      <c r="R46" s="516">
        <f t="shared" si="17"/>
        <v>529444</v>
      </c>
      <c r="S46" s="147">
        <f t="shared" si="18"/>
        <v>529444</v>
      </c>
      <c r="T46" s="147"/>
      <c r="U46" s="143"/>
    </row>
    <row r="47" spans="1:21" s="144" customFormat="1">
      <c r="A47" s="186" t="s">
        <v>152</v>
      </c>
      <c r="B47" s="146">
        <f t="shared" si="16"/>
        <v>35000</v>
      </c>
      <c r="C47" s="147">
        <v>35000</v>
      </c>
      <c r="D47" s="147"/>
      <c r="E47" s="147">
        <f t="shared" si="15"/>
        <v>35000</v>
      </c>
      <c r="F47" s="147"/>
      <c r="G47" s="147"/>
      <c r="H47" s="147"/>
      <c r="I47" s="147"/>
      <c r="J47" s="147"/>
      <c r="K47" s="147"/>
      <c r="L47" s="147"/>
      <c r="M47" s="147"/>
      <c r="N47" s="147"/>
      <c r="O47" s="147"/>
      <c r="P47" s="147"/>
      <c r="Q47" s="147"/>
      <c r="R47" s="516">
        <f t="shared" si="17"/>
        <v>35000</v>
      </c>
      <c r="S47" s="147">
        <f t="shared" si="18"/>
        <v>35000</v>
      </c>
      <c r="T47" s="147"/>
      <c r="U47" s="143"/>
    </row>
    <row r="48" spans="1:21" s="144" customFormat="1">
      <c r="A48" s="145" t="s">
        <v>153</v>
      </c>
      <c r="B48" s="146">
        <f t="shared" si="16"/>
        <v>0</v>
      </c>
      <c r="C48" s="147"/>
      <c r="D48" s="147"/>
      <c r="E48" s="147">
        <f t="shared" si="15"/>
        <v>0</v>
      </c>
      <c r="F48" s="147"/>
      <c r="G48" s="147"/>
      <c r="H48" s="147"/>
      <c r="I48" s="147"/>
      <c r="J48" s="147"/>
      <c r="K48" s="147"/>
      <c r="L48" s="147"/>
      <c r="M48" s="147"/>
      <c r="N48" s="147"/>
      <c r="O48" s="147"/>
      <c r="P48" s="147"/>
      <c r="Q48" s="147"/>
      <c r="R48" s="516">
        <f t="shared" si="17"/>
        <v>0</v>
      </c>
      <c r="S48" s="147">
        <f t="shared" si="18"/>
        <v>0</v>
      </c>
      <c r="T48" s="147"/>
      <c r="U48" s="143"/>
    </row>
    <row r="49" spans="1:21" s="144" customFormat="1">
      <c r="A49" s="145" t="s">
        <v>57</v>
      </c>
      <c r="B49" s="146">
        <f t="shared" si="16"/>
        <v>223975</v>
      </c>
      <c r="C49" s="147">
        <v>223975</v>
      </c>
      <c r="D49" s="147"/>
      <c r="E49" s="147">
        <f t="shared" si="15"/>
        <v>223975</v>
      </c>
      <c r="F49" s="147"/>
      <c r="G49" s="147"/>
      <c r="H49" s="147"/>
      <c r="I49" s="147"/>
      <c r="J49" s="147"/>
      <c r="K49" s="147"/>
      <c r="L49" s="147"/>
      <c r="M49" s="147"/>
      <c r="N49" s="147"/>
      <c r="O49" s="147"/>
      <c r="P49" s="147"/>
      <c r="Q49" s="147"/>
      <c r="R49" s="516">
        <f t="shared" si="17"/>
        <v>223975</v>
      </c>
      <c r="S49" s="147"/>
      <c r="T49" s="147"/>
      <c r="U49" s="143"/>
    </row>
    <row r="50" spans="1:21" s="144" customFormat="1">
      <c r="A50" s="145" t="s">
        <v>156</v>
      </c>
      <c r="B50" s="146">
        <f t="shared" si="16"/>
        <v>40000</v>
      </c>
      <c r="C50" s="147">
        <v>40000</v>
      </c>
      <c r="D50" s="147"/>
      <c r="E50" s="147">
        <f t="shared" si="15"/>
        <v>40000</v>
      </c>
      <c r="F50" s="147"/>
      <c r="G50" s="147"/>
      <c r="H50" s="147"/>
      <c r="I50" s="147"/>
      <c r="J50" s="147"/>
      <c r="K50" s="147"/>
      <c r="L50" s="147"/>
      <c r="M50" s="147"/>
      <c r="N50" s="147"/>
      <c r="O50" s="147"/>
      <c r="P50" s="147"/>
      <c r="Q50" s="147"/>
      <c r="R50" s="516">
        <f t="shared" si="17"/>
        <v>40000</v>
      </c>
      <c r="S50" s="147">
        <f t="shared" si="18"/>
        <v>40000</v>
      </c>
      <c r="T50" s="147"/>
      <c r="U50" s="143"/>
    </row>
    <row r="51" spans="1:21" s="144" customFormat="1">
      <c r="A51" s="283" t="s">
        <v>154</v>
      </c>
      <c r="B51" s="146">
        <f t="shared" si="16"/>
        <v>220000</v>
      </c>
      <c r="C51" s="147">
        <v>220000</v>
      </c>
      <c r="D51" s="147"/>
      <c r="E51" s="147">
        <f t="shared" si="15"/>
        <v>220000</v>
      </c>
      <c r="F51" s="147"/>
      <c r="G51" s="147"/>
      <c r="H51" s="147"/>
      <c r="I51" s="147"/>
      <c r="J51" s="147"/>
      <c r="K51" s="147"/>
      <c r="L51" s="147"/>
      <c r="M51" s="147"/>
      <c r="N51" s="147"/>
      <c r="O51" s="147"/>
      <c r="P51" s="147"/>
      <c r="Q51" s="147"/>
      <c r="R51" s="516">
        <f t="shared" si="17"/>
        <v>220000</v>
      </c>
      <c r="S51" s="147">
        <f t="shared" si="18"/>
        <v>220000</v>
      </c>
      <c r="T51" s="147"/>
      <c r="U51" s="143"/>
    </row>
    <row r="52" spans="1:21" s="144" customFormat="1">
      <c r="A52" s="145" t="s">
        <v>155</v>
      </c>
      <c r="B52" s="146">
        <f t="shared" si="16"/>
        <v>0</v>
      </c>
      <c r="C52" s="147"/>
      <c r="D52" s="147"/>
      <c r="E52" s="147">
        <f t="shared" si="15"/>
        <v>0</v>
      </c>
      <c r="F52" s="147"/>
      <c r="G52" s="147"/>
      <c r="H52" s="147"/>
      <c r="I52" s="147"/>
      <c r="J52" s="147"/>
      <c r="K52" s="147"/>
      <c r="L52" s="147"/>
      <c r="M52" s="147"/>
      <c r="N52" s="147"/>
      <c r="O52" s="147"/>
      <c r="P52" s="147"/>
      <c r="Q52" s="147"/>
      <c r="R52" s="516">
        <f t="shared" si="17"/>
        <v>0</v>
      </c>
      <c r="S52" s="147">
        <f t="shared" si="18"/>
        <v>0</v>
      </c>
      <c r="T52" s="147"/>
      <c r="U52" s="143"/>
    </row>
    <row r="53" spans="1:21" s="144" customFormat="1">
      <c r="A53" s="1149" t="s">
        <v>2725</v>
      </c>
      <c r="B53" s="146">
        <f t="shared" si="16"/>
        <v>20000</v>
      </c>
      <c r="C53" s="147">
        <v>20000</v>
      </c>
      <c r="D53" s="147"/>
      <c r="E53" s="147">
        <f t="shared" si="15"/>
        <v>20000</v>
      </c>
      <c r="F53" s="147"/>
      <c r="G53" s="147"/>
      <c r="H53" s="147"/>
      <c r="I53" s="147"/>
      <c r="J53" s="147"/>
      <c r="K53" s="147"/>
      <c r="L53" s="147"/>
      <c r="M53" s="147"/>
      <c r="N53" s="147"/>
      <c r="O53" s="147"/>
      <c r="P53" s="147"/>
      <c r="Q53" s="147"/>
      <c r="R53" s="516">
        <f t="shared" si="17"/>
        <v>20000</v>
      </c>
      <c r="S53" s="147">
        <f t="shared" si="18"/>
        <v>20000</v>
      </c>
      <c r="T53" s="147"/>
      <c r="U53" s="143"/>
    </row>
    <row r="54" spans="1:21" s="153" customFormat="1">
      <c r="A54" s="149" t="s">
        <v>157</v>
      </c>
      <c r="B54" s="150">
        <f>SUM(C54:D54)</f>
        <v>3993208</v>
      </c>
      <c r="C54" s="150">
        <f t="shared" ref="C54:T54" si="19">SUM(C45:C53)</f>
        <v>3993208</v>
      </c>
      <c r="D54" s="150">
        <f t="shared" si="19"/>
        <v>0</v>
      </c>
      <c r="E54" s="150">
        <f t="shared" si="19"/>
        <v>3993208</v>
      </c>
      <c r="F54" s="150">
        <f t="shared" si="19"/>
        <v>0</v>
      </c>
      <c r="G54" s="150">
        <f t="shared" si="19"/>
        <v>0</v>
      </c>
      <c r="H54" s="150">
        <f t="shared" si="19"/>
        <v>0</v>
      </c>
      <c r="I54" s="150">
        <f t="shared" si="19"/>
        <v>0</v>
      </c>
      <c r="J54" s="150">
        <f t="shared" si="19"/>
        <v>0</v>
      </c>
      <c r="K54" s="150">
        <f t="shared" si="19"/>
        <v>0</v>
      </c>
      <c r="L54" s="150">
        <f t="shared" si="19"/>
        <v>0</v>
      </c>
      <c r="M54" s="150">
        <f t="shared" si="19"/>
        <v>0</v>
      </c>
      <c r="N54" s="150">
        <f t="shared" si="19"/>
        <v>0</v>
      </c>
      <c r="O54" s="150">
        <f t="shared" si="19"/>
        <v>0</v>
      </c>
      <c r="P54" s="150">
        <f t="shared" si="19"/>
        <v>0</v>
      </c>
      <c r="Q54" s="150">
        <f t="shared" si="19"/>
        <v>0</v>
      </c>
      <c r="R54" s="342">
        <f t="shared" si="19"/>
        <v>3993208</v>
      </c>
      <c r="S54" s="150">
        <f t="shared" si="19"/>
        <v>3769233</v>
      </c>
      <c r="T54" s="150">
        <f t="shared" si="19"/>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0">SUM(C56+D56)</f>
        <v>0</v>
      </c>
      <c r="C56" s="147"/>
      <c r="D56" s="147"/>
      <c r="E56" s="147">
        <f t="shared" ref="E56:E61" si="21">+C56-SUM(F56:J56)</f>
        <v>0</v>
      </c>
      <c r="F56" s="147"/>
      <c r="G56" s="147"/>
      <c r="H56" s="147"/>
      <c r="I56" s="147"/>
      <c r="J56" s="147"/>
      <c r="K56" s="147"/>
      <c r="L56" s="147"/>
      <c r="M56" s="147"/>
      <c r="N56" s="147"/>
      <c r="O56" s="147"/>
      <c r="P56" s="147"/>
      <c r="Q56" s="147"/>
      <c r="R56" s="516">
        <f t="shared" ref="R56:R61" si="22">SUM(E56:Q56)</f>
        <v>0</v>
      </c>
      <c r="S56" s="148"/>
      <c r="T56" s="148"/>
      <c r="U56" s="143"/>
    </row>
    <row r="57" spans="1:21" s="192" customFormat="1">
      <c r="A57" s="186" t="s">
        <v>152</v>
      </c>
      <c r="B57" s="193">
        <f t="shared" si="20"/>
        <v>10000</v>
      </c>
      <c r="C57" s="190">
        <v>10000</v>
      </c>
      <c r="D57" s="190"/>
      <c r="E57" s="190">
        <f t="shared" si="21"/>
        <v>10000</v>
      </c>
      <c r="F57" s="190"/>
      <c r="G57" s="190"/>
      <c r="H57" s="190"/>
      <c r="I57" s="190"/>
      <c r="J57" s="190"/>
      <c r="K57" s="190"/>
      <c r="L57" s="190"/>
      <c r="M57" s="190"/>
      <c r="N57" s="190"/>
      <c r="O57" s="190"/>
      <c r="P57" s="190"/>
      <c r="Q57" s="190"/>
      <c r="R57" s="516">
        <f t="shared" si="22"/>
        <v>10000</v>
      </c>
      <c r="S57" s="194"/>
      <c r="T57" s="194"/>
      <c r="U57" s="191"/>
    </row>
    <row r="58" spans="1:21" s="144" customFormat="1">
      <c r="A58" s="145" t="s">
        <v>156</v>
      </c>
      <c r="B58" s="146">
        <f t="shared" si="20"/>
        <v>5000</v>
      </c>
      <c r="C58" s="147">
        <v>5000</v>
      </c>
      <c r="D58" s="147"/>
      <c r="E58" s="147">
        <f t="shared" si="21"/>
        <v>5000</v>
      </c>
      <c r="F58" s="147"/>
      <c r="G58" s="147"/>
      <c r="H58" s="147"/>
      <c r="I58" s="147"/>
      <c r="J58" s="147"/>
      <c r="K58" s="147"/>
      <c r="L58" s="147"/>
      <c r="M58" s="147"/>
      <c r="N58" s="147"/>
      <c r="O58" s="147"/>
      <c r="P58" s="147"/>
      <c r="Q58" s="147"/>
      <c r="R58" s="516">
        <f t="shared" si="22"/>
        <v>5000</v>
      </c>
      <c r="S58" s="148"/>
      <c r="T58" s="148"/>
      <c r="U58" s="143"/>
    </row>
    <row r="59" spans="1:21" s="144" customFormat="1">
      <c r="A59" s="283" t="s">
        <v>154</v>
      </c>
      <c r="B59" s="146">
        <f t="shared" si="20"/>
        <v>0</v>
      </c>
      <c r="C59" s="147"/>
      <c r="D59" s="147"/>
      <c r="E59" s="147">
        <f t="shared" si="21"/>
        <v>0</v>
      </c>
      <c r="F59" s="147"/>
      <c r="G59" s="147"/>
      <c r="H59" s="147"/>
      <c r="I59" s="147"/>
      <c r="J59" s="147"/>
      <c r="K59" s="147"/>
      <c r="L59" s="147"/>
      <c r="M59" s="147"/>
      <c r="N59" s="147"/>
      <c r="O59" s="147"/>
      <c r="P59" s="147"/>
      <c r="Q59" s="147"/>
      <c r="R59" s="516">
        <f t="shared" si="22"/>
        <v>0</v>
      </c>
      <c r="S59" s="148"/>
      <c r="T59" s="148"/>
      <c r="U59" s="143"/>
    </row>
    <row r="60" spans="1:21" s="144" customFormat="1">
      <c r="A60" s="145" t="s">
        <v>155</v>
      </c>
      <c r="B60" s="146">
        <f t="shared" si="20"/>
        <v>0</v>
      </c>
      <c r="C60" s="147"/>
      <c r="D60" s="147"/>
      <c r="E60" s="147">
        <f t="shared" si="21"/>
        <v>0</v>
      </c>
      <c r="F60" s="147"/>
      <c r="G60" s="147"/>
      <c r="H60" s="147"/>
      <c r="I60" s="147"/>
      <c r="J60" s="147"/>
      <c r="K60" s="147"/>
      <c r="L60" s="147"/>
      <c r="M60" s="147"/>
      <c r="N60" s="147"/>
      <c r="O60" s="147"/>
      <c r="P60" s="147"/>
      <c r="Q60" s="147"/>
      <c r="R60" s="516">
        <f t="shared" si="22"/>
        <v>0</v>
      </c>
      <c r="S60" s="148"/>
      <c r="T60" s="148"/>
      <c r="U60" s="143"/>
    </row>
    <row r="61" spans="1:21" s="144" customFormat="1">
      <c r="A61" s="1149" t="s">
        <v>34</v>
      </c>
      <c r="B61" s="146">
        <f t="shared" si="20"/>
        <v>0</v>
      </c>
      <c r="C61" s="147"/>
      <c r="D61" s="147"/>
      <c r="E61" s="147">
        <f t="shared" si="21"/>
        <v>0</v>
      </c>
      <c r="F61" s="147"/>
      <c r="G61" s="147"/>
      <c r="H61" s="147"/>
      <c r="I61" s="147"/>
      <c r="J61" s="147"/>
      <c r="K61" s="147"/>
      <c r="L61" s="147"/>
      <c r="M61" s="147"/>
      <c r="N61" s="147"/>
      <c r="O61" s="147"/>
      <c r="P61" s="147"/>
      <c r="Q61" s="147"/>
      <c r="R61" s="516">
        <f t="shared" si="22"/>
        <v>0</v>
      </c>
      <c r="S61" s="148"/>
      <c r="T61" s="148"/>
      <c r="U61" s="143"/>
    </row>
    <row r="62" spans="1:21" s="144" customFormat="1" ht="13.7" customHeight="1">
      <c r="A62" s="149" t="s">
        <v>301</v>
      </c>
      <c r="B62" s="146">
        <f>SUM(C62:D62)</f>
        <v>15000</v>
      </c>
      <c r="C62" s="146">
        <f t="shared" ref="C62:R62" si="23">SUM(C56:C61)</f>
        <v>15000</v>
      </c>
      <c r="D62" s="146">
        <f t="shared" si="23"/>
        <v>0</v>
      </c>
      <c r="E62" s="146">
        <f t="shared" si="23"/>
        <v>15000</v>
      </c>
      <c r="F62" s="146">
        <f t="shared" si="23"/>
        <v>0</v>
      </c>
      <c r="G62" s="146">
        <f t="shared" si="23"/>
        <v>0</v>
      </c>
      <c r="H62" s="146">
        <f t="shared" si="23"/>
        <v>0</v>
      </c>
      <c r="I62" s="146">
        <f t="shared" si="23"/>
        <v>0</v>
      </c>
      <c r="J62" s="146">
        <f t="shared" si="23"/>
        <v>0</v>
      </c>
      <c r="K62" s="146">
        <f t="shared" si="23"/>
        <v>0</v>
      </c>
      <c r="L62" s="146">
        <f t="shared" si="23"/>
        <v>0</v>
      </c>
      <c r="M62" s="146">
        <f t="shared" si="23"/>
        <v>0</v>
      </c>
      <c r="N62" s="146">
        <f t="shared" si="23"/>
        <v>0</v>
      </c>
      <c r="O62" s="146">
        <f t="shared" si="23"/>
        <v>0</v>
      </c>
      <c r="P62" s="146">
        <f t="shared" si="23"/>
        <v>0</v>
      </c>
      <c r="Q62" s="146">
        <f t="shared" si="23"/>
        <v>0</v>
      </c>
      <c r="R62" s="342">
        <f t="shared" si="23"/>
        <v>15000</v>
      </c>
      <c r="S62" s="148"/>
      <c r="T62" s="148"/>
      <c r="U62" s="143"/>
    </row>
    <row r="63" spans="1:21" s="144" customFormat="1">
      <c r="A63" s="154" t="s">
        <v>302</v>
      </c>
      <c r="B63" s="146">
        <f t="shared" ref="B63:R63" si="24">SUM(B8+B11+B13+B14+B15+B26+B27+B38+B42+B43+B54+B62)</f>
        <v>67691228</v>
      </c>
      <c r="C63" s="146">
        <f t="shared" si="24"/>
        <v>67691228</v>
      </c>
      <c r="D63" s="146">
        <f t="shared" si="24"/>
        <v>0</v>
      </c>
      <c r="E63" s="146">
        <f t="shared" si="24"/>
        <v>32673945</v>
      </c>
      <c r="F63" s="146">
        <f t="shared" si="24"/>
        <v>19117283</v>
      </c>
      <c r="G63" s="146">
        <f t="shared" si="24"/>
        <v>0</v>
      </c>
      <c r="H63" s="146">
        <f t="shared" si="24"/>
        <v>8000000</v>
      </c>
      <c r="I63" s="146">
        <f t="shared" si="24"/>
        <v>7900000</v>
      </c>
      <c r="J63" s="146">
        <f t="shared" si="24"/>
        <v>0</v>
      </c>
      <c r="K63" s="146">
        <f t="shared" si="24"/>
        <v>0</v>
      </c>
      <c r="L63" s="146">
        <f t="shared" si="24"/>
        <v>0</v>
      </c>
      <c r="M63" s="146">
        <f t="shared" si="24"/>
        <v>0</v>
      </c>
      <c r="N63" s="146">
        <f t="shared" si="24"/>
        <v>0</v>
      </c>
      <c r="O63" s="146">
        <f t="shared" si="24"/>
        <v>0</v>
      </c>
      <c r="P63" s="146">
        <f t="shared" si="24"/>
        <v>0</v>
      </c>
      <c r="Q63" s="146">
        <f t="shared" si="24"/>
        <v>0</v>
      </c>
      <c r="R63" s="342">
        <f t="shared" si="24"/>
        <v>67691228</v>
      </c>
      <c r="S63" s="146">
        <f>SUM(S10+S13+S14+S15+S26+S27+S38+S42+S43+S54)</f>
        <v>56452253</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95000</v>
      </c>
      <c r="C65" s="147">
        <v>95000</v>
      </c>
      <c r="D65" s="147"/>
      <c r="E65" s="147">
        <f t="shared" ref="E65:E69" si="25">+C65-SUM(F65:J65)</f>
        <v>95000</v>
      </c>
      <c r="F65" s="147"/>
      <c r="G65" s="147"/>
      <c r="H65" s="147"/>
      <c r="I65" s="147"/>
      <c r="J65" s="147"/>
      <c r="K65" s="147"/>
      <c r="L65" s="147"/>
      <c r="M65" s="147"/>
      <c r="N65" s="147"/>
      <c r="O65" s="147"/>
      <c r="P65" s="147"/>
      <c r="Q65" s="147"/>
      <c r="R65" s="516">
        <f>SUM(E65:Q65)</f>
        <v>95000</v>
      </c>
      <c r="S65" s="147">
        <f t="shared" ref="S65:S69" si="26">+R65</f>
        <v>95000</v>
      </c>
      <c r="T65" s="147"/>
      <c r="U65" s="143"/>
    </row>
    <row r="66" spans="1:21" s="144" customFormat="1" ht="24" customHeight="1">
      <c r="A66" s="283" t="s">
        <v>1642</v>
      </c>
      <c r="B66" s="146">
        <f>SUM(C66+D66)</f>
        <v>0</v>
      </c>
      <c r="C66" s="147"/>
      <c r="D66" s="147"/>
      <c r="E66" s="147">
        <f t="shared" si="25"/>
        <v>0</v>
      </c>
      <c r="F66" s="147"/>
      <c r="G66" s="147"/>
      <c r="H66" s="147"/>
      <c r="I66" s="147"/>
      <c r="J66" s="147"/>
      <c r="K66" s="147"/>
      <c r="L66" s="147"/>
      <c r="M66" s="147"/>
      <c r="N66" s="147"/>
      <c r="O66" s="147"/>
      <c r="P66" s="147"/>
      <c r="Q66" s="147"/>
      <c r="R66" s="516">
        <f>SUM(E66:Q66)</f>
        <v>0</v>
      </c>
      <c r="S66" s="147">
        <f t="shared" si="26"/>
        <v>0</v>
      </c>
      <c r="T66" s="147"/>
      <c r="U66" s="143"/>
    </row>
    <row r="67" spans="1:21" s="144" customFormat="1" ht="24" customHeight="1">
      <c r="A67" s="283" t="s">
        <v>1643</v>
      </c>
      <c r="B67" s="146">
        <f>SUM(C67+D67)</f>
        <v>0</v>
      </c>
      <c r="C67" s="147"/>
      <c r="D67" s="147"/>
      <c r="E67" s="147">
        <f t="shared" si="25"/>
        <v>0</v>
      </c>
      <c r="F67" s="147"/>
      <c r="G67" s="147"/>
      <c r="H67" s="147"/>
      <c r="I67" s="147"/>
      <c r="J67" s="147"/>
      <c r="K67" s="147"/>
      <c r="L67" s="147"/>
      <c r="M67" s="147"/>
      <c r="N67" s="147"/>
      <c r="O67" s="147"/>
      <c r="P67" s="147"/>
      <c r="Q67" s="147"/>
      <c r="R67" s="516">
        <f>SUM(E67:Q67)</f>
        <v>0</v>
      </c>
      <c r="S67" s="147">
        <f t="shared" si="26"/>
        <v>0</v>
      </c>
      <c r="T67" s="147"/>
      <c r="U67" s="143"/>
    </row>
    <row r="68" spans="1:21" s="144" customFormat="1" ht="12" customHeight="1">
      <c r="A68" s="283" t="s">
        <v>1649</v>
      </c>
      <c r="B68" s="146">
        <f>SUM(C68+D68)</f>
        <v>0</v>
      </c>
      <c r="C68" s="147"/>
      <c r="D68" s="147"/>
      <c r="E68" s="147">
        <f t="shared" si="25"/>
        <v>0</v>
      </c>
      <c r="F68" s="147"/>
      <c r="G68" s="147"/>
      <c r="H68" s="147"/>
      <c r="I68" s="147"/>
      <c r="J68" s="147"/>
      <c r="K68" s="147"/>
      <c r="L68" s="147"/>
      <c r="M68" s="147"/>
      <c r="N68" s="147"/>
      <c r="O68" s="147"/>
      <c r="P68" s="147"/>
      <c r="Q68" s="147"/>
      <c r="R68" s="516">
        <f>SUM(E68:Q68)</f>
        <v>0</v>
      </c>
      <c r="S68" s="147">
        <f t="shared" si="26"/>
        <v>0</v>
      </c>
      <c r="T68" s="147"/>
      <c r="U68" s="143"/>
    </row>
    <row r="69" spans="1:21" s="144" customFormat="1">
      <c r="A69" s="1149" t="s">
        <v>2726</v>
      </c>
      <c r="B69" s="146">
        <f>SUM(C69+D69)</f>
        <v>75000</v>
      </c>
      <c r="C69" s="147">
        <v>75000</v>
      </c>
      <c r="D69" s="147"/>
      <c r="E69" s="147">
        <f t="shared" si="25"/>
        <v>75000</v>
      </c>
      <c r="F69" s="147"/>
      <c r="G69" s="147"/>
      <c r="H69" s="147"/>
      <c r="I69" s="147"/>
      <c r="J69" s="147"/>
      <c r="K69" s="147"/>
      <c r="L69" s="147"/>
      <c r="M69" s="147"/>
      <c r="N69" s="147"/>
      <c r="O69" s="147"/>
      <c r="P69" s="147"/>
      <c r="Q69" s="147"/>
      <c r="R69" s="516">
        <f>SUM(E69:Q69)</f>
        <v>75000</v>
      </c>
      <c r="S69" s="147">
        <f t="shared" si="26"/>
        <v>75000</v>
      </c>
      <c r="T69" s="147"/>
      <c r="U69" s="143"/>
    </row>
    <row r="70" spans="1:21" s="144" customFormat="1">
      <c r="A70" s="149" t="s">
        <v>1646</v>
      </c>
      <c r="B70" s="146">
        <f>SUM(C70:D70)</f>
        <v>170000</v>
      </c>
      <c r="C70" s="146">
        <f>SUM(C65:C69)</f>
        <v>170000</v>
      </c>
      <c r="D70" s="146">
        <f>SUM(D65:D69)</f>
        <v>0</v>
      </c>
      <c r="E70" s="146">
        <f t="shared" ref="E70:T70" si="27">SUM(E65:E69)</f>
        <v>170000</v>
      </c>
      <c r="F70" s="146">
        <f t="shared" si="27"/>
        <v>0</v>
      </c>
      <c r="G70" s="146">
        <f t="shared" si="27"/>
        <v>0</v>
      </c>
      <c r="H70" s="146">
        <f t="shared" si="27"/>
        <v>0</v>
      </c>
      <c r="I70" s="146">
        <f t="shared" si="27"/>
        <v>0</v>
      </c>
      <c r="J70" s="146">
        <f t="shared" si="27"/>
        <v>0</v>
      </c>
      <c r="K70" s="146">
        <f t="shared" si="27"/>
        <v>0</v>
      </c>
      <c r="L70" s="146">
        <f t="shared" si="27"/>
        <v>0</v>
      </c>
      <c r="M70" s="146">
        <f t="shared" si="27"/>
        <v>0</v>
      </c>
      <c r="N70" s="146">
        <f t="shared" si="27"/>
        <v>0</v>
      </c>
      <c r="O70" s="146">
        <f t="shared" si="27"/>
        <v>0</v>
      </c>
      <c r="P70" s="146">
        <f t="shared" si="27"/>
        <v>0</v>
      </c>
      <c r="Q70" s="146">
        <f t="shared" si="27"/>
        <v>0</v>
      </c>
      <c r="R70" s="342">
        <f t="shared" si="27"/>
        <v>170000</v>
      </c>
      <c r="S70" s="150">
        <f t="shared" si="27"/>
        <v>170000</v>
      </c>
      <c r="T70" s="150">
        <f t="shared" si="27"/>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f t="shared" ref="E72:E76" si="28">+C72-SUM(F72:J72)</f>
        <v>0</v>
      </c>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f t="shared" si="28"/>
        <v>0</v>
      </c>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f t="shared" si="28"/>
        <v>0</v>
      </c>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484373</v>
      </c>
      <c r="C75" s="147">
        <v>484373</v>
      </c>
      <c r="D75" s="147"/>
      <c r="E75" s="147">
        <f t="shared" si="28"/>
        <v>484373</v>
      </c>
      <c r="F75" s="147"/>
      <c r="G75" s="147"/>
      <c r="H75" s="147"/>
      <c r="I75" s="147"/>
      <c r="J75" s="147"/>
      <c r="K75" s="147"/>
      <c r="L75" s="147"/>
      <c r="M75" s="147"/>
      <c r="N75" s="147"/>
      <c r="O75" s="147"/>
      <c r="P75" s="147"/>
      <c r="Q75" s="147"/>
      <c r="R75" s="516">
        <f>SUM(E75:Q75)</f>
        <v>484373</v>
      </c>
      <c r="S75" s="148"/>
      <c r="T75" s="148"/>
      <c r="U75" s="143"/>
    </row>
    <row r="76" spans="1:21" s="144" customFormat="1">
      <c r="A76" s="1149" t="s">
        <v>34</v>
      </c>
      <c r="B76" s="146">
        <f>SUM(C76+D76)</f>
        <v>0</v>
      </c>
      <c r="C76" s="147"/>
      <c r="D76" s="147"/>
      <c r="E76" s="147">
        <f t="shared" si="28"/>
        <v>0</v>
      </c>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484373</v>
      </c>
      <c r="C77" s="146">
        <f>SUM(C72:C76)</f>
        <v>484373</v>
      </c>
      <c r="D77" s="146">
        <f>SUM(D72:D76)</f>
        <v>0</v>
      </c>
      <c r="E77" s="146">
        <f t="shared" ref="E77:Q77" si="29">SUM(E72:E76)</f>
        <v>484373</v>
      </c>
      <c r="F77" s="146">
        <f t="shared" si="29"/>
        <v>0</v>
      </c>
      <c r="G77" s="146">
        <f t="shared" si="29"/>
        <v>0</v>
      </c>
      <c r="H77" s="146">
        <f t="shared" si="29"/>
        <v>0</v>
      </c>
      <c r="I77" s="146">
        <f t="shared" si="29"/>
        <v>0</v>
      </c>
      <c r="J77" s="146">
        <f t="shared" si="29"/>
        <v>0</v>
      </c>
      <c r="K77" s="146">
        <f t="shared" si="29"/>
        <v>0</v>
      </c>
      <c r="L77" s="146">
        <f t="shared" si="29"/>
        <v>0</v>
      </c>
      <c r="M77" s="146">
        <f t="shared" si="29"/>
        <v>0</v>
      </c>
      <c r="N77" s="146">
        <f t="shared" si="29"/>
        <v>0</v>
      </c>
      <c r="O77" s="146">
        <f t="shared" si="29"/>
        <v>0</v>
      </c>
      <c r="P77" s="146">
        <f t="shared" si="29"/>
        <v>0</v>
      </c>
      <c r="Q77" s="146">
        <f t="shared" si="29"/>
        <v>0</v>
      </c>
      <c r="R77" s="342">
        <f>SUM(R72:R76)</f>
        <v>484373</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2532710</v>
      </c>
      <c r="C79" s="147">
        <v>2532710</v>
      </c>
      <c r="D79" s="147"/>
      <c r="E79" s="147">
        <f t="shared" ref="E79:E80" si="30">+C79-SUM(F79:J79)</f>
        <v>2532710</v>
      </c>
      <c r="F79" s="147"/>
      <c r="G79" s="147"/>
      <c r="H79" s="147"/>
      <c r="I79" s="147"/>
      <c r="J79" s="147"/>
      <c r="K79" s="147"/>
      <c r="L79" s="147"/>
      <c r="M79" s="147"/>
      <c r="N79" s="147"/>
      <c r="O79" s="147"/>
      <c r="P79" s="147"/>
      <c r="Q79" s="147"/>
      <c r="R79" s="516">
        <f>SUM(E79:Q79)</f>
        <v>2532710</v>
      </c>
      <c r="S79" s="147">
        <f t="shared" ref="S79:S80" si="31">+R79</f>
        <v>2532710</v>
      </c>
      <c r="T79" s="147"/>
      <c r="U79" s="143"/>
    </row>
    <row r="80" spans="1:21" s="144" customFormat="1">
      <c r="A80" s="283" t="s">
        <v>58</v>
      </c>
      <c r="B80" s="146">
        <f>SUM(C80:D80)</f>
        <v>290548</v>
      </c>
      <c r="C80" s="147">
        <v>290548</v>
      </c>
      <c r="D80" s="147"/>
      <c r="E80" s="147">
        <f t="shared" si="30"/>
        <v>290548</v>
      </c>
      <c r="F80" s="147"/>
      <c r="G80" s="147"/>
      <c r="H80" s="147"/>
      <c r="I80" s="147"/>
      <c r="J80" s="147"/>
      <c r="K80" s="147"/>
      <c r="L80" s="147"/>
      <c r="M80" s="147"/>
      <c r="N80" s="147"/>
      <c r="O80" s="147"/>
      <c r="P80" s="147"/>
      <c r="Q80" s="147"/>
      <c r="R80" s="516">
        <f>SUM(E80:Q80)</f>
        <v>290548</v>
      </c>
      <c r="S80" s="147">
        <f t="shared" si="31"/>
        <v>290548</v>
      </c>
      <c r="T80" s="147"/>
      <c r="U80" s="143"/>
    </row>
    <row r="81" spans="1:21" s="144" customFormat="1">
      <c r="A81" s="149" t="s">
        <v>1210</v>
      </c>
      <c r="B81" s="146">
        <f>SUM(C81:D81)</f>
        <v>2823258</v>
      </c>
      <c r="C81" s="509">
        <f>SUM(C79:C80)</f>
        <v>2823258</v>
      </c>
      <c r="D81" s="509">
        <f t="shared" ref="D81:T81" si="32">SUM(D79:D80)</f>
        <v>0</v>
      </c>
      <c r="E81" s="509">
        <f t="shared" si="32"/>
        <v>2823258</v>
      </c>
      <c r="F81" s="509">
        <f t="shared" si="32"/>
        <v>0</v>
      </c>
      <c r="G81" s="509">
        <f t="shared" si="32"/>
        <v>0</v>
      </c>
      <c r="H81" s="509">
        <f t="shared" si="32"/>
        <v>0</v>
      </c>
      <c r="I81" s="509">
        <f t="shared" si="32"/>
        <v>0</v>
      </c>
      <c r="J81" s="509">
        <f t="shared" si="32"/>
        <v>0</v>
      </c>
      <c r="K81" s="509">
        <f t="shared" si="32"/>
        <v>0</v>
      </c>
      <c r="L81" s="509">
        <f t="shared" si="32"/>
        <v>0</v>
      </c>
      <c r="M81" s="509">
        <f t="shared" si="32"/>
        <v>0</v>
      </c>
      <c r="N81" s="509">
        <f t="shared" si="32"/>
        <v>0</v>
      </c>
      <c r="O81" s="509">
        <f t="shared" si="32"/>
        <v>0</v>
      </c>
      <c r="P81" s="509">
        <f t="shared" si="32"/>
        <v>0</v>
      </c>
      <c r="Q81" s="509">
        <f t="shared" si="32"/>
        <v>0</v>
      </c>
      <c r="R81" s="509">
        <f t="shared" si="32"/>
        <v>2823258</v>
      </c>
      <c r="S81" s="509">
        <f t="shared" si="32"/>
        <v>2823258</v>
      </c>
      <c r="T81" s="509">
        <f t="shared" si="32"/>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2095</v>
      </c>
      <c r="B83" s="146">
        <f t="shared" ref="B83:B95" si="33">SUM(C83+D83)</f>
        <v>210825</v>
      </c>
      <c r="C83" s="147">
        <v>210825</v>
      </c>
      <c r="D83" s="147"/>
      <c r="E83" s="147">
        <f t="shared" ref="E83:E95" si="34">+C83-SUM(F83:J83)</f>
        <v>210825</v>
      </c>
      <c r="F83" s="147"/>
      <c r="G83" s="147"/>
      <c r="H83" s="147"/>
      <c r="I83" s="147"/>
      <c r="J83" s="147"/>
      <c r="K83" s="147"/>
      <c r="L83" s="147"/>
      <c r="M83" s="147"/>
      <c r="N83" s="147"/>
      <c r="O83" s="147"/>
      <c r="P83" s="147"/>
      <c r="Q83" s="147"/>
      <c r="R83" s="516">
        <f t="shared" ref="R83:R95" si="35">SUM(E83:Q83)</f>
        <v>210825</v>
      </c>
      <c r="S83" s="148"/>
      <c r="T83" s="148"/>
      <c r="U83" s="143"/>
    </row>
    <row r="84" spans="1:21" s="144" customFormat="1">
      <c r="A84" s="145" t="s">
        <v>768</v>
      </c>
      <c r="B84" s="146">
        <f t="shared" si="33"/>
        <v>7000</v>
      </c>
      <c r="C84" s="147">
        <v>7000</v>
      </c>
      <c r="D84" s="147"/>
      <c r="E84" s="147">
        <f t="shared" si="34"/>
        <v>7000</v>
      </c>
      <c r="F84" s="147"/>
      <c r="G84" s="147"/>
      <c r="H84" s="147"/>
      <c r="I84" s="147"/>
      <c r="J84" s="147"/>
      <c r="K84" s="147"/>
      <c r="L84" s="147"/>
      <c r="M84" s="147"/>
      <c r="N84" s="147"/>
      <c r="O84" s="147"/>
      <c r="P84" s="147"/>
      <c r="Q84" s="147"/>
      <c r="R84" s="516">
        <f t="shared" si="35"/>
        <v>7000</v>
      </c>
      <c r="S84" s="147">
        <f t="shared" ref="S84:S87" si="36">+R84</f>
        <v>7000</v>
      </c>
      <c r="T84" s="147"/>
      <c r="U84" s="143"/>
    </row>
    <row r="85" spans="1:21" s="144" customFormat="1">
      <c r="A85" s="145" t="s">
        <v>769</v>
      </c>
      <c r="B85" s="146">
        <f t="shared" si="33"/>
        <v>978148</v>
      </c>
      <c r="C85" s="147">
        <v>978148</v>
      </c>
      <c r="D85" s="147"/>
      <c r="E85" s="147">
        <f t="shared" si="34"/>
        <v>978148</v>
      </c>
      <c r="F85" s="147"/>
      <c r="G85" s="147"/>
      <c r="H85" s="147"/>
      <c r="I85" s="147"/>
      <c r="J85" s="147"/>
      <c r="K85" s="147"/>
      <c r="L85" s="147"/>
      <c r="M85" s="147"/>
      <c r="N85" s="147"/>
      <c r="O85" s="147"/>
      <c r="P85" s="147"/>
      <c r="Q85" s="147"/>
      <c r="R85" s="516">
        <f t="shared" si="35"/>
        <v>978148</v>
      </c>
      <c r="S85" s="147">
        <f t="shared" si="36"/>
        <v>978148</v>
      </c>
      <c r="T85" s="147"/>
      <c r="U85" s="143"/>
    </row>
    <row r="86" spans="1:21" s="144" customFormat="1">
      <c r="A86" s="145" t="s">
        <v>770</v>
      </c>
      <c r="B86" s="146">
        <f t="shared" si="33"/>
        <v>1139135</v>
      </c>
      <c r="C86" s="147">
        <f>789135+350000</f>
        <v>1139135</v>
      </c>
      <c r="D86" s="147"/>
      <c r="E86" s="147">
        <f t="shared" si="34"/>
        <v>1139135</v>
      </c>
      <c r="F86" s="147"/>
      <c r="G86" s="147"/>
      <c r="H86" s="147"/>
      <c r="I86" s="147"/>
      <c r="J86" s="147"/>
      <c r="K86" s="147"/>
      <c r="L86" s="147"/>
      <c r="M86" s="147"/>
      <c r="N86" s="147"/>
      <c r="O86" s="147"/>
      <c r="P86" s="147"/>
      <c r="Q86" s="147"/>
      <c r="R86" s="516">
        <f t="shared" si="35"/>
        <v>1139135</v>
      </c>
      <c r="S86" s="147">
        <f t="shared" si="36"/>
        <v>1139135</v>
      </c>
      <c r="T86" s="147"/>
      <c r="U86" s="143"/>
    </row>
    <row r="87" spans="1:21" s="144" customFormat="1">
      <c r="A87" s="145" t="s">
        <v>771</v>
      </c>
      <c r="B87" s="146">
        <f t="shared" si="33"/>
        <v>0</v>
      </c>
      <c r="C87" s="147"/>
      <c r="D87" s="147"/>
      <c r="E87" s="147">
        <f t="shared" si="34"/>
        <v>0</v>
      </c>
      <c r="F87" s="147"/>
      <c r="G87" s="147"/>
      <c r="H87" s="147"/>
      <c r="I87" s="147"/>
      <c r="J87" s="147"/>
      <c r="K87" s="147"/>
      <c r="L87" s="147"/>
      <c r="M87" s="147"/>
      <c r="N87" s="147"/>
      <c r="O87" s="147"/>
      <c r="P87" s="147"/>
      <c r="Q87" s="147"/>
      <c r="R87" s="516">
        <f t="shared" si="35"/>
        <v>0</v>
      </c>
      <c r="S87" s="147">
        <f t="shared" si="36"/>
        <v>0</v>
      </c>
      <c r="T87" s="147"/>
      <c r="U87" s="143"/>
    </row>
    <row r="88" spans="1:21" s="144" customFormat="1">
      <c r="A88" s="145" t="s">
        <v>772</v>
      </c>
      <c r="B88" s="146">
        <f t="shared" si="33"/>
        <v>20000</v>
      </c>
      <c r="C88" s="147">
        <v>20000</v>
      </c>
      <c r="D88" s="147"/>
      <c r="E88" s="147">
        <f t="shared" si="34"/>
        <v>20000</v>
      </c>
      <c r="F88" s="147"/>
      <c r="G88" s="147"/>
      <c r="H88" s="147"/>
      <c r="I88" s="147"/>
      <c r="J88" s="147"/>
      <c r="K88" s="147"/>
      <c r="L88" s="147"/>
      <c r="M88" s="147"/>
      <c r="N88" s="147"/>
      <c r="O88" s="147"/>
      <c r="P88" s="147"/>
      <c r="Q88" s="147"/>
      <c r="R88" s="516">
        <f t="shared" si="35"/>
        <v>20000</v>
      </c>
      <c r="S88" s="148"/>
      <c r="T88" s="148"/>
      <c r="U88" s="143"/>
    </row>
    <row r="89" spans="1:21" s="144" customFormat="1">
      <c r="A89" s="145" t="s">
        <v>773</v>
      </c>
      <c r="B89" s="146">
        <f t="shared" si="33"/>
        <v>110000</v>
      </c>
      <c r="C89" s="147">
        <v>110000</v>
      </c>
      <c r="D89" s="147"/>
      <c r="E89" s="147">
        <f t="shared" si="34"/>
        <v>110000</v>
      </c>
      <c r="F89" s="147"/>
      <c r="G89" s="147"/>
      <c r="H89" s="147"/>
      <c r="I89" s="147"/>
      <c r="J89" s="147"/>
      <c r="K89" s="147"/>
      <c r="L89" s="147"/>
      <c r="M89" s="147"/>
      <c r="N89" s="147"/>
      <c r="O89" s="147"/>
      <c r="P89" s="147"/>
      <c r="Q89" s="147"/>
      <c r="R89" s="516">
        <f t="shared" si="35"/>
        <v>110000</v>
      </c>
      <c r="S89" s="147">
        <f t="shared" ref="S89:S95" si="37">+R89</f>
        <v>110000</v>
      </c>
      <c r="T89" s="147"/>
      <c r="U89" s="143"/>
    </row>
    <row r="90" spans="1:21" s="144" customFormat="1">
      <c r="A90" s="145" t="s">
        <v>774</v>
      </c>
      <c r="B90" s="146">
        <f t="shared" si="33"/>
        <v>10000</v>
      </c>
      <c r="C90" s="147">
        <v>10000</v>
      </c>
      <c r="D90" s="147"/>
      <c r="E90" s="147">
        <f t="shared" si="34"/>
        <v>10000</v>
      </c>
      <c r="F90" s="147"/>
      <c r="G90" s="147"/>
      <c r="H90" s="147"/>
      <c r="I90" s="147"/>
      <c r="J90" s="147"/>
      <c r="K90" s="147"/>
      <c r="L90" s="147"/>
      <c r="M90" s="147"/>
      <c r="N90" s="147"/>
      <c r="O90" s="147"/>
      <c r="P90" s="147"/>
      <c r="Q90" s="147"/>
      <c r="R90" s="516">
        <f t="shared" si="35"/>
        <v>10000</v>
      </c>
      <c r="S90" s="147">
        <f t="shared" si="37"/>
        <v>10000</v>
      </c>
      <c r="T90" s="147"/>
      <c r="U90" s="143"/>
    </row>
    <row r="91" spans="1:21" s="144" customFormat="1">
      <c r="A91" s="145" t="s">
        <v>372</v>
      </c>
      <c r="B91" s="146">
        <f t="shared" si="33"/>
        <v>45000</v>
      </c>
      <c r="C91" s="147">
        <v>45000</v>
      </c>
      <c r="D91" s="147"/>
      <c r="E91" s="147">
        <f t="shared" si="34"/>
        <v>45000</v>
      </c>
      <c r="F91" s="147"/>
      <c r="G91" s="147"/>
      <c r="H91" s="147"/>
      <c r="I91" s="147"/>
      <c r="J91" s="147"/>
      <c r="K91" s="147"/>
      <c r="L91" s="147"/>
      <c r="M91" s="147"/>
      <c r="N91" s="147"/>
      <c r="O91" s="147"/>
      <c r="P91" s="147"/>
      <c r="Q91" s="147"/>
      <c r="R91" s="516">
        <f t="shared" si="35"/>
        <v>45000</v>
      </c>
      <c r="S91" s="147">
        <f t="shared" si="37"/>
        <v>45000</v>
      </c>
      <c r="T91" s="147"/>
      <c r="U91" s="143"/>
    </row>
    <row r="92" spans="1:21" s="144" customFormat="1">
      <c r="A92" s="283" t="s">
        <v>1212</v>
      </c>
      <c r="B92" s="146">
        <f t="shared" si="33"/>
        <v>7500</v>
      </c>
      <c r="C92" s="147">
        <v>7500</v>
      </c>
      <c r="D92" s="147"/>
      <c r="E92" s="147">
        <f t="shared" si="34"/>
        <v>7500</v>
      </c>
      <c r="F92" s="147"/>
      <c r="G92" s="147"/>
      <c r="H92" s="147"/>
      <c r="I92" s="147"/>
      <c r="J92" s="147"/>
      <c r="K92" s="147"/>
      <c r="L92" s="147"/>
      <c r="M92" s="147"/>
      <c r="N92" s="147"/>
      <c r="O92" s="147"/>
      <c r="P92" s="147"/>
      <c r="Q92" s="147"/>
      <c r="R92" s="516">
        <f t="shared" si="35"/>
        <v>7500</v>
      </c>
      <c r="S92" s="147">
        <f t="shared" si="37"/>
        <v>7500</v>
      </c>
      <c r="T92" s="147"/>
      <c r="U92" s="143"/>
    </row>
    <row r="93" spans="1:21" s="144" customFormat="1">
      <c r="A93" s="1149" t="s">
        <v>34</v>
      </c>
      <c r="B93" s="146">
        <f t="shared" si="33"/>
        <v>0</v>
      </c>
      <c r="C93" s="147"/>
      <c r="D93" s="147"/>
      <c r="E93" s="147">
        <f t="shared" si="34"/>
        <v>0</v>
      </c>
      <c r="F93" s="147"/>
      <c r="G93" s="147"/>
      <c r="H93" s="147"/>
      <c r="I93" s="147"/>
      <c r="J93" s="147"/>
      <c r="K93" s="147"/>
      <c r="L93" s="147"/>
      <c r="M93" s="147"/>
      <c r="N93" s="147"/>
      <c r="O93" s="147"/>
      <c r="P93" s="147"/>
      <c r="Q93" s="147"/>
      <c r="R93" s="516">
        <f t="shared" si="35"/>
        <v>0</v>
      </c>
      <c r="S93" s="147">
        <f t="shared" si="37"/>
        <v>0</v>
      </c>
      <c r="T93" s="147"/>
      <c r="U93" s="143"/>
    </row>
    <row r="94" spans="1:21" s="144" customFormat="1">
      <c r="A94" s="1149" t="s">
        <v>34</v>
      </c>
      <c r="B94" s="146">
        <f t="shared" si="33"/>
        <v>0</v>
      </c>
      <c r="C94" s="147"/>
      <c r="D94" s="147"/>
      <c r="E94" s="147">
        <f t="shared" si="34"/>
        <v>0</v>
      </c>
      <c r="F94" s="147"/>
      <c r="G94" s="147"/>
      <c r="H94" s="147"/>
      <c r="I94" s="147"/>
      <c r="J94" s="147"/>
      <c r="K94" s="147"/>
      <c r="L94" s="147"/>
      <c r="M94" s="147"/>
      <c r="N94" s="147"/>
      <c r="O94" s="147"/>
      <c r="P94" s="147"/>
      <c r="Q94" s="147"/>
      <c r="R94" s="516">
        <f t="shared" si="35"/>
        <v>0</v>
      </c>
      <c r="S94" s="147">
        <f t="shared" si="37"/>
        <v>0</v>
      </c>
      <c r="T94" s="147"/>
      <c r="U94" s="143"/>
    </row>
    <row r="95" spans="1:21" s="144" customFormat="1">
      <c r="A95" s="1149" t="s">
        <v>34</v>
      </c>
      <c r="B95" s="146">
        <f t="shared" si="33"/>
        <v>0</v>
      </c>
      <c r="C95" s="147"/>
      <c r="D95" s="147"/>
      <c r="E95" s="147">
        <f t="shared" si="34"/>
        <v>0</v>
      </c>
      <c r="F95" s="147"/>
      <c r="G95" s="147"/>
      <c r="H95" s="147"/>
      <c r="I95" s="147"/>
      <c r="J95" s="147"/>
      <c r="K95" s="147"/>
      <c r="L95" s="147"/>
      <c r="M95" s="147"/>
      <c r="N95" s="147"/>
      <c r="O95" s="147"/>
      <c r="P95" s="147"/>
      <c r="Q95" s="147"/>
      <c r="R95" s="516">
        <f t="shared" si="35"/>
        <v>0</v>
      </c>
      <c r="S95" s="147">
        <f t="shared" si="37"/>
        <v>0</v>
      </c>
      <c r="T95" s="147"/>
      <c r="U95" s="143"/>
    </row>
    <row r="96" spans="1:21" s="144" customFormat="1">
      <c r="A96" s="149" t="s">
        <v>775</v>
      </c>
      <c r="B96" s="146">
        <f>SUM(C96:D96)</f>
        <v>2527608</v>
      </c>
      <c r="C96" s="146">
        <f t="shared" ref="C96:R96" si="38">SUM(C83:C95)</f>
        <v>2527608</v>
      </c>
      <c r="D96" s="146">
        <f t="shared" si="38"/>
        <v>0</v>
      </c>
      <c r="E96" s="146">
        <f t="shared" si="38"/>
        <v>2527608</v>
      </c>
      <c r="F96" s="146">
        <f t="shared" si="38"/>
        <v>0</v>
      </c>
      <c r="G96" s="146">
        <f t="shared" si="38"/>
        <v>0</v>
      </c>
      <c r="H96" s="146">
        <f t="shared" si="38"/>
        <v>0</v>
      </c>
      <c r="I96" s="146">
        <f t="shared" si="38"/>
        <v>0</v>
      </c>
      <c r="J96" s="146">
        <f t="shared" si="38"/>
        <v>0</v>
      </c>
      <c r="K96" s="146">
        <f t="shared" si="38"/>
        <v>0</v>
      </c>
      <c r="L96" s="146">
        <f t="shared" si="38"/>
        <v>0</v>
      </c>
      <c r="M96" s="146">
        <f t="shared" si="38"/>
        <v>0</v>
      </c>
      <c r="N96" s="146">
        <f t="shared" si="38"/>
        <v>0</v>
      </c>
      <c r="O96" s="146">
        <f t="shared" si="38"/>
        <v>0</v>
      </c>
      <c r="P96" s="146">
        <f t="shared" si="38"/>
        <v>0</v>
      </c>
      <c r="Q96" s="146">
        <f t="shared" si="38"/>
        <v>0</v>
      </c>
      <c r="R96" s="342">
        <f t="shared" si="38"/>
        <v>2527608</v>
      </c>
      <c r="S96" s="150">
        <f>SUM(S84:S87,S89:S95)</f>
        <v>2296783</v>
      </c>
      <c r="T96" s="146">
        <f>SUM(T84:T87,T89:T95)</f>
        <v>0</v>
      </c>
      <c r="U96" s="143"/>
    </row>
    <row r="97" spans="1:21" s="144" customFormat="1">
      <c r="A97" s="149" t="s">
        <v>776</v>
      </c>
      <c r="B97" s="146">
        <f>SUM(C97:D97)</f>
        <v>73696467</v>
      </c>
      <c r="C97" s="146">
        <f t="shared" ref="C97:R97" si="39">SUM(C63+C70+C77+C81+C96)</f>
        <v>73696467</v>
      </c>
      <c r="D97" s="146">
        <f t="shared" si="39"/>
        <v>0</v>
      </c>
      <c r="E97" s="146">
        <f t="shared" si="39"/>
        <v>38679184</v>
      </c>
      <c r="F97" s="146">
        <f t="shared" si="39"/>
        <v>19117283</v>
      </c>
      <c r="G97" s="146">
        <f t="shared" si="39"/>
        <v>0</v>
      </c>
      <c r="H97" s="146">
        <f t="shared" si="39"/>
        <v>8000000</v>
      </c>
      <c r="I97" s="146">
        <f t="shared" si="39"/>
        <v>7900000</v>
      </c>
      <c r="J97" s="146">
        <f t="shared" si="39"/>
        <v>0</v>
      </c>
      <c r="K97" s="146">
        <f t="shared" si="39"/>
        <v>0</v>
      </c>
      <c r="L97" s="146">
        <f t="shared" si="39"/>
        <v>0</v>
      </c>
      <c r="M97" s="146">
        <f t="shared" si="39"/>
        <v>0</v>
      </c>
      <c r="N97" s="146">
        <f t="shared" si="39"/>
        <v>0</v>
      </c>
      <c r="O97" s="146">
        <f t="shared" si="39"/>
        <v>0</v>
      </c>
      <c r="P97" s="146">
        <f t="shared" si="39"/>
        <v>0</v>
      </c>
      <c r="Q97" s="146">
        <f t="shared" si="39"/>
        <v>0</v>
      </c>
      <c r="R97" s="146">
        <f t="shared" si="39"/>
        <v>73696467</v>
      </c>
      <c r="S97" s="146">
        <f>SUM(S63+S70+S81+S96)</f>
        <v>61742294</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9260050</v>
      </c>
      <c r="C99" s="979">
        <v>9260050</v>
      </c>
      <c r="D99" s="979"/>
      <c r="E99" s="979">
        <f t="shared" ref="E99:E101" si="40">+C99-SUM(F99:J99)</f>
        <v>3279702</v>
      </c>
      <c r="F99" s="147"/>
      <c r="G99" s="147">
        <f>+Application!AO628</f>
        <v>5980348</v>
      </c>
      <c r="H99" s="147"/>
      <c r="I99" s="147"/>
      <c r="J99" s="147"/>
      <c r="K99" s="147"/>
      <c r="L99" s="147"/>
      <c r="M99" s="147"/>
      <c r="N99" s="147"/>
      <c r="O99" s="147"/>
      <c r="P99" s="147"/>
      <c r="Q99" s="147"/>
      <c r="R99" s="516">
        <f>SUM(E99:Q99)</f>
        <v>9260050</v>
      </c>
      <c r="S99" s="147">
        <f t="shared" ref="S99:S101" si="41">+R99</f>
        <v>9260050</v>
      </c>
      <c r="T99" s="147"/>
      <c r="U99" s="143"/>
    </row>
    <row r="100" spans="1:21" s="144" customFormat="1">
      <c r="A100" s="283" t="s">
        <v>1647</v>
      </c>
      <c r="B100" s="146">
        <f>SUM(C100+D100)</f>
        <v>0</v>
      </c>
      <c r="C100" s="147"/>
      <c r="D100" s="147"/>
      <c r="E100" s="147">
        <f t="shared" si="40"/>
        <v>0</v>
      </c>
      <c r="F100" s="147"/>
      <c r="G100" s="147"/>
      <c r="H100" s="147"/>
      <c r="I100" s="147"/>
      <c r="J100" s="147"/>
      <c r="K100" s="147"/>
      <c r="L100" s="147"/>
      <c r="M100" s="147"/>
      <c r="N100" s="147"/>
      <c r="O100" s="147"/>
      <c r="P100" s="147"/>
      <c r="Q100" s="147"/>
      <c r="R100" s="516">
        <f>SUM(E100:Q100)</f>
        <v>0</v>
      </c>
      <c r="S100" s="147">
        <f t="shared" si="41"/>
        <v>0</v>
      </c>
      <c r="T100" s="147"/>
      <c r="U100" s="143"/>
    </row>
    <row r="101" spans="1:21" s="144" customFormat="1" ht="12" customHeight="1">
      <c r="A101" s="145" t="s">
        <v>779</v>
      </c>
      <c r="B101" s="146">
        <f>SUM(C101+D101)</f>
        <v>0</v>
      </c>
      <c r="C101" s="147"/>
      <c r="D101" s="147"/>
      <c r="E101" s="147">
        <f t="shared" si="40"/>
        <v>0</v>
      </c>
      <c r="F101" s="147"/>
      <c r="G101" s="147"/>
      <c r="H101" s="147"/>
      <c r="I101" s="147"/>
      <c r="J101" s="147"/>
      <c r="K101" s="147"/>
      <c r="L101" s="147"/>
      <c r="M101" s="147"/>
      <c r="N101" s="147"/>
      <c r="O101" s="147"/>
      <c r="P101" s="147"/>
      <c r="Q101" s="147"/>
      <c r="R101" s="516">
        <f>SUM(E101:Q101)</f>
        <v>0</v>
      </c>
      <c r="S101" s="147">
        <f t="shared" si="41"/>
        <v>0</v>
      </c>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9260050</v>
      </c>
      <c r="C104" s="146">
        <f>SUM(C99:C103)</f>
        <v>9260050</v>
      </c>
      <c r="D104" s="146">
        <f t="shared" ref="D104:T104" si="42">SUM(D99:D103)</f>
        <v>0</v>
      </c>
      <c r="E104" s="146">
        <f t="shared" si="42"/>
        <v>3279702</v>
      </c>
      <c r="F104" s="146">
        <f t="shared" si="42"/>
        <v>0</v>
      </c>
      <c r="G104" s="146">
        <f t="shared" si="42"/>
        <v>5980348</v>
      </c>
      <c r="H104" s="146">
        <f t="shared" si="42"/>
        <v>0</v>
      </c>
      <c r="I104" s="146">
        <f t="shared" si="42"/>
        <v>0</v>
      </c>
      <c r="J104" s="146">
        <f t="shared" si="42"/>
        <v>0</v>
      </c>
      <c r="K104" s="146">
        <f t="shared" si="42"/>
        <v>0</v>
      </c>
      <c r="L104" s="146">
        <f t="shared" si="42"/>
        <v>0</v>
      </c>
      <c r="M104" s="146">
        <f t="shared" si="42"/>
        <v>0</v>
      </c>
      <c r="N104" s="146">
        <f t="shared" si="42"/>
        <v>0</v>
      </c>
      <c r="O104" s="146">
        <f t="shared" si="42"/>
        <v>0</v>
      </c>
      <c r="P104" s="146">
        <f t="shared" si="42"/>
        <v>0</v>
      </c>
      <c r="Q104" s="146">
        <f t="shared" si="42"/>
        <v>0</v>
      </c>
      <c r="R104" s="342">
        <f t="shared" si="42"/>
        <v>9260050</v>
      </c>
      <c r="S104" s="150">
        <f t="shared" si="42"/>
        <v>9260050</v>
      </c>
      <c r="T104" s="150">
        <f t="shared" si="42"/>
        <v>0</v>
      </c>
      <c r="U104" s="143"/>
    </row>
    <row r="105" spans="1:21" s="144" customFormat="1">
      <c r="A105" s="149" t="s">
        <v>781</v>
      </c>
      <c r="B105" s="150">
        <f>SUM(C105:D105)</f>
        <v>82956517</v>
      </c>
      <c r="C105" s="150">
        <f t="shared" ref="C105:R105" si="43">SUM(C97+C104)</f>
        <v>82956517</v>
      </c>
      <c r="D105" s="150">
        <f t="shared" si="43"/>
        <v>0</v>
      </c>
      <c r="E105" s="150">
        <f t="shared" si="43"/>
        <v>41958886</v>
      </c>
      <c r="F105" s="150">
        <f t="shared" si="43"/>
        <v>19117283</v>
      </c>
      <c r="G105" s="150">
        <f t="shared" si="43"/>
        <v>5980348</v>
      </c>
      <c r="H105" s="150">
        <f t="shared" si="43"/>
        <v>8000000</v>
      </c>
      <c r="I105" s="150">
        <f t="shared" si="43"/>
        <v>7900000</v>
      </c>
      <c r="J105" s="150">
        <f t="shared" si="43"/>
        <v>0</v>
      </c>
      <c r="K105" s="150">
        <f t="shared" si="43"/>
        <v>0</v>
      </c>
      <c r="L105" s="150">
        <f t="shared" si="43"/>
        <v>0</v>
      </c>
      <c r="M105" s="150">
        <f t="shared" si="43"/>
        <v>0</v>
      </c>
      <c r="N105" s="150">
        <f t="shared" si="43"/>
        <v>0</v>
      </c>
      <c r="O105" s="150">
        <f t="shared" si="43"/>
        <v>0</v>
      </c>
      <c r="P105" s="150">
        <f t="shared" si="43"/>
        <v>0</v>
      </c>
      <c r="Q105" s="150">
        <f t="shared" si="43"/>
        <v>0</v>
      </c>
      <c r="R105" s="342">
        <f t="shared" si="43"/>
        <v>82956517</v>
      </c>
      <c r="S105" s="150">
        <f>S97+S104</f>
        <v>71002344</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71002344</v>
      </c>
      <c r="T107" s="150">
        <f>T105+T106</f>
        <v>0</v>
      </c>
    </row>
    <row r="108" spans="1:21" s="189" customFormat="1">
      <c r="A108" s="162" t="s">
        <v>880</v>
      </c>
      <c r="B108" s="157"/>
      <c r="C108" s="157"/>
      <c r="D108" s="157"/>
      <c r="E108" s="301">
        <f>Application!AO640</f>
        <v>41958886</v>
      </c>
      <c r="F108" s="301">
        <f>Application!AO627</f>
        <v>19117283</v>
      </c>
      <c r="G108" s="301">
        <f>Application!AO628</f>
        <v>5980348</v>
      </c>
      <c r="H108" s="301">
        <f>Application!AO629</f>
        <v>8000000</v>
      </c>
      <c r="I108" s="301">
        <f>Application!AO630</f>
        <v>7900000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2096</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70" t="s">
        <v>991</v>
      </c>
      <c r="E122" s="1870"/>
      <c r="F122" s="1870"/>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2" t="s">
        <v>1225</v>
      </c>
      <c r="E123" s="1556"/>
      <c r="F123" s="1556"/>
      <c r="G123" s="1556"/>
      <c r="H123" s="1556"/>
      <c r="I123" s="1556"/>
      <c r="J123" s="1556"/>
      <c r="K123" s="1556"/>
      <c r="L123" s="1556"/>
      <c r="M123" s="1556"/>
      <c r="N123" s="1556"/>
      <c r="O123" s="1556"/>
      <c r="P123" s="1556"/>
      <c r="Q123" s="1556"/>
      <c r="R123" s="1556"/>
      <c r="S123" s="1556"/>
      <c r="T123" s="324"/>
      <c r="U123" s="326"/>
    </row>
    <row r="124" spans="1:21" ht="12.75">
      <c r="A124" s="117" t="s">
        <v>993</v>
      </c>
      <c r="B124" s="333"/>
      <c r="C124" s="117"/>
      <c r="D124" s="1556"/>
      <c r="E124" s="1556"/>
      <c r="F124" s="1556"/>
      <c r="G124" s="1556"/>
      <c r="H124" s="1556"/>
      <c r="I124" s="1556"/>
      <c r="J124" s="1556"/>
      <c r="K124" s="1556"/>
      <c r="L124" s="1556"/>
      <c r="M124" s="1556"/>
      <c r="N124" s="1556"/>
      <c r="O124" s="1556"/>
      <c r="P124" s="1556"/>
      <c r="Q124" s="1556"/>
      <c r="R124" s="1556"/>
      <c r="S124" s="1556"/>
      <c r="T124" s="324"/>
      <c r="U124" s="326"/>
    </row>
    <row r="125" spans="1:21" ht="12.75">
      <c r="A125" s="117" t="s">
        <v>994</v>
      </c>
      <c r="B125" s="333"/>
      <c r="C125" s="117"/>
      <c r="D125" s="1556"/>
      <c r="E125" s="1556"/>
      <c r="F125" s="1556"/>
      <c r="G125" s="1556"/>
      <c r="H125" s="1556"/>
      <c r="I125" s="1556"/>
      <c r="J125" s="1556"/>
      <c r="K125" s="1556"/>
      <c r="L125" s="1556"/>
      <c r="M125" s="1556"/>
      <c r="N125" s="1556"/>
      <c r="O125" s="1556"/>
      <c r="P125" s="1556"/>
      <c r="Q125" s="1556"/>
      <c r="R125" s="1556"/>
      <c r="S125" s="1556"/>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5"/>
      <c r="E128" s="1865"/>
      <c r="F128" s="1865"/>
      <c r="G128" s="1865"/>
      <c r="H128" s="1865"/>
      <c r="I128" s="117"/>
      <c r="J128" s="1861"/>
      <c r="K128" s="1861"/>
      <c r="L128" s="117"/>
      <c r="M128" s="117"/>
      <c r="N128" s="117"/>
      <c r="O128" s="117"/>
      <c r="P128" s="117"/>
      <c r="Q128" s="117"/>
      <c r="R128" s="117"/>
      <c r="S128" s="117"/>
      <c r="T128" s="324"/>
      <c r="U128" s="326"/>
    </row>
    <row r="129" spans="1:21" ht="12.75">
      <c r="A129" s="117" t="s">
        <v>300</v>
      </c>
      <c r="B129" s="333"/>
      <c r="C129" s="117"/>
      <c r="D129" s="1869" t="s">
        <v>998</v>
      </c>
      <c r="E129" s="1869"/>
      <c r="F129" s="1869"/>
      <c r="G129" s="1869"/>
      <c r="H129" s="1869"/>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526"/>
      <c r="E131" s="1526"/>
      <c r="F131" s="1526"/>
      <c r="G131" s="1526"/>
      <c r="H131" s="1526"/>
      <c r="I131" s="117"/>
      <c r="J131" s="1526"/>
      <c r="K131" s="1526"/>
      <c r="L131" s="1526"/>
      <c r="M131" s="1526"/>
      <c r="N131" s="117"/>
      <c r="O131" s="117"/>
      <c r="P131" s="117"/>
      <c r="Q131" s="117"/>
      <c r="R131" s="117"/>
      <c r="S131" s="117"/>
      <c r="T131" s="324"/>
      <c r="U131" s="326"/>
    </row>
    <row r="132" spans="1:21" ht="12" customHeight="1">
      <c r="A132" s="336"/>
      <c r="B132" s="117"/>
      <c r="C132" s="117"/>
      <c r="D132" s="1863" t="s">
        <v>1001</v>
      </c>
      <c r="E132" s="1863"/>
      <c r="F132" s="1863"/>
      <c r="G132" s="1863"/>
      <c r="H132" s="1863"/>
      <c r="I132" s="117"/>
      <c r="J132" s="1863" t="s">
        <v>1002</v>
      </c>
      <c r="K132" s="1863"/>
      <c r="L132" s="1863"/>
      <c r="M132" s="1863"/>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4"/>
      <c r="B138" s="1865"/>
      <c r="C138" s="1865"/>
      <c r="D138" s="328"/>
      <c r="E138" s="1861"/>
      <c r="F138" s="1861"/>
      <c r="G138" s="117"/>
      <c r="H138" s="117"/>
      <c r="I138" s="117"/>
      <c r="J138" s="117"/>
      <c r="K138" s="117"/>
      <c r="L138" s="117"/>
      <c r="M138" s="117"/>
      <c r="N138" s="117"/>
      <c r="O138" s="117"/>
      <c r="P138" s="117"/>
      <c r="Q138" s="117"/>
      <c r="R138" s="117"/>
      <c r="S138" s="117"/>
      <c r="T138" s="330"/>
      <c r="U138" s="331"/>
    </row>
    <row r="139" spans="1:21" ht="12.75">
      <c r="A139" s="1860" t="s">
        <v>1005</v>
      </c>
      <c r="B139" s="1860"/>
      <c r="C139" s="1860"/>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3" workbookViewId="0">
      <selection activeCell="H111" sqref="H11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3" t="s">
        <v>1228</v>
      </c>
      <c r="B1" s="1874"/>
      <c r="C1" s="1874"/>
      <c r="D1" s="1874"/>
      <c r="E1" s="1874"/>
      <c r="F1" s="1874"/>
      <c r="G1" s="1874"/>
      <c r="H1" s="1874"/>
      <c r="I1" s="1874"/>
      <c r="J1" s="1875"/>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11000000</v>
      </c>
      <c r="C4" s="362">
        <f>+B4</f>
        <v>11000000</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11000000</v>
      </c>
      <c r="C8" s="361">
        <f>SUM(C4:C7)</f>
        <v>11000000</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11000000</v>
      </c>
      <c r="C12" s="361">
        <f>SUM(C8+C11)</f>
        <v>11000000</v>
      </c>
      <c r="D12" s="361">
        <f>SUM(D8+D11)</f>
        <v>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7832081</v>
      </c>
      <c r="C29" s="362">
        <f t="shared" ref="C29:C37" si="0">+B29</f>
        <v>7832081</v>
      </c>
      <c r="D29" s="362"/>
      <c r="E29" s="361">
        <f>'Sources and Uses Budget'!S29</f>
        <v>7832081</v>
      </c>
      <c r="F29" s="362">
        <f t="shared" ref="F29:F37" si="1">+E29</f>
        <v>7832081</v>
      </c>
      <c r="G29" s="362"/>
      <c r="H29" s="361">
        <f>'Sources and Uses Budget'!T29</f>
        <v>0</v>
      </c>
      <c r="I29" s="362"/>
      <c r="J29" s="362"/>
      <c r="K29" s="359"/>
    </row>
    <row r="30" spans="1:11" s="360" customFormat="1">
      <c r="A30" s="145" t="s">
        <v>600</v>
      </c>
      <c r="B30" s="361">
        <f>'Sources and Uses Budget'!C30</f>
        <v>35126372</v>
      </c>
      <c r="C30" s="362">
        <f t="shared" si="0"/>
        <v>35126372</v>
      </c>
      <c r="D30" s="362"/>
      <c r="E30" s="361">
        <f>'Sources and Uses Budget'!S30</f>
        <v>35126372</v>
      </c>
      <c r="F30" s="362">
        <f t="shared" si="1"/>
        <v>35126372</v>
      </c>
      <c r="G30" s="362"/>
      <c r="H30" s="361">
        <f>'Sources and Uses Budget'!T30</f>
        <v>0</v>
      </c>
      <c r="I30" s="362"/>
      <c r="J30" s="362"/>
      <c r="K30" s="359"/>
    </row>
    <row r="31" spans="1:11" s="360" customFormat="1">
      <c r="A31" s="145" t="s">
        <v>601</v>
      </c>
      <c r="B31" s="361">
        <f>'Sources and Uses Budget'!C31</f>
        <v>2577507</v>
      </c>
      <c r="C31" s="362">
        <f t="shared" si="0"/>
        <v>2577507</v>
      </c>
      <c r="D31" s="362"/>
      <c r="E31" s="361">
        <f>'Sources and Uses Budget'!S31</f>
        <v>2577507</v>
      </c>
      <c r="F31" s="362">
        <f t="shared" si="1"/>
        <v>2577507</v>
      </c>
      <c r="G31" s="362"/>
      <c r="H31" s="361">
        <f>'Sources and Uses Budget'!T31</f>
        <v>0</v>
      </c>
      <c r="I31" s="362"/>
      <c r="J31" s="362"/>
      <c r="K31" s="359"/>
    </row>
    <row r="32" spans="1:11" s="360" customFormat="1">
      <c r="A32" s="145" t="s">
        <v>137</v>
      </c>
      <c r="B32" s="361">
        <f>'Sources and Uses Budget'!C32</f>
        <v>910719</v>
      </c>
      <c r="C32" s="362">
        <f t="shared" si="0"/>
        <v>910719</v>
      </c>
      <c r="D32" s="362"/>
      <c r="E32" s="361">
        <f>'Sources and Uses Budget'!S32</f>
        <v>910719</v>
      </c>
      <c r="F32" s="362">
        <f t="shared" si="1"/>
        <v>910719</v>
      </c>
      <c r="G32" s="362"/>
      <c r="H32" s="361">
        <f>'Sources and Uses Budget'!T32</f>
        <v>0</v>
      </c>
      <c r="I32" s="362"/>
      <c r="J32" s="362"/>
      <c r="K32" s="359"/>
    </row>
    <row r="33" spans="1:11" s="360" customFormat="1">
      <c r="A33" s="145" t="s">
        <v>138</v>
      </c>
      <c r="B33" s="361">
        <f>'Sources and Uses Budget'!C33</f>
        <v>2732158</v>
      </c>
      <c r="C33" s="362">
        <f t="shared" si="0"/>
        <v>2732158</v>
      </c>
      <c r="D33" s="362"/>
      <c r="E33" s="361">
        <f>'Sources and Uses Budget'!S33</f>
        <v>2732158</v>
      </c>
      <c r="F33" s="362">
        <f t="shared" si="1"/>
        <v>2732158</v>
      </c>
      <c r="G33" s="362"/>
      <c r="H33" s="361">
        <f>'Sources and Uses Budget'!T33</f>
        <v>0</v>
      </c>
      <c r="I33" s="362"/>
      <c r="J33" s="362"/>
      <c r="K33" s="359"/>
    </row>
    <row r="34" spans="1:11" s="360" customFormat="1">
      <c r="A34" s="145" t="s">
        <v>139</v>
      </c>
      <c r="B34" s="361">
        <f>'Sources and Uses Budget'!C34</f>
        <v>0</v>
      </c>
      <c r="C34" s="362">
        <f t="shared" si="0"/>
        <v>0</v>
      </c>
      <c r="D34" s="362"/>
      <c r="E34" s="361">
        <f>'Sources and Uses Budget'!S34</f>
        <v>0</v>
      </c>
      <c r="F34" s="362">
        <f t="shared" si="1"/>
        <v>0</v>
      </c>
      <c r="G34" s="362"/>
      <c r="H34" s="361">
        <f>'Sources and Uses Budget'!T34</f>
        <v>0</v>
      </c>
      <c r="I34" s="362"/>
      <c r="J34" s="362"/>
      <c r="K34" s="359"/>
    </row>
    <row r="35" spans="1:11" s="360" customFormat="1">
      <c r="A35" s="145" t="s">
        <v>140</v>
      </c>
      <c r="B35" s="361">
        <f>'Sources and Uses Budget'!C35</f>
        <v>1475365</v>
      </c>
      <c r="C35" s="362">
        <f t="shared" si="0"/>
        <v>1475365</v>
      </c>
      <c r="D35" s="362"/>
      <c r="E35" s="361">
        <f>'Sources and Uses Budget'!S35</f>
        <v>1475365</v>
      </c>
      <c r="F35" s="362">
        <f t="shared" si="1"/>
        <v>1475365</v>
      </c>
      <c r="G35" s="362"/>
      <c r="H35" s="361">
        <f>'Sources and Uses Budget'!T35</f>
        <v>0</v>
      </c>
      <c r="I35" s="362"/>
      <c r="J35" s="362"/>
      <c r="K35" s="359"/>
    </row>
    <row r="36" spans="1:11" s="360" customFormat="1">
      <c r="A36" s="508" t="s">
        <v>1641</v>
      </c>
      <c r="B36" s="361">
        <f>'Sources and Uses Budget'!C36</f>
        <v>0</v>
      </c>
      <c r="C36" s="362">
        <f t="shared" si="0"/>
        <v>0</v>
      </c>
      <c r="D36" s="362"/>
      <c r="E36" s="361">
        <f>'Sources and Uses Budget'!S36</f>
        <v>0</v>
      </c>
      <c r="F36" s="362">
        <f t="shared" si="1"/>
        <v>0</v>
      </c>
      <c r="G36" s="362"/>
      <c r="H36" s="361">
        <f>'Sources and Uses Budget'!T36</f>
        <v>0</v>
      </c>
      <c r="I36" s="362"/>
      <c r="J36" s="362"/>
      <c r="K36" s="359"/>
    </row>
    <row r="37" spans="1:11" s="360" customFormat="1">
      <c r="A37" s="364" t="str">
        <f>'Sources and Uses Budget'!$A37</f>
        <v>Other: (Specify)</v>
      </c>
      <c r="B37" s="361">
        <f>'Sources and Uses Budget'!C37</f>
        <v>0</v>
      </c>
      <c r="C37" s="362">
        <f t="shared" si="0"/>
        <v>0</v>
      </c>
      <c r="D37" s="362"/>
      <c r="E37" s="361">
        <f>'Sources and Uses Budget'!S37</f>
        <v>0</v>
      </c>
      <c r="F37" s="362">
        <f t="shared" si="1"/>
        <v>0</v>
      </c>
      <c r="G37" s="362"/>
      <c r="H37" s="361">
        <f>'Sources and Uses Budget'!T37</f>
        <v>0</v>
      </c>
      <c r="I37" s="362"/>
      <c r="J37" s="362"/>
      <c r="K37" s="359"/>
    </row>
    <row r="38" spans="1:11" s="360" customFormat="1">
      <c r="A38" s="365" t="s">
        <v>143</v>
      </c>
      <c r="B38" s="361">
        <f>'Sources and Uses Budget'!C38</f>
        <v>50654202</v>
      </c>
      <c r="C38" s="361">
        <f>SUM(C29:C37)</f>
        <v>50654202</v>
      </c>
      <c r="D38" s="361">
        <f>SUM(D29:D37)</f>
        <v>0</v>
      </c>
      <c r="E38" s="361">
        <f>'Sources and Uses Budget'!S38</f>
        <v>50654202</v>
      </c>
      <c r="F38" s="367">
        <f>SUM(F29:F37)</f>
        <v>50654202</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1528818</v>
      </c>
      <c r="C40" s="362">
        <f t="shared" ref="C40:C41" si="2">+B40</f>
        <v>1528818</v>
      </c>
      <c r="D40" s="362"/>
      <c r="E40" s="361">
        <f>'Sources and Uses Budget'!S40</f>
        <v>1528818</v>
      </c>
      <c r="F40" s="362">
        <f t="shared" ref="F40:F41" si="3">+E40</f>
        <v>1528818</v>
      </c>
      <c r="G40" s="362"/>
      <c r="H40" s="361">
        <f>'Sources and Uses Budget'!T40</f>
        <v>0</v>
      </c>
      <c r="I40" s="362"/>
      <c r="J40" s="362"/>
      <c r="K40" s="359"/>
    </row>
    <row r="41" spans="1:11" s="360" customFormat="1">
      <c r="A41" s="364" t="s">
        <v>146</v>
      </c>
      <c r="B41" s="361">
        <f>'Sources and Uses Budget'!C41</f>
        <v>0</v>
      </c>
      <c r="C41" s="362">
        <f t="shared" si="2"/>
        <v>0</v>
      </c>
      <c r="D41" s="362"/>
      <c r="E41" s="361">
        <f>'Sources and Uses Budget'!S41</f>
        <v>0</v>
      </c>
      <c r="F41" s="362">
        <f t="shared" si="3"/>
        <v>0</v>
      </c>
      <c r="G41" s="362"/>
      <c r="H41" s="361">
        <f>'Sources and Uses Budget'!T41</f>
        <v>0</v>
      </c>
      <c r="I41" s="362"/>
      <c r="J41" s="362"/>
      <c r="K41" s="359"/>
    </row>
    <row r="42" spans="1:11" s="360" customFormat="1">
      <c r="A42" s="365" t="s">
        <v>147</v>
      </c>
      <c r="B42" s="361">
        <f>'Sources and Uses Budget'!C42</f>
        <v>1528818</v>
      </c>
      <c r="C42" s="361">
        <f>SUM(C39:C41)</f>
        <v>1528818</v>
      </c>
      <c r="D42" s="361">
        <f>SUM(D39:D41)</f>
        <v>0</v>
      </c>
      <c r="E42" s="361">
        <f>'Sources and Uses Budget'!S42</f>
        <v>1528818</v>
      </c>
      <c r="F42" s="367">
        <f>SUM(F40:F41)</f>
        <v>1528818</v>
      </c>
      <c r="G42" s="367">
        <f>SUM(G40:G41)</f>
        <v>0</v>
      </c>
      <c r="H42" s="361">
        <f>'Sources and Uses Budget'!T42</f>
        <v>0</v>
      </c>
      <c r="I42" s="367">
        <f>SUM(I40:I41)</f>
        <v>0</v>
      </c>
      <c r="J42" s="367">
        <f>SUM(J40:J41)</f>
        <v>0</v>
      </c>
      <c r="K42" s="359"/>
    </row>
    <row r="43" spans="1:11" s="360" customFormat="1">
      <c r="A43" s="365" t="s">
        <v>148</v>
      </c>
      <c r="B43" s="361">
        <f>'Sources and Uses Budget'!C43</f>
        <v>500000</v>
      </c>
      <c r="C43" s="362">
        <f>+B43</f>
        <v>500000</v>
      </c>
      <c r="D43" s="362"/>
      <c r="E43" s="361">
        <f>'Sources and Uses Budget'!S43</f>
        <v>500000</v>
      </c>
      <c r="F43" s="362">
        <f>+E43</f>
        <v>500000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2924789</v>
      </c>
      <c r="C45" s="362">
        <f t="shared" ref="C45:C53" si="4">+B45</f>
        <v>2924789</v>
      </c>
      <c r="D45" s="362"/>
      <c r="E45" s="361">
        <f>'Sources and Uses Budget'!S45</f>
        <v>2924789</v>
      </c>
      <c r="F45" s="362">
        <f t="shared" ref="F45:F53" si="5">+E45</f>
        <v>2924789</v>
      </c>
      <c r="G45" s="362"/>
      <c r="H45" s="361">
        <f>'Sources and Uses Budget'!T45</f>
        <v>0</v>
      </c>
      <c r="I45" s="362"/>
      <c r="J45" s="362"/>
      <c r="K45" s="359"/>
    </row>
    <row r="46" spans="1:11" s="360" customFormat="1">
      <c r="A46" s="364" t="s">
        <v>151</v>
      </c>
      <c r="B46" s="361">
        <f>'Sources and Uses Budget'!C46</f>
        <v>529444</v>
      </c>
      <c r="C46" s="362">
        <f t="shared" si="4"/>
        <v>529444</v>
      </c>
      <c r="D46" s="362"/>
      <c r="E46" s="361">
        <f>'Sources and Uses Budget'!S46</f>
        <v>529444</v>
      </c>
      <c r="F46" s="362">
        <f t="shared" si="5"/>
        <v>529444</v>
      </c>
      <c r="G46" s="362"/>
      <c r="H46" s="361">
        <f>'Sources and Uses Budget'!T46</f>
        <v>0</v>
      </c>
      <c r="I46" s="362"/>
      <c r="J46" s="362"/>
      <c r="K46" s="359"/>
    </row>
    <row r="47" spans="1:11" s="360" customFormat="1" ht="12" customHeight="1">
      <c r="A47" s="364" t="s">
        <v>152</v>
      </c>
      <c r="B47" s="361">
        <f>'Sources and Uses Budget'!C47</f>
        <v>35000</v>
      </c>
      <c r="C47" s="362">
        <f t="shared" si="4"/>
        <v>35000</v>
      </c>
      <c r="D47" s="362"/>
      <c r="E47" s="361">
        <f>'Sources and Uses Budget'!S47</f>
        <v>35000</v>
      </c>
      <c r="F47" s="362">
        <f t="shared" si="5"/>
        <v>35000</v>
      </c>
      <c r="G47" s="362"/>
      <c r="H47" s="361">
        <f>'Sources and Uses Budget'!T47</f>
        <v>0</v>
      </c>
      <c r="I47" s="362"/>
      <c r="J47" s="362"/>
      <c r="K47" s="359"/>
    </row>
    <row r="48" spans="1:11" s="360" customFormat="1">
      <c r="A48" s="364" t="s">
        <v>153</v>
      </c>
      <c r="B48" s="361">
        <f>'Sources and Uses Budget'!C48</f>
        <v>0</v>
      </c>
      <c r="C48" s="362">
        <f t="shared" si="4"/>
        <v>0</v>
      </c>
      <c r="D48" s="362"/>
      <c r="E48" s="361">
        <f>'Sources and Uses Budget'!S48</f>
        <v>0</v>
      </c>
      <c r="F48" s="362">
        <f t="shared" si="5"/>
        <v>0</v>
      </c>
      <c r="G48" s="362"/>
      <c r="H48" s="361">
        <f>'Sources and Uses Budget'!T48</f>
        <v>0</v>
      </c>
      <c r="I48" s="362"/>
      <c r="J48" s="362"/>
      <c r="K48" s="359"/>
    </row>
    <row r="49" spans="1:11" s="360" customFormat="1">
      <c r="A49" s="283" t="s">
        <v>57</v>
      </c>
      <c r="B49" s="361">
        <f>'Sources and Uses Budget'!C49</f>
        <v>223975</v>
      </c>
      <c r="C49" s="362">
        <f t="shared" si="4"/>
        <v>223975</v>
      </c>
      <c r="D49" s="362"/>
      <c r="E49" s="361">
        <f>'Sources and Uses Budget'!S49</f>
        <v>0</v>
      </c>
      <c r="F49" s="362">
        <f t="shared" si="5"/>
        <v>0</v>
      </c>
      <c r="G49" s="362"/>
      <c r="H49" s="361">
        <f>'Sources and Uses Budget'!T49</f>
        <v>0</v>
      </c>
      <c r="I49" s="362"/>
      <c r="J49" s="362"/>
      <c r="K49" s="359"/>
    </row>
    <row r="50" spans="1:11" s="360" customFormat="1">
      <c r="A50" s="364" t="s">
        <v>156</v>
      </c>
      <c r="B50" s="361">
        <f>'Sources and Uses Budget'!C50</f>
        <v>40000</v>
      </c>
      <c r="C50" s="362">
        <f t="shared" si="4"/>
        <v>40000</v>
      </c>
      <c r="D50" s="362"/>
      <c r="E50" s="361">
        <f>'Sources and Uses Budget'!S50</f>
        <v>40000</v>
      </c>
      <c r="F50" s="362">
        <f t="shared" si="5"/>
        <v>40000</v>
      </c>
      <c r="G50" s="362"/>
      <c r="H50" s="361">
        <f>'Sources and Uses Budget'!T50</f>
        <v>0</v>
      </c>
      <c r="I50" s="362"/>
      <c r="J50" s="362"/>
      <c r="K50" s="359"/>
    </row>
    <row r="51" spans="1:11" s="360" customFormat="1">
      <c r="A51" s="364" t="s">
        <v>154</v>
      </c>
      <c r="B51" s="361">
        <f>'Sources and Uses Budget'!C51</f>
        <v>220000</v>
      </c>
      <c r="C51" s="362">
        <f t="shared" si="4"/>
        <v>220000</v>
      </c>
      <c r="D51" s="362"/>
      <c r="E51" s="361">
        <f>'Sources and Uses Budget'!S51</f>
        <v>220000</v>
      </c>
      <c r="F51" s="362">
        <f t="shared" si="5"/>
        <v>220000</v>
      </c>
      <c r="G51" s="362"/>
      <c r="H51" s="361">
        <f>'Sources and Uses Budget'!T51</f>
        <v>0</v>
      </c>
      <c r="I51" s="362"/>
      <c r="J51" s="362"/>
      <c r="K51" s="359"/>
    </row>
    <row r="52" spans="1:11" s="360" customFormat="1">
      <c r="A52" s="364" t="s">
        <v>155</v>
      </c>
      <c r="B52" s="361">
        <f>'Sources and Uses Budget'!C52</f>
        <v>0</v>
      </c>
      <c r="C52" s="362">
        <f t="shared" si="4"/>
        <v>0</v>
      </c>
      <c r="D52" s="362"/>
      <c r="E52" s="361">
        <f>'Sources and Uses Budget'!S52</f>
        <v>0</v>
      </c>
      <c r="F52" s="362">
        <f t="shared" si="5"/>
        <v>0</v>
      </c>
      <c r="G52" s="362"/>
      <c r="H52" s="361">
        <f>'Sources and Uses Budget'!T52</f>
        <v>0</v>
      </c>
      <c r="I52" s="362"/>
      <c r="J52" s="362"/>
      <c r="K52" s="359"/>
    </row>
    <row r="53" spans="1:11" s="360" customFormat="1">
      <c r="A53" s="364" t="str">
        <f>'Sources and Uses Budget'!$A53</f>
        <v>Inspection Fees</v>
      </c>
      <c r="B53" s="361">
        <f>'Sources and Uses Budget'!C53</f>
        <v>20000</v>
      </c>
      <c r="C53" s="362">
        <f t="shared" si="4"/>
        <v>20000</v>
      </c>
      <c r="D53" s="362"/>
      <c r="E53" s="361">
        <f>'Sources and Uses Budget'!S53</f>
        <v>20000</v>
      </c>
      <c r="F53" s="362">
        <f t="shared" si="5"/>
        <v>20000</v>
      </c>
      <c r="G53" s="362"/>
      <c r="H53" s="361">
        <f>'Sources and Uses Budget'!T53</f>
        <v>0</v>
      </c>
      <c r="I53" s="362"/>
      <c r="J53" s="362"/>
      <c r="K53" s="359"/>
    </row>
    <row r="54" spans="1:11" s="369" customFormat="1">
      <c r="A54" s="365" t="s">
        <v>157</v>
      </c>
      <c r="B54" s="361">
        <f>'Sources and Uses Budget'!C54</f>
        <v>3993208</v>
      </c>
      <c r="C54" s="367">
        <f>SUM(C45:C53)</f>
        <v>3993208</v>
      </c>
      <c r="D54" s="367">
        <f>SUM(D45:D53)</f>
        <v>0</v>
      </c>
      <c r="E54" s="361">
        <f>'Sources and Uses Budget'!S54</f>
        <v>3769233</v>
      </c>
      <c r="F54" s="367">
        <f>SUM(F45:F53)</f>
        <v>3769233</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f t="shared" ref="C56:C61" si="6">+B56</f>
        <v>0</v>
      </c>
      <c r="D56" s="362"/>
      <c r="E56" s="363"/>
      <c r="F56" s="363"/>
      <c r="G56" s="363"/>
      <c r="H56" s="363"/>
      <c r="I56" s="363"/>
      <c r="J56" s="363"/>
      <c r="K56" s="359"/>
    </row>
    <row r="57" spans="1:11" s="360" customFormat="1" ht="12" customHeight="1">
      <c r="A57" s="364" t="s">
        <v>152</v>
      </c>
      <c r="B57" s="361">
        <f>'Sources and Uses Budget'!C57</f>
        <v>10000</v>
      </c>
      <c r="C57" s="362">
        <f t="shared" si="6"/>
        <v>10000</v>
      </c>
      <c r="D57" s="362"/>
      <c r="E57" s="363"/>
      <c r="F57" s="363"/>
      <c r="G57" s="363"/>
      <c r="H57" s="363"/>
      <c r="I57" s="363"/>
      <c r="J57" s="363"/>
      <c r="K57" s="359"/>
    </row>
    <row r="58" spans="1:11" s="360" customFormat="1">
      <c r="A58" s="364" t="s">
        <v>156</v>
      </c>
      <c r="B58" s="361">
        <f>'Sources and Uses Budget'!C58</f>
        <v>5000</v>
      </c>
      <c r="C58" s="362">
        <f t="shared" si="6"/>
        <v>5000</v>
      </c>
      <c r="D58" s="362"/>
      <c r="E58" s="363"/>
      <c r="F58" s="363"/>
      <c r="G58" s="363"/>
      <c r="H58" s="363"/>
      <c r="I58" s="363"/>
      <c r="J58" s="363"/>
      <c r="K58" s="359"/>
    </row>
    <row r="59" spans="1:11" s="360" customFormat="1">
      <c r="A59" s="364" t="s">
        <v>154</v>
      </c>
      <c r="B59" s="361">
        <f>'Sources and Uses Budget'!C59</f>
        <v>0</v>
      </c>
      <c r="C59" s="362">
        <f t="shared" si="6"/>
        <v>0</v>
      </c>
      <c r="D59" s="362"/>
      <c r="E59" s="363"/>
      <c r="F59" s="363"/>
      <c r="G59" s="363"/>
      <c r="H59" s="363"/>
      <c r="I59" s="363"/>
      <c r="J59" s="363"/>
      <c r="K59" s="359"/>
    </row>
    <row r="60" spans="1:11" s="360" customFormat="1">
      <c r="A60" s="364" t="s">
        <v>155</v>
      </c>
      <c r="B60" s="361">
        <f>'Sources and Uses Budget'!C60</f>
        <v>0</v>
      </c>
      <c r="C60" s="362">
        <f t="shared" si="6"/>
        <v>0</v>
      </c>
      <c r="D60" s="362"/>
      <c r="E60" s="363"/>
      <c r="F60" s="363"/>
      <c r="G60" s="363"/>
      <c r="H60" s="363"/>
      <c r="I60" s="363"/>
      <c r="J60" s="363"/>
      <c r="K60" s="359"/>
    </row>
    <row r="61" spans="1:11" s="360" customFormat="1">
      <c r="A61" s="364" t="str">
        <f>'Sources and Uses Budget'!$A61</f>
        <v>Other: (Specify)</v>
      </c>
      <c r="B61" s="361">
        <f>'Sources and Uses Budget'!C61</f>
        <v>0</v>
      </c>
      <c r="C61" s="362">
        <f t="shared" si="6"/>
        <v>0</v>
      </c>
      <c r="D61" s="362"/>
      <c r="E61" s="363"/>
      <c r="F61" s="363"/>
      <c r="G61" s="363"/>
      <c r="H61" s="363"/>
      <c r="I61" s="363"/>
      <c r="J61" s="363"/>
      <c r="K61" s="359"/>
    </row>
    <row r="62" spans="1:11" s="360" customFormat="1" ht="13.7" customHeight="1">
      <c r="A62" s="365" t="s">
        <v>301</v>
      </c>
      <c r="B62" s="361">
        <f>'Sources and Uses Budget'!C62</f>
        <v>15000</v>
      </c>
      <c r="C62" s="361">
        <f>SUM(C56:C61)</f>
        <v>15000</v>
      </c>
      <c r="D62" s="361">
        <f>SUM(D56:D61)</f>
        <v>0</v>
      </c>
      <c r="E62" s="363"/>
      <c r="F62" s="363"/>
      <c r="G62" s="363"/>
      <c r="H62" s="363"/>
      <c r="I62" s="363"/>
      <c r="J62" s="363"/>
      <c r="K62" s="359"/>
    </row>
    <row r="63" spans="1:11" s="360" customFormat="1">
      <c r="A63" s="370" t="s">
        <v>302</v>
      </c>
      <c r="B63" s="361">
        <f>'Sources and Uses Budget'!C63</f>
        <v>67691228</v>
      </c>
      <c r="C63" s="361">
        <f>SUM(C8+C11+C13+C14+C15+C26+C27+C38+C42+C43+C54+C62)</f>
        <v>67691228</v>
      </c>
      <c r="D63" s="361">
        <f>SUM(D8+D11+D13+D14+D15+D26+D27+D38+D42+D43+D54+D62)</f>
        <v>0</v>
      </c>
      <c r="E63" s="361">
        <f>'Sources and Uses Budget'!S63</f>
        <v>56452253</v>
      </c>
      <c r="F63" s="361">
        <f>SUM(F10+F13+F14+F15+F26+F27+F38+F42+F43+F54)</f>
        <v>56452253</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95000</v>
      </c>
      <c r="C65" s="362">
        <f t="shared" ref="C65:C69" si="7">+B65</f>
        <v>95000</v>
      </c>
      <c r="D65" s="362"/>
      <c r="E65" s="361">
        <f>'Sources and Uses Budget'!S65</f>
        <v>95000</v>
      </c>
      <c r="F65" s="362">
        <f t="shared" ref="F65:F69" si="8">+E65</f>
        <v>95000</v>
      </c>
      <c r="G65" s="362"/>
      <c r="H65" s="361">
        <f>'Sources and Uses Budget'!T65</f>
        <v>0</v>
      </c>
      <c r="I65" s="362"/>
      <c r="J65" s="362"/>
      <c r="K65" s="359"/>
    </row>
    <row r="66" spans="1:11" s="360" customFormat="1" ht="24">
      <c r="A66" s="283" t="s">
        <v>1642</v>
      </c>
      <c r="B66" s="361">
        <f>'Sources and Uses Budget'!C66</f>
        <v>0</v>
      </c>
      <c r="C66" s="362">
        <f t="shared" si="7"/>
        <v>0</v>
      </c>
      <c r="D66" s="362"/>
      <c r="E66" s="361">
        <f>'Sources and Uses Budget'!S66</f>
        <v>0</v>
      </c>
      <c r="F66" s="362">
        <f t="shared" si="8"/>
        <v>0</v>
      </c>
      <c r="G66" s="362"/>
      <c r="H66" s="361">
        <f>'Sources and Uses Budget'!T66</f>
        <v>0</v>
      </c>
      <c r="I66" s="362"/>
      <c r="J66" s="362"/>
      <c r="K66" s="359"/>
    </row>
    <row r="67" spans="1:11" s="360" customFormat="1" ht="24">
      <c r="A67" s="283" t="s">
        <v>1643</v>
      </c>
      <c r="B67" s="361">
        <f>'Sources and Uses Budget'!C67</f>
        <v>0</v>
      </c>
      <c r="C67" s="362">
        <f t="shared" si="7"/>
        <v>0</v>
      </c>
      <c r="D67" s="362"/>
      <c r="E67" s="361">
        <f>'Sources and Uses Budget'!S67</f>
        <v>0</v>
      </c>
      <c r="F67" s="362">
        <f t="shared" si="8"/>
        <v>0</v>
      </c>
      <c r="G67" s="362"/>
      <c r="H67" s="361">
        <f>'Sources and Uses Budget'!T67</f>
        <v>0</v>
      </c>
      <c r="I67" s="362"/>
      <c r="J67" s="362"/>
      <c r="K67" s="359"/>
    </row>
    <row r="68" spans="1:11" s="360" customFormat="1">
      <c r="A68" s="283" t="s">
        <v>1649</v>
      </c>
      <c r="B68" s="361">
        <f>'Sources and Uses Budget'!C68</f>
        <v>0</v>
      </c>
      <c r="C68" s="362">
        <f t="shared" si="7"/>
        <v>0</v>
      </c>
      <c r="D68" s="362"/>
      <c r="E68" s="361">
        <f>'Sources and Uses Budget'!S68</f>
        <v>0</v>
      </c>
      <c r="F68" s="362">
        <f t="shared" si="8"/>
        <v>0</v>
      </c>
      <c r="G68" s="362"/>
      <c r="H68" s="361">
        <f>'Sources and Uses Budget'!T68</f>
        <v>0</v>
      </c>
      <c r="I68" s="362"/>
      <c r="J68" s="362"/>
      <c r="K68" s="359"/>
    </row>
    <row r="69" spans="1:11" s="360" customFormat="1">
      <c r="A69" s="364" t="str">
        <f>'Sources and Uses Budget'!$A69</f>
        <v xml:space="preserve">Borrower's Attorney </v>
      </c>
      <c r="B69" s="361">
        <f>'Sources and Uses Budget'!C69</f>
        <v>75000</v>
      </c>
      <c r="C69" s="362">
        <f t="shared" si="7"/>
        <v>75000</v>
      </c>
      <c r="D69" s="362"/>
      <c r="E69" s="361">
        <f>'Sources and Uses Budget'!S69</f>
        <v>75000</v>
      </c>
      <c r="F69" s="362">
        <f t="shared" si="8"/>
        <v>75000</v>
      </c>
      <c r="G69" s="362"/>
      <c r="H69" s="361">
        <f>'Sources and Uses Budget'!T69</f>
        <v>0</v>
      </c>
      <c r="I69" s="362"/>
      <c r="J69" s="362"/>
      <c r="K69" s="359"/>
    </row>
    <row r="70" spans="1:11" s="360" customFormat="1">
      <c r="A70" s="365" t="s">
        <v>602</v>
      </c>
      <c r="B70" s="361">
        <f>'Sources and Uses Budget'!C70</f>
        <v>170000</v>
      </c>
      <c r="C70" s="361">
        <f>SUM(C64:C69)</f>
        <v>170000</v>
      </c>
      <c r="D70" s="361">
        <f>SUM(D64:D69)</f>
        <v>0</v>
      </c>
      <c r="E70" s="361">
        <f>'Sources and Uses Budget'!S70</f>
        <v>170000</v>
      </c>
      <c r="F70" s="367">
        <f>SUM(F65:F69)</f>
        <v>170000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f t="shared" ref="C72:C76" si="9">+B72</f>
        <v>0</v>
      </c>
      <c r="D72" s="362"/>
      <c r="E72" s="363"/>
      <c r="F72" s="363"/>
      <c r="G72" s="363"/>
      <c r="H72" s="363"/>
      <c r="I72" s="363"/>
      <c r="J72" s="363"/>
      <c r="K72" s="359"/>
    </row>
    <row r="73" spans="1:11" s="360" customFormat="1">
      <c r="A73" s="364" t="s">
        <v>605</v>
      </c>
      <c r="B73" s="361">
        <f>'Sources and Uses Budget'!C73</f>
        <v>0</v>
      </c>
      <c r="C73" s="362">
        <f t="shared" si="9"/>
        <v>0</v>
      </c>
      <c r="D73" s="362"/>
      <c r="E73" s="363"/>
      <c r="F73" s="363"/>
      <c r="G73" s="363"/>
      <c r="H73" s="363"/>
      <c r="I73" s="363"/>
      <c r="J73" s="363"/>
      <c r="K73" s="359"/>
    </row>
    <row r="74" spans="1:11" s="360" customFormat="1">
      <c r="A74" s="366" t="s">
        <v>987</v>
      </c>
      <c r="B74" s="361">
        <f>'Sources and Uses Budget'!C74</f>
        <v>0</v>
      </c>
      <c r="C74" s="362">
        <f t="shared" si="9"/>
        <v>0</v>
      </c>
      <c r="D74" s="362"/>
      <c r="E74" s="363"/>
      <c r="F74" s="363"/>
      <c r="G74" s="363"/>
      <c r="H74" s="363"/>
      <c r="I74" s="363"/>
      <c r="J74" s="363"/>
      <c r="K74" s="359"/>
    </row>
    <row r="75" spans="1:11" s="360" customFormat="1">
      <c r="A75" s="364" t="s">
        <v>606</v>
      </c>
      <c r="B75" s="361">
        <f>'Sources and Uses Budget'!C75</f>
        <v>484373</v>
      </c>
      <c r="C75" s="362">
        <f t="shared" si="9"/>
        <v>484373</v>
      </c>
      <c r="D75" s="362"/>
      <c r="E75" s="363"/>
      <c r="F75" s="363"/>
      <c r="G75" s="363"/>
      <c r="H75" s="363"/>
      <c r="I75" s="363"/>
      <c r="J75" s="363"/>
      <c r="K75" s="359"/>
    </row>
    <row r="76" spans="1:11" s="360" customFormat="1">
      <c r="A76" s="364" t="str">
        <f>'Sources and Uses Budget'!$A76</f>
        <v>Other: (Specify)</v>
      </c>
      <c r="B76" s="361">
        <f>'Sources and Uses Budget'!C76</f>
        <v>0</v>
      </c>
      <c r="C76" s="362">
        <f t="shared" si="9"/>
        <v>0</v>
      </c>
      <c r="D76" s="362"/>
      <c r="E76" s="363"/>
      <c r="F76" s="363"/>
      <c r="G76" s="363"/>
      <c r="H76" s="363"/>
      <c r="I76" s="363"/>
      <c r="J76" s="363"/>
      <c r="K76" s="359"/>
    </row>
    <row r="77" spans="1:11" s="360" customFormat="1">
      <c r="A77" s="365" t="s">
        <v>607</v>
      </c>
      <c r="B77" s="361">
        <f>'Sources and Uses Budget'!C77</f>
        <v>484373</v>
      </c>
      <c r="C77" s="361">
        <f>SUM(C72:C76)</f>
        <v>484373</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2532710</v>
      </c>
      <c r="C79" s="362">
        <f t="shared" ref="C79:C80" si="10">+B79</f>
        <v>2532710</v>
      </c>
      <c r="D79" s="362"/>
      <c r="E79" s="361">
        <f>'Sources and Uses Budget'!S79</f>
        <v>2532710</v>
      </c>
      <c r="F79" s="362">
        <f t="shared" ref="F79:F80" si="11">+E79</f>
        <v>2532710</v>
      </c>
      <c r="G79" s="362"/>
      <c r="H79" s="361">
        <f>'Sources and Uses Budget'!T79</f>
        <v>0</v>
      </c>
      <c r="I79" s="362"/>
      <c r="J79" s="362"/>
      <c r="K79" s="359"/>
    </row>
    <row r="80" spans="1:11" s="360" customFormat="1">
      <c r="A80" s="364" t="s">
        <v>58</v>
      </c>
      <c r="B80" s="361">
        <f>'Sources and Uses Budget'!C80</f>
        <v>290548</v>
      </c>
      <c r="C80" s="362">
        <f t="shared" si="10"/>
        <v>290548</v>
      </c>
      <c r="D80" s="362"/>
      <c r="E80" s="361">
        <f>'Sources and Uses Budget'!S80</f>
        <v>290548</v>
      </c>
      <c r="F80" s="362">
        <f t="shared" si="11"/>
        <v>290548</v>
      </c>
      <c r="G80" s="362"/>
      <c r="H80" s="361">
        <f>'Sources and Uses Budget'!T80</f>
        <v>0</v>
      </c>
      <c r="I80" s="362"/>
      <c r="J80" s="362"/>
      <c r="K80" s="359"/>
    </row>
    <row r="81" spans="1:11" s="360" customFormat="1">
      <c r="A81" s="365" t="s">
        <v>1210</v>
      </c>
      <c r="B81" s="361">
        <f>'Sources and Uses Budget'!C81</f>
        <v>2823258</v>
      </c>
      <c r="C81" s="361">
        <f>SUM(C79:C80)</f>
        <v>2823258</v>
      </c>
      <c r="D81" s="361">
        <f>SUM(D79:D80)</f>
        <v>0</v>
      </c>
      <c r="E81" s="361">
        <f>'Sources and Uses Budget'!S81</f>
        <v>2823258</v>
      </c>
      <c r="F81" s="361">
        <f>SUM(F79:F80)</f>
        <v>2823258</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2095</v>
      </c>
      <c r="B83" s="361">
        <f>'Sources and Uses Budget'!C83</f>
        <v>210825</v>
      </c>
      <c r="C83" s="362">
        <f t="shared" ref="C83:C95" si="12">+B83</f>
        <v>210825</v>
      </c>
      <c r="D83" s="362"/>
      <c r="E83" s="363"/>
      <c r="F83" s="363"/>
      <c r="G83" s="363"/>
      <c r="H83" s="363"/>
      <c r="I83" s="363"/>
      <c r="J83" s="363"/>
      <c r="K83" s="359"/>
    </row>
    <row r="84" spans="1:11" s="360" customFormat="1">
      <c r="A84" s="145" t="s">
        <v>768</v>
      </c>
      <c r="B84" s="361">
        <f>'Sources and Uses Budget'!C84</f>
        <v>7000</v>
      </c>
      <c r="C84" s="362">
        <f t="shared" si="12"/>
        <v>7000</v>
      </c>
      <c r="D84" s="362"/>
      <c r="E84" s="361">
        <f>'Sources and Uses Budget'!S84</f>
        <v>7000</v>
      </c>
      <c r="F84" s="362">
        <f t="shared" ref="F84:F87" si="13">+E84</f>
        <v>7000</v>
      </c>
      <c r="G84" s="362"/>
      <c r="H84" s="361">
        <f>'Sources and Uses Budget'!T84</f>
        <v>0</v>
      </c>
      <c r="I84" s="362"/>
      <c r="J84" s="362"/>
      <c r="K84" s="359"/>
    </row>
    <row r="85" spans="1:11" s="360" customFormat="1">
      <c r="A85" s="145" t="s">
        <v>769</v>
      </c>
      <c r="B85" s="361">
        <f>'Sources and Uses Budget'!C85</f>
        <v>978148</v>
      </c>
      <c r="C85" s="362">
        <f t="shared" si="12"/>
        <v>978148</v>
      </c>
      <c r="D85" s="362"/>
      <c r="E85" s="361">
        <f>'Sources and Uses Budget'!S85</f>
        <v>978148</v>
      </c>
      <c r="F85" s="362">
        <f t="shared" si="13"/>
        <v>978148</v>
      </c>
      <c r="G85" s="362"/>
      <c r="H85" s="361">
        <f>'Sources and Uses Budget'!T85</f>
        <v>0</v>
      </c>
      <c r="I85" s="362"/>
      <c r="J85" s="362"/>
      <c r="K85" s="359"/>
    </row>
    <row r="86" spans="1:11" s="360" customFormat="1">
      <c r="A86" s="145" t="s">
        <v>770</v>
      </c>
      <c r="B86" s="361">
        <f>'Sources and Uses Budget'!C86</f>
        <v>1139135</v>
      </c>
      <c r="C86" s="362">
        <f t="shared" si="12"/>
        <v>1139135</v>
      </c>
      <c r="D86" s="362"/>
      <c r="E86" s="361">
        <f>'Sources and Uses Budget'!S86</f>
        <v>1139135</v>
      </c>
      <c r="F86" s="362">
        <f t="shared" si="13"/>
        <v>1139135</v>
      </c>
      <c r="G86" s="362"/>
      <c r="H86" s="361">
        <f>'Sources and Uses Budget'!T86</f>
        <v>0</v>
      </c>
      <c r="I86" s="362"/>
      <c r="J86" s="362"/>
      <c r="K86" s="359"/>
    </row>
    <row r="87" spans="1:11" s="360" customFormat="1">
      <c r="A87" s="145" t="s">
        <v>771</v>
      </c>
      <c r="B87" s="361">
        <f>'Sources and Uses Budget'!C87</f>
        <v>0</v>
      </c>
      <c r="C87" s="362">
        <f t="shared" si="12"/>
        <v>0</v>
      </c>
      <c r="D87" s="362"/>
      <c r="E87" s="361">
        <f>'Sources and Uses Budget'!S87</f>
        <v>0</v>
      </c>
      <c r="F87" s="362">
        <f t="shared" si="13"/>
        <v>0</v>
      </c>
      <c r="G87" s="362"/>
      <c r="H87" s="361">
        <f>'Sources and Uses Budget'!T87</f>
        <v>0</v>
      </c>
      <c r="I87" s="362"/>
      <c r="J87" s="362"/>
      <c r="K87" s="359"/>
    </row>
    <row r="88" spans="1:11" s="360" customFormat="1">
      <c r="A88" s="145" t="s">
        <v>772</v>
      </c>
      <c r="B88" s="361">
        <f>'Sources and Uses Budget'!C88</f>
        <v>20000</v>
      </c>
      <c r="C88" s="362">
        <f t="shared" si="12"/>
        <v>20000</v>
      </c>
      <c r="D88" s="362"/>
      <c r="E88" s="363"/>
      <c r="F88" s="363"/>
      <c r="G88" s="363"/>
      <c r="H88" s="363"/>
      <c r="I88" s="363"/>
      <c r="J88" s="363"/>
      <c r="K88" s="359"/>
    </row>
    <row r="89" spans="1:11" s="360" customFormat="1">
      <c r="A89" s="145" t="s">
        <v>773</v>
      </c>
      <c r="B89" s="361">
        <f>'Sources and Uses Budget'!C89</f>
        <v>110000</v>
      </c>
      <c r="C89" s="362">
        <f t="shared" si="12"/>
        <v>110000</v>
      </c>
      <c r="D89" s="362"/>
      <c r="E89" s="361">
        <f>'Sources and Uses Budget'!S89</f>
        <v>110000</v>
      </c>
      <c r="F89" s="362">
        <f t="shared" ref="F89:F95" si="14">+E89</f>
        <v>110000</v>
      </c>
      <c r="G89" s="362"/>
      <c r="H89" s="361">
        <f>'Sources and Uses Budget'!T89</f>
        <v>0</v>
      </c>
      <c r="I89" s="362"/>
      <c r="J89" s="362"/>
      <c r="K89" s="359"/>
    </row>
    <row r="90" spans="1:11" s="360" customFormat="1">
      <c r="A90" s="145" t="s">
        <v>774</v>
      </c>
      <c r="B90" s="361">
        <f>'Sources and Uses Budget'!C90</f>
        <v>10000</v>
      </c>
      <c r="C90" s="362">
        <f t="shared" si="12"/>
        <v>10000</v>
      </c>
      <c r="D90" s="362"/>
      <c r="E90" s="361">
        <f>'Sources and Uses Budget'!S90</f>
        <v>10000</v>
      </c>
      <c r="F90" s="362">
        <f t="shared" si="14"/>
        <v>10000</v>
      </c>
      <c r="G90" s="362"/>
      <c r="H90" s="361">
        <f>'Sources and Uses Budget'!T90</f>
        <v>0</v>
      </c>
      <c r="I90" s="362"/>
      <c r="J90" s="362"/>
      <c r="K90" s="359"/>
    </row>
    <row r="91" spans="1:11" s="360" customFormat="1">
      <c r="A91" s="155" t="s">
        <v>372</v>
      </c>
      <c r="B91" s="361">
        <f>'Sources and Uses Budget'!C91</f>
        <v>45000</v>
      </c>
      <c r="C91" s="362">
        <f t="shared" si="12"/>
        <v>45000</v>
      </c>
      <c r="D91" s="362"/>
      <c r="E91" s="361">
        <f>'Sources and Uses Budget'!S91</f>
        <v>45000</v>
      </c>
      <c r="F91" s="362">
        <f t="shared" si="14"/>
        <v>45000</v>
      </c>
      <c r="G91" s="362"/>
      <c r="H91" s="361">
        <f>'Sources and Uses Budget'!T91</f>
        <v>0</v>
      </c>
      <c r="I91" s="362"/>
      <c r="J91" s="362"/>
      <c r="K91" s="359"/>
    </row>
    <row r="92" spans="1:11" s="360" customFormat="1">
      <c r="A92" s="508" t="s">
        <v>1212</v>
      </c>
      <c r="B92" s="361">
        <f>'Sources and Uses Budget'!C92</f>
        <v>7500</v>
      </c>
      <c r="C92" s="362">
        <f t="shared" si="12"/>
        <v>7500</v>
      </c>
      <c r="D92" s="362"/>
      <c r="E92" s="361">
        <f>'Sources and Uses Budget'!S92</f>
        <v>7500</v>
      </c>
      <c r="F92" s="362">
        <f t="shared" si="14"/>
        <v>7500</v>
      </c>
      <c r="G92" s="362"/>
      <c r="H92" s="361">
        <f>'Sources and Uses Budget'!T92</f>
        <v>0</v>
      </c>
      <c r="I92" s="362"/>
      <c r="J92" s="362"/>
      <c r="K92" s="359"/>
    </row>
    <row r="93" spans="1:11" s="360" customFormat="1">
      <c r="A93" s="364" t="str">
        <f>'Sources and Uses Budget'!$A93</f>
        <v>Other: (Specify)</v>
      </c>
      <c r="B93" s="361">
        <f>'Sources and Uses Budget'!C93</f>
        <v>0</v>
      </c>
      <c r="C93" s="362">
        <f t="shared" si="12"/>
        <v>0</v>
      </c>
      <c r="D93" s="362"/>
      <c r="E93" s="361">
        <f>'Sources and Uses Budget'!S93</f>
        <v>0</v>
      </c>
      <c r="F93" s="362">
        <f t="shared" si="14"/>
        <v>0</v>
      </c>
      <c r="G93" s="362"/>
      <c r="H93" s="361">
        <f>'Sources and Uses Budget'!T93</f>
        <v>0</v>
      </c>
      <c r="I93" s="362"/>
      <c r="J93" s="362"/>
      <c r="K93" s="359"/>
    </row>
    <row r="94" spans="1:11" s="360" customFormat="1">
      <c r="A94" s="364" t="str">
        <f>'Sources and Uses Budget'!$A94</f>
        <v>Other: (Specify)</v>
      </c>
      <c r="B94" s="361">
        <f>'Sources and Uses Budget'!C94</f>
        <v>0</v>
      </c>
      <c r="C94" s="362">
        <f t="shared" si="12"/>
        <v>0</v>
      </c>
      <c r="D94" s="362"/>
      <c r="E94" s="361">
        <f>'Sources and Uses Budget'!S94</f>
        <v>0</v>
      </c>
      <c r="F94" s="362">
        <f t="shared" si="14"/>
        <v>0</v>
      </c>
      <c r="G94" s="362"/>
      <c r="H94" s="361">
        <f>'Sources and Uses Budget'!T94</f>
        <v>0</v>
      </c>
      <c r="I94" s="362"/>
      <c r="J94" s="362"/>
      <c r="K94" s="359"/>
    </row>
    <row r="95" spans="1:11" s="360" customFormat="1">
      <c r="A95" s="364" t="str">
        <f>'Sources and Uses Budget'!$A95</f>
        <v>Other: (Specify)</v>
      </c>
      <c r="B95" s="361">
        <f>'Sources and Uses Budget'!C95</f>
        <v>0</v>
      </c>
      <c r="C95" s="362">
        <f t="shared" si="12"/>
        <v>0</v>
      </c>
      <c r="D95" s="362"/>
      <c r="E95" s="361">
        <f>'Sources and Uses Budget'!S95</f>
        <v>0</v>
      </c>
      <c r="F95" s="362">
        <f t="shared" si="14"/>
        <v>0</v>
      </c>
      <c r="G95" s="362"/>
      <c r="H95" s="361">
        <f>'Sources and Uses Budget'!T95</f>
        <v>0</v>
      </c>
      <c r="I95" s="362"/>
      <c r="J95" s="362"/>
      <c r="K95" s="359"/>
    </row>
    <row r="96" spans="1:11" s="360" customFormat="1">
      <c r="A96" s="365" t="s">
        <v>775</v>
      </c>
      <c r="B96" s="361">
        <f>'Sources and Uses Budget'!C96</f>
        <v>2527608</v>
      </c>
      <c r="C96" s="361">
        <f>SUM(C83:C95)</f>
        <v>2527608</v>
      </c>
      <c r="D96" s="361">
        <f>SUM(D83:D95)</f>
        <v>0</v>
      </c>
      <c r="E96" s="361">
        <f>'Sources and Uses Budget'!S96</f>
        <v>2296783</v>
      </c>
      <c r="F96" s="367">
        <f>SUM(F84:F87,F89:F95)</f>
        <v>2296783</v>
      </c>
      <c r="G96" s="367">
        <f>SUM(G84:G87,G89:G95)</f>
        <v>0</v>
      </c>
      <c r="H96" s="361">
        <f>'Sources and Uses Budget'!T96</f>
        <v>0</v>
      </c>
      <c r="I96" s="361">
        <f>SUM(I84:I87,I89:I95)</f>
        <v>0</v>
      </c>
      <c r="J96" s="361">
        <f>SUM(J84:J87,J89:J95)</f>
        <v>0</v>
      </c>
      <c r="K96" s="359"/>
    </row>
    <row r="97" spans="1:11" s="360" customFormat="1">
      <c r="A97" s="365" t="s">
        <v>1030</v>
      </c>
      <c r="B97" s="361">
        <f>'Sources and Uses Budget'!C97</f>
        <v>73696467</v>
      </c>
      <c r="C97" s="361">
        <f>SUM(C63+C70+C77+C81+C96)</f>
        <v>73696467</v>
      </c>
      <c r="D97" s="361">
        <f>SUM(D63+D70+D77+D81+D96)</f>
        <v>0</v>
      </c>
      <c r="E97" s="361">
        <f>'Sources and Uses Budget'!S97</f>
        <v>61742294</v>
      </c>
      <c r="F97" s="367">
        <f>SUM(+F63+F70+F81+F96)</f>
        <v>61742294</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9260050</v>
      </c>
      <c r="C99" s="362">
        <f>+B99</f>
        <v>9260050</v>
      </c>
      <c r="D99" s="362"/>
      <c r="E99" s="361">
        <f>'Sources and Uses Budget'!S99</f>
        <v>9260050</v>
      </c>
      <c r="F99" s="362">
        <f>+E99</f>
        <v>9260050</v>
      </c>
      <c r="G99" s="362"/>
      <c r="H99" s="361">
        <f>'Sources and Uses Budget'!T99</f>
        <v>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9260050</v>
      </c>
      <c r="C104" s="361">
        <f>SUM(C99:C103)</f>
        <v>9260050</v>
      </c>
      <c r="D104" s="361">
        <f>SUM(D99:D103)</f>
        <v>0</v>
      </c>
      <c r="E104" s="361">
        <f>'Sources and Uses Budget'!S104</f>
        <v>9260050</v>
      </c>
      <c r="F104" s="367">
        <f>SUM(F99:F103)</f>
        <v>9260050</v>
      </c>
      <c r="G104" s="367">
        <f>SUM(G99:G103)</f>
        <v>0</v>
      </c>
      <c r="H104" s="361">
        <f>'Sources and Uses Budget'!T104</f>
        <v>0</v>
      </c>
      <c r="I104" s="367">
        <f>SUM(I99:I103)</f>
        <v>0</v>
      </c>
      <c r="J104" s="367">
        <f>SUM(J99:J103)</f>
        <v>0</v>
      </c>
      <c r="K104" s="359"/>
    </row>
    <row r="105" spans="1:11" s="360" customFormat="1">
      <c r="A105" s="365" t="s">
        <v>1031</v>
      </c>
      <c r="B105" s="361">
        <f>'Sources and Uses Budget'!C105</f>
        <v>82956517</v>
      </c>
      <c r="C105" s="367">
        <f>SUM(C97+C104)</f>
        <v>82956517</v>
      </c>
      <c r="D105" s="367">
        <f>SUM(D97+D104)</f>
        <v>0</v>
      </c>
      <c r="E105" s="361">
        <f>'Sources and Uses Budget'!S105</f>
        <v>71002344</v>
      </c>
      <c r="F105" s="367">
        <f>F97+F104</f>
        <v>71002344</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71002344</v>
      </c>
      <c r="F107" s="367">
        <f>F105+F106</f>
        <v>71002344</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1"/>
      <c r="E124" s="1312"/>
      <c r="F124" s="1312"/>
      <c r="G124" s="1312"/>
      <c r="H124" s="1312"/>
      <c r="I124" s="1312"/>
      <c r="J124" s="376"/>
      <c r="K124" s="359"/>
    </row>
    <row r="125" spans="1:11" s="360" customFormat="1" ht="12.75">
      <c r="A125" s="385"/>
      <c r="B125" s="384"/>
      <c r="C125" s="385"/>
      <c r="D125" s="1312"/>
      <c r="E125" s="1312"/>
      <c r="F125" s="1312"/>
      <c r="G125" s="1312"/>
      <c r="H125" s="1312"/>
      <c r="I125" s="1312"/>
      <c r="J125" s="376"/>
      <c r="K125" s="359"/>
    </row>
    <row r="126" spans="1:11" s="360" customFormat="1" ht="12.75">
      <c r="A126" s="385"/>
      <c r="B126" s="384"/>
      <c r="C126" s="385"/>
      <c r="D126" s="1312"/>
      <c r="E126" s="1312"/>
      <c r="F126" s="1312"/>
      <c r="G126" s="1312"/>
      <c r="H126" s="1312"/>
      <c r="I126" s="1312"/>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2"/>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1884" t="s">
        <v>2457</v>
      </c>
      <c r="B1" s="1885"/>
      <c r="C1" s="1885"/>
      <c r="D1" s="1885"/>
      <c r="E1" s="1885"/>
      <c r="F1" s="1885"/>
      <c r="G1" s="1885"/>
      <c r="H1" s="1885"/>
      <c r="I1" s="1885"/>
      <c r="J1" s="1885"/>
      <c r="K1" s="1885"/>
      <c r="L1" s="1885"/>
      <c r="M1" s="1885"/>
      <c r="N1" s="1885"/>
      <c r="O1" s="1885"/>
      <c r="P1" s="1885"/>
      <c r="Q1" s="1885"/>
      <c r="R1" s="1885"/>
      <c r="S1" s="1885"/>
      <c r="T1" s="1885"/>
      <c r="U1" s="1885"/>
      <c r="V1" s="1885"/>
      <c r="W1" s="1885"/>
      <c r="X1" s="1885"/>
      <c r="Y1" s="1885"/>
      <c r="Z1" s="1885"/>
      <c r="AA1" s="1885"/>
      <c r="AB1" s="1885"/>
      <c r="AC1" s="1885"/>
      <c r="AD1" s="1885"/>
      <c r="AE1" s="1885"/>
      <c r="AF1" s="1885"/>
      <c r="AG1" s="1885"/>
      <c r="AH1" s="1885"/>
      <c r="AI1" s="1885"/>
      <c r="AJ1" s="1885"/>
      <c r="AK1" s="1885"/>
      <c r="AL1" s="1885"/>
      <c r="AM1" s="1885"/>
      <c r="AN1" s="1885"/>
      <c r="AO1" s="1885"/>
      <c r="AP1" s="1885"/>
      <c r="AQ1" s="1885"/>
      <c r="AR1" s="1885"/>
      <c r="AS1" s="1885"/>
      <c r="AT1" s="1885"/>
      <c r="AU1" s="1885"/>
      <c r="AV1" s="1885"/>
      <c r="AW1" s="1885"/>
      <c r="AX1" s="1885"/>
      <c r="AY1" s="1885"/>
      <c r="AZ1" s="1885"/>
      <c r="BA1" s="1885"/>
      <c r="BB1" s="1885"/>
      <c r="BC1" s="1885"/>
      <c r="BD1" s="1885"/>
      <c r="BE1" s="1886"/>
    </row>
    <row r="2" spans="1:65" ht="15.75" customHeight="1">
      <c r="A2" s="1887" t="s">
        <v>2456</v>
      </c>
      <c r="B2" s="1888"/>
      <c r="C2" s="1888"/>
      <c r="D2" s="1888"/>
      <c r="E2" s="1888"/>
      <c r="F2" s="1888"/>
      <c r="G2" s="1888"/>
      <c r="H2" s="1888"/>
      <c r="I2" s="1888"/>
      <c r="J2" s="1888"/>
      <c r="K2" s="1888"/>
      <c r="L2" s="1888"/>
      <c r="M2" s="1888"/>
      <c r="N2" s="1888"/>
      <c r="O2" s="1888"/>
      <c r="P2" s="1888"/>
      <c r="Q2" s="1888"/>
      <c r="R2" s="1888"/>
      <c r="S2" s="1888"/>
      <c r="T2" s="1888"/>
      <c r="U2" s="1888"/>
      <c r="V2" s="1888"/>
      <c r="W2" s="1888"/>
      <c r="X2" s="1888"/>
      <c r="Y2" s="1888"/>
      <c r="Z2" s="1888"/>
      <c r="AA2" s="1888"/>
      <c r="AB2" s="1888"/>
      <c r="AC2" s="1888"/>
      <c r="AD2" s="1888"/>
      <c r="AE2" s="1888"/>
      <c r="AF2" s="1888"/>
      <c r="AG2" s="1888"/>
      <c r="AH2" s="1888"/>
      <c r="AI2" s="1888"/>
      <c r="AJ2" s="1888"/>
      <c r="AK2" s="1888"/>
      <c r="AL2" s="1888"/>
      <c r="AM2" s="1888"/>
      <c r="AN2" s="1888"/>
      <c r="AO2" s="1888"/>
      <c r="AP2" s="1888"/>
      <c r="AQ2" s="1888"/>
      <c r="AR2" s="1888"/>
      <c r="AS2" s="1888"/>
      <c r="AT2" s="1888"/>
      <c r="AU2" s="1888"/>
      <c r="AV2" s="1888"/>
      <c r="AW2" s="1888"/>
      <c r="AX2" s="1888"/>
      <c r="AY2" s="1888"/>
      <c r="AZ2" s="1888"/>
      <c r="BA2" s="1888"/>
      <c r="BB2" s="1888"/>
      <c r="BC2" s="1888"/>
      <c r="BD2" s="1888"/>
      <c r="BE2" s="1889"/>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876" t="str">
        <f>IF(Application!H18="","",Application!H18)</f>
        <v>Camino Commons</v>
      </c>
      <c r="M4" s="1877"/>
      <c r="N4" s="1877"/>
      <c r="O4" s="1877"/>
      <c r="P4" s="1877"/>
      <c r="Q4" s="1877"/>
      <c r="R4" s="1877"/>
      <c r="S4" s="1877"/>
      <c r="T4" s="1877"/>
      <c r="U4" s="1877"/>
      <c r="V4" s="1877"/>
      <c r="W4" s="1877"/>
      <c r="X4" s="1877"/>
      <c r="Y4" s="1877"/>
      <c r="Z4" s="1877"/>
      <c r="AA4" s="1877"/>
      <c r="AB4" s="1877"/>
      <c r="AC4" s="1878"/>
      <c r="AD4" s="1190"/>
      <c r="AE4" s="1190"/>
      <c r="AF4" s="1890" t="s">
        <v>2455</v>
      </c>
      <c r="AG4" s="1890"/>
      <c r="AH4" s="1890"/>
      <c r="AI4" s="1890"/>
      <c r="AJ4" s="1890"/>
      <c r="AK4" s="1890"/>
      <c r="AL4" s="1890"/>
      <c r="AM4" s="1890"/>
      <c r="AN4" s="1890"/>
      <c r="AO4" s="1890"/>
      <c r="AP4" s="1891"/>
      <c r="AQ4" s="1892"/>
      <c r="AR4" s="1892"/>
      <c r="AS4" s="1892"/>
      <c r="AT4" s="1892"/>
      <c r="AU4" s="1892"/>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0" t="s">
        <v>2454</v>
      </c>
      <c r="AG5" s="1890"/>
      <c r="AH5" s="1890"/>
      <c r="AI5" s="1890"/>
      <c r="AJ5" s="1890"/>
      <c r="AK5" s="1890"/>
      <c r="AL5" s="1890"/>
      <c r="AM5" s="1890"/>
      <c r="AN5" s="1890"/>
      <c r="AO5" s="1890"/>
      <c r="AP5" s="1891"/>
      <c r="AQ5" s="1892"/>
      <c r="AR5" s="1892"/>
      <c r="AS5" s="1892"/>
      <c r="AT5" s="1892"/>
      <c r="AU5" s="1892"/>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1876" t="str">
        <f>IF(Application!H16="","",Application!H16)</f>
        <v>Community Revitalization and Development Corporation</v>
      </c>
      <c r="M6" s="1877"/>
      <c r="N6" s="1877"/>
      <c r="O6" s="1877"/>
      <c r="P6" s="1877"/>
      <c r="Q6" s="1877"/>
      <c r="R6" s="1877"/>
      <c r="S6" s="1877"/>
      <c r="T6" s="1877"/>
      <c r="U6" s="1877"/>
      <c r="V6" s="1877"/>
      <c r="W6" s="1877"/>
      <c r="X6" s="1877"/>
      <c r="Y6" s="1877"/>
      <c r="Z6" s="1877"/>
      <c r="AA6" s="1877"/>
      <c r="AB6" s="1877"/>
      <c r="AC6" s="1878"/>
      <c r="AD6" s="1190"/>
      <c r="AE6" s="1190"/>
      <c r="AF6" s="1879" t="s">
        <v>2452</v>
      </c>
      <c r="AG6" s="1879"/>
      <c r="AH6" s="1879"/>
      <c r="AI6" s="1879"/>
      <c r="AJ6" s="1879"/>
      <c r="AK6" s="1879"/>
      <c r="AL6" s="1879"/>
      <c r="AM6" s="1879"/>
      <c r="AN6" s="1879"/>
      <c r="AO6" s="1879"/>
      <c r="AP6" s="1880"/>
      <c r="AQ6" s="1880"/>
      <c r="AR6" s="1880"/>
      <c r="AS6" s="1880"/>
      <c r="AT6" s="1880"/>
      <c r="AU6" s="1880"/>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79" t="s">
        <v>2451</v>
      </c>
      <c r="AG7" s="1879"/>
      <c r="AH7" s="1879"/>
      <c r="AI7" s="1879"/>
      <c r="AJ7" s="1879"/>
      <c r="AK7" s="1879"/>
      <c r="AL7" s="1879"/>
      <c r="AM7" s="1879"/>
      <c r="AN7" s="1879"/>
      <c r="AO7" s="1879"/>
      <c r="AP7" s="1880"/>
      <c r="AQ7" s="1880"/>
      <c r="AR7" s="1880"/>
      <c r="AS7" s="1880"/>
      <c r="AT7" s="1880"/>
      <c r="AU7" s="1880"/>
      <c r="AV7" s="1190"/>
      <c r="AW7" s="1190"/>
      <c r="AX7" s="1190"/>
      <c r="AY7" s="1190"/>
      <c r="AZ7" s="1190"/>
      <c r="BA7" s="1190"/>
      <c r="BB7" s="1190"/>
      <c r="BC7" s="1190"/>
      <c r="BD7" s="1190"/>
      <c r="BE7" s="1191"/>
    </row>
    <row r="8" spans="1:6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1" t="str">
        <f>Application!T197</f>
        <v>No</v>
      </c>
      <c r="AC8" s="1882"/>
      <c r="AD8" s="1883"/>
      <c r="AE8" s="1190"/>
      <c r="AF8" s="1879" t="s">
        <v>2449</v>
      </c>
      <c r="AG8" s="1879"/>
      <c r="AH8" s="1879"/>
      <c r="AI8" s="1879"/>
      <c r="AJ8" s="1879"/>
      <c r="AK8" s="1879"/>
      <c r="AL8" s="1879"/>
      <c r="AM8" s="1879"/>
      <c r="AN8" s="1879"/>
      <c r="AO8" s="1879"/>
      <c r="AP8" s="1880" t="s">
        <v>2099</v>
      </c>
      <c r="AQ8" s="1880"/>
      <c r="AR8" s="1880"/>
      <c r="AS8" s="1880"/>
      <c r="AT8" s="1880"/>
      <c r="AU8" s="1880"/>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0" t="s">
        <v>2448</v>
      </c>
      <c r="AG9" s="1890"/>
      <c r="AH9" s="1890"/>
      <c r="AI9" s="1890"/>
      <c r="AJ9" s="1890"/>
      <c r="AK9" s="1890"/>
      <c r="AL9" s="1890"/>
      <c r="AM9" s="1890"/>
      <c r="AN9" s="1890"/>
      <c r="AO9" s="1890"/>
      <c r="AP9" s="1891"/>
      <c r="AQ9" s="1892"/>
      <c r="AR9" s="1892"/>
      <c r="AS9" s="1892"/>
      <c r="AT9" s="1892"/>
      <c r="AU9" s="1892"/>
      <c r="AV9" s="1190"/>
      <c r="AW9" s="1190"/>
      <c r="AX9" s="1190"/>
      <c r="AY9" s="1190"/>
      <c r="AZ9" s="1190"/>
      <c r="BA9" s="1190"/>
      <c r="BB9" s="1190"/>
      <c r="BC9" s="1190"/>
      <c r="BD9" s="1190"/>
      <c r="BE9" s="1191"/>
      <c r="BM9" s="1187" t="s">
        <v>2447</v>
      </c>
    </row>
    <row r="10" spans="1:65" ht="15">
      <c r="A10" s="1189"/>
      <c r="B10" s="1192" t="s">
        <v>2446</v>
      </c>
      <c r="C10" s="1192"/>
      <c r="D10" s="1192"/>
      <c r="E10" s="1192"/>
      <c r="F10" s="1192"/>
      <c r="G10" s="1192"/>
      <c r="H10" s="1192"/>
      <c r="I10" s="1192"/>
      <c r="J10" s="1192"/>
      <c r="K10" s="1192"/>
      <c r="L10" s="1192"/>
      <c r="M10" s="1190"/>
      <c r="N10" s="1905">
        <f>Application!AO627</f>
        <v>19117283</v>
      </c>
      <c r="O10" s="1905"/>
      <c r="P10" s="1905"/>
      <c r="Q10" s="1905"/>
      <c r="R10" s="1905"/>
      <c r="S10" s="1905"/>
      <c r="T10" s="1905"/>
      <c r="U10" s="1190"/>
      <c r="V10" s="1190"/>
      <c r="W10" s="1190"/>
      <c r="X10" s="1193"/>
      <c r="Y10" s="1193"/>
      <c r="Z10" s="1193"/>
      <c r="AA10" s="1193"/>
      <c r="AB10" s="1193"/>
      <c r="AC10" s="1193"/>
      <c r="AD10" s="1193"/>
      <c r="AE10" s="1193"/>
      <c r="AF10" s="1890" t="s">
        <v>2445</v>
      </c>
      <c r="AG10" s="1890"/>
      <c r="AH10" s="1890"/>
      <c r="AI10" s="1890"/>
      <c r="AJ10" s="1890"/>
      <c r="AK10" s="1890"/>
      <c r="AL10" s="1890"/>
      <c r="AM10" s="1890"/>
      <c r="AN10" s="1890"/>
      <c r="AO10" s="1890"/>
      <c r="AP10" s="1891"/>
      <c r="AQ10" s="1892"/>
      <c r="AR10" s="1892"/>
      <c r="AS10" s="1892"/>
      <c r="AT10" s="1892"/>
      <c r="AU10" s="1892"/>
      <c r="AV10" s="1193"/>
      <c r="AW10" s="1193"/>
      <c r="AX10" s="1190"/>
      <c r="AY10" s="1190"/>
      <c r="AZ10" s="1190"/>
      <c r="BA10" s="1190"/>
      <c r="BB10" s="1190"/>
      <c r="BC10" s="1190"/>
      <c r="BD10" s="1190"/>
      <c r="BE10" s="1191"/>
      <c r="BM10" s="1187" t="s">
        <v>2444</v>
      </c>
    </row>
    <row r="11" spans="1:65" ht="15">
      <c r="A11" s="1189"/>
      <c r="B11" s="1192" t="s">
        <v>2443</v>
      </c>
      <c r="C11" s="1192"/>
      <c r="D11" s="1192"/>
      <c r="E11" s="1192"/>
      <c r="F11" s="1192"/>
      <c r="G11" s="1192"/>
      <c r="H11" s="1192"/>
      <c r="I11" s="1192"/>
      <c r="J11" s="1192"/>
      <c r="K11" s="1192"/>
      <c r="L11" s="1192"/>
      <c r="M11" s="1190"/>
      <c r="N11" s="1905">
        <f>Application!AA934</f>
        <v>0</v>
      </c>
      <c r="O11" s="1905"/>
      <c r="P11" s="1905"/>
      <c r="Q11" s="1905"/>
      <c r="R11" s="1905"/>
      <c r="S11" s="1905"/>
      <c r="T11" s="1905"/>
      <c r="U11" s="1190"/>
      <c r="V11" s="1190"/>
      <c r="W11" s="1190"/>
      <c r="X11" s="1193"/>
      <c r="Y11" s="1193"/>
      <c r="Z11" s="1193"/>
      <c r="AA11" s="1193"/>
      <c r="AB11" s="1193"/>
      <c r="AC11" s="1193"/>
      <c r="AD11" s="1193"/>
      <c r="AE11" s="1193"/>
      <c r="AF11" s="1890" t="s">
        <v>2442</v>
      </c>
      <c r="AG11" s="1890"/>
      <c r="AH11" s="1890"/>
      <c r="AI11" s="1890"/>
      <c r="AJ11" s="1890"/>
      <c r="AK11" s="1890"/>
      <c r="AL11" s="1890"/>
      <c r="AM11" s="1890"/>
      <c r="AN11" s="1890"/>
      <c r="AO11" s="1890"/>
      <c r="AP11" s="1891"/>
      <c r="AQ11" s="1892"/>
      <c r="AR11" s="1892"/>
      <c r="AS11" s="1892"/>
      <c r="AT11" s="1892"/>
      <c r="AU11" s="1892"/>
      <c r="AV11" s="1193"/>
      <c r="AW11" s="1193"/>
      <c r="AX11" s="1190"/>
      <c r="AY11" s="1190"/>
      <c r="AZ11" s="1190"/>
      <c r="BA11" s="1190"/>
      <c r="BB11" s="1190"/>
      <c r="BC11" s="1190"/>
      <c r="BD11" s="1190"/>
      <c r="BE11" s="1191"/>
      <c r="BM11" s="1187" t="s">
        <v>2099</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thickBot="1">
      <c r="A13" s="1190"/>
      <c r="B13" s="1893" t="s">
        <v>2440</v>
      </c>
      <c r="C13" s="1894"/>
      <c r="D13" s="1894"/>
      <c r="E13" s="1894"/>
      <c r="F13" s="1894"/>
      <c r="G13" s="1894"/>
      <c r="H13" s="1894"/>
      <c r="I13" s="1894"/>
      <c r="J13" s="1894"/>
      <c r="K13" s="1894"/>
      <c r="L13" s="1894"/>
      <c r="M13" s="1894"/>
      <c r="N13" s="1894"/>
      <c r="O13" s="1894"/>
      <c r="P13" s="1895"/>
      <c r="Q13" s="1896" t="s">
        <v>670</v>
      </c>
      <c r="R13" s="1897"/>
      <c r="S13" s="1897"/>
      <c r="T13" s="1898"/>
      <c r="U13" s="1193"/>
      <c r="V13" s="1190"/>
      <c r="W13" s="1190"/>
      <c r="X13" s="1190"/>
      <c r="Y13" s="1190"/>
      <c r="Z13" s="1190"/>
      <c r="AA13" s="1899" t="s">
        <v>2439</v>
      </c>
      <c r="AB13" s="1899"/>
      <c r="AC13" s="1899"/>
      <c r="AD13" s="1899"/>
      <c r="AE13" s="1899"/>
      <c r="AF13" s="1899"/>
      <c r="AG13" s="1899"/>
      <c r="AH13" s="1899"/>
      <c r="AI13" s="1899"/>
      <c r="AJ13" s="1899"/>
      <c r="AK13" s="1899"/>
      <c r="AL13" s="1899"/>
      <c r="AM13" s="1899"/>
      <c r="AN13" s="1899"/>
      <c r="AO13" s="1900">
        <f>Application!W473</f>
        <v>0</v>
      </c>
      <c r="AP13" s="1901"/>
      <c r="AQ13" s="1901"/>
      <c r="AR13" s="1901"/>
      <c r="AS13" s="1901"/>
      <c r="AT13" s="1193"/>
      <c r="AU13" s="1193"/>
      <c r="AV13" s="1193"/>
      <c r="AW13" s="1193"/>
      <c r="AX13" s="1193"/>
      <c r="AY13" s="1193"/>
      <c r="AZ13" s="1193"/>
      <c r="BA13" s="1193"/>
      <c r="BB13" s="1193"/>
      <c r="BC13" s="1193"/>
      <c r="BD13" s="1193"/>
      <c r="BE13" s="1194"/>
      <c r="BM13" s="1187" t="s">
        <v>2438</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2" t="s">
        <v>2437</v>
      </c>
      <c r="AB14" s="1902"/>
      <c r="AC14" s="1902"/>
      <c r="AD14" s="1902"/>
      <c r="AE14" s="1902"/>
      <c r="AF14" s="1902"/>
      <c r="AG14" s="1902"/>
      <c r="AH14" s="1902"/>
      <c r="AI14" s="1902"/>
      <c r="AJ14" s="1902"/>
      <c r="AK14" s="1902"/>
      <c r="AL14" s="1902"/>
      <c r="AM14" s="1902"/>
      <c r="AN14" s="1902"/>
      <c r="AO14" s="1903"/>
      <c r="AP14" s="1904"/>
      <c r="AQ14" s="1904"/>
      <c r="AR14" s="1904"/>
      <c r="AS14" s="1904"/>
      <c r="AT14" s="1193"/>
      <c r="AU14" s="1193"/>
      <c r="AV14" s="1193"/>
      <c r="AW14" s="1193"/>
      <c r="AX14" s="1193"/>
      <c r="AY14" s="1193"/>
      <c r="AZ14" s="1193"/>
      <c r="BA14" s="1193"/>
      <c r="BB14" s="1193"/>
      <c r="BC14" s="1193"/>
      <c r="BD14" s="1193"/>
      <c r="BE14" s="1194"/>
    </row>
    <row r="15" spans="1:65" thickBot="1">
      <c r="A15" s="1190"/>
      <c r="B15" s="1906" t="s">
        <v>2436</v>
      </c>
      <c r="C15" s="1907"/>
      <c r="D15" s="1907"/>
      <c r="E15" s="1907"/>
      <c r="F15" s="1907"/>
      <c r="G15" s="1907"/>
      <c r="H15" s="1907"/>
      <c r="I15" s="1907"/>
      <c r="J15" s="1907"/>
      <c r="K15" s="1907"/>
      <c r="L15" s="1907"/>
      <c r="M15" s="1907"/>
      <c r="N15" s="1907"/>
      <c r="O15" s="1907"/>
      <c r="P15" s="1907"/>
      <c r="Q15" s="1907"/>
      <c r="R15" s="1908"/>
      <c r="S15" s="1909" t="str">
        <f>IF(Application!AB214="","",Application!AB214)</f>
        <v/>
      </c>
      <c r="T15" s="1909"/>
      <c r="U15" s="1909"/>
      <c r="V15" s="1909"/>
      <c r="W15" s="1910"/>
      <c r="X15" s="1193"/>
      <c r="Y15" s="1190"/>
      <c r="Z15" s="1190"/>
      <c r="AA15" s="1899" t="s">
        <v>2435</v>
      </c>
      <c r="AB15" s="1899"/>
      <c r="AC15" s="1899"/>
      <c r="AD15" s="1899"/>
      <c r="AE15" s="1899"/>
      <c r="AF15" s="1899"/>
      <c r="AG15" s="1899"/>
      <c r="AH15" s="1899"/>
      <c r="AI15" s="1899"/>
      <c r="AJ15" s="1899"/>
      <c r="AK15" s="1899"/>
      <c r="AL15" s="1899"/>
      <c r="AM15" s="1899"/>
      <c r="AN15" s="1899"/>
      <c r="AO15" s="1903"/>
      <c r="AP15" s="1904"/>
      <c r="AQ15" s="1904"/>
      <c r="AR15" s="1904"/>
      <c r="AS15" s="1904"/>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11" t="s">
        <v>2434</v>
      </c>
      <c r="C17" s="1912"/>
      <c r="D17" s="1912"/>
      <c r="E17" s="1912"/>
      <c r="F17" s="1912"/>
      <c r="G17" s="1912"/>
      <c r="H17" s="1912"/>
      <c r="I17" s="1912"/>
      <c r="J17" s="1912"/>
      <c r="K17" s="1912"/>
      <c r="L17" s="1912"/>
      <c r="M17" s="1912"/>
      <c r="N17" s="1912"/>
      <c r="O17" s="1912"/>
      <c r="P17" s="1912"/>
      <c r="Q17" s="1912"/>
      <c r="R17" s="1912"/>
      <c r="S17" s="1912"/>
      <c r="T17" s="1912"/>
      <c r="U17" s="1912"/>
      <c r="V17" s="1912"/>
      <c r="W17" s="1912"/>
      <c r="X17" s="1912"/>
      <c r="Y17" s="1912"/>
      <c r="Z17" s="1912"/>
      <c r="AA17" s="1912"/>
      <c r="AB17" s="1912"/>
      <c r="AC17" s="1912"/>
      <c r="AD17" s="1912"/>
      <c r="AE17" s="1912"/>
      <c r="AF17" s="1912"/>
      <c r="AG17" s="1912"/>
      <c r="AH17" s="1912"/>
      <c r="AI17" s="1912"/>
      <c r="AJ17" s="1912"/>
      <c r="AK17" s="1912"/>
      <c r="AL17" s="1912"/>
      <c r="AM17" s="1912"/>
      <c r="AN17" s="1912"/>
      <c r="AO17" s="1912"/>
      <c r="AP17" s="1912"/>
      <c r="AQ17" s="1912"/>
      <c r="AR17" s="1912"/>
      <c r="AS17" s="1912"/>
      <c r="AT17" s="1912"/>
      <c r="AU17" s="1912"/>
      <c r="AV17" s="1912"/>
      <c r="AW17" s="1912"/>
      <c r="AX17" s="1912"/>
      <c r="AY17" s="1913"/>
      <c r="AZ17" s="1190"/>
      <c r="BA17" s="1190"/>
      <c r="BB17" s="1190"/>
      <c r="BC17" s="1190"/>
      <c r="BD17" s="1190"/>
      <c r="BE17" s="1194"/>
      <c r="BF17" s="1188"/>
    </row>
    <row r="18" spans="1:58" ht="15.75" customHeight="1">
      <c r="A18" s="1190"/>
      <c r="B18" s="1914" t="s">
        <v>2433</v>
      </c>
      <c r="C18" s="1915"/>
      <c r="D18" s="1915"/>
      <c r="E18" s="1915"/>
      <c r="F18" s="1915"/>
      <c r="G18" s="1915"/>
      <c r="H18" s="1915"/>
      <c r="I18" s="1916"/>
      <c r="J18" s="1917" t="s">
        <v>1587</v>
      </c>
      <c r="K18" s="1918"/>
      <c r="L18" s="1918"/>
      <c r="M18" s="1918"/>
      <c r="N18" s="1918"/>
      <c r="O18" s="1919"/>
      <c r="P18" s="1917" t="s">
        <v>324</v>
      </c>
      <c r="Q18" s="1918"/>
      <c r="R18" s="1918"/>
      <c r="S18" s="1918"/>
      <c r="T18" s="1918"/>
      <c r="U18" s="1919"/>
      <c r="V18" s="1917" t="s">
        <v>325</v>
      </c>
      <c r="W18" s="1918"/>
      <c r="X18" s="1918"/>
      <c r="Y18" s="1918"/>
      <c r="Z18" s="1918"/>
      <c r="AA18" s="1919"/>
      <c r="AB18" s="1917" t="s">
        <v>163</v>
      </c>
      <c r="AC18" s="1918"/>
      <c r="AD18" s="1918"/>
      <c r="AE18" s="1918"/>
      <c r="AF18" s="1918"/>
      <c r="AG18" s="1919"/>
      <c r="AH18" s="1917" t="s">
        <v>164</v>
      </c>
      <c r="AI18" s="1918"/>
      <c r="AJ18" s="1918"/>
      <c r="AK18" s="1918"/>
      <c r="AL18" s="1918"/>
      <c r="AM18" s="1919"/>
      <c r="AN18" s="1917" t="s">
        <v>165</v>
      </c>
      <c r="AO18" s="1918"/>
      <c r="AP18" s="1918"/>
      <c r="AQ18" s="1918"/>
      <c r="AR18" s="1918"/>
      <c r="AS18" s="1919"/>
      <c r="AT18" s="1917" t="s">
        <v>2432</v>
      </c>
      <c r="AU18" s="1918"/>
      <c r="AV18" s="1918"/>
      <c r="AW18" s="1918"/>
      <c r="AX18" s="1918"/>
      <c r="AY18" s="1920"/>
      <c r="AZ18" s="1190"/>
      <c r="BA18" s="1190"/>
      <c r="BB18" s="1190"/>
      <c r="BC18" s="1190"/>
      <c r="BD18" s="1190"/>
      <c r="BE18" s="1194"/>
    </row>
    <row r="19" spans="1:58" ht="15">
      <c r="A19" s="1190"/>
      <c r="B19" s="1921">
        <v>0.3</v>
      </c>
      <c r="C19" s="1922"/>
      <c r="D19" s="1922"/>
      <c r="E19" s="1922"/>
      <c r="F19" s="1922"/>
      <c r="G19" s="1922"/>
      <c r="H19" s="1922"/>
      <c r="I19" s="1923"/>
      <c r="J19" s="1924">
        <f t="shared" ref="J19:J24" si="0">SUM(P19:AS19)</f>
        <v>24</v>
      </c>
      <c r="K19" s="1925"/>
      <c r="L19" s="1925"/>
      <c r="M19" s="1925"/>
      <c r="N19" s="1925"/>
      <c r="O19" s="1926"/>
      <c r="P19" s="1924" cm="1">
        <f t="array" ref="P19">SUMPRODUCT((Application!$B$718:$B$752 = 'CalHFA Addendum'!P$18)*(Application!$AC$718:$AC$752 = 'CalHFA Addendum'!$B19),Application!$G$718:$G$752)</f>
        <v>2</v>
      </c>
      <c r="Q19" s="1925"/>
      <c r="R19" s="1925"/>
      <c r="S19" s="1925"/>
      <c r="T19" s="1925"/>
      <c r="U19" s="1926"/>
      <c r="V19" s="1924" cm="1">
        <f t="array" ref="V19">SUMPRODUCT((Application!$B$714:$B$738 = 'CalHFA Addendum'!V$18)*(Application!$AC$714:$AC$738 = 'CalHFA Addendum'!$B19),Application!$G$714:$G$738)</f>
        <v>10</v>
      </c>
      <c r="W19" s="1925"/>
      <c r="X19" s="1925"/>
      <c r="Y19" s="1925"/>
      <c r="Z19" s="1925"/>
      <c r="AA19" s="1926"/>
      <c r="AB19" s="1924" cm="1">
        <f t="array" ref="AB19">SUMPRODUCT((Application!$B$714:$B$738 = 'CalHFA Addendum'!AB$18)*(Application!$AC$714:$AC$738 = 'CalHFA Addendum'!$B19),Application!$G$714:$G$738)</f>
        <v>11</v>
      </c>
      <c r="AC19" s="1925"/>
      <c r="AD19" s="1925"/>
      <c r="AE19" s="1925"/>
      <c r="AF19" s="1925"/>
      <c r="AG19" s="1926"/>
      <c r="AH19" s="1924" cm="1">
        <f t="array" ref="AH19">SUMPRODUCT((Application!$B$714:$B$738 = 'CalHFA Addendum'!AH$18)*(Application!$AC$714:$AC$738 = 'CalHFA Addendum'!$B19),Application!$G$714:$G$738)</f>
        <v>1</v>
      </c>
      <c r="AI19" s="1925"/>
      <c r="AJ19" s="1925"/>
      <c r="AK19" s="1925"/>
      <c r="AL19" s="1925"/>
      <c r="AM19" s="1926"/>
      <c r="AN19" s="1924" cm="1">
        <f t="array" ref="AN19">SUMPRODUCT((Application!$B$714:$B$738 = 'CalHFA Addendum'!AN$18)*(Application!$AC$714:$AC$738 = 'CalHFA Addendum'!$B19),Application!$G$714:$G$738)</f>
        <v>0</v>
      </c>
      <c r="AO19" s="1925"/>
      <c r="AP19" s="1925"/>
      <c r="AQ19" s="1925"/>
      <c r="AR19" s="1925"/>
      <c r="AS19" s="1926"/>
      <c r="AT19" s="1927">
        <f t="shared" ref="AT19:AT29" si="1">J19/$J$29</f>
        <v>0.30379746835443039</v>
      </c>
      <c r="AU19" s="1928"/>
      <c r="AV19" s="1928"/>
      <c r="AW19" s="1928"/>
      <c r="AX19" s="1928"/>
      <c r="AY19" s="1929"/>
      <c r="AZ19" s="1195"/>
      <c r="BA19" s="1190"/>
      <c r="BB19" s="1190"/>
      <c r="BC19" s="1190"/>
      <c r="BD19" s="1190"/>
      <c r="BE19" s="1194"/>
    </row>
    <row r="20" spans="1:58" ht="15" customHeight="1">
      <c r="A20" s="1190"/>
      <c r="B20" s="1921">
        <v>0.4</v>
      </c>
      <c r="C20" s="1922"/>
      <c r="D20" s="1922"/>
      <c r="E20" s="1922"/>
      <c r="F20" s="1922"/>
      <c r="G20" s="1922"/>
      <c r="H20" s="1922"/>
      <c r="I20" s="1923"/>
      <c r="J20" s="1924">
        <f t="shared" si="0"/>
        <v>0</v>
      </c>
      <c r="K20" s="1925"/>
      <c r="L20" s="1925"/>
      <c r="M20" s="1925"/>
      <c r="N20" s="1925"/>
      <c r="O20" s="1926"/>
      <c r="P20" s="1924" cm="1">
        <f t="array" ref="P20">SUMPRODUCT((Application!$B$718:$B$752 = 'CalHFA Addendum'!P$18)*(Application!$AC$718:$AC$752 = 'CalHFA Addendum'!$B20),Application!$G$718:$G$752)</f>
        <v>0</v>
      </c>
      <c r="Q20" s="1925"/>
      <c r="R20" s="1925"/>
      <c r="S20" s="1925"/>
      <c r="T20" s="1925"/>
      <c r="U20" s="1926"/>
      <c r="V20" s="1924" cm="1">
        <f t="array" ref="V20">SUMPRODUCT((Application!$B$714:$B$738 = 'CalHFA Addendum'!V$18)*(Application!$AC$714:$AC$738 = 'CalHFA Addendum'!$B20),Application!$G$714:$G$738)</f>
        <v>0</v>
      </c>
      <c r="W20" s="1925"/>
      <c r="X20" s="1925"/>
      <c r="Y20" s="1925"/>
      <c r="Z20" s="1925"/>
      <c r="AA20" s="1926"/>
      <c r="AB20" s="1924" cm="1">
        <f t="array" ref="AB20">SUMPRODUCT((Application!$B$714:$B$738 = 'CalHFA Addendum'!AB$18)*(Application!$AC$714:$AC$738 = 'CalHFA Addendum'!$B20),Application!$G$714:$G$738)</f>
        <v>0</v>
      </c>
      <c r="AC20" s="1925"/>
      <c r="AD20" s="1925"/>
      <c r="AE20" s="1925"/>
      <c r="AF20" s="1925"/>
      <c r="AG20" s="1926"/>
      <c r="AH20" s="1924" cm="1">
        <f t="array" ref="AH20">SUMPRODUCT((Application!$B$714:$B$738 = 'CalHFA Addendum'!AH$18)*(Application!$AC$714:$AC$738 = 'CalHFA Addendum'!$B20),Application!$G$714:$G$738)</f>
        <v>0</v>
      </c>
      <c r="AI20" s="1925"/>
      <c r="AJ20" s="1925"/>
      <c r="AK20" s="1925"/>
      <c r="AL20" s="1925"/>
      <c r="AM20" s="1926"/>
      <c r="AN20" s="1924" cm="1">
        <f t="array" ref="AN20">SUMPRODUCT((Application!$B$714:$B$738 = 'CalHFA Addendum'!AN$18)*(Application!$AC$714:$AC$738 = 'CalHFA Addendum'!$B20),Application!$G$714:$G$738)</f>
        <v>0</v>
      </c>
      <c r="AO20" s="1925"/>
      <c r="AP20" s="1925"/>
      <c r="AQ20" s="1925"/>
      <c r="AR20" s="1925"/>
      <c r="AS20" s="1926"/>
      <c r="AT20" s="1927">
        <f t="shared" si="1"/>
        <v>0</v>
      </c>
      <c r="AU20" s="1928"/>
      <c r="AV20" s="1928"/>
      <c r="AW20" s="1928"/>
      <c r="AX20" s="1928"/>
      <c r="AY20" s="1929"/>
      <c r="AZ20" s="1190"/>
      <c r="BA20" s="1190"/>
      <c r="BB20" s="1190"/>
      <c r="BC20" s="1190"/>
      <c r="BD20" s="1190"/>
      <c r="BE20" s="1194"/>
    </row>
    <row r="21" spans="1:58" ht="15">
      <c r="A21" s="1190"/>
      <c r="B21" s="1921">
        <v>0.5</v>
      </c>
      <c r="C21" s="1922"/>
      <c r="D21" s="1922"/>
      <c r="E21" s="1922"/>
      <c r="F21" s="1922"/>
      <c r="G21" s="1922"/>
      <c r="H21" s="1922"/>
      <c r="I21" s="1923"/>
      <c r="J21" s="1924">
        <f t="shared" si="0"/>
        <v>16</v>
      </c>
      <c r="K21" s="1925"/>
      <c r="L21" s="1925"/>
      <c r="M21" s="1925"/>
      <c r="N21" s="1925"/>
      <c r="O21" s="1926"/>
      <c r="P21" s="1924" cm="1">
        <f t="array" ref="P21">SUMPRODUCT((Application!$B$714:$B$738 = 'CalHFA Addendum'!P$18)*(Application!$AC$714:$AC$738 = 'CalHFA Addendum'!$B21),Application!$G$714:$G$738)</f>
        <v>1</v>
      </c>
      <c r="Q21" s="1925"/>
      <c r="R21" s="1925"/>
      <c r="S21" s="1925"/>
      <c r="T21" s="1925"/>
      <c r="U21" s="1926"/>
      <c r="V21" s="1924" cm="1">
        <f t="array" ref="V21">SUMPRODUCT((Application!$B$714:$B$738 = 'CalHFA Addendum'!V$18)*(Application!$AC$714:$AC$738 = 'CalHFA Addendum'!$B21),Application!$G$714:$G$738)</f>
        <v>3</v>
      </c>
      <c r="W21" s="1925"/>
      <c r="X21" s="1925"/>
      <c r="Y21" s="1925"/>
      <c r="Z21" s="1925"/>
      <c r="AA21" s="1926"/>
      <c r="AB21" s="1924" cm="1">
        <f t="array" ref="AB21">SUMPRODUCT((Application!$B$714:$B$738 = 'CalHFA Addendum'!AB$18)*(Application!$AC$714:$AC$738 = 'CalHFA Addendum'!$B21),Application!$G$714:$G$738)</f>
        <v>3</v>
      </c>
      <c r="AC21" s="1925"/>
      <c r="AD21" s="1925"/>
      <c r="AE21" s="1925"/>
      <c r="AF21" s="1925"/>
      <c r="AG21" s="1926"/>
      <c r="AH21" s="1924" cm="1">
        <f t="array" ref="AH21">SUMPRODUCT((Application!$B$714:$B$738 = 'CalHFA Addendum'!AH$18)*(Application!$AC$714:$AC$738 = 'CalHFA Addendum'!$B21),Application!$G$714:$G$738)</f>
        <v>9</v>
      </c>
      <c r="AI21" s="1925"/>
      <c r="AJ21" s="1925"/>
      <c r="AK21" s="1925"/>
      <c r="AL21" s="1925"/>
      <c r="AM21" s="1926"/>
      <c r="AN21" s="1924" cm="1">
        <f t="array" ref="AN21">SUMPRODUCT((Application!$B$714:$B$738 = 'CalHFA Addendum'!AN$18)*(Application!$AC$714:$AC$738 = 'CalHFA Addendum'!$B21),Application!$G$714:$G$738)</f>
        <v>0</v>
      </c>
      <c r="AO21" s="1925"/>
      <c r="AP21" s="1925"/>
      <c r="AQ21" s="1925"/>
      <c r="AR21" s="1925"/>
      <c r="AS21" s="1926"/>
      <c r="AT21" s="1927">
        <f t="shared" si="1"/>
        <v>0.20253164556962025</v>
      </c>
      <c r="AU21" s="1928"/>
      <c r="AV21" s="1928"/>
      <c r="AW21" s="1928"/>
      <c r="AX21" s="1928"/>
      <c r="AY21" s="1929"/>
      <c r="AZ21" s="1190"/>
      <c r="BA21" s="1190"/>
      <c r="BB21" s="1190"/>
      <c r="BC21" s="1190"/>
      <c r="BD21" s="1190"/>
      <c r="BE21" s="1194"/>
    </row>
    <row r="22" spans="1:58" ht="15">
      <c r="A22" s="1190"/>
      <c r="B22" s="1921">
        <v>0.6</v>
      </c>
      <c r="C22" s="1922"/>
      <c r="D22" s="1922"/>
      <c r="E22" s="1922"/>
      <c r="F22" s="1922"/>
      <c r="G22" s="1922"/>
      <c r="H22" s="1922"/>
      <c r="I22" s="1923"/>
      <c r="J22" s="1924">
        <f t="shared" si="0"/>
        <v>38</v>
      </c>
      <c r="K22" s="1925"/>
      <c r="L22" s="1925"/>
      <c r="M22" s="1925"/>
      <c r="N22" s="1925"/>
      <c r="O22" s="1926"/>
      <c r="P22" s="1924" cm="1">
        <f t="array" ref="P22">SUMPRODUCT((Application!$B$714:$B$738 = 'CalHFA Addendum'!P$18)*(Application!$AC$714:$AC$738 = 'CalHFA Addendum'!$B22),Application!$G$714:$G$738)</f>
        <v>2</v>
      </c>
      <c r="Q22" s="1925"/>
      <c r="R22" s="1925"/>
      <c r="S22" s="1925"/>
      <c r="T22" s="1925"/>
      <c r="U22" s="1926"/>
      <c r="V22" s="1924" cm="1">
        <f t="array" ref="V22">SUMPRODUCT((Application!$B$714:$B$738 = 'CalHFA Addendum'!V$18)*(Application!$AC$714:$AC$738 = 'CalHFA Addendum'!$B22),Application!$G$714:$G$738)</f>
        <v>19</v>
      </c>
      <c r="W22" s="1925"/>
      <c r="X22" s="1925"/>
      <c r="Y22" s="1925"/>
      <c r="Z22" s="1925"/>
      <c r="AA22" s="1926"/>
      <c r="AB22" s="1924" cm="1">
        <f t="array" ref="AB22">SUMPRODUCT((Application!$B$714:$B$738 = 'CalHFA Addendum'!AB$18)*(Application!$AC$714:$AC$738 = 'CalHFA Addendum'!$B22),Application!$G$714:$G$738)</f>
        <v>7</v>
      </c>
      <c r="AC22" s="1925"/>
      <c r="AD22" s="1925"/>
      <c r="AE22" s="1925"/>
      <c r="AF22" s="1925"/>
      <c r="AG22" s="1926"/>
      <c r="AH22" s="1924" cm="1">
        <f t="array" ref="AH22">SUMPRODUCT((Application!$B$714:$B$738 = 'CalHFA Addendum'!AH$18)*(Application!$AC$714:$AC$738 = 'CalHFA Addendum'!$B22),Application!$G$714:$G$738)</f>
        <v>10</v>
      </c>
      <c r="AI22" s="1925"/>
      <c r="AJ22" s="1925"/>
      <c r="AK22" s="1925"/>
      <c r="AL22" s="1925"/>
      <c r="AM22" s="1926"/>
      <c r="AN22" s="1924" cm="1">
        <f t="array" ref="AN22">SUMPRODUCT((Application!$B$714:$B$738 = 'CalHFA Addendum'!AN$18)*(Application!$AC$714:$AC$738 = 'CalHFA Addendum'!$B22),Application!$G$714:$G$738)</f>
        <v>0</v>
      </c>
      <c r="AO22" s="1925"/>
      <c r="AP22" s="1925"/>
      <c r="AQ22" s="1925"/>
      <c r="AR22" s="1925"/>
      <c r="AS22" s="1926"/>
      <c r="AT22" s="1927">
        <f t="shared" si="1"/>
        <v>0.48101265822784811</v>
      </c>
      <c r="AU22" s="1928"/>
      <c r="AV22" s="1928"/>
      <c r="AW22" s="1928"/>
      <c r="AX22" s="1928"/>
      <c r="AY22" s="1929"/>
      <c r="AZ22" s="1190"/>
      <c r="BA22" s="1190"/>
      <c r="BB22" s="1190"/>
      <c r="BC22" s="1190"/>
      <c r="BD22" s="1190"/>
      <c r="BE22" s="1194"/>
    </row>
    <row r="23" spans="1:58" ht="15">
      <c r="A23" s="1190"/>
      <c r="B23" s="1921">
        <v>0.7</v>
      </c>
      <c r="C23" s="1922"/>
      <c r="D23" s="1922"/>
      <c r="E23" s="1922"/>
      <c r="F23" s="1922"/>
      <c r="G23" s="1922"/>
      <c r="H23" s="1922"/>
      <c r="I23" s="1923"/>
      <c r="J23" s="1924">
        <f t="shared" si="0"/>
        <v>0</v>
      </c>
      <c r="K23" s="1925"/>
      <c r="L23" s="1925"/>
      <c r="M23" s="1925"/>
      <c r="N23" s="1925"/>
      <c r="O23" s="1926"/>
      <c r="P23" s="1924" cm="1">
        <f t="array" ref="P23">SUMPRODUCT((Application!$B$714:$B$738 = 'CalHFA Addendum'!P$18)*(Application!$AC$714:$AC$738 = 'CalHFA Addendum'!$B23),Application!$G$714:$G$738)</f>
        <v>0</v>
      </c>
      <c r="Q23" s="1925"/>
      <c r="R23" s="1925"/>
      <c r="S23" s="1925"/>
      <c r="T23" s="1925"/>
      <c r="U23" s="1926"/>
      <c r="V23" s="1924" cm="1">
        <f t="array" ref="V23">SUMPRODUCT((Application!$B$714:$B$738 = 'CalHFA Addendum'!V$18)*(Application!$AC$714:$AC$738 = 'CalHFA Addendum'!$B23),Application!$G$714:$G$738)</f>
        <v>0</v>
      </c>
      <c r="W23" s="1925"/>
      <c r="X23" s="1925"/>
      <c r="Y23" s="1925"/>
      <c r="Z23" s="1925"/>
      <c r="AA23" s="1926"/>
      <c r="AB23" s="1924" cm="1">
        <f t="array" ref="AB23">SUMPRODUCT((Application!$B$714:$B$738 = 'CalHFA Addendum'!AB$18)*(Application!$AC$714:$AC$738 = 'CalHFA Addendum'!$B23),Application!$G$714:$G$738)</f>
        <v>0</v>
      </c>
      <c r="AC23" s="1925"/>
      <c r="AD23" s="1925"/>
      <c r="AE23" s="1925"/>
      <c r="AF23" s="1925"/>
      <c r="AG23" s="1926"/>
      <c r="AH23" s="1924" cm="1">
        <f t="array" ref="AH23">SUMPRODUCT((Application!$B$714:$B$738 = 'CalHFA Addendum'!AH$18)*(Application!$AC$714:$AC$738 = 'CalHFA Addendum'!$B23),Application!$G$714:$G$738)</f>
        <v>0</v>
      </c>
      <c r="AI23" s="1925"/>
      <c r="AJ23" s="1925"/>
      <c r="AK23" s="1925"/>
      <c r="AL23" s="1925"/>
      <c r="AM23" s="1926"/>
      <c r="AN23" s="1924" cm="1">
        <f t="array" ref="AN23">SUMPRODUCT((Application!$B$714:$B$738 = 'CalHFA Addendum'!AN$18)*(Application!$AC$714:$AC$738 = 'CalHFA Addendum'!$B23),Application!$G$714:$G$738)</f>
        <v>0</v>
      </c>
      <c r="AO23" s="1925"/>
      <c r="AP23" s="1925"/>
      <c r="AQ23" s="1925"/>
      <c r="AR23" s="1925"/>
      <c r="AS23" s="1926"/>
      <c r="AT23" s="1927">
        <f t="shared" si="1"/>
        <v>0</v>
      </c>
      <c r="AU23" s="1928"/>
      <c r="AV23" s="1928"/>
      <c r="AW23" s="1928"/>
      <c r="AX23" s="1928"/>
      <c r="AY23" s="1929"/>
      <c r="AZ23" s="1190"/>
      <c r="BA23" s="1190"/>
      <c r="BB23" s="1190"/>
      <c r="BC23" s="1190"/>
      <c r="BD23" s="1190"/>
      <c r="BE23" s="1194"/>
    </row>
    <row r="24" spans="1:58" ht="15">
      <c r="A24" s="1190"/>
      <c r="B24" s="1921">
        <v>0.8</v>
      </c>
      <c r="C24" s="1922"/>
      <c r="D24" s="1922"/>
      <c r="E24" s="1922"/>
      <c r="F24" s="1922"/>
      <c r="G24" s="1922"/>
      <c r="H24" s="1922"/>
      <c r="I24" s="1923"/>
      <c r="J24" s="1924">
        <f t="shared" si="0"/>
        <v>0</v>
      </c>
      <c r="K24" s="1925"/>
      <c r="L24" s="1925"/>
      <c r="M24" s="1925"/>
      <c r="N24" s="1925"/>
      <c r="O24" s="1926"/>
      <c r="P24" s="1924" cm="1">
        <f t="array" ref="P24">SUMPRODUCT((Application!$B$714:$B$738 = 'CalHFA Addendum'!P$18)*(Application!$AC$714:$AC$738 = 'CalHFA Addendum'!$B24),Application!$G$714:$G$738)</f>
        <v>0</v>
      </c>
      <c r="Q24" s="1925"/>
      <c r="R24" s="1925"/>
      <c r="S24" s="1925"/>
      <c r="T24" s="1925"/>
      <c r="U24" s="1926"/>
      <c r="V24" s="1924" cm="1">
        <f t="array" ref="V24">SUMPRODUCT((Application!$B$714:$B$738 = 'CalHFA Addendum'!V$18)*(Application!$AC$714:$AC$738 = 'CalHFA Addendum'!$B24),Application!$G$714:$G$738)</f>
        <v>0</v>
      </c>
      <c r="W24" s="1925"/>
      <c r="X24" s="1925"/>
      <c r="Y24" s="1925"/>
      <c r="Z24" s="1925"/>
      <c r="AA24" s="1926"/>
      <c r="AB24" s="1924" cm="1">
        <f t="array" ref="AB24">SUMPRODUCT((Application!$B$714:$B$738 = 'CalHFA Addendum'!AB$18)*(Application!$AC$714:$AC$738 = 'CalHFA Addendum'!$B24),Application!$G$714:$G$738)</f>
        <v>0</v>
      </c>
      <c r="AC24" s="1925"/>
      <c r="AD24" s="1925"/>
      <c r="AE24" s="1925"/>
      <c r="AF24" s="1925"/>
      <c r="AG24" s="1926"/>
      <c r="AH24" s="1924" cm="1">
        <f t="array" ref="AH24">SUMPRODUCT((Application!$B$714:$B$738 = 'CalHFA Addendum'!AH$18)*(Application!$AC$714:$AC$738 = 'CalHFA Addendum'!$B24),Application!$G$714:$G$738)</f>
        <v>0</v>
      </c>
      <c r="AI24" s="1925"/>
      <c r="AJ24" s="1925"/>
      <c r="AK24" s="1925"/>
      <c r="AL24" s="1925"/>
      <c r="AM24" s="1926"/>
      <c r="AN24" s="1924" cm="1">
        <f t="array" ref="AN24">SUMPRODUCT((Application!$B$714:$B$738 = 'CalHFA Addendum'!AN$18)*(Application!$AC$714:$AC$738 = 'CalHFA Addendum'!$B24),Application!$G$714:$G$738)</f>
        <v>0</v>
      </c>
      <c r="AO24" s="1925"/>
      <c r="AP24" s="1925"/>
      <c r="AQ24" s="1925"/>
      <c r="AR24" s="1925"/>
      <c r="AS24" s="1926"/>
      <c r="AT24" s="1927">
        <f t="shared" si="1"/>
        <v>0</v>
      </c>
      <c r="AU24" s="1928"/>
      <c r="AV24" s="1928"/>
      <c r="AW24" s="1928"/>
      <c r="AX24" s="1928"/>
      <c r="AY24" s="1929"/>
      <c r="AZ24" s="1190"/>
      <c r="BA24" s="1190"/>
      <c r="BB24" s="1190"/>
      <c r="BC24" s="1190"/>
      <c r="BD24" s="1190"/>
      <c r="BE24" s="1194"/>
    </row>
    <row r="25" spans="1:58" ht="15">
      <c r="A25" s="1190"/>
      <c r="B25" s="1921">
        <v>0.9</v>
      </c>
      <c r="C25" s="1922"/>
      <c r="D25" s="1922"/>
      <c r="E25" s="1922"/>
      <c r="F25" s="1922"/>
      <c r="G25" s="1922"/>
      <c r="H25" s="1922"/>
      <c r="I25" s="1923"/>
      <c r="J25" s="1930"/>
      <c r="K25" s="1931"/>
      <c r="L25" s="1931"/>
      <c r="M25" s="1931"/>
      <c r="N25" s="1931"/>
      <c r="O25" s="1932"/>
      <c r="P25" s="1930"/>
      <c r="Q25" s="1931"/>
      <c r="R25" s="1931"/>
      <c r="S25" s="1931"/>
      <c r="T25" s="1931"/>
      <c r="U25" s="1932"/>
      <c r="V25" s="1930"/>
      <c r="W25" s="1931"/>
      <c r="X25" s="1931"/>
      <c r="Y25" s="1931"/>
      <c r="Z25" s="1931"/>
      <c r="AA25" s="1932"/>
      <c r="AB25" s="1930"/>
      <c r="AC25" s="1931"/>
      <c r="AD25" s="1931"/>
      <c r="AE25" s="1931"/>
      <c r="AF25" s="1931"/>
      <c r="AG25" s="1932"/>
      <c r="AH25" s="1930"/>
      <c r="AI25" s="1931"/>
      <c r="AJ25" s="1931"/>
      <c r="AK25" s="1931"/>
      <c r="AL25" s="1931"/>
      <c r="AM25" s="1932"/>
      <c r="AN25" s="1930"/>
      <c r="AO25" s="1931"/>
      <c r="AP25" s="1931"/>
      <c r="AQ25" s="1931"/>
      <c r="AR25" s="1931"/>
      <c r="AS25" s="1932"/>
      <c r="AT25" s="1927">
        <f t="shared" si="1"/>
        <v>0</v>
      </c>
      <c r="AU25" s="1928"/>
      <c r="AV25" s="1928"/>
      <c r="AW25" s="1928"/>
      <c r="AX25" s="1928"/>
      <c r="AY25" s="1929"/>
      <c r="AZ25" s="1190"/>
      <c r="BA25" s="1190"/>
      <c r="BB25" s="1190"/>
      <c r="BC25" s="1190"/>
      <c r="BD25" s="1190"/>
      <c r="BE25" s="1194"/>
    </row>
    <row r="26" spans="1:58" ht="15">
      <c r="A26" s="1190"/>
      <c r="B26" s="1921">
        <v>1</v>
      </c>
      <c r="C26" s="1922"/>
      <c r="D26" s="1922"/>
      <c r="E26" s="1922"/>
      <c r="F26" s="1922"/>
      <c r="G26" s="1922"/>
      <c r="H26" s="1922"/>
      <c r="I26" s="1923"/>
      <c r="J26" s="1930"/>
      <c r="K26" s="1931"/>
      <c r="L26" s="1931"/>
      <c r="M26" s="1931"/>
      <c r="N26" s="1931"/>
      <c r="O26" s="1932"/>
      <c r="P26" s="1930"/>
      <c r="Q26" s="1931"/>
      <c r="R26" s="1931"/>
      <c r="S26" s="1931"/>
      <c r="T26" s="1931"/>
      <c r="U26" s="1932"/>
      <c r="V26" s="1930"/>
      <c r="W26" s="1931"/>
      <c r="X26" s="1931"/>
      <c r="Y26" s="1931"/>
      <c r="Z26" s="1931"/>
      <c r="AA26" s="1932"/>
      <c r="AB26" s="1930"/>
      <c r="AC26" s="1931"/>
      <c r="AD26" s="1931"/>
      <c r="AE26" s="1931"/>
      <c r="AF26" s="1931"/>
      <c r="AG26" s="1932"/>
      <c r="AH26" s="1930"/>
      <c r="AI26" s="1931"/>
      <c r="AJ26" s="1931"/>
      <c r="AK26" s="1931"/>
      <c r="AL26" s="1931"/>
      <c r="AM26" s="1932"/>
      <c r="AN26" s="1930"/>
      <c r="AO26" s="1931"/>
      <c r="AP26" s="1931"/>
      <c r="AQ26" s="1931"/>
      <c r="AR26" s="1931"/>
      <c r="AS26" s="1932"/>
      <c r="AT26" s="1927">
        <f t="shared" si="1"/>
        <v>0</v>
      </c>
      <c r="AU26" s="1928"/>
      <c r="AV26" s="1928"/>
      <c r="AW26" s="1928"/>
      <c r="AX26" s="1928"/>
      <c r="AY26" s="1929"/>
      <c r="AZ26" s="1190"/>
      <c r="BA26" s="1190"/>
      <c r="BB26" s="1190"/>
      <c r="BC26" s="1190"/>
      <c r="BD26" s="1190"/>
      <c r="BE26" s="1194"/>
    </row>
    <row r="27" spans="1:58" ht="15">
      <c r="A27" s="1190"/>
      <c r="B27" s="1921">
        <v>1.2</v>
      </c>
      <c r="C27" s="1922"/>
      <c r="D27" s="1922"/>
      <c r="E27" s="1922"/>
      <c r="F27" s="1922"/>
      <c r="G27" s="1922"/>
      <c r="H27" s="1922"/>
      <c r="I27" s="1923"/>
      <c r="J27" s="1930"/>
      <c r="K27" s="1931"/>
      <c r="L27" s="1931"/>
      <c r="M27" s="1931"/>
      <c r="N27" s="1931"/>
      <c r="O27" s="1932"/>
      <c r="P27" s="1930"/>
      <c r="Q27" s="1931"/>
      <c r="R27" s="1931"/>
      <c r="S27" s="1931"/>
      <c r="T27" s="1931"/>
      <c r="U27" s="1932"/>
      <c r="V27" s="1930"/>
      <c r="W27" s="1931"/>
      <c r="X27" s="1931"/>
      <c r="Y27" s="1931"/>
      <c r="Z27" s="1931"/>
      <c r="AA27" s="1932"/>
      <c r="AB27" s="1930"/>
      <c r="AC27" s="1931"/>
      <c r="AD27" s="1931"/>
      <c r="AE27" s="1931"/>
      <c r="AF27" s="1931"/>
      <c r="AG27" s="1932"/>
      <c r="AH27" s="1930"/>
      <c r="AI27" s="1931"/>
      <c r="AJ27" s="1931"/>
      <c r="AK27" s="1931"/>
      <c r="AL27" s="1931"/>
      <c r="AM27" s="1932"/>
      <c r="AN27" s="1930"/>
      <c r="AO27" s="1931"/>
      <c r="AP27" s="1931"/>
      <c r="AQ27" s="1931"/>
      <c r="AR27" s="1931"/>
      <c r="AS27" s="1932"/>
      <c r="AT27" s="1927">
        <f t="shared" si="1"/>
        <v>0</v>
      </c>
      <c r="AU27" s="1928"/>
      <c r="AV27" s="1928"/>
      <c r="AW27" s="1928"/>
      <c r="AX27" s="1928"/>
      <c r="AY27" s="1929"/>
      <c r="AZ27" s="1190"/>
      <c r="BA27" s="1190"/>
      <c r="BB27" s="1190"/>
      <c r="BC27" s="1190"/>
      <c r="BD27" s="1190"/>
      <c r="BE27" s="1194"/>
    </row>
    <row r="28" spans="1:58" thickBot="1">
      <c r="A28" s="1190"/>
      <c r="B28" s="1933" t="s">
        <v>2431</v>
      </c>
      <c r="C28" s="1934"/>
      <c r="D28" s="1934"/>
      <c r="E28" s="1934"/>
      <c r="F28" s="1934"/>
      <c r="G28" s="1934"/>
      <c r="H28" s="1934"/>
      <c r="I28" s="1935"/>
      <c r="J28" s="1936">
        <f>SUM(P28:AS28)</f>
        <v>1</v>
      </c>
      <c r="K28" s="1937"/>
      <c r="L28" s="1937"/>
      <c r="M28" s="1937"/>
      <c r="N28" s="1937"/>
      <c r="O28" s="1938"/>
      <c r="P28" s="1936">
        <f>_xlfn.IFNA(VLOOKUP(P$18,Application!$J$773:$S$776,6,FALSE), 0)</f>
        <v>0</v>
      </c>
      <c r="Q28" s="1937"/>
      <c r="R28" s="1937"/>
      <c r="S28" s="1937"/>
      <c r="T28" s="1937"/>
      <c r="U28" s="1938"/>
      <c r="V28" s="1936">
        <f>_xlfn.IFNA(VLOOKUP(V$18,Application!$J$773:$S$776,6,FALSE), 0)</f>
        <v>0</v>
      </c>
      <c r="W28" s="1937"/>
      <c r="X28" s="1937"/>
      <c r="Y28" s="1937"/>
      <c r="Z28" s="1937"/>
      <c r="AA28" s="1938"/>
      <c r="AB28" s="1936">
        <f>_xlfn.IFNA(VLOOKUP(AB$18,Application!$J$773:$S$776,6,FALSE), 0)</f>
        <v>0</v>
      </c>
      <c r="AC28" s="1937"/>
      <c r="AD28" s="1937"/>
      <c r="AE28" s="1937"/>
      <c r="AF28" s="1937"/>
      <c r="AG28" s="1938"/>
      <c r="AH28" s="1936">
        <f>_xlfn.IFNA(VLOOKUP(AH$18,Application!$J$773:$S$776,6,FALSE), 0)</f>
        <v>1</v>
      </c>
      <c r="AI28" s="1937"/>
      <c r="AJ28" s="1937"/>
      <c r="AK28" s="1937"/>
      <c r="AL28" s="1937"/>
      <c r="AM28" s="1938"/>
      <c r="AN28" s="1936">
        <f>_xlfn.IFNA(VLOOKUP(AN$18,Application!$J$773:$S$776,6,FALSE), 0)</f>
        <v>0</v>
      </c>
      <c r="AO28" s="1937"/>
      <c r="AP28" s="1937"/>
      <c r="AQ28" s="1937"/>
      <c r="AR28" s="1937"/>
      <c r="AS28" s="1938"/>
      <c r="AT28" s="1939">
        <f t="shared" si="1"/>
        <v>1.2658227848101266E-2</v>
      </c>
      <c r="AU28" s="1940"/>
      <c r="AV28" s="1940"/>
      <c r="AW28" s="1940"/>
      <c r="AX28" s="1940"/>
      <c r="AY28" s="1941"/>
      <c r="AZ28" s="1190"/>
      <c r="BA28" s="1190"/>
      <c r="BB28" s="1190"/>
      <c r="BC28" s="1190"/>
      <c r="BD28" s="1190"/>
      <c r="BE28" s="1194"/>
    </row>
    <row r="29" spans="1:58" thickBot="1">
      <c r="A29" s="1190"/>
      <c r="B29" s="1970" t="s">
        <v>1587</v>
      </c>
      <c r="C29" s="1943"/>
      <c r="D29" s="1943"/>
      <c r="E29" s="1943"/>
      <c r="F29" s="1943"/>
      <c r="G29" s="1943"/>
      <c r="H29" s="1943"/>
      <c r="I29" s="1944"/>
      <c r="J29" s="1942">
        <f>SUM(J19:O28)</f>
        <v>79</v>
      </c>
      <c r="K29" s="1943"/>
      <c r="L29" s="1943"/>
      <c r="M29" s="1943"/>
      <c r="N29" s="1943"/>
      <c r="O29" s="1944"/>
      <c r="P29" s="1942">
        <f>SUM(P19:U28)</f>
        <v>5</v>
      </c>
      <c r="Q29" s="1943"/>
      <c r="R29" s="1943"/>
      <c r="S29" s="1943"/>
      <c r="T29" s="1943"/>
      <c r="U29" s="1944"/>
      <c r="V29" s="1942">
        <f>SUM(V19:AA28)</f>
        <v>32</v>
      </c>
      <c r="W29" s="1943"/>
      <c r="X29" s="1943"/>
      <c r="Y29" s="1943"/>
      <c r="Z29" s="1943"/>
      <c r="AA29" s="1944"/>
      <c r="AB29" s="1942">
        <f>SUM(AB19:AG28)</f>
        <v>21</v>
      </c>
      <c r="AC29" s="1943"/>
      <c r="AD29" s="1943"/>
      <c r="AE29" s="1943"/>
      <c r="AF29" s="1943"/>
      <c r="AG29" s="1944"/>
      <c r="AH29" s="1942">
        <f>SUM(AH19:AM28)</f>
        <v>21</v>
      </c>
      <c r="AI29" s="1943"/>
      <c r="AJ29" s="1943"/>
      <c r="AK29" s="1943"/>
      <c r="AL29" s="1943"/>
      <c r="AM29" s="1944"/>
      <c r="AN29" s="1942">
        <f>SUM(AN19:AS28)</f>
        <v>0</v>
      </c>
      <c r="AO29" s="1943"/>
      <c r="AP29" s="1943"/>
      <c r="AQ29" s="1943"/>
      <c r="AR29" s="1943"/>
      <c r="AS29" s="1944"/>
      <c r="AT29" s="1945">
        <f t="shared" si="1"/>
        <v>1</v>
      </c>
      <c r="AU29" s="1946"/>
      <c r="AV29" s="1946"/>
      <c r="AW29" s="1946"/>
      <c r="AX29" s="1946"/>
      <c r="AY29" s="1947"/>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48" t="s">
        <v>2430</v>
      </c>
      <c r="C31" s="1949"/>
      <c r="D31" s="1949"/>
      <c r="E31" s="1949"/>
      <c r="F31" s="1949"/>
      <c r="G31" s="1949"/>
      <c r="H31" s="1949"/>
      <c r="I31" s="1949"/>
      <c r="J31" s="1949"/>
      <c r="K31" s="1949"/>
      <c r="L31" s="1949"/>
      <c r="M31" s="1949"/>
      <c r="N31" s="1949"/>
      <c r="O31" s="1949"/>
      <c r="P31" s="1949"/>
      <c r="Q31" s="1949"/>
      <c r="R31" s="1949"/>
      <c r="S31" s="1949"/>
      <c r="T31" s="1949"/>
      <c r="U31" s="1949"/>
      <c r="V31" s="1949"/>
      <c r="W31" s="1949"/>
      <c r="X31" s="1949"/>
      <c r="Y31" s="1949"/>
      <c r="Z31" s="1949"/>
      <c r="AA31" s="1949"/>
      <c r="AB31" s="1949"/>
      <c r="AC31" s="1949"/>
      <c r="AD31" s="1949"/>
      <c r="AE31" s="1949"/>
      <c r="AF31" s="1949"/>
      <c r="AG31" s="1949"/>
      <c r="AH31" s="1949"/>
      <c r="AI31" s="1949"/>
      <c r="AJ31" s="1949"/>
      <c r="AK31" s="1949"/>
      <c r="AL31" s="1949"/>
      <c r="AM31" s="1949"/>
      <c r="AN31" s="1949"/>
      <c r="AO31" s="1949"/>
      <c r="AP31" s="1949"/>
      <c r="AQ31" s="1949"/>
      <c r="AR31" s="1949"/>
      <c r="AS31" s="1949"/>
      <c r="AT31" s="1949"/>
      <c r="AU31" s="1949"/>
      <c r="AV31" s="1949"/>
      <c r="AW31" s="1949"/>
      <c r="AX31" s="1949"/>
      <c r="AY31" s="1949"/>
      <c r="AZ31" s="1949"/>
      <c r="BA31" s="1949"/>
      <c r="BB31" s="1949"/>
      <c r="BC31" s="1949"/>
      <c r="BD31" s="1950"/>
      <c r="BE31" s="1194"/>
    </row>
    <row r="32" spans="1:58" thickBot="1">
      <c r="A32" s="1190"/>
      <c r="B32" s="1951" t="s">
        <v>2429</v>
      </c>
      <c r="C32" s="1952"/>
      <c r="D32" s="1952"/>
      <c r="E32" s="1952"/>
      <c r="F32" s="1952"/>
      <c r="G32" s="1952"/>
      <c r="H32" s="1952"/>
      <c r="I32" s="1952"/>
      <c r="J32" s="1955" t="s">
        <v>2428</v>
      </c>
      <c r="K32" s="1956"/>
      <c r="L32" s="1956"/>
      <c r="M32" s="1956"/>
      <c r="N32" s="1955" t="s">
        <v>2427</v>
      </c>
      <c r="O32" s="1956"/>
      <c r="P32" s="1956"/>
      <c r="Q32" s="1958"/>
      <c r="R32" s="1960" t="s">
        <v>2426</v>
      </c>
      <c r="S32" s="1961"/>
      <c r="T32" s="1961"/>
      <c r="U32" s="1961"/>
      <c r="V32" s="1961"/>
      <c r="W32" s="1961"/>
      <c r="X32" s="1961"/>
      <c r="Y32" s="1961"/>
      <c r="Z32" s="1961"/>
      <c r="AA32" s="1961"/>
      <c r="AB32" s="1961"/>
      <c r="AC32" s="1961"/>
      <c r="AD32" s="1961"/>
      <c r="AE32" s="1961"/>
      <c r="AF32" s="1961"/>
      <c r="AG32" s="1961"/>
      <c r="AH32" s="1961"/>
      <c r="AI32" s="1961"/>
      <c r="AJ32" s="1961"/>
      <c r="AK32" s="1961"/>
      <c r="AL32" s="1961"/>
      <c r="AM32" s="1961"/>
      <c r="AN32" s="1961"/>
      <c r="AO32" s="1961"/>
      <c r="AP32" s="1961"/>
      <c r="AQ32" s="1961"/>
      <c r="AR32" s="1961"/>
      <c r="AS32" s="1961"/>
      <c r="AT32" s="1961"/>
      <c r="AU32" s="1961"/>
      <c r="AV32" s="1961"/>
      <c r="AW32" s="1961"/>
      <c r="AX32" s="1961"/>
      <c r="AY32" s="1961"/>
      <c r="AZ32" s="1961"/>
      <c r="BA32" s="1961"/>
      <c r="BB32" s="1961"/>
      <c r="BC32" s="1961"/>
      <c r="BD32" s="1962"/>
      <c r="BE32" s="1194"/>
    </row>
    <row r="33" spans="1:58" ht="15" customHeight="1">
      <c r="A33" s="1190"/>
      <c r="B33" s="1953"/>
      <c r="C33" s="1954"/>
      <c r="D33" s="1954"/>
      <c r="E33" s="1954"/>
      <c r="F33" s="1954"/>
      <c r="G33" s="1954"/>
      <c r="H33" s="1954"/>
      <c r="I33" s="1954"/>
      <c r="J33" s="1957"/>
      <c r="K33" s="1957"/>
      <c r="L33" s="1957"/>
      <c r="M33" s="1957"/>
      <c r="N33" s="1957"/>
      <c r="O33" s="1957"/>
      <c r="P33" s="1957"/>
      <c r="Q33" s="1959"/>
      <c r="R33" s="1963" t="s">
        <v>2425</v>
      </c>
      <c r="S33" s="1964"/>
      <c r="T33" s="1964"/>
      <c r="U33" s="1964"/>
      <c r="V33" s="1964"/>
      <c r="W33" s="1964"/>
      <c r="X33" s="1964"/>
      <c r="Y33" s="1964"/>
      <c r="Z33" s="1964"/>
      <c r="AA33" s="1964"/>
      <c r="AB33" s="1964"/>
      <c r="AC33" s="1964"/>
      <c r="AD33" s="1964"/>
      <c r="AE33" s="1964"/>
      <c r="AF33" s="1964"/>
      <c r="AG33" s="1964"/>
      <c r="AH33" s="1964"/>
      <c r="AI33" s="1964"/>
      <c r="AJ33" s="1964"/>
      <c r="AK33" s="1964"/>
      <c r="AL33" s="1964"/>
      <c r="AM33" s="1964"/>
      <c r="AN33" s="1964"/>
      <c r="AO33" s="1964"/>
      <c r="AP33" s="1964"/>
      <c r="AQ33" s="1964"/>
      <c r="AR33" s="1964"/>
      <c r="AS33" s="1964"/>
      <c r="AT33" s="1964"/>
      <c r="AU33" s="1964"/>
      <c r="AV33" s="1964"/>
      <c r="AW33" s="1964"/>
      <c r="AX33" s="1964"/>
      <c r="AY33" s="1964"/>
      <c r="AZ33" s="1964"/>
      <c r="BA33" s="1964"/>
      <c r="BB33" s="1964"/>
      <c r="BC33" s="1964"/>
      <c r="BD33" s="1965"/>
      <c r="BE33" s="1194"/>
    </row>
    <row r="34" spans="1:58" ht="15.75" customHeight="1" thickBot="1">
      <c r="A34" s="1190"/>
      <c r="B34" s="1953"/>
      <c r="C34" s="1954"/>
      <c r="D34" s="1954"/>
      <c r="E34" s="1954"/>
      <c r="F34" s="1954"/>
      <c r="G34" s="1954"/>
      <c r="H34" s="1954"/>
      <c r="I34" s="1954"/>
      <c r="J34" s="1957"/>
      <c r="K34" s="1957"/>
      <c r="L34" s="1957"/>
      <c r="M34" s="1957"/>
      <c r="N34" s="1957"/>
      <c r="O34" s="1957"/>
      <c r="P34" s="1957"/>
      <c r="Q34" s="1959"/>
      <c r="R34" s="1966"/>
      <c r="S34" s="1967"/>
      <c r="T34" s="1967"/>
      <c r="U34" s="1967"/>
      <c r="V34" s="1967"/>
      <c r="W34" s="1967"/>
      <c r="X34" s="1967"/>
      <c r="Y34" s="1967"/>
      <c r="Z34" s="1967"/>
      <c r="AA34" s="1967"/>
      <c r="AB34" s="1967"/>
      <c r="AC34" s="1967"/>
      <c r="AD34" s="1967"/>
      <c r="AE34" s="1967"/>
      <c r="AF34" s="1967"/>
      <c r="AG34" s="1967"/>
      <c r="AH34" s="1967"/>
      <c r="AI34" s="1967"/>
      <c r="AJ34" s="1967"/>
      <c r="AK34" s="1967"/>
      <c r="AL34" s="1967"/>
      <c r="AM34" s="1967"/>
      <c r="AN34" s="1967"/>
      <c r="AO34" s="1967"/>
      <c r="AP34" s="1967"/>
      <c r="AQ34" s="1967"/>
      <c r="AR34" s="1967"/>
      <c r="AS34" s="1967"/>
      <c r="AT34" s="1967"/>
      <c r="AU34" s="1967"/>
      <c r="AV34" s="1967"/>
      <c r="AW34" s="1967"/>
      <c r="AX34" s="1967"/>
      <c r="AY34" s="1967"/>
      <c r="AZ34" s="1967"/>
      <c r="BA34" s="1967"/>
      <c r="BB34" s="1967"/>
      <c r="BC34" s="1967"/>
      <c r="BD34" s="1968"/>
      <c r="BE34" s="1194"/>
    </row>
    <row r="35" spans="1:58" ht="15.75" customHeight="1">
      <c r="A35" s="1190"/>
      <c r="B35" s="1953"/>
      <c r="C35" s="1954"/>
      <c r="D35" s="1954"/>
      <c r="E35" s="1954"/>
      <c r="F35" s="1954"/>
      <c r="G35" s="1954"/>
      <c r="H35" s="1954"/>
      <c r="I35" s="1954"/>
      <c r="J35" s="1957"/>
      <c r="K35" s="1957"/>
      <c r="L35" s="1957"/>
      <c r="M35" s="1957"/>
      <c r="N35" s="1957"/>
      <c r="O35" s="1957"/>
      <c r="P35" s="1957"/>
      <c r="Q35" s="1957"/>
      <c r="R35" s="1969">
        <v>0.3</v>
      </c>
      <c r="S35" s="1969"/>
      <c r="T35" s="1969"/>
      <c r="U35" s="1969"/>
      <c r="V35" s="1969">
        <v>0.4</v>
      </c>
      <c r="W35" s="1969"/>
      <c r="X35" s="1969"/>
      <c r="Y35" s="1969"/>
      <c r="Z35" s="1969">
        <v>0.5</v>
      </c>
      <c r="AA35" s="1969"/>
      <c r="AB35" s="1969"/>
      <c r="AC35" s="1969"/>
      <c r="AD35" s="1969">
        <v>0.6</v>
      </c>
      <c r="AE35" s="1969"/>
      <c r="AF35" s="1969"/>
      <c r="AG35" s="1969"/>
      <c r="AH35" s="1969">
        <v>0.7</v>
      </c>
      <c r="AI35" s="1969"/>
      <c r="AJ35" s="1969"/>
      <c r="AK35" s="1969"/>
      <c r="AL35" s="1974">
        <v>0.8</v>
      </c>
      <c r="AM35" s="1975"/>
      <c r="AN35" s="1975"/>
      <c r="AO35" s="1976"/>
      <c r="AP35" s="1977">
        <v>1.2</v>
      </c>
      <c r="AQ35" s="1978"/>
      <c r="AR35" s="1979"/>
      <c r="AS35" s="1971" t="s">
        <v>2424</v>
      </c>
      <c r="AT35" s="1972"/>
      <c r="AU35" s="1972"/>
      <c r="AV35" s="1972"/>
      <c r="AW35" s="1972"/>
      <c r="AX35" s="1980"/>
      <c r="AY35" s="1971" t="s">
        <v>2423</v>
      </c>
      <c r="AZ35" s="1972"/>
      <c r="BA35" s="1972"/>
      <c r="BB35" s="1972"/>
      <c r="BC35" s="1972"/>
      <c r="BD35" s="1973"/>
      <c r="BE35" s="1194"/>
    </row>
    <row r="36" spans="1:58" ht="15.75" customHeight="1">
      <c r="A36" s="1190"/>
      <c r="B36" s="1990" t="s">
        <v>2422</v>
      </c>
      <c r="C36" s="1991"/>
      <c r="D36" s="1991"/>
      <c r="E36" s="1991"/>
      <c r="F36" s="1991"/>
      <c r="G36" s="1991"/>
      <c r="H36" s="1991"/>
      <c r="I36" s="1991"/>
      <c r="J36" s="1992" t="s">
        <v>2421</v>
      </c>
      <c r="K36" s="1992"/>
      <c r="L36" s="1992"/>
      <c r="M36" s="1992"/>
      <c r="N36" s="1992">
        <v>55</v>
      </c>
      <c r="O36" s="1992"/>
      <c r="P36" s="1992"/>
      <c r="Q36" s="1992"/>
      <c r="R36" s="1993"/>
      <c r="S36" s="1993"/>
      <c r="T36" s="1993"/>
      <c r="U36" s="1993"/>
      <c r="V36" s="1993"/>
      <c r="W36" s="1993"/>
      <c r="X36" s="1993"/>
      <c r="Y36" s="1993"/>
      <c r="Z36" s="1993"/>
      <c r="AA36" s="1993"/>
      <c r="AB36" s="1993"/>
      <c r="AC36" s="1993"/>
      <c r="AD36" s="1993"/>
      <c r="AE36" s="1993"/>
      <c r="AF36" s="1993"/>
      <c r="AG36" s="1993"/>
      <c r="AH36" s="1993"/>
      <c r="AI36" s="1993"/>
      <c r="AJ36" s="1993"/>
      <c r="AK36" s="1993"/>
      <c r="AL36" s="1981"/>
      <c r="AM36" s="1982"/>
      <c r="AN36" s="1982"/>
      <c r="AO36" s="1983"/>
      <c r="AP36" s="1981"/>
      <c r="AQ36" s="1982"/>
      <c r="AR36" s="1983"/>
      <c r="AS36" s="1984">
        <f t="shared" ref="AS36:AS47" si="2">SUM(R36:AR36)</f>
        <v>0</v>
      </c>
      <c r="AT36" s="1985"/>
      <c r="AU36" s="1985"/>
      <c r="AV36" s="1985"/>
      <c r="AW36" s="1985"/>
      <c r="AX36" s="1986"/>
      <c r="AY36" s="1987">
        <f t="shared" ref="AY36:AY47" si="3">AS36/$J$29</f>
        <v>0</v>
      </c>
      <c r="AZ36" s="1988"/>
      <c r="BA36" s="1988"/>
      <c r="BB36" s="1988"/>
      <c r="BC36" s="1988"/>
      <c r="BD36" s="1989"/>
      <c r="BE36" s="1194"/>
    </row>
    <row r="37" spans="1:58" ht="15.75" customHeight="1">
      <c r="A37" s="1190"/>
      <c r="B37" s="1990" t="s">
        <v>2420</v>
      </c>
      <c r="C37" s="1991"/>
      <c r="D37" s="1991"/>
      <c r="E37" s="1991"/>
      <c r="F37" s="1991"/>
      <c r="G37" s="1991"/>
      <c r="H37" s="1991"/>
      <c r="I37" s="1991"/>
      <c r="J37" s="1992" t="s">
        <v>2419</v>
      </c>
      <c r="K37" s="1992"/>
      <c r="L37" s="1992"/>
      <c r="M37" s="1992"/>
      <c r="N37" s="1992">
        <v>55</v>
      </c>
      <c r="O37" s="1992"/>
      <c r="P37" s="1992"/>
      <c r="Q37" s="1992"/>
      <c r="R37" s="1993"/>
      <c r="S37" s="1993"/>
      <c r="T37" s="1993"/>
      <c r="U37" s="1993"/>
      <c r="V37" s="1993"/>
      <c r="W37" s="1993"/>
      <c r="X37" s="1993"/>
      <c r="Y37" s="1993"/>
      <c r="Z37" s="1993"/>
      <c r="AA37" s="1993"/>
      <c r="AB37" s="1993"/>
      <c r="AC37" s="1993"/>
      <c r="AD37" s="1993"/>
      <c r="AE37" s="1993"/>
      <c r="AF37" s="1993"/>
      <c r="AG37" s="1993"/>
      <c r="AH37" s="1993"/>
      <c r="AI37" s="1993"/>
      <c r="AJ37" s="1993"/>
      <c r="AK37" s="1993"/>
      <c r="AL37" s="1981"/>
      <c r="AM37" s="1982"/>
      <c r="AN37" s="1982"/>
      <c r="AO37" s="1983"/>
      <c r="AP37" s="1981"/>
      <c r="AQ37" s="1982"/>
      <c r="AR37" s="1983"/>
      <c r="AS37" s="1984">
        <f t="shared" si="2"/>
        <v>0</v>
      </c>
      <c r="AT37" s="1985"/>
      <c r="AU37" s="1985"/>
      <c r="AV37" s="1985"/>
      <c r="AW37" s="1985"/>
      <c r="AX37" s="1986"/>
      <c r="AY37" s="1987">
        <f t="shared" si="3"/>
        <v>0</v>
      </c>
      <c r="AZ37" s="1988"/>
      <c r="BA37" s="1988"/>
      <c r="BB37" s="1988"/>
      <c r="BC37" s="1988"/>
      <c r="BD37" s="1989"/>
      <c r="BE37" s="1194"/>
    </row>
    <row r="38" spans="1:58" ht="15.75" customHeight="1">
      <c r="A38" s="1190"/>
      <c r="B38" s="1990" t="s">
        <v>2418</v>
      </c>
      <c r="C38" s="1991"/>
      <c r="D38" s="1991"/>
      <c r="E38" s="1991"/>
      <c r="F38" s="1991"/>
      <c r="G38" s="1991"/>
      <c r="H38" s="1991"/>
      <c r="I38" s="1991"/>
      <c r="J38" s="1992" t="s">
        <v>2417</v>
      </c>
      <c r="K38" s="1992"/>
      <c r="L38" s="1992"/>
      <c r="M38" s="1992"/>
      <c r="N38" s="1992">
        <v>55</v>
      </c>
      <c r="O38" s="1992"/>
      <c r="P38" s="1992"/>
      <c r="Q38" s="1992"/>
      <c r="R38" s="1993"/>
      <c r="S38" s="1993"/>
      <c r="T38" s="1993"/>
      <c r="U38" s="1993"/>
      <c r="V38" s="1993"/>
      <c r="W38" s="1993"/>
      <c r="X38" s="1993"/>
      <c r="Y38" s="1993"/>
      <c r="Z38" s="1993"/>
      <c r="AA38" s="1993"/>
      <c r="AB38" s="1993"/>
      <c r="AC38" s="1993"/>
      <c r="AD38" s="1993"/>
      <c r="AE38" s="1993"/>
      <c r="AF38" s="1993"/>
      <c r="AG38" s="1993"/>
      <c r="AH38" s="1993"/>
      <c r="AI38" s="1993"/>
      <c r="AJ38" s="1993"/>
      <c r="AK38" s="1993"/>
      <c r="AL38" s="1981"/>
      <c r="AM38" s="1982"/>
      <c r="AN38" s="1982"/>
      <c r="AO38" s="1983"/>
      <c r="AP38" s="1981"/>
      <c r="AQ38" s="1982"/>
      <c r="AR38" s="1983"/>
      <c r="AS38" s="1984">
        <f t="shared" si="2"/>
        <v>0</v>
      </c>
      <c r="AT38" s="1985"/>
      <c r="AU38" s="1985"/>
      <c r="AV38" s="1985"/>
      <c r="AW38" s="1985"/>
      <c r="AX38" s="1986"/>
      <c r="AY38" s="1987">
        <f t="shared" si="3"/>
        <v>0</v>
      </c>
      <c r="AZ38" s="1988"/>
      <c r="BA38" s="1988"/>
      <c r="BB38" s="1988"/>
      <c r="BC38" s="1988"/>
      <c r="BD38" s="1989"/>
      <c r="BE38" s="1194"/>
    </row>
    <row r="39" spans="1:58" ht="15.75" customHeight="1">
      <c r="A39" s="1190"/>
      <c r="B39" s="1990" t="s">
        <v>2416</v>
      </c>
      <c r="C39" s="1991"/>
      <c r="D39" s="1991"/>
      <c r="E39" s="1991"/>
      <c r="F39" s="1991"/>
      <c r="G39" s="1991"/>
      <c r="H39" s="1991"/>
      <c r="I39" s="1991"/>
      <c r="J39" s="1992"/>
      <c r="K39" s="1992"/>
      <c r="L39" s="1992"/>
      <c r="M39" s="1992"/>
      <c r="N39" s="1992"/>
      <c r="O39" s="1992"/>
      <c r="P39" s="1992"/>
      <c r="Q39" s="1992"/>
      <c r="R39" s="1993"/>
      <c r="S39" s="1993"/>
      <c r="T39" s="1993"/>
      <c r="U39" s="1993"/>
      <c r="V39" s="1993"/>
      <c r="W39" s="1993"/>
      <c r="X39" s="1993"/>
      <c r="Y39" s="1993"/>
      <c r="Z39" s="1993"/>
      <c r="AA39" s="1993"/>
      <c r="AB39" s="1993"/>
      <c r="AC39" s="1993"/>
      <c r="AD39" s="1993"/>
      <c r="AE39" s="1993"/>
      <c r="AF39" s="1993"/>
      <c r="AG39" s="1993"/>
      <c r="AH39" s="1993"/>
      <c r="AI39" s="1993"/>
      <c r="AJ39" s="1993"/>
      <c r="AK39" s="1993"/>
      <c r="AL39" s="1981"/>
      <c r="AM39" s="1982"/>
      <c r="AN39" s="1982"/>
      <c r="AO39" s="1983"/>
      <c r="AP39" s="1981"/>
      <c r="AQ39" s="1982"/>
      <c r="AR39" s="1983"/>
      <c r="AS39" s="1984">
        <f t="shared" si="2"/>
        <v>0</v>
      </c>
      <c r="AT39" s="1985"/>
      <c r="AU39" s="1985"/>
      <c r="AV39" s="1985"/>
      <c r="AW39" s="1985"/>
      <c r="AX39" s="1986"/>
      <c r="AY39" s="1987">
        <f t="shared" si="3"/>
        <v>0</v>
      </c>
      <c r="AZ39" s="1988"/>
      <c r="BA39" s="1988"/>
      <c r="BB39" s="1988"/>
      <c r="BC39" s="1988"/>
      <c r="BD39" s="1989"/>
      <c r="BE39" s="1194"/>
    </row>
    <row r="40" spans="1:58" ht="15.75" customHeight="1">
      <c r="A40" s="1190"/>
      <c r="B40" s="1990" t="s">
        <v>2416</v>
      </c>
      <c r="C40" s="1991"/>
      <c r="D40" s="1991"/>
      <c r="E40" s="1991"/>
      <c r="F40" s="1991"/>
      <c r="G40" s="1991"/>
      <c r="H40" s="1991"/>
      <c r="I40" s="1991"/>
      <c r="J40" s="1992"/>
      <c r="K40" s="1992"/>
      <c r="L40" s="1992"/>
      <c r="M40" s="1992"/>
      <c r="N40" s="1992"/>
      <c r="O40" s="1992"/>
      <c r="P40" s="1992"/>
      <c r="Q40" s="1992"/>
      <c r="R40" s="1993"/>
      <c r="S40" s="1993"/>
      <c r="T40" s="1993"/>
      <c r="U40" s="1993"/>
      <c r="V40" s="1993"/>
      <c r="W40" s="1993"/>
      <c r="X40" s="1993"/>
      <c r="Y40" s="1993"/>
      <c r="Z40" s="1993"/>
      <c r="AA40" s="1993"/>
      <c r="AB40" s="1993"/>
      <c r="AC40" s="1993"/>
      <c r="AD40" s="1993"/>
      <c r="AE40" s="1993"/>
      <c r="AF40" s="1993"/>
      <c r="AG40" s="1993"/>
      <c r="AH40" s="1993"/>
      <c r="AI40" s="1993"/>
      <c r="AJ40" s="1993"/>
      <c r="AK40" s="1993"/>
      <c r="AL40" s="1981"/>
      <c r="AM40" s="1982"/>
      <c r="AN40" s="1982"/>
      <c r="AO40" s="1983"/>
      <c r="AP40" s="1981"/>
      <c r="AQ40" s="1982"/>
      <c r="AR40" s="1983"/>
      <c r="AS40" s="1984">
        <f t="shared" si="2"/>
        <v>0</v>
      </c>
      <c r="AT40" s="1985"/>
      <c r="AU40" s="1985"/>
      <c r="AV40" s="1985"/>
      <c r="AW40" s="1985"/>
      <c r="AX40" s="1986"/>
      <c r="AY40" s="1987">
        <f t="shared" si="3"/>
        <v>0</v>
      </c>
      <c r="AZ40" s="1988"/>
      <c r="BA40" s="1988"/>
      <c r="BB40" s="1988"/>
      <c r="BC40" s="1988"/>
      <c r="BD40" s="1989"/>
      <c r="BE40" s="1194"/>
    </row>
    <row r="41" spans="1:58" ht="15.75" customHeight="1">
      <c r="A41" s="1190"/>
      <c r="B41" s="1990" t="s">
        <v>2415</v>
      </c>
      <c r="C41" s="1991"/>
      <c r="D41" s="1991"/>
      <c r="E41" s="1991"/>
      <c r="F41" s="1991"/>
      <c r="G41" s="1991"/>
      <c r="H41" s="1991"/>
      <c r="I41" s="1991"/>
      <c r="J41" s="1992"/>
      <c r="K41" s="1992"/>
      <c r="L41" s="1992"/>
      <c r="M41" s="1992"/>
      <c r="N41" s="1992"/>
      <c r="O41" s="1992"/>
      <c r="P41" s="1992"/>
      <c r="Q41" s="1992"/>
      <c r="R41" s="1993"/>
      <c r="S41" s="1993"/>
      <c r="T41" s="1993"/>
      <c r="U41" s="1993"/>
      <c r="V41" s="1993"/>
      <c r="W41" s="1993"/>
      <c r="X41" s="1993"/>
      <c r="Y41" s="1993"/>
      <c r="Z41" s="1993"/>
      <c r="AA41" s="1993"/>
      <c r="AB41" s="1993"/>
      <c r="AC41" s="1993"/>
      <c r="AD41" s="1993"/>
      <c r="AE41" s="1993"/>
      <c r="AF41" s="1993"/>
      <c r="AG41" s="1993"/>
      <c r="AH41" s="1993"/>
      <c r="AI41" s="1993"/>
      <c r="AJ41" s="1993"/>
      <c r="AK41" s="1993"/>
      <c r="AL41" s="1981"/>
      <c r="AM41" s="1982"/>
      <c r="AN41" s="1982"/>
      <c r="AO41" s="1983"/>
      <c r="AP41" s="1981"/>
      <c r="AQ41" s="1982"/>
      <c r="AR41" s="1983"/>
      <c r="AS41" s="1984">
        <f t="shared" si="2"/>
        <v>0</v>
      </c>
      <c r="AT41" s="1985"/>
      <c r="AU41" s="1985"/>
      <c r="AV41" s="1985"/>
      <c r="AW41" s="1985"/>
      <c r="AX41" s="1986"/>
      <c r="AY41" s="1987">
        <f t="shared" si="3"/>
        <v>0</v>
      </c>
      <c r="AZ41" s="1988"/>
      <c r="BA41" s="1988"/>
      <c r="BB41" s="1988"/>
      <c r="BC41" s="1988"/>
      <c r="BD41" s="1989"/>
      <c r="BE41" s="1194"/>
    </row>
    <row r="42" spans="1:58" ht="15.75" customHeight="1">
      <c r="A42" s="1190"/>
      <c r="B42" s="1990" t="s">
        <v>2415</v>
      </c>
      <c r="C42" s="1991"/>
      <c r="D42" s="1991"/>
      <c r="E42" s="1991"/>
      <c r="F42" s="1991"/>
      <c r="G42" s="1991"/>
      <c r="H42" s="1991"/>
      <c r="I42" s="1991"/>
      <c r="J42" s="1992"/>
      <c r="K42" s="1992"/>
      <c r="L42" s="1992"/>
      <c r="M42" s="1992"/>
      <c r="N42" s="1992"/>
      <c r="O42" s="1992"/>
      <c r="P42" s="1992"/>
      <c r="Q42" s="1992"/>
      <c r="R42" s="1993"/>
      <c r="S42" s="1993"/>
      <c r="T42" s="1993"/>
      <c r="U42" s="1993"/>
      <c r="V42" s="1993"/>
      <c r="W42" s="1993"/>
      <c r="X42" s="1993"/>
      <c r="Y42" s="1993"/>
      <c r="Z42" s="1993"/>
      <c r="AA42" s="1993"/>
      <c r="AB42" s="1993"/>
      <c r="AC42" s="1993"/>
      <c r="AD42" s="1993"/>
      <c r="AE42" s="1993"/>
      <c r="AF42" s="1993"/>
      <c r="AG42" s="1993"/>
      <c r="AH42" s="1993"/>
      <c r="AI42" s="1993"/>
      <c r="AJ42" s="1993"/>
      <c r="AK42" s="1993"/>
      <c r="AL42" s="1981"/>
      <c r="AM42" s="1982"/>
      <c r="AN42" s="1982"/>
      <c r="AO42" s="1983"/>
      <c r="AP42" s="1981"/>
      <c r="AQ42" s="1982"/>
      <c r="AR42" s="1983"/>
      <c r="AS42" s="1984">
        <f t="shared" si="2"/>
        <v>0</v>
      </c>
      <c r="AT42" s="1985"/>
      <c r="AU42" s="1985"/>
      <c r="AV42" s="1985"/>
      <c r="AW42" s="1985"/>
      <c r="AX42" s="1986"/>
      <c r="AY42" s="1987">
        <f t="shared" si="3"/>
        <v>0</v>
      </c>
      <c r="AZ42" s="1988"/>
      <c r="BA42" s="1988"/>
      <c r="BB42" s="1988"/>
      <c r="BC42" s="1988"/>
      <c r="BD42" s="1989"/>
      <c r="BE42" s="1194"/>
    </row>
    <row r="43" spans="1:58" ht="15.75" customHeight="1">
      <c r="A43" s="1190"/>
      <c r="B43" s="1994" t="s">
        <v>2414</v>
      </c>
      <c r="C43" s="1995"/>
      <c r="D43" s="1995"/>
      <c r="E43" s="1995"/>
      <c r="F43" s="1995"/>
      <c r="G43" s="1995"/>
      <c r="H43" s="1995"/>
      <c r="I43" s="1995"/>
      <c r="J43" s="1992"/>
      <c r="K43" s="1992"/>
      <c r="L43" s="1992"/>
      <c r="M43" s="1992"/>
      <c r="N43" s="1992"/>
      <c r="O43" s="1992"/>
      <c r="P43" s="1992"/>
      <c r="Q43" s="1992"/>
      <c r="R43" s="1993"/>
      <c r="S43" s="1993"/>
      <c r="T43" s="1993"/>
      <c r="U43" s="1993"/>
      <c r="V43" s="1993"/>
      <c r="W43" s="1993"/>
      <c r="X43" s="1993"/>
      <c r="Y43" s="1993"/>
      <c r="Z43" s="1993"/>
      <c r="AA43" s="1993"/>
      <c r="AB43" s="1993"/>
      <c r="AC43" s="1993"/>
      <c r="AD43" s="1993"/>
      <c r="AE43" s="1993"/>
      <c r="AF43" s="1993"/>
      <c r="AG43" s="1993"/>
      <c r="AH43" s="1993"/>
      <c r="AI43" s="1993"/>
      <c r="AJ43" s="1993"/>
      <c r="AK43" s="1993"/>
      <c r="AL43" s="1981"/>
      <c r="AM43" s="1982"/>
      <c r="AN43" s="1982"/>
      <c r="AO43" s="1983"/>
      <c r="AP43" s="1981"/>
      <c r="AQ43" s="1982"/>
      <c r="AR43" s="1983"/>
      <c r="AS43" s="1984">
        <f t="shared" si="2"/>
        <v>0</v>
      </c>
      <c r="AT43" s="1985"/>
      <c r="AU43" s="1985"/>
      <c r="AV43" s="1985"/>
      <c r="AW43" s="1985"/>
      <c r="AX43" s="1986"/>
      <c r="AY43" s="1987">
        <f t="shared" si="3"/>
        <v>0</v>
      </c>
      <c r="AZ43" s="1988"/>
      <c r="BA43" s="1988"/>
      <c r="BB43" s="1988"/>
      <c r="BC43" s="1988"/>
      <c r="BD43" s="1989"/>
      <c r="BE43" s="1194"/>
    </row>
    <row r="44" spans="1:58" ht="15.75" customHeight="1">
      <c r="A44" s="1190"/>
      <c r="B44" s="1994" t="s">
        <v>2413</v>
      </c>
      <c r="C44" s="1995"/>
      <c r="D44" s="1995"/>
      <c r="E44" s="1995"/>
      <c r="F44" s="1995"/>
      <c r="G44" s="1995"/>
      <c r="H44" s="1995"/>
      <c r="I44" s="1995"/>
      <c r="J44" s="1992"/>
      <c r="K44" s="1992"/>
      <c r="L44" s="1992"/>
      <c r="M44" s="1992"/>
      <c r="N44" s="1992"/>
      <c r="O44" s="1992"/>
      <c r="P44" s="1992"/>
      <c r="Q44" s="1992"/>
      <c r="R44" s="1993"/>
      <c r="S44" s="1993"/>
      <c r="T44" s="1993"/>
      <c r="U44" s="1993"/>
      <c r="V44" s="1993"/>
      <c r="W44" s="1993"/>
      <c r="X44" s="1993"/>
      <c r="Y44" s="1993"/>
      <c r="Z44" s="1993"/>
      <c r="AA44" s="1993"/>
      <c r="AB44" s="1993"/>
      <c r="AC44" s="1993"/>
      <c r="AD44" s="1993"/>
      <c r="AE44" s="1993"/>
      <c r="AF44" s="1993"/>
      <c r="AG44" s="1993"/>
      <c r="AH44" s="1993"/>
      <c r="AI44" s="1993"/>
      <c r="AJ44" s="1993"/>
      <c r="AK44" s="1993"/>
      <c r="AL44" s="1981"/>
      <c r="AM44" s="1982"/>
      <c r="AN44" s="1982"/>
      <c r="AO44" s="1983"/>
      <c r="AP44" s="1981"/>
      <c r="AQ44" s="1982"/>
      <c r="AR44" s="1983"/>
      <c r="AS44" s="1984">
        <f t="shared" si="2"/>
        <v>0</v>
      </c>
      <c r="AT44" s="1985"/>
      <c r="AU44" s="1985"/>
      <c r="AV44" s="1985"/>
      <c r="AW44" s="1985"/>
      <c r="AX44" s="1986"/>
      <c r="AY44" s="1987">
        <f t="shared" si="3"/>
        <v>0</v>
      </c>
      <c r="AZ44" s="1988"/>
      <c r="BA44" s="1988"/>
      <c r="BB44" s="1988"/>
      <c r="BC44" s="1988"/>
      <c r="BD44" s="1989"/>
      <c r="BE44" s="1194"/>
    </row>
    <row r="45" spans="1:58" ht="15.75" customHeight="1">
      <c r="A45" s="1190"/>
      <c r="B45" s="1994" t="s">
        <v>2412</v>
      </c>
      <c r="C45" s="1995"/>
      <c r="D45" s="1995"/>
      <c r="E45" s="1995"/>
      <c r="F45" s="1995"/>
      <c r="G45" s="1995"/>
      <c r="H45" s="1995"/>
      <c r="I45" s="1995"/>
      <c r="J45" s="1992"/>
      <c r="K45" s="1992"/>
      <c r="L45" s="1992"/>
      <c r="M45" s="1992"/>
      <c r="N45" s="1992"/>
      <c r="O45" s="1992"/>
      <c r="P45" s="1992"/>
      <c r="Q45" s="1992"/>
      <c r="R45" s="1993"/>
      <c r="S45" s="1993"/>
      <c r="T45" s="1993"/>
      <c r="U45" s="1993"/>
      <c r="V45" s="1993"/>
      <c r="W45" s="1993"/>
      <c r="X45" s="1993"/>
      <c r="Y45" s="1993"/>
      <c r="Z45" s="1993"/>
      <c r="AA45" s="1993"/>
      <c r="AB45" s="1993"/>
      <c r="AC45" s="1993"/>
      <c r="AD45" s="1993"/>
      <c r="AE45" s="1993"/>
      <c r="AF45" s="1993"/>
      <c r="AG45" s="1993"/>
      <c r="AH45" s="1993"/>
      <c r="AI45" s="1993"/>
      <c r="AJ45" s="1993"/>
      <c r="AK45" s="1993"/>
      <c r="AL45" s="1981"/>
      <c r="AM45" s="1982"/>
      <c r="AN45" s="1982"/>
      <c r="AO45" s="1983"/>
      <c r="AP45" s="1981"/>
      <c r="AQ45" s="1982"/>
      <c r="AR45" s="1983"/>
      <c r="AS45" s="1984">
        <f t="shared" si="2"/>
        <v>0</v>
      </c>
      <c r="AT45" s="1985"/>
      <c r="AU45" s="1985"/>
      <c r="AV45" s="1985"/>
      <c r="AW45" s="1985"/>
      <c r="AX45" s="1986"/>
      <c r="AY45" s="1987">
        <f t="shared" si="3"/>
        <v>0</v>
      </c>
      <c r="AZ45" s="1988"/>
      <c r="BA45" s="1988"/>
      <c r="BB45" s="1988"/>
      <c r="BC45" s="1988"/>
      <c r="BD45" s="1989"/>
      <c r="BE45" s="1194"/>
    </row>
    <row r="46" spans="1:58" ht="15.75" customHeight="1">
      <c r="A46" s="1190"/>
      <c r="B46" s="1994" t="s">
        <v>2336</v>
      </c>
      <c r="C46" s="1995"/>
      <c r="D46" s="1995"/>
      <c r="E46" s="1995"/>
      <c r="F46" s="1995"/>
      <c r="G46" s="1995"/>
      <c r="H46" s="1995"/>
      <c r="I46" s="1995"/>
      <c r="J46" s="1992"/>
      <c r="K46" s="1992"/>
      <c r="L46" s="1992"/>
      <c r="M46" s="1992"/>
      <c r="N46" s="1992">
        <v>99</v>
      </c>
      <c r="O46" s="1992"/>
      <c r="P46" s="1992"/>
      <c r="Q46" s="1992"/>
      <c r="R46" s="1993"/>
      <c r="S46" s="1993"/>
      <c r="T46" s="1993"/>
      <c r="U46" s="1993"/>
      <c r="V46" s="1993"/>
      <c r="W46" s="1993"/>
      <c r="X46" s="1993"/>
      <c r="Y46" s="1993"/>
      <c r="Z46" s="1993"/>
      <c r="AA46" s="1993"/>
      <c r="AB46" s="1993"/>
      <c r="AC46" s="1993"/>
      <c r="AD46" s="1993"/>
      <c r="AE46" s="1993"/>
      <c r="AF46" s="1993"/>
      <c r="AG46" s="1993"/>
      <c r="AH46" s="1993"/>
      <c r="AI46" s="1993"/>
      <c r="AJ46" s="1993"/>
      <c r="AK46" s="1993"/>
      <c r="AL46" s="1981"/>
      <c r="AM46" s="1982"/>
      <c r="AN46" s="1982"/>
      <c r="AO46" s="1983"/>
      <c r="AP46" s="1981"/>
      <c r="AQ46" s="1982"/>
      <c r="AR46" s="1983"/>
      <c r="AS46" s="1984">
        <f t="shared" si="2"/>
        <v>0</v>
      </c>
      <c r="AT46" s="1985"/>
      <c r="AU46" s="1985"/>
      <c r="AV46" s="1985"/>
      <c r="AW46" s="1985"/>
      <c r="AX46" s="1986"/>
      <c r="AY46" s="1987">
        <f t="shared" si="3"/>
        <v>0</v>
      </c>
      <c r="AZ46" s="1988"/>
      <c r="BA46" s="1988"/>
      <c r="BB46" s="1988"/>
      <c r="BC46" s="1988"/>
      <c r="BD46" s="1989"/>
      <c r="BE46" s="1194"/>
    </row>
    <row r="47" spans="1:58" ht="15.75" customHeight="1" thickBot="1">
      <c r="A47" s="1190"/>
      <c r="B47" s="1996" t="s">
        <v>300</v>
      </c>
      <c r="C47" s="1997"/>
      <c r="D47" s="1997"/>
      <c r="E47" s="1997"/>
      <c r="F47" s="1997"/>
      <c r="G47" s="1997"/>
      <c r="H47" s="1997"/>
      <c r="I47" s="1997"/>
      <c r="J47" s="1998"/>
      <c r="K47" s="1998"/>
      <c r="L47" s="1998"/>
      <c r="M47" s="1998"/>
      <c r="N47" s="1998"/>
      <c r="O47" s="1998"/>
      <c r="P47" s="1998"/>
      <c r="Q47" s="1998"/>
      <c r="R47" s="1999"/>
      <c r="S47" s="1999"/>
      <c r="T47" s="1999"/>
      <c r="U47" s="1999"/>
      <c r="V47" s="1999"/>
      <c r="W47" s="1999"/>
      <c r="X47" s="1999"/>
      <c r="Y47" s="1999"/>
      <c r="Z47" s="1999"/>
      <c r="AA47" s="1999"/>
      <c r="AB47" s="1999"/>
      <c r="AC47" s="1999"/>
      <c r="AD47" s="1999"/>
      <c r="AE47" s="1999"/>
      <c r="AF47" s="1999"/>
      <c r="AG47" s="1999"/>
      <c r="AH47" s="1999"/>
      <c r="AI47" s="1999"/>
      <c r="AJ47" s="1999"/>
      <c r="AK47" s="1999"/>
      <c r="AL47" s="2003"/>
      <c r="AM47" s="2004"/>
      <c r="AN47" s="2004"/>
      <c r="AO47" s="2005"/>
      <c r="AP47" s="2003"/>
      <c r="AQ47" s="2004"/>
      <c r="AR47" s="2005"/>
      <c r="AS47" s="1984">
        <f t="shared" si="2"/>
        <v>0</v>
      </c>
      <c r="AT47" s="1985"/>
      <c r="AU47" s="1985"/>
      <c r="AV47" s="1985"/>
      <c r="AW47" s="1985"/>
      <c r="AX47" s="1986"/>
      <c r="AY47" s="2000">
        <f t="shared" si="3"/>
        <v>0</v>
      </c>
      <c r="AZ47" s="2001"/>
      <c r="BA47" s="2001"/>
      <c r="BB47" s="2001"/>
      <c r="BC47" s="2001"/>
      <c r="BD47" s="2002"/>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6" t="s">
        <v>2409</v>
      </c>
      <c r="C50" s="2007"/>
      <c r="D50" s="2007"/>
      <c r="E50" s="2007"/>
      <c r="F50" s="2007"/>
      <c r="G50" s="2007"/>
      <c r="H50" s="2007"/>
      <c r="I50" s="2007"/>
      <c r="J50" s="2007"/>
      <c r="K50" s="2007"/>
      <c r="L50" s="2007"/>
      <c r="M50" s="2007"/>
      <c r="N50" s="2007"/>
      <c r="O50" s="2007"/>
      <c r="P50" s="2007"/>
      <c r="Q50" s="2007"/>
      <c r="R50" s="2007"/>
      <c r="S50" s="2007"/>
      <c r="T50" s="2007"/>
      <c r="U50" s="2007"/>
      <c r="V50" s="2007"/>
      <c r="W50" s="2007"/>
      <c r="X50" s="2007"/>
      <c r="Y50" s="2007"/>
      <c r="Z50" s="2007"/>
      <c r="AA50" s="2007"/>
      <c r="AB50" s="2007"/>
      <c r="AC50" s="2007"/>
      <c r="AD50" s="2007"/>
      <c r="AE50" s="2007"/>
      <c r="AF50" s="2007"/>
      <c r="AG50" s="2007"/>
      <c r="AH50" s="2007"/>
      <c r="AI50" s="2007"/>
      <c r="AJ50" s="2007"/>
      <c r="AK50" s="2007"/>
      <c r="AL50" s="2007"/>
      <c r="AM50" s="2007"/>
      <c r="AN50" s="2007"/>
      <c r="AO50" s="2008"/>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09" t="s">
        <v>2402</v>
      </c>
      <c r="C51" s="2010"/>
      <c r="D51" s="2010"/>
      <c r="E51" s="2010"/>
      <c r="F51" s="2010"/>
      <c r="G51" s="2010"/>
      <c r="H51" s="2010"/>
      <c r="I51" s="2010"/>
      <c r="J51" s="2010" t="s">
        <v>2408</v>
      </c>
      <c r="K51" s="2010"/>
      <c r="L51" s="2010"/>
      <c r="M51" s="2010"/>
      <c r="N51" s="2010"/>
      <c r="O51" s="2010"/>
      <c r="P51" s="2010"/>
      <c r="Q51" s="2010"/>
      <c r="R51" s="2011" t="s">
        <v>2407</v>
      </c>
      <c r="S51" s="2011"/>
      <c r="T51" s="2011"/>
      <c r="U51" s="2011"/>
      <c r="V51" s="2011"/>
      <c r="W51" s="2011"/>
      <c r="X51" s="2011"/>
      <c r="Y51" s="2011"/>
      <c r="Z51" s="2011" t="s">
        <v>2406</v>
      </c>
      <c r="AA51" s="2011"/>
      <c r="AB51" s="2011"/>
      <c r="AC51" s="2011"/>
      <c r="AD51" s="2011"/>
      <c r="AE51" s="2011"/>
      <c r="AF51" s="2011"/>
      <c r="AG51" s="2011"/>
      <c r="AH51" s="2011" t="s">
        <v>2405</v>
      </c>
      <c r="AI51" s="2011"/>
      <c r="AJ51" s="2011"/>
      <c r="AK51" s="2011"/>
      <c r="AL51" s="2011"/>
      <c r="AM51" s="2011"/>
      <c r="AN51" s="2011"/>
      <c r="AO51" s="2012"/>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4" t="s">
        <v>2404</v>
      </c>
      <c r="C52" s="1995"/>
      <c r="D52" s="1995"/>
      <c r="E52" s="1995"/>
      <c r="F52" s="1995"/>
      <c r="G52" s="1995"/>
      <c r="H52" s="1995"/>
      <c r="I52" s="1995"/>
      <c r="J52" s="2013">
        <v>0</v>
      </c>
      <c r="K52" s="2013"/>
      <c r="L52" s="2013"/>
      <c r="M52" s="2013"/>
      <c r="N52" s="2013"/>
      <c r="O52" s="2013"/>
      <c r="P52" s="2013"/>
      <c r="Q52" s="2013"/>
      <c r="R52" s="2014">
        <v>0</v>
      </c>
      <c r="S52" s="2014"/>
      <c r="T52" s="2014"/>
      <c r="U52" s="2014"/>
      <c r="V52" s="2014"/>
      <c r="W52" s="2014"/>
      <c r="X52" s="2014"/>
      <c r="Y52" s="2014"/>
      <c r="Z52" s="2015">
        <v>0</v>
      </c>
      <c r="AA52" s="2015"/>
      <c r="AB52" s="2015"/>
      <c r="AC52" s="2015"/>
      <c r="AD52" s="2015"/>
      <c r="AE52" s="2015"/>
      <c r="AF52" s="2015"/>
      <c r="AG52" s="2015"/>
      <c r="AH52" s="2016"/>
      <c r="AI52" s="2016"/>
      <c r="AJ52" s="2016"/>
      <c r="AK52" s="2016"/>
      <c r="AL52" s="2016"/>
      <c r="AM52" s="2016"/>
      <c r="AN52" s="2016"/>
      <c r="AO52" s="2017"/>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4" t="s">
        <v>2403</v>
      </c>
      <c r="C53" s="1995"/>
      <c r="D53" s="1995"/>
      <c r="E53" s="1995"/>
      <c r="F53" s="1995"/>
      <c r="G53" s="1995"/>
      <c r="H53" s="1995"/>
      <c r="I53" s="1995"/>
      <c r="J53" s="2013">
        <v>0</v>
      </c>
      <c r="K53" s="2013"/>
      <c r="L53" s="2013"/>
      <c r="M53" s="2013"/>
      <c r="N53" s="2013"/>
      <c r="O53" s="2013"/>
      <c r="P53" s="2013"/>
      <c r="Q53" s="2013"/>
      <c r="R53" s="2014">
        <v>0</v>
      </c>
      <c r="S53" s="2014"/>
      <c r="T53" s="2014"/>
      <c r="U53" s="2014"/>
      <c r="V53" s="2014"/>
      <c r="W53" s="2014"/>
      <c r="X53" s="2014"/>
      <c r="Y53" s="2014"/>
      <c r="Z53" s="2015">
        <v>0</v>
      </c>
      <c r="AA53" s="2015"/>
      <c r="AB53" s="2015"/>
      <c r="AC53" s="2015"/>
      <c r="AD53" s="2015"/>
      <c r="AE53" s="2015"/>
      <c r="AF53" s="2015"/>
      <c r="AG53" s="2015"/>
      <c r="AH53" s="2016"/>
      <c r="AI53" s="2016"/>
      <c r="AJ53" s="2016"/>
      <c r="AK53" s="2016"/>
      <c r="AL53" s="2016"/>
      <c r="AM53" s="2016"/>
      <c r="AN53" s="2016"/>
      <c r="AO53" s="2017"/>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4"/>
      <c r="C54" s="1995"/>
      <c r="D54" s="1995"/>
      <c r="E54" s="1995"/>
      <c r="F54" s="1995"/>
      <c r="G54" s="1995"/>
      <c r="H54" s="1995"/>
      <c r="I54" s="1995"/>
      <c r="J54" s="2013"/>
      <c r="K54" s="2013"/>
      <c r="L54" s="2013"/>
      <c r="M54" s="2013"/>
      <c r="N54" s="2013"/>
      <c r="O54" s="2013"/>
      <c r="P54" s="2013"/>
      <c r="Q54" s="2013"/>
      <c r="R54" s="2014"/>
      <c r="S54" s="2014"/>
      <c r="T54" s="2014"/>
      <c r="U54" s="2014"/>
      <c r="V54" s="2014"/>
      <c r="W54" s="2014"/>
      <c r="X54" s="2014"/>
      <c r="Y54" s="2014"/>
      <c r="Z54" s="2015"/>
      <c r="AA54" s="2015"/>
      <c r="AB54" s="2015"/>
      <c r="AC54" s="2015"/>
      <c r="AD54" s="2015"/>
      <c r="AE54" s="2015"/>
      <c r="AF54" s="2015"/>
      <c r="AG54" s="2015"/>
      <c r="AH54" s="2016"/>
      <c r="AI54" s="2016"/>
      <c r="AJ54" s="2016"/>
      <c r="AK54" s="2016"/>
      <c r="AL54" s="2016"/>
      <c r="AM54" s="2016"/>
      <c r="AN54" s="2016"/>
      <c r="AO54" s="2017"/>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4"/>
      <c r="C55" s="1995"/>
      <c r="D55" s="1995"/>
      <c r="E55" s="1995"/>
      <c r="F55" s="1995"/>
      <c r="G55" s="1995"/>
      <c r="H55" s="1995"/>
      <c r="I55" s="1995"/>
      <c r="J55" s="2013"/>
      <c r="K55" s="2013"/>
      <c r="L55" s="2013"/>
      <c r="M55" s="2013"/>
      <c r="N55" s="2013"/>
      <c r="O55" s="2013"/>
      <c r="P55" s="2013"/>
      <c r="Q55" s="2013"/>
      <c r="R55" s="2014"/>
      <c r="S55" s="2014"/>
      <c r="T55" s="2014"/>
      <c r="U55" s="2014"/>
      <c r="V55" s="2014"/>
      <c r="W55" s="2014"/>
      <c r="X55" s="2014"/>
      <c r="Y55" s="2014"/>
      <c r="Z55" s="2015"/>
      <c r="AA55" s="2015"/>
      <c r="AB55" s="2015"/>
      <c r="AC55" s="2015"/>
      <c r="AD55" s="2015"/>
      <c r="AE55" s="2015"/>
      <c r="AF55" s="2015"/>
      <c r="AG55" s="2015"/>
      <c r="AH55" s="2016"/>
      <c r="AI55" s="2016"/>
      <c r="AJ55" s="2016"/>
      <c r="AK55" s="2016"/>
      <c r="AL55" s="2016"/>
      <c r="AM55" s="2016"/>
      <c r="AN55" s="2016"/>
      <c r="AO55" s="2017"/>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4"/>
      <c r="C56" s="1995"/>
      <c r="D56" s="1995"/>
      <c r="E56" s="1995"/>
      <c r="F56" s="1995"/>
      <c r="G56" s="1995"/>
      <c r="H56" s="1995"/>
      <c r="I56" s="1995"/>
      <c r="J56" s="2013"/>
      <c r="K56" s="2013"/>
      <c r="L56" s="2013"/>
      <c r="M56" s="2013"/>
      <c r="N56" s="2013"/>
      <c r="O56" s="2013"/>
      <c r="P56" s="2013"/>
      <c r="Q56" s="2013"/>
      <c r="R56" s="2014"/>
      <c r="S56" s="2014"/>
      <c r="T56" s="2014"/>
      <c r="U56" s="2014"/>
      <c r="V56" s="2014"/>
      <c r="W56" s="2014"/>
      <c r="X56" s="2014"/>
      <c r="Y56" s="2014"/>
      <c r="Z56" s="2015"/>
      <c r="AA56" s="2015"/>
      <c r="AB56" s="2015"/>
      <c r="AC56" s="2015"/>
      <c r="AD56" s="2015"/>
      <c r="AE56" s="2015"/>
      <c r="AF56" s="2015"/>
      <c r="AG56" s="2015"/>
      <c r="AH56" s="2016"/>
      <c r="AI56" s="2016"/>
      <c r="AJ56" s="2016"/>
      <c r="AK56" s="2016"/>
      <c r="AL56" s="2016"/>
      <c r="AM56" s="2016"/>
      <c r="AN56" s="2016"/>
      <c r="AO56" s="2017"/>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7" t="s">
        <v>1587</v>
      </c>
      <c r="C57" s="2028"/>
      <c r="D57" s="2028"/>
      <c r="E57" s="2028"/>
      <c r="F57" s="2028"/>
      <c r="G57" s="2028"/>
      <c r="H57" s="2028"/>
      <c r="I57" s="2028"/>
      <c r="J57" s="2028"/>
      <c r="K57" s="2028"/>
      <c r="L57" s="2028"/>
      <c r="M57" s="2028"/>
      <c r="N57" s="2028"/>
      <c r="O57" s="2028"/>
      <c r="P57" s="2028"/>
      <c r="Q57" s="2028"/>
      <c r="R57" s="2029">
        <f>SUM(R52:Y56)</f>
        <v>0</v>
      </c>
      <c r="S57" s="2029"/>
      <c r="T57" s="2029"/>
      <c r="U57" s="2029"/>
      <c r="V57" s="2029"/>
      <c r="W57" s="2029"/>
      <c r="X57" s="2029"/>
      <c r="Y57" s="2029"/>
      <c r="Z57" s="2030">
        <f>SUM(Z52:AG56)</f>
        <v>0</v>
      </c>
      <c r="AA57" s="2030"/>
      <c r="AB57" s="2030"/>
      <c r="AC57" s="2030"/>
      <c r="AD57" s="2030"/>
      <c r="AE57" s="2030"/>
      <c r="AF57" s="2030"/>
      <c r="AG57" s="2030"/>
      <c r="AH57" s="2031"/>
      <c r="AI57" s="2031"/>
      <c r="AJ57" s="2031"/>
      <c r="AK57" s="2031"/>
      <c r="AL57" s="2031"/>
      <c r="AM57" s="2031"/>
      <c r="AN57" s="2031"/>
      <c r="AO57" s="2032"/>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8" t="s">
        <v>2402</v>
      </c>
      <c r="C59" s="2019"/>
      <c r="D59" s="2019"/>
      <c r="E59" s="2019"/>
      <c r="F59" s="2019"/>
      <c r="G59" s="2019"/>
      <c r="H59" s="2019"/>
      <c r="I59" s="2020"/>
      <c r="J59" s="1912" t="s">
        <v>2401</v>
      </c>
      <c r="K59" s="1912"/>
      <c r="L59" s="1912"/>
      <c r="M59" s="1912"/>
      <c r="N59" s="1912"/>
      <c r="O59" s="1912"/>
      <c r="P59" s="1912"/>
      <c r="Q59" s="1912"/>
      <c r="R59" s="1912"/>
      <c r="S59" s="1912"/>
      <c r="T59" s="1912"/>
      <c r="U59" s="1912"/>
      <c r="V59" s="1912"/>
      <c r="W59" s="1912"/>
      <c r="X59" s="1912"/>
      <c r="Y59" s="1912"/>
      <c r="Z59" s="1912"/>
      <c r="AA59" s="1912"/>
      <c r="AB59" s="1912"/>
      <c r="AC59" s="1912"/>
      <c r="AD59" s="1912"/>
      <c r="AE59" s="1912"/>
      <c r="AF59" s="1912"/>
      <c r="AG59" s="1912"/>
      <c r="AH59" s="1912"/>
      <c r="AI59" s="1912"/>
      <c r="AJ59" s="1912"/>
      <c r="AK59" s="1912"/>
      <c r="AL59" s="1912"/>
      <c r="AM59" s="1912"/>
      <c r="AN59" s="1912"/>
      <c r="AO59" s="1912"/>
      <c r="AP59" s="1912"/>
      <c r="AQ59" s="1912"/>
      <c r="AR59" s="1912"/>
      <c r="AS59" s="1912"/>
      <c r="AT59" s="1912"/>
      <c r="AU59" s="1912"/>
      <c r="AV59" s="1912"/>
      <c r="AW59" s="1913"/>
      <c r="AX59" s="1190"/>
      <c r="AY59" s="1190"/>
      <c r="AZ59" s="1190"/>
      <c r="BA59" s="1190"/>
      <c r="BB59" s="1190"/>
      <c r="BC59" s="1190"/>
      <c r="BD59" s="1190"/>
      <c r="BE59" s="1194"/>
    </row>
    <row r="60" spans="1:77" ht="15.75" customHeight="1">
      <c r="A60" s="1190"/>
      <c r="B60" s="2021" t="str">
        <f>IF(B52="", "", B52)</f>
        <v>Services Company 1</v>
      </c>
      <c r="C60" s="2022"/>
      <c r="D60" s="2022"/>
      <c r="E60" s="2022"/>
      <c r="F60" s="2022"/>
      <c r="G60" s="2022"/>
      <c r="H60" s="2022"/>
      <c r="I60" s="2023"/>
      <c r="J60" s="2024"/>
      <c r="K60" s="2025"/>
      <c r="L60" s="2025"/>
      <c r="M60" s="2025"/>
      <c r="N60" s="2025"/>
      <c r="O60" s="2025"/>
      <c r="P60" s="2025"/>
      <c r="Q60" s="2025"/>
      <c r="R60" s="2025"/>
      <c r="S60" s="2025"/>
      <c r="T60" s="2025"/>
      <c r="U60" s="2025"/>
      <c r="V60" s="2025"/>
      <c r="W60" s="2025"/>
      <c r="X60" s="2025"/>
      <c r="Y60" s="2025"/>
      <c r="Z60" s="2025"/>
      <c r="AA60" s="2025"/>
      <c r="AB60" s="2025"/>
      <c r="AC60" s="2025"/>
      <c r="AD60" s="2025"/>
      <c r="AE60" s="2025"/>
      <c r="AF60" s="2025"/>
      <c r="AG60" s="2025"/>
      <c r="AH60" s="2025"/>
      <c r="AI60" s="2025"/>
      <c r="AJ60" s="2025"/>
      <c r="AK60" s="2025"/>
      <c r="AL60" s="2025"/>
      <c r="AM60" s="2025"/>
      <c r="AN60" s="2025"/>
      <c r="AO60" s="2025"/>
      <c r="AP60" s="2025"/>
      <c r="AQ60" s="2025"/>
      <c r="AR60" s="2025"/>
      <c r="AS60" s="2025"/>
      <c r="AT60" s="2025"/>
      <c r="AU60" s="2025"/>
      <c r="AV60" s="2025"/>
      <c r="AW60" s="2026"/>
      <c r="AX60" s="1190"/>
      <c r="AY60" s="1190"/>
      <c r="AZ60" s="1190"/>
      <c r="BA60" s="1190"/>
      <c r="BB60" s="1190"/>
      <c r="BC60" s="1190"/>
      <c r="BD60" s="1190"/>
      <c r="BE60" s="1194"/>
    </row>
    <row r="61" spans="1:77" ht="15.75" customHeight="1">
      <c r="A61" s="1190"/>
      <c r="B61" s="2021" t="str">
        <f>IF(B53="", "", B53)</f>
        <v>Services Company 2</v>
      </c>
      <c r="C61" s="2022"/>
      <c r="D61" s="2022"/>
      <c r="E61" s="2022"/>
      <c r="F61" s="2022"/>
      <c r="G61" s="2022"/>
      <c r="H61" s="2022"/>
      <c r="I61" s="2023"/>
      <c r="J61" s="2024"/>
      <c r="K61" s="2025"/>
      <c r="L61" s="2025"/>
      <c r="M61" s="2025"/>
      <c r="N61" s="2025"/>
      <c r="O61" s="2025"/>
      <c r="P61" s="2025"/>
      <c r="Q61" s="2025"/>
      <c r="R61" s="2025"/>
      <c r="S61" s="2025"/>
      <c r="T61" s="2025"/>
      <c r="U61" s="2025"/>
      <c r="V61" s="2025"/>
      <c r="W61" s="2025"/>
      <c r="X61" s="2025"/>
      <c r="Y61" s="2025"/>
      <c r="Z61" s="2025"/>
      <c r="AA61" s="2025"/>
      <c r="AB61" s="2025"/>
      <c r="AC61" s="2025"/>
      <c r="AD61" s="2025"/>
      <c r="AE61" s="2025"/>
      <c r="AF61" s="2025"/>
      <c r="AG61" s="2025"/>
      <c r="AH61" s="2025"/>
      <c r="AI61" s="2025"/>
      <c r="AJ61" s="2025"/>
      <c r="AK61" s="2025"/>
      <c r="AL61" s="2025"/>
      <c r="AM61" s="2025"/>
      <c r="AN61" s="2025"/>
      <c r="AO61" s="2025"/>
      <c r="AP61" s="2025"/>
      <c r="AQ61" s="2025"/>
      <c r="AR61" s="2025"/>
      <c r="AS61" s="2025"/>
      <c r="AT61" s="2025"/>
      <c r="AU61" s="2025"/>
      <c r="AV61" s="2025"/>
      <c r="AW61" s="2026"/>
      <c r="AX61" s="1190"/>
      <c r="AY61" s="1190"/>
      <c r="AZ61" s="1190"/>
      <c r="BA61" s="1190"/>
      <c r="BB61" s="1190"/>
      <c r="BC61" s="1190"/>
      <c r="BD61" s="1190"/>
      <c r="BE61" s="1194"/>
    </row>
    <row r="62" spans="1:77" ht="15.75" customHeight="1">
      <c r="A62" s="1190"/>
      <c r="B62" s="2021" t="str">
        <f>IF(B54="", "", B54)</f>
        <v/>
      </c>
      <c r="C62" s="2022"/>
      <c r="D62" s="2022"/>
      <c r="E62" s="2022"/>
      <c r="F62" s="2022"/>
      <c r="G62" s="2022"/>
      <c r="H62" s="2022"/>
      <c r="I62" s="2023"/>
      <c r="J62" s="2024"/>
      <c r="K62" s="2025"/>
      <c r="L62" s="2025"/>
      <c r="M62" s="2025"/>
      <c r="N62" s="2025"/>
      <c r="O62" s="2025"/>
      <c r="P62" s="2025"/>
      <c r="Q62" s="2025"/>
      <c r="R62" s="2025"/>
      <c r="S62" s="2025"/>
      <c r="T62" s="2025"/>
      <c r="U62" s="2025"/>
      <c r="V62" s="2025"/>
      <c r="W62" s="2025"/>
      <c r="X62" s="2025"/>
      <c r="Y62" s="2025"/>
      <c r="Z62" s="2025"/>
      <c r="AA62" s="2025"/>
      <c r="AB62" s="2025"/>
      <c r="AC62" s="2025"/>
      <c r="AD62" s="2025"/>
      <c r="AE62" s="2025"/>
      <c r="AF62" s="2025"/>
      <c r="AG62" s="2025"/>
      <c r="AH62" s="2025"/>
      <c r="AI62" s="2025"/>
      <c r="AJ62" s="2025"/>
      <c r="AK62" s="2025"/>
      <c r="AL62" s="2025"/>
      <c r="AM62" s="2025"/>
      <c r="AN62" s="2025"/>
      <c r="AO62" s="2025"/>
      <c r="AP62" s="2025"/>
      <c r="AQ62" s="2025"/>
      <c r="AR62" s="2025"/>
      <c r="AS62" s="2025"/>
      <c r="AT62" s="2025"/>
      <c r="AU62" s="2025"/>
      <c r="AV62" s="2025"/>
      <c r="AW62" s="2026"/>
      <c r="AX62" s="1190"/>
      <c r="AY62" s="1190"/>
      <c r="AZ62" s="1190"/>
      <c r="BA62" s="1190"/>
      <c r="BB62" s="1190"/>
      <c r="BC62" s="1190"/>
      <c r="BD62" s="1190"/>
      <c r="BE62" s="1194"/>
    </row>
    <row r="63" spans="1:77" ht="15.75" customHeight="1">
      <c r="A63" s="1190"/>
      <c r="B63" s="2021" t="str">
        <f>IF(B55="", "", B55)</f>
        <v/>
      </c>
      <c r="C63" s="2022"/>
      <c r="D63" s="2022"/>
      <c r="E63" s="2022"/>
      <c r="F63" s="2022"/>
      <c r="G63" s="2022"/>
      <c r="H63" s="2022"/>
      <c r="I63" s="2023"/>
      <c r="J63" s="2024"/>
      <c r="K63" s="2025"/>
      <c r="L63" s="2025"/>
      <c r="M63" s="2025"/>
      <c r="N63" s="2025"/>
      <c r="O63" s="2025"/>
      <c r="P63" s="2025"/>
      <c r="Q63" s="2025"/>
      <c r="R63" s="2025"/>
      <c r="S63" s="2025"/>
      <c r="T63" s="2025"/>
      <c r="U63" s="2025"/>
      <c r="V63" s="2025"/>
      <c r="W63" s="2025"/>
      <c r="X63" s="2025"/>
      <c r="Y63" s="2025"/>
      <c r="Z63" s="2025"/>
      <c r="AA63" s="2025"/>
      <c r="AB63" s="2025"/>
      <c r="AC63" s="2025"/>
      <c r="AD63" s="2025"/>
      <c r="AE63" s="2025"/>
      <c r="AF63" s="2025"/>
      <c r="AG63" s="2025"/>
      <c r="AH63" s="2025"/>
      <c r="AI63" s="2025"/>
      <c r="AJ63" s="2025"/>
      <c r="AK63" s="2025"/>
      <c r="AL63" s="2025"/>
      <c r="AM63" s="2025"/>
      <c r="AN63" s="2025"/>
      <c r="AO63" s="2025"/>
      <c r="AP63" s="2025"/>
      <c r="AQ63" s="2025"/>
      <c r="AR63" s="2025"/>
      <c r="AS63" s="2025"/>
      <c r="AT63" s="2025"/>
      <c r="AU63" s="2025"/>
      <c r="AV63" s="2025"/>
      <c r="AW63" s="2026"/>
      <c r="AX63" s="1190"/>
      <c r="AY63" s="1190"/>
      <c r="AZ63" s="1190"/>
      <c r="BA63" s="1190"/>
      <c r="BB63" s="1190"/>
      <c r="BC63" s="1190"/>
      <c r="BD63" s="1190"/>
      <c r="BE63" s="1194"/>
    </row>
    <row r="64" spans="1:77" ht="15.75" customHeight="1" thickBot="1">
      <c r="A64" s="1190"/>
      <c r="B64" s="2043" t="str">
        <f>IF(B56="", "", B56)</f>
        <v/>
      </c>
      <c r="C64" s="2044"/>
      <c r="D64" s="2044"/>
      <c r="E64" s="2044"/>
      <c r="F64" s="2044"/>
      <c r="G64" s="2044"/>
      <c r="H64" s="2044"/>
      <c r="I64" s="2045"/>
      <c r="J64" s="2046"/>
      <c r="K64" s="2047"/>
      <c r="L64" s="2047"/>
      <c r="M64" s="2047"/>
      <c r="N64" s="2047"/>
      <c r="O64" s="2047"/>
      <c r="P64" s="2047"/>
      <c r="Q64" s="2047"/>
      <c r="R64" s="2047"/>
      <c r="S64" s="2047"/>
      <c r="T64" s="2047"/>
      <c r="U64" s="2047"/>
      <c r="V64" s="2047"/>
      <c r="W64" s="2047"/>
      <c r="X64" s="2047"/>
      <c r="Y64" s="2047"/>
      <c r="Z64" s="2047"/>
      <c r="AA64" s="2047"/>
      <c r="AB64" s="2047"/>
      <c r="AC64" s="2047"/>
      <c r="AD64" s="2047"/>
      <c r="AE64" s="2047"/>
      <c r="AF64" s="2047"/>
      <c r="AG64" s="2047"/>
      <c r="AH64" s="2047"/>
      <c r="AI64" s="2047"/>
      <c r="AJ64" s="2047"/>
      <c r="AK64" s="2047"/>
      <c r="AL64" s="2047"/>
      <c r="AM64" s="2047"/>
      <c r="AN64" s="2047"/>
      <c r="AO64" s="2047"/>
      <c r="AP64" s="2047"/>
      <c r="AQ64" s="2047"/>
      <c r="AR64" s="2047"/>
      <c r="AS64" s="2047"/>
      <c r="AT64" s="2047"/>
      <c r="AU64" s="2047"/>
      <c r="AV64" s="2047"/>
      <c r="AW64" s="2048"/>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1" t="s">
        <v>2399</v>
      </c>
      <c r="C68" s="1912"/>
      <c r="D68" s="1912"/>
      <c r="E68" s="1912"/>
      <c r="F68" s="1912"/>
      <c r="G68" s="1912"/>
      <c r="H68" s="1912"/>
      <c r="I68" s="1912"/>
      <c r="J68" s="1912"/>
      <c r="K68" s="1912"/>
      <c r="L68" s="1912"/>
      <c r="M68" s="1912"/>
      <c r="N68" s="1912"/>
      <c r="O68" s="1912"/>
      <c r="P68" s="1912"/>
      <c r="Q68" s="1912"/>
      <c r="R68" s="1912"/>
      <c r="S68" s="1912"/>
      <c r="T68" s="1912"/>
      <c r="U68" s="1912"/>
      <c r="V68" s="1912"/>
      <c r="W68" s="1912"/>
      <c r="X68" s="1912"/>
      <c r="Y68" s="1912"/>
      <c r="Z68" s="1912"/>
      <c r="AA68" s="1913"/>
      <c r="AB68" s="1190"/>
      <c r="AC68" s="2055" t="s">
        <v>2398</v>
      </c>
      <c r="AD68" s="2056"/>
      <c r="AE68" s="2056"/>
      <c r="AF68" s="2056"/>
      <c r="AG68" s="2056"/>
      <c r="AH68" s="2056"/>
      <c r="AI68" s="2056"/>
      <c r="AJ68" s="2056"/>
      <c r="AK68" s="2056"/>
      <c r="AL68" s="2056"/>
      <c r="AM68" s="2056"/>
      <c r="AN68" s="2056"/>
      <c r="AO68" s="2056"/>
      <c r="AP68" s="2056"/>
      <c r="AQ68" s="2056"/>
      <c r="AR68" s="2056"/>
      <c r="AS68" s="2056"/>
      <c r="AT68" s="2056"/>
      <c r="AU68" s="2056"/>
      <c r="AV68" s="2033" t="s">
        <v>670</v>
      </c>
      <c r="AW68" s="2034"/>
      <c r="AX68" s="2034"/>
      <c r="AY68" s="2034"/>
      <c r="AZ68" s="2034"/>
      <c r="BA68" s="2034"/>
      <c r="BB68" s="2034"/>
      <c r="BC68" s="2035"/>
      <c r="BD68" s="1190"/>
      <c r="BE68" s="1194"/>
      <c r="BM68" s="1199" t="s">
        <v>2397</v>
      </c>
    </row>
    <row r="69" spans="1:94" ht="15.75" customHeight="1" thickTop="1" thickBot="1">
      <c r="A69" s="1190"/>
      <c r="B69" s="2036" t="s">
        <v>2396</v>
      </c>
      <c r="C69" s="2037"/>
      <c r="D69" s="2037"/>
      <c r="E69" s="2037"/>
      <c r="F69" s="2037"/>
      <c r="G69" s="2037"/>
      <c r="H69" s="2037"/>
      <c r="I69" s="2037"/>
      <c r="J69" s="2037"/>
      <c r="K69" s="2037"/>
      <c r="L69" s="2037"/>
      <c r="M69" s="2037"/>
      <c r="N69" s="2037"/>
      <c r="O69" s="2038" t="s">
        <v>2395</v>
      </c>
      <c r="P69" s="2039"/>
      <c r="Q69" s="2039"/>
      <c r="R69" s="2039"/>
      <c r="S69" s="2039"/>
      <c r="T69" s="2039"/>
      <c r="U69" s="2039"/>
      <c r="V69" s="2039"/>
      <c r="W69" s="2039"/>
      <c r="X69" s="2039"/>
      <c r="Y69" s="2039"/>
      <c r="Z69" s="2039"/>
      <c r="AA69" s="2040"/>
      <c r="AB69" s="1190"/>
      <c r="AC69" s="2041" t="s">
        <v>2394</v>
      </c>
      <c r="AD69" s="2042"/>
      <c r="AE69" s="2042"/>
      <c r="AF69" s="2042"/>
      <c r="AG69" s="2042"/>
      <c r="AH69" s="2042"/>
      <c r="AI69" s="2042"/>
      <c r="AJ69" s="2042"/>
      <c r="AK69" s="2042"/>
      <c r="AL69" s="2042"/>
      <c r="AM69" s="2042"/>
      <c r="AN69" s="2042"/>
      <c r="AO69" s="2042"/>
      <c r="AP69" s="2042"/>
      <c r="AQ69" s="2042"/>
      <c r="AR69" s="2042"/>
      <c r="AS69" s="2042"/>
      <c r="AT69" s="2042"/>
      <c r="AU69" s="2042"/>
      <c r="AV69" s="2033" t="s">
        <v>670</v>
      </c>
      <c r="AW69" s="2034"/>
      <c r="AX69" s="2034"/>
      <c r="AY69" s="2034"/>
      <c r="AZ69" s="2034"/>
      <c r="BA69" s="2034"/>
      <c r="BB69" s="2034"/>
      <c r="BC69" s="2035"/>
      <c r="BD69" s="1190"/>
      <c r="BE69" s="1194"/>
      <c r="BM69" s="1200" t="s">
        <v>546</v>
      </c>
    </row>
    <row r="70" spans="1:94" ht="15.75" customHeight="1">
      <c r="A70" s="1190"/>
      <c r="B70" s="1990" t="s">
        <v>2393</v>
      </c>
      <c r="C70" s="1991"/>
      <c r="D70" s="1991"/>
      <c r="E70" s="1991"/>
      <c r="F70" s="1991"/>
      <c r="G70" s="1991"/>
      <c r="H70" s="1991"/>
      <c r="I70" s="1991"/>
      <c r="J70" s="1991"/>
      <c r="K70" s="1991"/>
      <c r="L70" s="1991"/>
      <c r="M70" s="1991"/>
      <c r="N70" s="1991"/>
      <c r="O70" s="2049">
        <v>0</v>
      </c>
      <c r="P70" s="2049"/>
      <c r="Q70" s="2049"/>
      <c r="R70" s="2049"/>
      <c r="S70" s="2049"/>
      <c r="T70" s="2049"/>
      <c r="U70" s="2049"/>
      <c r="V70" s="2049"/>
      <c r="W70" s="2049"/>
      <c r="X70" s="2049"/>
      <c r="Y70" s="2049"/>
      <c r="Z70" s="2049"/>
      <c r="AA70" s="2050"/>
      <c r="AB70" s="1190"/>
      <c r="AC70" s="2006" t="s">
        <v>2392</v>
      </c>
      <c r="AD70" s="2007"/>
      <c r="AE70" s="2007"/>
      <c r="AF70" s="2051"/>
      <c r="AG70" s="2051"/>
      <c r="AH70" s="2051"/>
      <c r="AI70" s="2051"/>
      <c r="AJ70" s="2051"/>
      <c r="AK70" s="2051"/>
      <c r="AL70" s="2051"/>
      <c r="AM70" s="2051"/>
      <c r="AN70" s="2051"/>
      <c r="AO70" s="2051"/>
      <c r="AP70" s="2051"/>
      <c r="AQ70" s="2051"/>
      <c r="AR70" s="2051"/>
      <c r="AS70" s="2051"/>
      <c r="AT70" s="2051"/>
      <c r="AU70" s="2052"/>
      <c r="AV70" s="1190"/>
      <c r="AW70" s="1190"/>
      <c r="AX70" s="1190"/>
      <c r="AY70" s="1190"/>
      <c r="AZ70" s="1190"/>
      <c r="BA70" s="1190"/>
      <c r="BB70" s="1190"/>
      <c r="BC70" s="1190"/>
      <c r="BD70" s="1190"/>
      <c r="BE70" s="1194"/>
      <c r="BM70" s="1201" t="s">
        <v>670</v>
      </c>
    </row>
    <row r="71" spans="1:94" ht="15.75" customHeight="1" thickBot="1">
      <c r="A71" s="1190"/>
      <c r="B71" s="1990" t="s">
        <v>2391</v>
      </c>
      <c r="C71" s="1991"/>
      <c r="D71" s="1991"/>
      <c r="E71" s="1991"/>
      <c r="F71" s="1991"/>
      <c r="G71" s="1991"/>
      <c r="H71" s="1991"/>
      <c r="I71" s="1991"/>
      <c r="J71" s="1991"/>
      <c r="K71" s="1991"/>
      <c r="L71" s="1991"/>
      <c r="M71" s="1991"/>
      <c r="N71" s="1991"/>
      <c r="O71" s="2049">
        <v>0</v>
      </c>
      <c r="P71" s="2049"/>
      <c r="Q71" s="2049"/>
      <c r="R71" s="2049"/>
      <c r="S71" s="2049"/>
      <c r="T71" s="2049"/>
      <c r="U71" s="2049"/>
      <c r="V71" s="2049"/>
      <c r="W71" s="2049"/>
      <c r="X71" s="2049"/>
      <c r="Y71" s="2049"/>
      <c r="Z71" s="2049"/>
      <c r="AA71" s="2050"/>
      <c r="AB71" s="1190"/>
      <c r="AC71" s="2053" t="s">
        <v>2390</v>
      </c>
      <c r="AD71" s="2054"/>
      <c r="AE71" s="2054"/>
      <c r="AF71" s="2047"/>
      <c r="AG71" s="2047"/>
      <c r="AH71" s="2047"/>
      <c r="AI71" s="2047"/>
      <c r="AJ71" s="2047"/>
      <c r="AK71" s="2047"/>
      <c r="AL71" s="2047"/>
      <c r="AM71" s="2047"/>
      <c r="AN71" s="2047"/>
      <c r="AO71" s="2047"/>
      <c r="AP71" s="2047"/>
      <c r="AQ71" s="2047"/>
      <c r="AR71" s="2047"/>
      <c r="AS71" s="2047"/>
      <c r="AT71" s="2047"/>
      <c r="AU71" s="2048"/>
      <c r="AV71" s="1190"/>
      <c r="AW71" s="1190"/>
      <c r="AX71" s="1190"/>
      <c r="AY71" s="1190"/>
      <c r="AZ71" s="1190"/>
      <c r="BA71" s="1190"/>
      <c r="BB71" s="1190"/>
      <c r="BC71" s="1190"/>
      <c r="BD71" s="1190"/>
      <c r="BE71" s="1194"/>
      <c r="BM71" s="1187" t="s">
        <v>2389</v>
      </c>
    </row>
    <row r="72" spans="1:94" ht="15.75" customHeight="1">
      <c r="A72" s="1190"/>
      <c r="B72" s="1990" t="s">
        <v>2388</v>
      </c>
      <c r="C72" s="1991"/>
      <c r="D72" s="1991"/>
      <c r="E72" s="1991"/>
      <c r="F72" s="1991"/>
      <c r="G72" s="1991"/>
      <c r="H72" s="1991"/>
      <c r="I72" s="1991"/>
      <c r="J72" s="1991"/>
      <c r="K72" s="1991"/>
      <c r="L72" s="1991"/>
      <c r="M72" s="1991"/>
      <c r="N72" s="1991"/>
      <c r="O72" s="2049">
        <v>0</v>
      </c>
      <c r="P72" s="2049"/>
      <c r="Q72" s="2049"/>
      <c r="R72" s="2049"/>
      <c r="S72" s="2049"/>
      <c r="T72" s="2049"/>
      <c r="U72" s="2049"/>
      <c r="V72" s="2049"/>
      <c r="W72" s="2049"/>
      <c r="X72" s="2049"/>
      <c r="Y72" s="2049"/>
      <c r="Z72" s="2049"/>
      <c r="AA72" s="2050"/>
      <c r="AB72" s="1190"/>
      <c r="AC72" s="2073" t="s">
        <v>2387</v>
      </c>
      <c r="AD72" s="2074"/>
      <c r="AE72" s="2074"/>
      <c r="AF72" s="2074"/>
      <c r="AG72" s="2074"/>
      <c r="AH72" s="2074"/>
      <c r="AI72" s="2074"/>
      <c r="AJ72" s="2074"/>
      <c r="AK72" s="2074"/>
      <c r="AL72" s="2074"/>
      <c r="AM72" s="2074"/>
      <c r="AN72" s="2074"/>
      <c r="AO72" s="2074"/>
      <c r="AP72" s="2074"/>
      <c r="AQ72" s="2074"/>
      <c r="AR72" s="2074"/>
      <c r="AS72" s="2074"/>
      <c r="AT72" s="2074"/>
      <c r="AU72" s="2074"/>
      <c r="AV72" s="2007"/>
      <c r="AW72" s="2007"/>
      <c r="AX72" s="2007"/>
      <c r="AY72" s="2007"/>
      <c r="AZ72" s="2007"/>
      <c r="BA72" s="2007"/>
      <c r="BB72" s="2007"/>
      <c r="BC72" s="2008"/>
      <c r="BD72" s="1190"/>
      <c r="BE72" s="1194"/>
    </row>
    <row r="73" spans="1:94" ht="15.75" customHeight="1">
      <c r="A73" s="1190"/>
      <c r="B73" s="1994" t="s">
        <v>2386</v>
      </c>
      <c r="C73" s="1995"/>
      <c r="D73" s="1995"/>
      <c r="E73" s="1995"/>
      <c r="F73" s="1995"/>
      <c r="G73" s="1995"/>
      <c r="H73" s="1995"/>
      <c r="I73" s="1995"/>
      <c r="J73" s="1995"/>
      <c r="K73" s="1995"/>
      <c r="L73" s="1995"/>
      <c r="M73" s="1995"/>
      <c r="N73" s="1995"/>
      <c r="O73" s="2049">
        <v>0</v>
      </c>
      <c r="P73" s="2049"/>
      <c r="Q73" s="2049"/>
      <c r="R73" s="2049"/>
      <c r="S73" s="2049"/>
      <c r="T73" s="2049"/>
      <c r="U73" s="2049"/>
      <c r="V73" s="2049"/>
      <c r="W73" s="2049"/>
      <c r="X73" s="2049"/>
      <c r="Y73" s="2049"/>
      <c r="Z73" s="2049"/>
      <c r="AA73" s="2050"/>
      <c r="AB73" s="1190"/>
      <c r="AC73" s="2075" t="s">
        <v>2331</v>
      </c>
      <c r="AD73" s="2076"/>
      <c r="AE73" s="2076"/>
      <c r="AF73" s="2076"/>
      <c r="AG73" s="2076"/>
      <c r="AH73" s="2076"/>
      <c r="AI73" s="2076"/>
      <c r="AJ73" s="2076"/>
      <c r="AK73" s="2076"/>
      <c r="AL73" s="2076"/>
      <c r="AM73" s="2076"/>
      <c r="AN73" s="2076"/>
      <c r="AO73" s="2076"/>
      <c r="AP73" s="2076"/>
      <c r="AQ73" s="2076"/>
      <c r="AR73" s="2076"/>
      <c r="AS73" s="2076"/>
      <c r="AT73" s="2076"/>
      <c r="AU73" s="2076"/>
      <c r="AV73" s="2076"/>
      <c r="AW73" s="2076"/>
      <c r="AX73" s="2076"/>
      <c r="AY73" s="2076"/>
      <c r="AZ73" s="2076"/>
      <c r="BA73" s="2076"/>
      <c r="BB73" s="2076"/>
      <c r="BC73" s="2077"/>
      <c r="BD73" s="1190"/>
      <c r="BE73" s="1194"/>
      <c r="CK73" s="1188"/>
      <c r="CL73" s="1188"/>
      <c r="CM73" s="1188"/>
      <c r="CN73" s="1188"/>
      <c r="CO73" s="1188"/>
      <c r="CP73" s="1188"/>
    </row>
    <row r="74" spans="1:94" ht="15.75" customHeight="1">
      <c r="A74" s="1190"/>
      <c r="B74" s="2081"/>
      <c r="C74" s="2013"/>
      <c r="D74" s="2013"/>
      <c r="E74" s="2013"/>
      <c r="F74" s="2013"/>
      <c r="G74" s="2013"/>
      <c r="H74" s="2013"/>
      <c r="I74" s="2013"/>
      <c r="J74" s="2013"/>
      <c r="K74" s="2013"/>
      <c r="L74" s="2013"/>
      <c r="M74" s="2013"/>
      <c r="N74" s="2013"/>
      <c r="O74" s="2049"/>
      <c r="P74" s="2049"/>
      <c r="Q74" s="2049"/>
      <c r="R74" s="2049"/>
      <c r="S74" s="2049"/>
      <c r="T74" s="2049"/>
      <c r="U74" s="2049"/>
      <c r="V74" s="2049"/>
      <c r="W74" s="2049"/>
      <c r="X74" s="2049"/>
      <c r="Y74" s="2049"/>
      <c r="Z74" s="2049"/>
      <c r="AA74" s="2050"/>
      <c r="AB74" s="1190"/>
      <c r="AC74" s="2075"/>
      <c r="AD74" s="2076"/>
      <c r="AE74" s="2076"/>
      <c r="AF74" s="2076"/>
      <c r="AG74" s="2076"/>
      <c r="AH74" s="2076"/>
      <c r="AI74" s="2076"/>
      <c r="AJ74" s="2076"/>
      <c r="AK74" s="2076"/>
      <c r="AL74" s="2076"/>
      <c r="AM74" s="2076"/>
      <c r="AN74" s="2076"/>
      <c r="AO74" s="2076"/>
      <c r="AP74" s="2076"/>
      <c r="AQ74" s="2076"/>
      <c r="AR74" s="2076"/>
      <c r="AS74" s="2076"/>
      <c r="AT74" s="2076"/>
      <c r="AU74" s="2076"/>
      <c r="AV74" s="2076"/>
      <c r="AW74" s="2076"/>
      <c r="AX74" s="2076"/>
      <c r="AY74" s="2076"/>
      <c r="AZ74" s="2076"/>
      <c r="BA74" s="2076"/>
      <c r="BB74" s="2076"/>
      <c r="BC74" s="2077"/>
      <c r="BD74" s="1190"/>
      <c r="BE74" s="1194"/>
      <c r="CK74" s="1188"/>
      <c r="CL74" s="1188"/>
      <c r="CM74" s="1188"/>
      <c r="CN74" s="1188"/>
      <c r="CO74" s="1188"/>
      <c r="CP74" s="1188"/>
    </row>
    <row r="75" spans="1:94" ht="15.75" customHeight="1" thickBot="1">
      <c r="A75" s="1190"/>
      <c r="B75" s="2082" t="s">
        <v>124</v>
      </c>
      <c r="C75" s="2083"/>
      <c r="D75" s="2083"/>
      <c r="E75" s="2083"/>
      <c r="F75" s="2083"/>
      <c r="G75" s="2083"/>
      <c r="H75" s="2083"/>
      <c r="I75" s="2083"/>
      <c r="J75" s="2083"/>
      <c r="K75" s="2083"/>
      <c r="L75" s="2083"/>
      <c r="M75" s="2083"/>
      <c r="N75" s="2083"/>
      <c r="O75" s="2084">
        <f>SUM(O70:AA74)</f>
        <v>0</v>
      </c>
      <c r="P75" s="2084"/>
      <c r="Q75" s="2084"/>
      <c r="R75" s="2084"/>
      <c r="S75" s="2084"/>
      <c r="T75" s="2084"/>
      <c r="U75" s="2084"/>
      <c r="V75" s="2084"/>
      <c r="W75" s="2084"/>
      <c r="X75" s="2084"/>
      <c r="Y75" s="2084"/>
      <c r="Z75" s="2084"/>
      <c r="AA75" s="2085"/>
      <c r="AB75" s="1190"/>
      <c r="AC75" s="2075"/>
      <c r="AD75" s="2076"/>
      <c r="AE75" s="2076"/>
      <c r="AF75" s="2076"/>
      <c r="AG75" s="2076"/>
      <c r="AH75" s="2076"/>
      <c r="AI75" s="2076"/>
      <c r="AJ75" s="2076"/>
      <c r="AK75" s="2076"/>
      <c r="AL75" s="2076"/>
      <c r="AM75" s="2076"/>
      <c r="AN75" s="2076"/>
      <c r="AO75" s="2076"/>
      <c r="AP75" s="2076"/>
      <c r="AQ75" s="2076"/>
      <c r="AR75" s="2076"/>
      <c r="AS75" s="2076"/>
      <c r="AT75" s="2076"/>
      <c r="AU75" s="2076"/>
      <c r="AV75" s="2076"/>
      <c r="AW75" s="2076"/>
      <c r="AX75" s="2076"/>
      <c r="AY75" s="2076"/>
      <c r="AZ75" s="2076"/>
      <c r="BA75" s="2076"/>
      <c r="BB75" s="2076"/>
      <c r="BC75" s="2077"/>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5"/>
      <c r="AD76" s="2076"/>
      <c r="AE76" s="2076"/>
      <c r="AF76" s="2076"/>
      <c r="AG76" s="2076"/>
      <c r="AH76" s="2076"/>
      <c r="AI76" s="2076"/>
      <c r="AJ76" s="2076"/>
      <c r="AK76" s="2076"/>
      <c r="AL76" s="2076"/>
      <c r="AM76" s="2076"/>
      <c r="AN76" s="2076"/>
      <c r="AO76" s="2076"/>
      <c r="AP76" s="2076"/>
      <c r="AQ76" s="2076"/>
      <c r="AR76" s="2076"/>
      <c r="AS76" s="2076"/>
      <c r="AT76" s="2076"/>
      <c r="AU76" s="2076"/>
      <c r="AV76" s="2076"/>
      <c r="AW76" s="2076"/>
      <c r="AX76" s="2076"/>
      <c r="AY76" s="2076"/>
      <c r="AZ76" s="2076"/>
      <c r="BA76" s="2076"/>
      <c r="BB76" s="2076"/>
      <c r="BC76" s="2077"/>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8"/>
      <c r="AD77" s="2079"/>
      <c r="AE77" s="2079"/>
      <c r="AF77" s="2079"/>
      <c r="AG77" s="2079"/>
      <c r="AH77" s="2079"/>
      <c r="AI77" s="2079"/>
      <c r="AJ77" s="2079"/>
      <c r="AK77" s="2079"/>
      <c r="AL77" s="2079"/>
      <c r="AM77" s="2079"/>
      <c r="AN77" s="2079"/>
      <c r="AO77" s="2079"/>
      <c r="AP77" s="2079"/>
      <c r="AQ77" s="2079"/>
      <c r="AR77" s="2079"/>
      <c r="AS77" s="2079"/>
      <c r="AT77" s="2079"/>
      <c r="AU77" s="2079"/>
      <c r="AV77" s="2079"/>
      <c r="AW77" s="2079"/>
      <c r="AX77" s="2079"/>
      <c r="AY77" s="2079"/>
      <c r="AZ77" s="2079"/>
      <c r="BA77" s="2079"/>
      <c r="BB77" s="2079"/>
      <c r="BC77" s="2080"/>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057"/>
      <c r="G79" s="2058"/>
      <c r="H79" s="2058"/>
      <c r="I79" s="2058"/>
      <c r="J79" s="2058"/>
      <c r="K79" s="2058"/>
      <c r="L79" s="2058"/>
      <c r="M79" s="2058"/>
      <c r="N79" s="2058"/>
      <c r="O79" s="2058"/>
      <c r="P79" s="2058"/>
      <c r="Q79" s="2058"/>
      <c r="R79" s="2058"/>
      <c r="S79" s="2058"/>
      <c r="T79" s="2059"/>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0" t="s">
        <v>2384</v>
      </c>
      <c r="C80" s="2061"/>
      <c r="D80" s="2061"/>
      <c r="E80" s="2061"/>
      <c r="F80" s="2061"/>
      <c r="G80" s="2061"/>
      <c r="H80" s="2061"/>
      <c r="I80" s="2061"/>
      <c r="J80" s="2061"/>
      <c r="K80" s="2061"/>
      <c r="L80" s="2061"/>
      <c r="M80" s="2061"/>
      <c r="N80" s="2061"/>
      <c r="O80" s="2061"/>
      <c r="P80" s="2061"/>
      <c r="Q80" s="2061"/>
      <c r="R80" s="2062" t="str">
        <f>IFERROR(INDEX(BR96:BR98,MATCH(F79,$BQ$96:$BQ$98,0))/SUM($BR$96:$BR$98),"")</f>
        <v/>
      </c>
      <c r="S80" s="2063"/>
      <c r="T80" s="2064"/>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5" t="s">
        <v>2383</v>
      </c>
      <c r="C81" s="2066"/>
      <c r="D81" s="2066"/>
      <c r="E81" s="2066"/>
      <c r="F81" s="2066"/>
      <c r="G81" s="2066"/>
      <c r="H81" s="2066"/>
      <c r="I81" s="2066"/>
      <c r="J81" s="2066"/>
      <c r="K81" s="2066"/>
      <c r="L81" s="2066"/>
      <c r="M81" s="2066"/>
      <c r="N81" s="2066"/>
      <c r="O81" s="2066"/>
      <c r="P81" s="2066"/>
      <c r="Q81" s="2066"/>
      <c r="R81" s="2067" t="s">
        <v>2189</v>
      </c>
      <c r="S81" s="2068"/>
      <c r="T81" s="2069"/>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0" t="s">
        <v>2382</v>
      </c>
      <c r="C83" s="2071"/>
      <c r="D83" s="2071"/>
      <c r="E83" s="2071"/>
      <c r="F83" s="2071"/>
      <c r="G83" s="2071"/>
      <c r="H83" s="2071"/>
      <c r="I83" s="2071"/>
      <c r="J83" s="2071"/>
      <c r="K83" s="2071"/>
      <c r="L83" s="2071"/>
      <c r="M83" s="2071"/>
      <c r="N83" s="2071"/>
      <c r="O83" s="2071"/>
      <c r="P83" s="2071"/>
      <c r="Q83" s="2071"/>
      <c r="R83" s="2071"/>
      <c r="S83" s="2071"/>
      <c r="T83" s="2071"/>
      <c r="U83" s="2071"/>
      <c r="V83" s="2071"/>
      <c r="W83" s="2071"/>
      <c r="X83" s="2071"/>
      <c r="Y83" s="2071"/>
      <c r="Z83" s="2071"/>
      <c r="AA83" s="2071"/>
      <c r="AB83" s="2071"/>
      <c r="AC83" s="2071"/>
      <c r="AD83" s="2071"/>
      <c r="AE83" s="2071"/>
      <c r="AF83" s="2071"/>
      <c r="AG83" s="2071"/>
      <c r="AH83" s="2072"/>
      <c r="AI83" s="1190"/>
      <c r="AJ83" s="2088" t="s">
        <v>2381</v>
      </c>
      <c r="AK83" s="2089"/>
      <c r="AL83" s="2089"/>
      <c r="AM83" s="2089"/>
      <c r="AN83" s="2089"/>
      <c r="AO83" s="2089"/>
      <c r="AP83" s="2089"/>
      <c r="AQ83" s="2089"/>
      <c r="AR83" s="2089"/>
      <c r="AS83" s="2089"/>
      <c r="AT83" s="2089"/>
      <c r="AU83" s="2089"/>
      <c r="AV83" s="2089"/>
      <c r="AW83" s="2089"/>
      <c r="AX83" s="2089"/>
      <c r="AY83" s="2092" t="s">
        <v>546</v>
      </c>
      <c r="AZ83" s="2092"/>
      <c r="BA83" s="2092"/>
      <c r="BB83" s="2093"/>
      <c r="BC83" s="1190"/>
      <c r="BD83" s="1190"/>
      <c r="BE83" s="1194"/>
      <c r="CK83" s="1188"/>
      <c r="CL83" s="1188"/>
      <c r="CM83" s="1188"/>
      <c r="CN83" s="1188"/>
      <c r="CO83" s="1188"/>
      <c r="CP83" s="1188"/>
    </row>
    <row r="84" spans="1:94" ht="15.75" customHeight="1">
      <c r="A84" s="1190"/>
      <c r="B84" s="2009"/>
      <c r="C84" s="2010"/>
      <c r="D84" s="2010"/>
      <c r="E84" s="2010"/>
      <c r="F84" s="2010"/>
      <c r="G84" s="2010"/>
      <c r="H84" s="2010"/>
      <c r="I84" s="2010" t="s">
        <v>2371</v>
      </c>
      <c r="J84" s="2010"/>
      <c r="K84" s="2010"/>
      <c r="L84" s="2010"/>
      <c r="M84" s="2010"/>
      <c r="N84" s="2010"/>
      <c r="O84" s="2010" t="s">
        <v>2347</v>
      </c>
      <c r="P84" s="2010"/>
      <c r="Q84" s="2010"/>
      <c r="R84" s="2010"/>
      <c r="S84" s="2010"/>
      <c r="T84" s="2010"/>
      <c r="U84" s="2010"/>
      <c r="V84" s="2096" t="s">
        <v>2346</v>
      </c>
      <c r="W84" s="2096"/>
      <c r="X84" s="2096"/>
      <c r="Y84" s="2096"/>
      <c r="Z84" s="2096"/>
      <c r="AA84" s="2096"/>
      <c r="AB84" s="2097" t="s">
        <v>2370</v>
      </c>
      <c r="AC84" s="2097"/>
      <c r="AD84" s="2097"/>
      <c r="AE84" s="2097"/>
      <c r="AF84" s="2097"/>
      <c r="AG84" s="2097"/>
      <c r="AH84" s="2098"/>
      <c r="AI84" s="1190"/>
      <c r="AJ84" s="2090"/>
      <c r="AK84" s="2091"/>
      <c r="AL84" s="2091"/>
      <c r="AM84" s="2091"/>
      <c r="AN84" s="2091"/>
      <c r="AO84" s="2091"/>
      <c r="AP84" s="2091"/>
      <c r="AQ84" s="2091"/>
      <c r="AR84" s="2091"/>
      <c r="AS84" s="2091"/>
      <c r="AT84" s="2091"/>
      <c r="AU84" s="2091"/>
      <c r="AV84" s="2091"/>
      <c r="AW84" s="2091"/>
      <c r="AX84" s="2091"/>
      <c r="AY84" s="2094"/>
      <c r="AZ84" s="2094"/>
      <c r="BA84" s="2094"/>
      <c r="BB84" s="2095"/>
      <c r="BC84" s="1190"/>
      <c r="BD84" s="1190"/>
      <c r="BE84" s="1194"/>
      <c r="CK84" s="1188"/>
      <c r="CL84" s="1188"/>
      <c r="CM84" s="1188"/>
      <c r="CN84" s="1188"/>
      <c r="CO84" s="1188"/>
      <c r="CP84" s="1188"/>
    </row>
    <row r="85" spans="1:94" ht="15.75" customHeight="1">
      <c r="A85" s="1190"/>
      <c r="B85" s="2009"/>
      <c r="C85" s="2010"/>
      <c r="D85" s="2010"/>
      <c r="E85" s="2010"/>
      <c r="F85" s="2010"/>
      <c r="G85" s="2010"/>
      <c r="H85" s="2010"/>
      <c r="I85" s="2010"/>
      <c r="J85" s="2010"/>
      <c r="K85" s="2010"/>
      <c r="L85" s="2010"/>
      <c r="M85" s="2010"/>
      <c r="N85" s="2010"/>
      <c r="O85" s="2010"/>
      <c r="P85" s="2010"/>
      <c r="Q85" s="2010"/>
      <c r="R85" s="2010"/>
      <c r="S85" s="2010"/>
      <c r="T85" s="2010"/>
      <c r="U85" s="2010"/>
      <c r="V85" s="2096"/>
      <c r="W85" s="2096"/>
      <c r="X85" s="2096"/>
      <c r="Y85" s="2096"/>
      <c r="Z85" s="2096"/>
      <c r="AA85" s="2096"/>
      <c r="AB85" s="2097"/>
      <c r="AC85" s="2097"/>
      <c r="AD85" s="2097"/>
      <c r="AE85" s="2097"/>
      <c r="AF85" s="2097"/>
      <c r="AG85" s="2097"/>
      <c r="AH85" s="2098"/>
      <c r="AI85" s="1190"/>
      <c r="AJ85" s="2090"/>
      <c r="AK85" s="2091"/>
      <c r="AL85" s="2091"/>
      <c r="AM85" s="2091"/>
      <c r="AN85" s="2091"/>
      <c r="AO85" s="2091"/>
      <c r="AP85" s="2091"/>
      <c r="AQ85" s="2091"/>
      <c r="AR85" s="2091"/>
      <c r="AS85" s="2091"/>
      <c r="AT85" s="2091"/>
      <c r="AU85" s="2091"/>
      <c r="AV85" s="2091"/>
      <c r="AW85" s="2091"/>
      <c r="AX85" s="2091"/>
      <c r="AY85" s="2094"/>
      <c r="AZ85" s="2094"/>
      <c r="BA85" s="2094"/>
      <c r="BB85" s="2095"/>
      <c r="BC85" s="1190"/>
      <c r="BD85" s="1190"/>
      <c r="BE85" s="1194"/>
      <c r="CK85" s="1188"/>
      <c r="CL85" s="1188"/>
      <c r="CM85" s="1188"/>
      <c r="CN85" s="1188"/>
      <c r="CO85" s="1188"/>
      <c r="CP85" s="1188"/>
    </row>
    <row r="86" spans="1:94" ht="15.75" customHeight="1">
      <c r="A86" s="1190"/>
      <c r="B86" s="2009" t="s">
        <v>2369</v>
      </c>
      <c r="C86" s="2010"/>
      <c r="D86" s="2010"/>
      <c r="E86" s="2010"/>
      <c r="F86" s="2010"/>
      <c r="G86" s="2010"/>
      <c r="H86" s="2010"/>
      <c r="I86" s="2086">
        <v>0</v>
      </c>
      <c r="J86" s="2086"/>
      <c r="K86" s="2086"/>
      <c r="L86" s="2086"/>
      <c r="M86" s="2086"/>
      <c r="N86" s="2086"/>
      <c r="O86" s="2086">
        <v>0</v>
      </c>
      <c r="P86" s="2086"/>
      <c r="Q86" s="2086"/>
      <c r="R86" s="2086"/>
      <c r="S86" s="2086"/>
      <c r="T86" s="2086"/>
      <c r="U86" s="2086"/>
      <c r="V86" s="2086">
        <v>0</v>
      </c>
      <c r="W86" s="2086"/>
      <c r="X86" s="2086"/>
      <c r="Y86" s="2086"/>
      <c r="Z86" s="2086"/>
      <c r="AA86" s="2086"/>
      <c r="AB86" s="2086">
        <v>0</v>
      </c>
      <c r="AC86" s="2086"/>
      <c r="AD86" s="2086"/>
      <c r="AE86" s="2086"/>
      <c r="AF86" s="2086"/>
      <c r="AG86" s="2086"/>
      <c r="AH86" s="2087"/>
      <c r="AI86" s="1190"/>
      <c r="AJ86" s="2090"/>
      <c r="AK86" s="2091"/>
      <c r="AL86" s="2091"/>
      <c r="AM86" s="2091"/>
      <c r="AN86" s="2091"/>
      <c r="AO86" s="2091"/>
      <c r="AP86" s="2091"/>
      <c r="AQ86" s="2091"/>
      <c r="AR86" s="2091"/>
      <c r="AS86" s="2091"/>
      <c r="AT86" s="2091"/>
      <c r="AU86" s="2091"/>
      <c r="AV86" s="2091"/>
      <c r="AW86" s="2091"/>
      <c r="AX86" s="2091"/>
      <c r="AY86" s="2094"/>
      <c r="AZ86" s="2094"/>
      <c r="BA86" s="2094"/>
      <c r="BB86" s="2095"/>
      <c r="BC86" s="1190"/>
      <c r="BD86" s="1190"/>
      <c r="BE86" s="1194"/>
      <c r="CK86" s="1188"/>
      <c r="CL86" s="1188"/>
      <c r="CM86" s="1188"/>
      <c r="CN86" s="1188"/>
      <c r="CO86" s="1188"/>
      <c r="CP86" s="1188"/>
    </row>
    <row r="87" spans="1:94" ht="15.75" customHeight="1">
      <c r="A87" s="1190"/>
      <c r="B87" s="2009" t="s">
        <v>2368</v>
      </c>
      <c r="C87" s="2010"/>
      <c r="D87" s="2010"/>
      <c r="E87" s="2010"/>
      <c r="F87" s="2010"/>
      <c r="G87" s="2010"/>
      <c r="H87" s="2010"/>
      <c r="I87" s="2086">
        <v>0</v>
      </c>
      <c r="J87" s="2086"/>
      <c r="K87" s="2086"/>
      <c r="L87" s="2086"/>
      <c r="M87" s="2086"/>
      <c r="N87" s="2086"/>
      <c r="O87" s="2086">
        <v>0</v>
      </c>
      <c r="P87" s="2086"/>
      <c r="Q87" s="2086"/>
      <c r="R87" s="2086"/>
      <c r="S87" s="2086"/>
      <c r="T87" s="2086"/>
      <c r="U87" s="2086"/>
      <c r="V87" s="2086">
        <v>0</v>
      </c>
      <c r="W87" s="2086"/>
      <c r="X87" s="2086"/>
      <c r="Y87" s="2086"/>
      <c r="Z87" s="2086"/>
      <c r="AA87" s="2086"/>
      <c r="AB87" s="2086">
        <v>0</v>
      </c>
      <c r="AC87" s="2086"/>
      <c r="AD87" s="2086"/>
      <c r="AE87" s="2086"/>
      <c r="AF87" s="2086"/>
      <c r="AG87" s="2086"/>
      <c r="AH87" s="2087"/>
      <c r="AI87" s="1190"/>
      <c r="AJ87" s="2075" t="s">
        <v>2375</v>
      </c>
      <c r="AK87" s="2076"/>
      <c r="AL87" s="2076"/>
      <c r="AM87" s="2076"/>
      <c r="AN87" s="2076"/>
      <c r="AO87" s="2076"/>
      <c r="AP87" s="2076"/>
      <c r="AQ87" s="2076"/>
      <c r="AR87" s="2076"/>
      <c r="AS87" s="2076"/>
      <c r="AT87" s="2076"/>
      <c r="AU87" s="2076"/>
      <c r="AV87" s="2076"/>
      <c r="AW87" s="2076"/>
      <c r="AX87" s="2076"/>
      <c r="AY87" s="2076"/>
      <c r="AZ87" s="2076"/>
      <c r="BA87" s="2076"/>
      <c r="BB87" s="2077"/>
      <c r="BC87" s="1190"/>
      <c r="BD87" s="1190"/>
      <c r="BE87" s="1194"/>
      <c r="CK87" s="1188"/>
      <c r="CL87" s="1188"/>
      <c r="CM87" s="1188"/>
      <c r="CN87" s="1188"/>
      <c r="CO87" s="1188"/>
      <c r="CP87" s="1188"/>
    </row>
    <row r="88" spans="1:94" ht="15.75" customHeight="1" thickBot="1">
      <c r="A88" s="1190"/>
      <c r="B88" s="2027" t="s">
        <v>2367</v>
      </c>
      <c r="C88" s="2028"/>
      <c r="D88" s="2028"/>
      <c r="E88" s="2028"/>
      <c r="F88" s="2028"/>
      <c r="G88" s="2028"/>
      <c r="H88" s="2028"/>
      <c r="I88" s="2101">
        <v>0</v>
      </c>
      <c r="J88" s="2101"/>
      <c r="K88" s="2101"/>
      <c r="L88" s="2101"/>
      <c r="M88" s="2101"/>
      <c r="N88" s="2101"/>
      <c r="O88" s="2101">
        <v>0</v>
      </c>
      <c r="P88" s="2101"/>
      <c r="Q88" s="2101"/>
      <c r="R88" s="2101"/>
      <c r="S88" s="2101"/>
      <c r="T88" s="2101"/>
      <c r="U88" s="2101"/>
      <c r="V88" s="2101">
        <v>0</v>
      </c>
      <c r="W88" s="2101"/>
      <c r="X88" s="2101"/>
      <c r="Y88" s="2101"/>
      <c r="Z88" s="2101"/>
      <c r="AA88" s="2101"/>
      <c r="AB88" s="2101">
        <v>0</v>
      </c>
      <c r="AC88" s="2101"/>
      <c r="AD88" s="2101"/>
      <c r="AE88" s="2101"/>
      <c r="AF88" s="2101"/>
      <c r="AG88" s="2101"/>
      <c r="AH88" s="2102"/>
      <c r="AI88" s="1190"/>
      <c r="AJ88" s="2078"/>
      <c r="AK88" s="2079"/>
      <c r="AL88" s="2079"/>
      <c r="AM88" s="2079"/>
      <c r="AN88" s="2079"/>
      <c r="AO88" s="2079"/>
      <c r="AP88" s="2079"/>
      <c r="AQ88" s="2079"/>
      <c r="AR88" s="2079"/>
      <c r="AS88" s="2079"/>
      <c r="AT88" s="2079"/>
      <c r="AU88" s="2079"/>
      <c r="AV88" s="2079"/>
      <c r="AW88" s="2079"/>
      <c r="AX88" s="2079"/>
      <c r="AY88" s="2079"/>
      <c r="AZ88" s="2079"/>
      <c r="BA88" s="2079"/>
      <c r="BB88" s="2080"/>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057"/>
      <c r="G92" s="2058"/>
      <c r="H92" s="2058"/>
      <c r="I92" s="2058"/>
      <c r="J92" s="2058"/>
      <c r="K92" s="2058"/>
      <c r="L92" s="2058"/>
      <c r="M92" s="2058"/>
      <c r="N92" s="2058"/>
      <c r="O92" s="2058"/>
      <c r="P92" s="2058"/>
      <c r="Q92" s="2058"/>
      <c r="R92" s="2058"/>
      <c r="S92" s="2058"/>
      <c r="T92" s="2059"/>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0" t="s">
        <v>2379</v>
      </c>
      <c r="C93" s="2061"/>
      <c r="D93" s="2061"/>
      <c r="E93" s="2061"/>
      <c r="F93" s="2061"/>
      <c r="G93" s="2061"/>
      <c r="H93" s="2061"/>
      <c r="I93" s="2061"/>
      <c r="J93" s="2061"/>
      <c r="K93" s="2061"/>
      <c r="L93" s="2061"/>
      <c r="M93" s="2061"/>
      <c r="N93" s="2061"/>
      <c r="O93" s="2061"/>
      <c r="P93" s="2061"/>
      <c r="Q93" s="2099"/>
      <c r="R93" s="2062" t="str">
        <f>IFERROR(INDEX(BR96:BR98,MATCH(F92,$BQ$96:$BQ$98,0))/SUM($BR$96:$BR$98),"")</f>
        <v/>
      </c>
      <c r="S93" s="2063"/>
      <c r="T93" s="2064"/>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5" t="s">
        <v>2378</v>
      </c>
      <c r="C94" s="2066"/>
      <c r="D94" s="2066"/>
      <c r="E94" s="2066"/>
      <c r="F94" s="2066"/>
      <c r="G94" s="2066"/>
      <c r="H94" s="2066"/>
      <c r="I94" s="2066"/>
      <c r="J94" s="2066"/>
      <c r="K94" s="2066"/>
      <c r="L94" s="2066"/>
      <c r="M94" s="2066"/>
      <c r="N94" s="2066"/>
      <c r="O94" s="2066"/>
      <c r="P94" s="2066"/>
      <c r="Q94" s="2100"/>
      <c r="R94" s="2067" t="s">
        <v>2189</v>
      </c>
      <c r="S94" s="2068"/>
      <c r="T94" s="2069"/>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0" t="s">
        <v>2377</v>
      </c>
      <c r="C96" s="2071"/>
      <c r="D96" s="2071"/>
      <c r="E96" s="2071"/>
      <c r="F96" s="2071"/>
      <c r="G96" s="2071"/>
      <c r="H96" s="2071"/>
      <c r="I96" s="2071"/>
      <c r="J96" s="2071"/>
      <c r="K96" s="2071"/>
      <c r="L96" s="2071"/>
      <c r="M96" s="2071"/>
      <c r="N96" s="2071"/>
      <c r="O96" s="2071"/>
      <c r="P96" s="2071"/>
      <c r="Q96" s="2071"/>
      <c r="R96" s="2071"/>
      <c r="S96" s="2071"/>
      <c r="T96" s="2071"/>
      <c r="U96" s="2071"/>
      <c r="V96" s="2071"/>
      <c r="W96" s="2071"/>
      <c r="X96" s="2071"/>
      <c r="Y96" s="2071"/>
      <c r="Z96" s="2071"/>
      <c r="AA96" s="2071"/>
      <c r="AB96" s="2071"/>
      <c r="AC96" s="2071"/>
      <c r="AD96" s="2071"/>
      <c r="AE96" s="2071"/>
      <c r="AF96" s="2071"/>
      <c r="AG96" s="2071"/>
      <c r="AH96" s="2072"/>
      <c r="AI96" s="1190"/>
      <c r="AJ96" s="2088" t="s">
        <v>2376</v>
      </c>
      <c r="AK96" s="2089"/>
      <c r="AL96" s="2089"/>
      <c r="AM96" s="2089"/>
      <c r="AN96" s="2089"/>
      <c r="AO96" s="2089"/>
      <c r="AP96" s="2089"/>
      <c r="AQ96" s="2089"/>
      <c r="AR96" s="2089"/>
      <c r="AS96" s="2089"/>
      <c r="AT96" s="2089"/>
      <c r="AU96" s="2089"/>
      <c r="AV96" s="2089"/>
      <c r="AW96" s="2089"/>
      <c r="AX96" s="2089"/>
      <c r="AY96" s="2092" t="s">
        <v>546</v>
      </c>
      <c r="AZ96" s="2092"/>
      <c r="BA96" s="2092"/>
      <c r="BB96" s="2093"/>
      <c r="BC96" s="1190"/>
      <c r="BD96" s="1190"/>
      <c r="BE96" s="1194"/>
      <c r="BQ96" s="1256" t="str">
        <f>Application!M243&amp;IF(TRIM(Application!AA249)&lt;&gt;""," ("&amp;Application!AA249&amp;")","")</f>
        <v>Mountain View El Camino Real LLC</v>
      </c>
      <c r="BR96" s="1259">
        <f>Application!AH246</f>
        <v>0.09</v>
      </c>
      <c r="CM96" s="1188"/>
      <c r="CN96" s="1188"/>
      <c r="CO96" s="1188"/>
      <c r="CP96" s="1188"/>
    </row>
    <row r="97" spans="1:94" ht="15.75" customHeight="1">
      <c r="A97" s="1190"/>
      <c r="B97" s="2009"/>
      <c r="C97" s="2010"/>
      <c r="D97" s="2010"/>
      <c r="E97" s="2010"/>
      <c r="F97" s="2010"/>
      <c r="G97" s="2010"/>
      <c r="H97" s="2010"/>
      <c r="I97" s="2010" t="s">
        <v>2371</v>
      </c>
      <c r="J97" s="2010"/>
      <c r="K97" s="2010"/>
      <c r="L97" s="2010"/>
      <c r="M97" s="2010"/>
      <c r="N97" s="2010"/>
      <c r="O97" s="2010" t="s">
        <v>2347</v>
      </c>
      <c r="P97" s="2010"/>
      <c r="Q97" s="2010"/>
      <c r="R97" s="2010"/>
      <c r="S97" s="2010"/>
      <c r="T97" s="2010"/>
      <c r="U97" s="2010"/>
      <c r="V97" s="2096" t="s">
        <v>2346</v>
      </c>
      <c r="W97" s="2096"/>
      <c r="X97" s="2096"/>
      <c r="Y97" s="2096"/>
      <c r="Z97" s="2096"/>
      <c r="AA97" s="2096"/>
      <c r="AB97" s="2097" t="s">
        <v>2370</v>
      </c>
      <c r="AC97" s="2097"/>
      <c r="AD97" s="2097"/>
      <c r="AE97" s="2097"/>
      <c r="AF97" s="2097"/>
      <c r="AG97" s="2097"/>
      <c r="AH97" s="2098"/>
      <c r="AI97" s="1190"/>
      <c r="AJ97" s="2090"/>
      <c r="AK97" s="2091"/>
      <c r="AL97" s="2091"/>
      <c r="AM97" s="2091"/>
      <c r="AN97" s="2091"/>
      <c r="AO97" s="2091"/>
      <c r="AP97" s="2091"/>
      <c r="AQ97" s="2091"/>
      <c r="AR97" s="2091"/>
      <c r="AS97" s="2091"/>
      <c r="AT97" s="2091"/>
      <c r="AU97" s="2091"/>
      <c r="AV97" s="2091"/>
      <c r="AW97" s="2091"/>
      <c r="AX97" s="2091"/>
      <c r="AY97" s="2094"/>
      <c r="AZ97" s="2094"/>
      <c r="BA97" s="2094"/>
      <c r="BB97" s="2095"/>
      <c r="BC97" s="1190"/>
      <c r="BD97" s="1190"/>
      <c r="BE97" s="1194"/>
      <c r="BQ97" s="1256" t="str">
        <f>Application!M251&amp;IF(TRIM(Application!AA257)&lt;&gt;""," ("&amp;Application!AA257&amp;")","")</f>
        <v>Community Revitalization and Development Corporation</v>
      </c>
      <c r="BR97" s="1259">
        <f>Application!AH254</f>
        <v>0.01</v>
      </c>
      <c r="CM97" s="1188"/>
      <c r="CN97" s="1188"/>
      <c r="CO97" s="1188"/>
      <c r="CP97" s="1188"/>
    </row>
    <row r="98" spans="1:94" ht="15.75" customHeight="1">
      <c r="A98" s="1190"/>
      <c r="B98" s="2009"/>
      <c r="C98" s="2010"/>
      <c r="D98" s="2010"/>
      <c r="E98" s="2010"/>
      <c r="F98" s="2010"/>
      <c r="G98" s="2010"/>
      <c r="H98" s="2010"/>
      <c r="I98" s="2010"/>
      <c r="J98" s="2010"/>
      <c r="K98" s="2010"/>
      <c r="L98" s="2010"/>
      <c r="M98" s="2010"/>
      <c r="N98" s="2010"/>
      <c r="O98" s="2010"/>
      <c r="P98" s="2010"/>
      <c r="Q98" s="2010"/>
      <c r="R98" s="2010"/>
      <c r="S98" s="2010"/>
      <c r="T98" s="2010"/>
      <c r="U98" s="2010"/>
      <c r="V98" s="2096"/>
      <c r="W98" s="2096"/>
      <c r="X98" s="2096"/>
      <c r="Y98" s="2096"/>
      <c r="Z98" s="2096"/>
      <c r="AA98" s="2096"/>
      <c r="AB98" s="2097"/>
      <c r="AC98" s="2097"/>
      <c r="AD98" s="2097"/>
      <c r="AE98" s="2097"/>
      <c r="AF98" s="2097"/>
      <c r="AG98" s="2097"/>
      <c r="AH98" s="2098"/>
      <c r="AI98" s="1190"/>
      <c r="AJ98" s="2090"/>
      <c r="AK98" s="2091"/>
      <c r="AL98" s="2091"/>
      <c r="AM98" s="2091"/>
      <c r="AN98" s="2091"/>
      <c r="AO98" s="2091"/>
      <c r="AP98" s="2091"/>
      <c r="AQ98" s="2091"/>
      <c r="AR98" s="2091"/>
      <c r="AS98" s="2091"/>
      <c r="AT98" s="2091"/>
      <c r="AU98" s="2091"/>
      <c r="AV98" s="2091"/>
      <c r="AW98" s="2091"/>
      <c r="AX98" s="2091"/>
      <c r="AY98" s="2094"/>
      <c r="AZ98" s="2094"/>
      <c r="BA98" s="2094"/>
      <c r="BB98" s="2095"/>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09" t="s">
        <v>2369</v>
      </c>
      <c r="C99" s="2010"/>
      <c r="D99" s="2010"/>
      <c r="E99" s="2010"/>
      <c r="F99" s="2010"/>
      <c r="G99" s="2010"/>
      <c r="H99" s="2010"/>
      <c r="I99" s="2086">
        <v>0</v>
      </c>
      <c r="J99" s="2086"/>
      <c r="K99" s="2086"/>
      <c r="L99" s="2086"/>
      <c r="M99" s="2086"/>
      <c r="N99" s="2086"/>
      <c r="O99" s="2086">
        <v>0</v>
      </c>
      <c r="P99" s="2086"/>
      <c r="Q99" s="2086"/>
      <c r="R99" s="2086"/>
      <c r="S99" s="2086"/>
      <c r="T99" s="2086"/>
      <c r="U99" s="2086"/>
      <c r="V99" s="2086">
        <v>0</v>
      </c>
      <c r="W99" s="2086"/>
      <c r="X99" s="2086"/>
      <c r="Y99" s="2086"/>
      <c r="Z99" s="2086"/>
      <c r="AA99" s="2086"/>
      <c r="AB99" s="2086">
        <v>0</v>
      </c>
      <c r="AC99" s="2086"/>
      <c r="AD99" s="2086"/>
      <c r="AE99" s="2086"/>
      <c r="AF99" s="2086"/>
      <c r="AG99" s="2086"/>
      <c r="AH99" s="2087"/>
      <c r="AI99" s="1190"/>
      <c r="AJ99" s="2090"/>
      <c r="AK99" s="2091"/>
      <c r="AL99" s="2091"/>
      <c r="AM99" s="2091"/>
      <c r="AN99" s="2091"/>
      <c r="AO99" s="2091"/>
      <c r="AP99" s="2091"/>
      <c r="AQ99" s="2091"/>
      <c r="AR99" s="2091"/>
      <c r="AS99" s="2091"/>
      <c r="AT99" s="2091"/>
      <c r="AU99" s="2091"/>
      <c r="AV99" s="2091"/>
      <c r="AW99" s="2091"/>
      <c r="AX99" s="2091"/>
      <c r="AY99" s="2094"/>
      <c r="AZ99" s="2094"/>
      <c r="BA99" s="2094"/>
      <c r="BB99" s="2095"/>
      <c r="BC99" s="1190"/>
      <c r="BD99" s="1190"/>
      <c r="BE99" s="1194"/>
      <c r="CM99" s="1188"/>
      <c r="CN99" s="1188"/>
      <c r="CO99" s="1188"/>
      <c r="CP99" s="1188"/>
    </row>
    <row r="100" spans="1:94" ht="15.75" customHeight="1">
      <c r="A100" s="1190"/>
      <c r="B100" s="2009" t="s">
        <v>2368</v>
      </c>
      <c r="C100" s="2010"/>
      <c r="D100" s="2010"/>
      <c r="E100" s="2010"/>
      <c r="F100" s="2010"/>
      <c r="G100" s="2010"/>
      <c r="H100" s="2010"/>
      <c r="I100" s="2086">
        <v>0</v>
      </c>
      <c r="J100" s="2086"/>
      <c r="K100" s="2086"/>
      <c r="L100" s="2086"/>
      <c r="M100" s="2086"/>
      <c r="N100" s="2086"/>
      <c r="O100" s="2086">
        <v>0</v>
      </c>
      <c r="P100" s="2086"/>
      <c r="Q100" s="2086"/>
      <c r="R100" s="2086"/>
      <c r="S100" s="2086"/>
      <c r="T100" s="2086"/>
      <c r="U100" s="2086"/>
      <c r="V100" s="2086">
        <v>0</v>
      </c>
      <c r="W100" s="2086"/>
      <c r="X100" s="2086"/>
      <c r="Y100" s="2086"/>
      <c r="Z100" s="2086"/>
      <c r="AA100" s="2086"/>
      <c r="AB100" s="2086">
        <v>0</v>
      </c>
      <c r="AC100" s="2086"/>
      <c r="AD100" s="2086"/>
      <c r="AE100" s="2086"/>
      <c r="AF100" s="2086"/>
      <c r="AG100" s="2086"/>
      <c r="AH100" s="2087"/>
      <c r="AI100" s="1190"/>
      <c r="AJ100" s="2075" t="s">
        <v>2375</v>
      </c>
      <c r="AK100" s="2076"/>
      <c r="AL100" s="2076"/>
      <c r="AM100" s="2076"/>
      <c r="AN100" s="2076"/>
      <c r="AO100" s="2076"/>
      <c r="AP100" s="2076"/>
      <c r="AQ100" s="2076"/>
      <c r="AR100" s="2076"/>
      <c r="AS100" s="2076"/>
      <c r="AT100" s="2076"/>
      <c r="AU100" s="2076"/>
      <c r="AV100" s="2076"/>
      <c r="AW100" s="2076"/>
      <c r="AX100" s="2076"/>
      <c r="AY100" s="2076"/>
      <c r="AZ100" s="2076"/>
      <c r="BA100" s="2076"/>
      <c r="BB100" s="2077"/>
      <c r="BC100" s="1190"/>
      <c r="BD100" s="1190"/>
      <c r="BE100" s="1194"/>
      <c r="CM100" s="1188"/>
      <c r="CN100" s="1188"/>
      <c r="CO100" s="1188"/>
      <c r="CP100" s="1188"/>
    </row>
    <row r="101" spans="1:94" ht="15.75" customHeight="1" thickBot="1">
      <c r="A101" s="1190"/>
      <c r="B101" s="2027" t="s">
        <v>2367</v>
      </c>
      <c r="C101" s="2028"/>
      <c r="D101" s="2028"/>
      <c r="E101" s="2028"/>
      <c r="F101" s="2028"/>
      <c r="G101" s="2028"/>
      <c r="H101" s="2028"/>
      <c r="I101" s="2101">
        <v>0</v>
      </c>
      <c r="J101" s="2101"/>
      <c r="K101" s="2101"/>
      <c r="L101" s="2101"/>
      <c r="M101" s="2101"/>
      <c r="N101" s="2101"/>
      <c r="O101" s="2101">
        <v>0</v>
      </c>
      <c r="P101" s="2101"/>
      <c r="Q101" s="2101"/>
      <c r="R101" s="2101"/>
      <c r="S101" s="2101"/>
      <c r="T101" s="2101"/>
      <c r="U101" s="2101"/>
      <c r="V101" s="2101">
        <v>0</v>
      </c>
      <c r="W101" s="2101"/>
      <c r="X101" s="2101"/>
      <c r="Y101" s="2101"/>
      <c r="Z101" s="2101"/>
      <c r="AA101" s="2101"/>
      <c r="AB101" s="2101">
        <v>0</v>
      </c>
      <c r="AC101" s="2101"/>
      <c r="AD101" s="2101"/>
      <c r="AE101" s="2101"/>
      <c r="AF101" s="2101"/>
      <c r="AG101" s="2101"/>
      <c r="AH101" s="2102"/>
      <c r="AI101" s="1190"/>
      <c r="AJ101" s="2078"/>
      <c r="AK101" s="2079"/>
      <c r="AL101" s="2079"/>
      <c r="AM101" s="2079"/>
      <c r="AN101" s="2079"/>
      <c r="AO101" s="2079"/>
      <c r="AP101" s="2079"/>
      <c r="AQ101" s="2079"/>
      <c r="AR101" s="2079"/>
      <c r="AS101" s="2079"/>
      <c r="AT101" s="2079"/>
      <c r="AU101" s="2079"/>
      <c r="AV101" s="2079"/>
      <c r="AW101" s="2079"/>
      <c r="AX101" s="2079"/>
      <c r="AY101" s="2079"/>
      <c r="AZ101" s="2079"/>
      <c r="BA101" s="2079"/>
      <c r="BB101" s="2080"/>
      <c r="BC101" s="1190"/>
      <c r="BD101" s="1190"/>
      <c r="BE101" s="1194"/>
      <c r="BQ101" s="1256" t="str">
        <f>Application!AA335</f>
        <v>Danco Property Management</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103"/>
      <c r="G104" s="2104"/>
      <c r="H104" s="2104"/>
      <c r="I104" s="2104"/>
      <c r="J104" s="2104"/>
      <c r="K104" s="2104"/>
      <c r="L104" s="2104"/>
      <c r="M104" s="2104"/>
      <c r="N104" s="2104"/>
      <c r="O104" s="2104"/>
      <c r="P104" s="2104"/>
      <c r="Q104" s="2104"/>
      <c r="R104" s="2105"/>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067" t="str">
        <f>IFERROR(INDEX(BR96:BR98,MATCH(F104,$BQ$96:$BQ$98,0))/SUM($BR$96:$BR$98),"")</f>
        <v/>
      </c>
      <c r="P105" s="2068"/>
      <c r="Q105" s="2068"/>
      <c r="R105" s="2069"/>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5" t="s">
        <v>2372</v>
      </c>
      <c r="C107" s="2056"/>
      <c r="D107" s="2056"/>
      <c r="E107" s="2056"/>
      <c r="F107" s="2056"/>
      <c r="G107" s="2056"/>
      <c r="H107" s="2056"/>
      <c r="I107" s="2056"/>
      <c r="J107" s="2056"/>
      <c r="K107" s="2056"/>
      <c r="L107" s="2056"/>
      <c r="M107" s="2056"/>
      <c r="N107" s="2056"/>
      <c r="O107" s="2056"/>
      <c r="P107" s="2056"/>
      <c r="Q107" s="2056"/>
      <c r="R107" s="2056"/>
      <c r="S107" s="2056"/>
      <c r="T107" s="2056"/>
      <c r="U107" s="2056"/>
      <c r="V107" s="2056"/>
      <c r="W107" s="2056"/>
      <c r="X107" s="2056"/>
      <c r="Y107" s="2056"/>
      <c r="Z107" s="2056"/>
      <c r="AA107" s="2056"/>
      <c r="AB107" s="2056"/>
      <c r="AC107" s="2056"/>
      <c r="AD107" s="2056"/>
      <c r="AE107" s="2056"/>
      <c r="AF107" s="2056"/>
      <c r="AG107" s="2056"/>
      <c r="AH107" s="2106"/>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09"/>
      <c r="C108" s="2010"/>
      <c r="D108" s="2010"/>
      <c r="E108" s="2010"/>
      <c r="F108" s="2010"/>
      <c r="G108" s="2010"/>
      <c r="H108" s="2010"/>
      <c r="I108" s="2010" t="s">
        <v>2371</v>
      </c>
      <c r="J108" s="2010"/>
      <c r="K108" s="2010"/>
      <c r="L108" s="2010"/>
      <c r="M108" s="2010"/>
      <c r="N108" s="2010"/>
      <c r="O108" s="2010" t="s">
        <v>2347</v>
      </c>
      <c r="P108" s="2010"/>
      <c r="Q108" s="2010"/>
      <c r="R108" s="2010"/>
      <c r="S108" s="2010"/>
      <c r="T108" s="2010"/>
      <c r="U108" s="2010"/>
      <c r="V108" s="2096" t="s">
        <v>2346</v>
      </c>
      <c r="W108" s="2096"/>
      <c r="X108" s="2096"/>
      <c r="Y108" s="2096"/>
      <c r="Z108" s="2096"/>
      <c r="AA108" s="2096"/>
      <c r="AB108" s="2097" t="s">
        <v>2370</v>
      </c>
      <c r="AC108" s="2097"/>
      <c r="AD108" s="2097"/>
      <c r="AE108" s="2097"/>
      <c r="AF108" s="2097"/>
      <c r="AG108" s="2097"/>
      <c r="AH108" s="2098"/>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09"/>
      <c r="C109" s="2010"/>
      <c r="D109" s="2010"/>
      <c r="E109" s="2010"/>
      <c r="F109" s="2010"/>
      <c r="G109" s="2010"/>
      <c r="H109" s="2010"/>
      <c r="I109" s="2010"/>
      <c r="J109" s="2010"/>
      <c r="K109" s="2010"/>
      <c r="L109" s="2010"/>
      <c r="M109" s="2010"/>
      <c r="N109" s="2010"/>
      <c r="O109" s="2010"/>
      <c r="P109" s="2010"/>
      <c r="Q109" s="2010"/>
      <c r="R109" s="2010"/>
      <c r="S109" s="2010"/>
      <c r="T109" s="2010"/>
      <c r="U109" s="2010"/>
      <c r="V109" s="2096"/>
      <c r="W109" s="2096"/>
      <c r="X109" s="2096"/>
      <c r="Y109" s="2096"/>
      <c r="Z109" s="2096"/>
      <c r="AA109" s="2096"/>
      <c r="AB109" s="2097"/>
      <c r="AC109" s="2097"/>
      <c r="AD109" s="2097"/>
      <c r="AE109" s="2097"/>
      <c r="AF109" s="2097"/>
      <c r="AG109" s="2097"/>
      <c r="AH109" s="2098"/>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09" t="s">
        <v>2369</v>
      </c>
      <c r="C110" s="2010"/>
      <c r="D110" s="2010"/>
      <c r="E110" s="2010"/>
      <c r="F110" s="2010"/>
      <c r="G110" s="2010"/>
      <c r="H110" s="2010"/>
      <c r="I110" s="2086">
        <v>0</v>
      </c>
      <c r="J110" s="2086"/>
      <c r="K110" s="2086"/>
      <c r="L110" s="2086"/>
      <c r="M110" s="2086"/>
      <c r="N110" s="2086"/>
      <c r="O110" s="2086">
        <v>0</v>
      </c>
      <c r="P110" s="2086"/>
      <c r="Q110" s="2086"/>
      <c r="R110" s="2086"/>
      <c r="S110" s="2086"/>
      <c r="T110" s="2086"/>
      <c r="U110" s="2086"/>
      <c r="V110" s="2086">
        <v>0</v>
      </c>
      <c r="W110" s="2086"/>
      <c r="X110" s="2086"/>
      <c r="Y110" s="2086"/>
      <c r="Z110" s="2086"/>
      <c r="AA110" s="2086"/>
      <c r="AB110" s="2086">
        <v>0</v>
      </c>
      <c r="AC110" s="2086"/>
      <c r="AD110" s="2086"/>
      <c r="AE110" s="2086"/>
      <c r="AF110" s="2086"/>
      <c r="AG110" s="2086"/>
      <c r="AH110" s="2087"/>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09" t="s">
        <v>2368</v>
      </c>
      <c r="C111" s="2010"/>
      <c r="D111" s="2010"/>
      <c r="E111" s="2010"/>
      <c r="F111" s="2010"/>
      <c r="G111" s="2010"/>
      <c r="H111" s="2010"/>
      <c r="I111" s="2086">
        <v>0</v>
      </c>
      <c r="J111" s="2086"/>
      <c r="K111" s="2086"/>
      <c r="L111" s="2086"/>
      <c r="M111" s="2086"/>
      <c r="N111" s="2086"/>
      <c r="O111" s="2086">
        <v>0</v>
      </c>
      <c r="P111" s="2086"/>
      <c r="Q111" s="2086"/>
      <c r="R111" s="2086"/>
      <c r="S111" s="2086"/>
      <c r="T111" s="2086"/>
      <c r="U111" s="2086"/>
      <c r="V111" s="2086">
        <v>0</v>
      </c>
      <c r="W111" s="2086"/>
      <c r="X111" s="2086"/>
      <c r="Y111" s="2086"/>
      <c r="Z111" s="2086"/>
      <c r="AA111" s="2086"/>
      <c r="AB111" s="2086">
        <v>0</v>
      </c>
      <c r="AC111" s="2086"/>
      <c r="AD111" s="2086"/>
      <c r="AE111" s="2086"/>
      <c r="AF111" s="2086"/>
      <c r="AG111" s="2086"/>
      <c r="AH111" s="2087"/>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7" t="s">
        <v>2367</v>
      </c>
      <c r="C112" s="2028"/>
      <c r="D112" s="2028"/>
      <c r="E112" s="2028"/>
      <c r="F112" s="2028"/>
      <c r="G112" s="2028"/>
      <c r="H112" s="2028"/>
      <c r="I112" s="2101">
        <v>0</v>
      </c>
      <c r="J112" s="2101"/>
      <c r="K112" s="2101"/>
      <c r="L112" s="2101"/>
      <c r="M112" s="2101"/>
      <c r="N112" s="2101"/>
      <c r="O112" s="2101">
        <v>0</v>
      </c>
      <c r="P112" s="2101"/>
      <c r="Q112" s="2101"/>
      <c r="R112" s="2101"/>
      <c r="S112" s="2101"/>
      <c r="T112" s="2101"/>
      <c r="U112" s="2101"/>
      <c r="V112" s="2101">
        <v>0</v>
      </c>
      <c r="W112" s="2101"/>
      <c r="X112" s="2101"/>
      <c r="Y112" s="2101"/>
      <c r="Z112" s="2101"/>
      <c r="AA112" s="2101"/>
      <c r="AB112" s="2101">
        <v>0</v>
      </c>
      <c r="AC112" s="2101"/>
      <c r="AD112" s="2101"/>
      <c r="AE112" s="2101"/>
      <c r="AF112" s="2101"/>
      <c r="AG112" s="2101"/>
      <c r="AH112" s="2102"/>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103"/>
      <c r="G115" s="2104"/>
      <c r="H115" s="2104"/>
      <c r="I115" s="2104"/>
      <c r="J115" s="2104"/>
      <c r="K115" s="2104"/>
      <c r="L115" s="2104"/>
      <c r="M115" s="2104"/>
      <c r="N115" s="2104"/>
      <c r="O115" s="2104"/>
      <c r="P115" s="2104"/>
      <c r="Q115" s="2104"/>
      <c r="R115" s="2105"/>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5" t="s">
        <v>2365</v>
      </c>
      <c r="C117" s="2116"/>
      <c r="D117" s="2116"/>
      <c r="E117" s="2116"/>
      <c r="F117" s="2116"/>
      <c r="G117" s="2116"/>
      <c r="H117" s="2116"/>
      <c r="I117" s="2116"/>
      <c r="J117" s="2116"/>
      <c r="K117" s="2116"/>
      <c r="L117" s="2116"/>
      <c r="M117" s="2116"/>
      <c r="N117" s="2116"/>
      <c r="O117" s="2116"/>
      <c r="P117" s="2116"/>
      <c r="Q117" s="2116"/>
      <c r="R117" s="2116"/>
      <c r="S117" s="2116"/>
      <c r="T117" s="2116"/>
      <c r="U117" s="2119" t="s">
        <v>546</v>
      </c>
      <c r="V117" s="2119"/>
      <c r="W117" s="2119"/>
      <c r="X117" s="2120"/>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7"/>
      <c r="C118" s="2118"/>
      <c r="D118" s="2118"/>
      <c r="E118" s="2118"/>
      <c r="F118" s="2118"/>
      <c r="G118" s="2118"/>
      <c r="H118" s="2118"/>
      <c r="I118" s="2118"/>
      <c r="J118" s="2118"/>
      <c r="K118" s="2118"/>
      <c r="L118" s="2118"/>
      <c r="M118" s="2118"/>
      <c r="N118" s="2118"/>
      <c r="O118" s="2118"/>
      <c r="P118" s="2118"/>
      <c r="Q118" s="2118"/>
      <c r="R118" s="2118"/>
      <c r="S118" s="2118"/>
      <c r="T118" s="2118"/>
      <c r="U118" s="2121"/>
      <c r="V118" s="2121"/>
      <c r="W118" s="2121"/>
      <c r="X118" s="2122"/>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7"/>
      <c r="C119" s="2118"/>
      <c r="D119" s="2118"/>
      <c r="E119" s="2118"/>
      <c r="F119" s="2118"/>
      <c r="G119" s="2118"/>
      <c r="H119" s="2118"/>
      <c r="I119" s="2118"/>
      <c r="J119" s="2118"/>
      <c r="K119" s="2118"/>
      <c r="L119" s="2118"/>
      <c r="M119" s="2118"/>
      <c r="N119" s="2118"/>
      <c r="O119" s="2118"/>
      <c r="P119" s="2118"/>
      <c r="Q119" s="2118"/>
      <c r="R119" s="2118"/>
      <c r="S119" s="2118"/>
      <c r="T119" s="2118"/>
      <c r="U119" s="2121"/>
      <c r="V119" s="2121"/>
      <c r="W119" s="2121"/>
      <c r="X119" s="2122"/>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7"/>
      <c r="C120" s="2118"/>
      <c r="D120" s="2118"/>
      <c r="E120" s="2118"/>
      <c r="F120" s="2118"/>
      <c r="G120" s="2118"/>
      <c r="H120" s="2118"/>
      <c r="I120" s="2118"/>
      <c r="J120" s="2118"/>
      <c r="K120" s="2118"/>
      <c r="L120" s="2118"/>
      <c r="M120" s="2118"/>
      <c r="N120" s="2118"/>
      <c r="O120" s="2118"/>
      <c r="P120" s="2118"/>
      <c r="Q120" s="2118"/>
      <c r="R120" s="2118"/>
      <c r="S120" s="2118"/>
      <c r="T120" s="2118"/>
      <c r="U120" s="2121"/>
      <c r="V120" s="2121"/>
      <c r="W120" s="2121"/>
      <c r="X120" s="2122"/>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3" t="s">
        <v>2365</v>
      </c>
      <c r="C121" s="2124"/>
      <c r="D121" s="2124"/>
      <c r="E121" s="2124"/>
      <c r="F121" s="2124"/>
      <c r="G121" s="2124"/>
      <c r="H121" s="2124"/>
      <c r="I121" s="2124"/>
      <c r="J121" s="2124"/>
      <c r="K121" s="2124"/>
      <c r="L121" s="2124"/>
      <c r="M121" s="2124"/>
      <c r="N121" s="2124"/>
      <c r="O121" s="2124"/>
      <c r="P121" s="2124"/>
      <c r="Q121" s="2124"/>
      <c r="R121" s="2124"/>
      <c r="S121" s="2124"/>
      <c r="T121" s="2124"/>
      <c r="U121" s="2127" t="s">
        <v>546</v>
      </c>
      <c r="V121" s="2127"/>
      <c r="W121" s="2127"/>
      <c r="X121" s="2128"/>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5"/>
      <c r="C122" s="2126"/>
      <c r="D122" s="2126"/>
      <c r="E122" s="2126"/>
      <c r="F122" s="2126"/>
      <c r="G122" s="2126"/>
      <c r="H122" s="2126"/>
      <c r="I122" s="2126"/>
      <c r="J122" s="2126"/>
      <c r="K122" s="2126"/>
      <c r="L122" s="2126"/>
      <c r="M122" s="2126"/>
      <c r="N122" s="2126"/>
      <c r="O122" s="2126"/>
      <c r="P122" s="2126"/>
      <c r="Q122" s="2126"/>
      <c r="R122" s="2126"/>
      <c r="S122" s="2126"/>
      <c r="T122" s="2126"/>
      <c r="U122" s="2129"/>
      <c r="V122" s="2129"/>
      <c r="W122" s="2129"/>
      <c r="X122" s="2130"/>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8" t="s">
        <v>2363</v>
      </c>
      <c r="Y125" s="2089"/>
      <c r="Z125" s="2089"/>
      <c r="AA125" s="2089"/>
      <c r="AB125" s="2089"/>
      <c r="AC125" s="2089"/>
      <c r="AD125" s="2089"/>
      <c r="AE125" s="2089"/>
      <c r="AF125" s="2089"/>
      <c r="AG125" s="2089"/>
      <c r="AH125" s="2089"/>
      <c r="AI125" s="2089"/>
      <c r="AJ125" s="2089"/>
      <c r="AK125" s="2089"/>
      <c r="AL125" s="2089"/>
      <c r="AM125" s="2089"/>
      <c r="AN125" s="2089"/>
      <c r="AO125" s="2089"/>
      <c r="AP125" s="2089"/>
      <c r="AQ125" s="2089"/>
      <c r="AR125" s="2089"/>
      <c r="AS125" s="2089"/>
      <c r="AT125" s="2089"/>
      <c r="AU125" s="2089"/>
      <c r="AV125" s="2089"/>
      <c r="AW125" s="2089"/>
      <c r="AX125" s="2089"/>
      <c r="AY125" s="2089"/>
      <c r="AZ125" s="2089"/>
      <c r="BA125" s="2089"/>
      <c r="BB125" s="2089"/>
      <c r="BC125" s="2089"/>
      <c r="BD125" s="2131"/>
      <c r="BE125" s="1194"/>
    </row>
    <row r="126" spans="1:57" ht="15.75" customHeight="1">
      <c r="A126" s="1190"/>
      <c r="B126" s="2133" t="s">
        <v>1577</v>
      </c>
      <c r="C126" s="2134"/>
      <c r="D126" s="2134"/>
      <c r="E126" s="2134"/>
      <c r="F126" s="2134"/>
      <c r="G126" s="2134"/>
      <c r="H126" s="2134"/>
      <c r="I126" s="2134"/>
      <c r="J126" s="2134"/>
      <c r="K126" s="2134"/>
      <c r="L126" s="2134"/>
      <c r="M126" s="2134"/>
      <c r="N126" s="2134"/>
      <c r="O126" s="2134"/>
      <c r="P126" s="2134"/>
      <c r="Q126" s="2134"/>
      <c r="R126" s="2134"/>
      <c r="S126" s="2134"/>
      <c r="T126" s="2134"/>
      <c r="U126" s="2135"/>
      <c r="V126" s="1190"/>
      <c r="W126" s="1190"/>
      <c r="X126" s="2090"/>
      <c r="Y126" s="2091"/>
      <c r="Z126" s="2091"/>
      <c r="AA126" s="2091"/>
      <c r="AB126" s="2091"/>
      <c r="AC126" s="2091"/>
      <c r="AD126" s="2091"/>
      <c r="AE126" s="2091"/>
      <c r="AF126" s="2091"/>
      <c r="AG126" s="2091"/>
      <c r="AH126" s="2091"/>
      <c r="AI126" s="2091"/>
      <c r="AJ126" s="2091"/>
      <c r="AK126" s="2091"/>
      <c r="AL126" s="2091"/>
      <c r="AM126" s="2091"/>
      <c r="AN126" s="2091"/>
      <c r="AO126" s="2091"/>
      <c r="AP126" s="2091"/>
      <c r="AQ126" s="2091"/>
      <c r="AR126" s="2091"/>
      <c r="AS126" s="2091"/>
      <c r="AT126" s="2091"/>
      <c r="AU126" s="2091"/>
      <c r="AV126" s="2091"/>
      <c r="AW126" s="2091"/>
      <c r="AX126" s="2091"/>
      <c r="AY126" s="2091"/>
      <c r="AZ126" s="2091"/>
      <c r="BA126" s="2091"/>
      <c r="BB126" s="2091"/>
      <c r="BC126" s="2091"/>
      <c r="BD126" s="2132"/>
      <c r="BE126" s="1194"/>
    </row>
    <row r="127" spans="1:57" ht="15.75" customHeight="1">
      <c r="A127" s="1190"/>
      <c r="B127" s="2151"/>
      <c r="C127" s="2152"/>
      <c r="D127" s="2152"/>
      <c r="E127" s="2152"/>
      <c r="F127" s="2152"/>
      <c r="G127" s="2152"/>
      <c r="H127" s="2152"/>
      <c r="I127" s="2010" t="s">
        <v>2362</v>
      </c>
      <c r="J127" s="2010"/>
      <c r="K127" s="2010"/>
      <c r="L127" s="2010"/>
      <c r="M127" s="2010"/>
      <c r="N127" s="2010"/>
      <c r="O127" s="2107" t="s">
        <v>2361</v>
      </c>
      <c r="P127" s="2107"/>
      <c r="Q127" s="2107"/>
      <c r="R127" s="2107"/>
      <c r="S127" s="2107"/>
      <c r="T127" s="2107"/>
      <c r="U127" s="2108"/>
      <c r="V127" s="1190"/>
      <c r="W127" s="1190"/>
      <c r="X127" s="2075" t="s">
        <v>2331</v>
      </c>
      <c r="Y127" s="2076"/>
      <c r="Z127" s="2076"/>
      <c r="AA127" s="2076"/>
      <c r="AB127" s="2076"/>
      <c r="AC127" s="2076"/>
      <c r="AD127" s="2076"/>
      <c r="AE127" s="2076"/>
      <c r="AF127" s="2076"/>
      <c r="AG127" s="2076"/>
      <c r="AH127" s="2076"/>
      <c r="AI127" s="2076"/>
      <c r="AJ127" s="2076"/>
      <c r="AK127" s="2076"/>
      <c r="AL127" s="2076"/>
      <c r="AM127" s="2076"/>
      <c r="AN127" s="2076"/>
      <c r="AO127" s="2076"/>
      <c r="AP127" s="2076"/>
      <c r="AQ127" s="2076"/>
      <c r="AR127" s="2076"/>
      <c r="AS127" s="2076"/>
      <c r="AT127" s="2076"/>
      <c r="AU127" s="2076"/>
      <c r="AV127" s="2076"/>
      <c r="AW127" s="2076"/>
      <c r="AX127" s="2076"/>
      <c r="AY127" s="2076"/>
      <c r="AZ127" s="2076"/>
      <c r="BA127" s="2076"/>
      <c r="BB127" s="2076"/>
      <c r="BC127" s="2076"/>
      <c r="BD127" s="2077"/>
      <c r="BE127" s="1194"/>
    </row>
    <row r="128" spans="1:57" ht="15.75" customHeight="1">
      <c r="A128" s="1190"/>
      <c r="B128" s="2109" t="s">
        <v>2345</v>
      </c>
      <c r="C128" s="2110"/>
      <c r="D128" s="2110"/>
      <c r="E128" s="2110"/>
      <c r="F128" s="2110"/>
      <c r="G128" s="2110"/>
      <c r="H128" s="2110"/>
      <c r="I128" s="2086">
        <v>0</v>
      </c>
      <c r="J128" s="2086"/>
      <c r="K128" s="2086"/>
      <c r="L128" s="2086"/>
      <c r="M128" s="2086"/>
      <c r="N128" s="2086"/>
      <c r="O128" s="2086">
        <v>0</v>
      </c>
      <c r="P128" s="2086"/>
      <c r="Q128" s="2086"/>
      <c r="R128" s="2086"/>
      <c r="S128" s="2086"/>
      <c r="T128" s="2086"/>
      <c r="U128" s="2087"/>
      <c r="V128" s="1190"/>
      <c r="W128" s="1190"/>
      <c r="X128" s="2075"/>
      <c r="Y128" s="2076"/>
      <c r="Z128" s="2076"/>
      <c r="AA128" s="2076"/>
      <c r="AB128" s="2076"/>
      <c r="AC128" s="2076"/>
      <c r="AD128" s="2076"/>
      <c r="AE128" s="2076"/>
      <c r="AF128" s="2076"/>
      <c r="AG128" s="2076"/>
      <c r="AH128" s="2076"/>
      <c r="AI128" s="2076"/>
      <c r="AJ128" s="2076"/>
      <c r="AK128" s="2076"/>
      <c r="AL128" s="2076"/>
      <c r="AM128" s="2076"/>
      <c r="AN128" s="2076"/>
      <c r="AO128" s="2076"/>
      <c r="AP128" s="2076"/>
      <c r="AQ128" s="2076"/>
      <c r="AR128" s="2076"/>
      <c r="AS128" s="2076"/>
      <c r="AT128" s="2076"/>
      <c r="AU128" s="2076"/>
      <c r="AV128" s="2076"/>
      <c r="AW128" s="2076"/>
      <c r="AX128" s="2076"/>
      <c r="AY128" s="2076"/>
      <c r="AZ128" s="2076"/>
      <c r="BA128" s="2076"/>
      <c r="BB128" s="2076"/>
      <c r="BC128" s="2076"/>
      <c r="BD128" s="2077"/>
      <c r="BE128" s="1194"/>
    </row>
    <row r="129" spans="1:57" ht="15.75" customHeight="1" thickBot="1">
      <c r="A129" s="1190"/>
      <c r="B129" s="2111" t="s">
        <v>2344</v>
      </c>
      <c r="C129" s="2112"/>
      <c r="D129" s="2112"/>
      <c r="E129" s="2112"/>
      <c r="F129" s="2112"/>
      <c r="G129" s="2112"/>
      <c r="H129" s="2112"/>
      <c r="I129" s="2101">
        <v>0</v>
      </c>
      <c r="J129" s="2101"/>
      <c r="K129" s="2101"/>
      <c r="L129" s="2101"/>
      <c r="M129" s="2101"/>
      <c r="N129" s="2101"/>
      <c r="O129" s="2113"/>
      <c r="P129" s="2113"/>
      <c r="Q129" s="2113"/>
      <c r="R129" s="2113"/>
      <c r="S129" s="2113"/>
      <c r="T129" s="2113"/>
      <c r="U129" s="2114"/>
      <c r="V129" s="1190"/>
      <c r="W129" s="1190"/>
      <c r="X129" s="2075"/>
      <c r="Y129" s="2076"/>
      <c r="Z129" s="2076"/>
      <c r="AA129" s="2076"/>
      <c r="AB129" s="2076"/>
      <c r="AC129" s="2076"/>
      <c r="AD129" s="2076"/>
      <c r="AE129" s="2076"/>
      <c r="AF129" s="2076"/>
      <c r="AG129" s="2076"/>
      <c r="AH129" s="2076"/>
      <c r="AI129" s="2076"/>
      <c r="AJ129" s="2076"/>
      <c r="AK129" s="2076"/>
      <c r="AL129" s="2076"/>
      <c r="AM129" s="2076"/>
      <c r="AN129" s="2076"/>
      <c r="AO129" s="2076"/>
      <c r="AP129" s="2076"/>
      <c r="AQ129" s="2076"/>
      <c r="AR129" s="2076"/>
      <c r="AS129" s="2076"/>
      <c r="AT129" s="2076"/>
      <c r="AU129" s="2076"/>
      <c r="AV129" s="2076"/>
      <c r="AW129" s="2076"/>
      <c r="AX129" s="2076"/>
      <c r="AY129" s="2076"/>
      <c r="AZ129" s="2076"/>
      <c r="BA129" s="2076"/>
      <c r="BB129" s="2076"/>
      <c r="BC129" s="2076"/>
      <c r="BD129" s="2077"/>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5"/>
      <c r="Y130" s="2076"/>
      <c r="Z130" s="2076"/>
      <c r="AA130" s="2076"/>
      <c r="AB130" s="2076"/>
      <c r="AC130" s="2076"/>
      <c r="AD130" s="2076"/>
      <c r="AE130" s="2076"/>
      <c r="AF130" s="2076"/>
      <c r="AG130" s="2076"/>
      <c r="AH130" s="2076"/>
      <c r="AI130" s="2076"/>
      <c r="AJ130" s="2076"/>
      <c r="AK130" s="2076"/>
      <c r="AL130" s="2076"/>
      <c r="AM130" s="2076"/>
      <c r="AN130" s="2076"/>
      <c r="AO130" s="2076"/>
      <c r="AP130" s="2076"/>
      <c r="AQ130" s="2076"/>
      <c r="AR130" s="2076"/>
      <c r="AS130" s="2076"/>
      <c r="AT130" s="2076"/>
      <c r="AU130" s="2076"/>
      <c r="AV130" s="2076"/>
      <c r="AW130" s="2076"/>
      <c r="AX130" s="2076"/>
      <c r="AY130" s="2076"/>
      <c r="AZ130" s="2076"/>
      <c r="BA130" s="2076"/>
      <c r="BB130" s="2076"/>
      <c r="BC130" s="2076"/>
      <c r="BD130" s="2077"/>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5"/>
      <c r="Y131" s="2076"/>
      <c r="Z131" s="2076"/>
      <c r="AA131" s="2076"/>
      <c r="AB131" s="2076"/>
      <c r="AC131" s="2076"/>
      <c r="AD131" s="2076"/>
      <c r="AE131" s="2076"/>
      <c r="AF131" s="2076"/>
      <c r="AG131" s="2076"/>
      <c r="AH131" s="2076"/>
      <c r="AI131" s="2076"/>
      <c r="AJ131" s="2076"/>
      <c r="AK131" s="2076"/>
      <c r="AL131" s="2076"/>
      <c r="AM131" s="2076"/>
      <c r="AN131" s="2076"/>
      <c r="AO131" s="2076"/>
      <c r="AP131" s="2076"/>
      <c r="AQ131" s="2076"/>
      <c r="AR131" s="2076"/>
      <c r="AS131" s="2076"/>
      <c r="AT131" s="2076"/>
      <c r="AU131" s="2076"/>
      <c r="AV131" s="2076"/>
      <c r="AW131" s="2076"/>
      <c r="AX131" s="2076"/>
      <c r="AY131" s="2076"/>
      <c r="AZ131" s="2076"/>
      <c r="BA131" s="2076"/>
      <c r="BB131" s="2076"/>
      <c r="BC131" s="2076"/>
      <c r="BD131" s="2077"/>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5"/>
      <c r="Y132" s="2076"/>
      <c r="Z132" s="2076"/>
      <c r="AA132" s="2076"/>
      <c r="AB132" s="2076"/>
      <c r="AC132" s="2076"/>
      <c r="AD132" s="2076"/>
      <c r="AE132" s="2076"/>
      <c r="AF132" s="2076"/>
      <c r="AG132" s="2076"/>
      <c r="AH132" s="2076"/>
      <c r="AI132" s="2076"/>
      <c r="AJ132" s="2076"/>
      <c r="AK132" s="2076"/>
      <c r="AL132" s="2076"/>
      <c r="AM132" s="2076"/>
      <c r="AN132" s="2076"/>
      <c r="AO132" s="2076"/>
      <c r="AP132" s="2076"/>
      <c r="AQ132" s="2076"/>
      <c r="AR132" s="2076"/>
      <c r="AS132" s="2076"/>
      <c r="AT132" s="2076"/>
      <c r="AU132" s="2076"/>
      <c r="AV132" s="2076"/>
      <c r="AW132" s="2076"/>
      <c r="AX132" s="2076"/>
      <c r="AY132" s="2076"/>
      <c r="AZ132" s="2076"/>
      <c r="BA132" s="2076"/>
      <c r="BB132" s="2076"/>
      <c r="BC132" s="2076"/>
      <c r="BD132" s="2077"/>
      <c r="BE132" s="1194"/>
    </row>
    <row r="133" spans="1:57" ht="15.75" customHeight="1">
      <c r="A133" s="1190"/>
      <c r="B133" s="1911" t="s">
        <v>2359</v>
      </c>
      <c r="C133" s="1912"/>
      <c r="D133" s="1912"/>
      <c r="E133" s="1912"/>
      <c r="F133" s="1912"/>
      <c r="G133" s="1912"/>
      <c r="H133" s="1912"/>
      <c r="I133" s="1912"/>
      <c r="J133" s="1912"/>
      <c r="K133" s="1912"/>
      <c r="L133" s="1912"/>
      <c r="M133" s="1912"/>
      <c r="N133" s="1912"/>
      <c r="O133" s="1912"/>
      <c r="P133" s="1912"/>
      <c r="Q133" s="1912"/>
      <c r="R133" s="1912"/>
      <c r="S133" s="1912"/>
      <c r="T133" s="1912"/>
      <c r="U133" s="1913"/>
      <c r="V133" s="1190"/>
      <c r="W133" s="1190"/>
      <c r="X133" s="2075"/>
      <c r="Y133" s="2076"/>
      <c r="Z133" s="2076"/>
      <c r="AA133" s="2076"/>
      <c r="AB133" s="2076"/>
      <c r="AC133" s="2076"/>
      <c r="AD133" s="2076"/>
      <c r="AE133" s="2076"/>
      <c r="AF133" s="2076"/>
      <c r="AG133" s="2076"/>
      <c r="AH133" s="2076"/>
      <c r="AI133" s="2076"/>
      <c r="AJ133" s="2076"/>
      <c r="AK133" s="2076"/>
      <c r="AL133" s="2076"/>
      <c r="AM133" s="2076"/>
      <c r="AN133" s="2076"/>
      <c r="AO133" s="2076"/>
      <c r="AP133" s="2076"/>
      <c r="AQ133" s="2076"/>
      <c r="AR133" s="2076"/>
      <c r="AS133" s="2076"/>
      <c r="AT133" s="2076"/>
      <c r="AU133" s="2076"/>
      <c r="AV133" s="2076"/>
      <c r="AW133" s="2076"/>
      <c r="AX133" s="2076"/>
      <c r="AY133" s="2076"/>
      <c r="AZ133" s="2076"/>
      <c r="BA133" s="2076"/>
      <c r="BB133" s="2076"/>
      <c r="BC133" s="2076"/>
      <c r="BD133" s="2077"/>
      <c r="BE133" s="1194"/>
    </row>
    <row r="134" spans="1:57" ht="15.75" customHeight="1">
      <c r="A134" s="1190"/>
      <c r="B134" s="2151"/>
      <c r="C134" s="2152"/>
      <c r="D134" s="2152"/>
      <c r="E134" s="2152"/>
      <c r="F134" s="2152"/>
      <c r="G134" s="2152"/>
      <c r="H134" s="2152"/>
      <c r="I134" s="2153" t="s">
        <v>2347</v>
      </c>
      <c r="J134" s="2153"/>
      <c r="K134" s="2153"/>
      <c r="L134" s="2153"/>
      <c r="M134" s="2153"/>
      <c r="N134" s="2153"/>
      <c r="O134" s="2153"/>
      <c r="P134" s="2153" t="s">
        <v>2346</v>
      </c>
      <c r="Q134" s="2153"/>
      <c r="R134" s="2153"/>
      <c r="S134" s="2153"/>
      <c r="T134" s="2153"/>
      <c r="U134" s="2154"/>
      <c r="V134" s="1190"/>
      <c r="W134" s="1190"/>
      <c r="X134" s="2075"/>
      <c r="Y134" s="2076"/>
      <c r="Z134" s="2076"/>
      <c r="AA134" s="2076"/>
      <c r="AB134" s="2076"/>
      <c r="AC134" s="2076"/>
      <c r="AD134" s="2076"/>
      <c r="AE134" s="2076"/>
      <c r="AF134" s="2076"/>
      <c r="AG134" s="2076"/>
      <c r="AH134" s="2076"/>
      <c r="AI134" s="2076"/>
      <c r="AJ134" s="2076"/>
      <c r="AK134" s="2076"/>
      <c r="AL134" s="2076"/>
      <c r="AM134" s="2076"/>
      <c r="AN134" s="2076"/>
      <c r="AO134" s="2076"/>
      <c r="AP134" s="2076"/>
      <c r="AQ134" s="2076"/>
      <c r="AR134" s="2076"/>
      <c r="AS134" s="2076"/>
      <c r="AT134" s="2076"/>
      <c r="AU134" s="2076"/>
      <c r="AV134" s="2076"/>
      <c r="AW134" s="2076"/>
      <c r="AX134" s="2076"/>
      <c r="AY134" s="2076"/>
      <c r="AZ134" s="2076"/>
      <c r="BA134" s="2076"/>
      <c r="BB134" s="2076"/>
      <c r="BC134" s="2076"/>
      <c r="BD134" s="2077"/>
      <c r="BE134" s="1194"/>
    </row>
    <row r="135" spans="1:57" ht="15.75" customHeight="1">
      <c r="A135" s="1190"/>
      <c r="B135" s="2151"/>
      <c r="C135" s="2152"/>
      <c r="D135" s="2152"/>
      <c r="E135" s="2152"/>
      <c r="F135" s="2152"/>
      <c r="G135" s="2152"/>
      <c r="H135" s="2152"/>
      <c r="I135" s="2153"/>
      <c r="J135" s="2153"/>
      <c r="K135" s="2153"/>
      <c r="L135" s="2153"/>
      <c r="M135" s="2153"/>
      <c r="N135" s="2153"/>
      <c r="O135" s="2153"/>
      <c r="P135" s="2153"/>
      <c r="Q135" s="2153"/>
      <c r="R135" s="2153"/>
      <c r="S135" s="2153"/>
      <c r="T135" s="2153"/>
      <c r="U135" s="2154"/>
      <c r="V135" s="1190"/>
      <c r="W135" s="1190"/>
      <c r="X135" s="2075"/>
      <c r="Y135" s="2076"/>
      <c r="Z135" s="2076"/>
      <c r="AA135" s="2076"/>
      <c r="AB135" s="2076"/>
      <c r="AC135" s="2076"/>
      <c r="AD135" s="2076"/>
      <c r="AE135" s="2076"/>
      <c r="AF135" s="2076"/>
      <c r="AG135" s="2076"/>
      <c r="AH135" s="2076"/>
      <c r="AI135" s="2076"/>
      <c r="AJ135" s="2076"/>
      <c r="AK135" s="2076"/>
      <c r="AL135" s="2076"/>
      <c r="AM135" s="2076"/>
      <c r="AN135" s="2076"/>
      <c r="AO135" s="2076"/>
      <c r="AP135" s="2076"/>
      <c r="AQ135" s="2076"/>
      <c r="AR135" s="2076"/>
      <c r="AS135" s="2076"/>
      <c r="AT135" s="2076"/>
      <c r="AU135" s="2076"/>
      <c r="AV135" s="2076"/>
      <c r="AW135" s="2076"/>
      <c r="AX135" s="2076"/>
      <c r="AY135" s="2076"/>
      <c r="AZ135" s="2076"/>
      <c r="BA135" s="2076"/>
      <c r="BB135" s="2076"/>
      <c r="BC135" s="2076"/>
      <c r="BD135" s="2077"/>
      <c r="BE135" s="1194"/>
    </row>
    <row r="136" spans="1:57" ht="15.75" customHeight="1">
      <c r="A136" s="1190"/>
      <c r="B136" s="2109" t="s">
        <v>2345</v>
      </c>
      <c r="C136" s="2110"/>
      <c r="D136" s="2110"/>
      <c r="E136" s="2110"/>
      <c r="F136" s="2110"/>
      <c r="G136" s="2110"/>
      <c r="H136" s="2110"/>
      <c r="I136" s="2086">
        <v>0</v>
      </c>
      <c r="J136" s="2086"/>
      <c r="K136" s="2086"/>
      <c r="L136" s="2086"/>
      <c r="M136" s="2086"/>
      <c r="N136" s="2086"/>
      <c r="O136" s="2086"/>
      <c r="P136" s="2086">
        <v>0</v>
      </c>
      <c r="Q136" s="2086"/>
      <c r="R136" s="2086"/>
      <c r="S136" s="2086"/>
      <c r="T136" s="2086"/>
      <c r="U136" s="2087"/>
      <c r="V136" s="1190"/>
      <c r="W136" s="1190"/>
      <c r="X136" s="2075"/>
      <c r="Y136" s="2076"/>
      <c r="Z136" s="2076"/>
      <c r="AA136" s="2076"/>
      <c r="AB136" s="2076"/>
      <c r="AC136" s="2076"/>
      <c r="AD136" s="2076"/>
      <c r="AE136" s="2076"/>
      <c r="AF136" s="2076"/>
      <c r="AG136" s="2076"/>
      <c r="AH136" s="2076"/>
      <c r="AI136" s="2076"/>
      <c r="AJ136" s="2076"/>
      <c r="AK136" s="2076"/>
      <c r="AL136" s="2076"/>
      <c r="AM136" s="2076"/>
      <c r="AN136" s="2076"/>
      <c r="AO136" s="2076"/>
      <c r="AP136" s="2076"/>
      <c r="AQ136" s="2076"/>
      <c r="AR136" s="2076"/>
      <c r="AS136" s="2076"/>
      <c r="AT136" s="2076"/>
      <c r="AU136" s="2076"/>
      <c r="AV136" s="2076"/>
      <c r="AW136" s="2076"/>
      <c r="AX136" s="2076"/>
      <c r="AY136" s="2076"/>
      <c r="AZ136" s="2076"/>
      <c r="BA136" s="2076"/>
      <c r="BB136" s="2076"/>
      <c r="BC136" s="2076"/>
      <c r="BD136" s="2077"/>
      <c r="BE136" s="1194"/>
    </row>
    <row r="137" spans="1:57" ht="15.75" customHeight="1" thickBot="1">
      <c r="A137" s="1190"/>
      <c r="B137" s="2111" t="s">
        <v>2344</v>
      </c>
      <c r="C137" s="2112"/>
      <c r="D137" s="2112"/>
      <c r="E137" s="2112"/>
      <c r="F137" s="2112"/>
      <c r="G137" s="2112"/>
      <c r="H137" s="2112"/>
      <c r="I137" s="2101">
        <v>0</v>
      </c>
      <c r="J137" s="2101"/>
      <c r="K137" s="2101"/>
      <c r="L137" s="2101"/>
      <c r="M137" s="2101"/>
      <c r="N137" s="2101"/>
      <c r="O137" s="2101"/>
      <c r="P137" s="2101">
        <v>0</v>
      </c>
      <c r="Q137" s="2101"/>
      <c r="R137" s="2101"/>
      <c r="S137" s="2101"/>
      <c r="T137" s="2101"/>
      <c r="U137" s="2102"/>
      <c r="V137" s="1190"/>
      <c r="W137" s="1190"/>
      <c r="X137" s="2078"/>
      <c r="Y137" s="2079"/>
      <c r="Z137" s="2079"/>
      <c r="AA137" s="2079"/>
      <c r="AB137" s="2079"/>
      <c r="AC137" s="2079"/>
      <c r="AD137" s="2079"/>
      <c r="AE137" s="2079"/>
      <c r="AF137" s="2079"/>
      <c r="AG137" s="2079"/>
      <c r="AH137" s="2079"/>
      <c r="AI137" s="2079"/>
      <c r="AJ137" s="2079"/>
      <c r="AK137" s="2079"/>
      <c r="AL137" s="2079"/>
      <c r="AM137" s="2079"/>
      <c r="AN137" s="2079"/>
      <c r="AO137" s="2079"/>
      <c r="AP137" s="2079"/>
      <c r="AQ137" s="2079"/>
      <c r="AR137" s="2079"/>
      <c r="AS137" s="2079"/>
      <c r="AT137" s="2079"/>
      <c r="AU137" s="2079"/>
      <c r="AV137" s="2079"/>
      <c r="AW137" s="2079"/>
      <c r="AX137" s="2079"/>
      <c r="AY137" s="2079"/>
      <c r="AZ137" s="2079"/>
      <c r="BA137" s="2079"/>
      <c r="BB137" s="2079"/>
      <c r="BC137" s="2079"/>
      <c r="BD137" s="2080"/>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49" t="s">
        <v>2358</v>
      </c>
      <c r="C139" s="2150"/>
      <c r="D139" s="2150"/>
      <c r="E139" s="2150"/>
      <c r="F139" s="2150"/>
      <c r="G139" s="2150"/>
      <c r="H139" s="2150"/>
      <c r="I139" s="2150"/>
      <c r="J139" s="2150"/>
      <c r="K139" s="2150"/>
      <c r="L139" s="2150"/>
      <c r="M139" s="2150"/>
      <c r="N139" s="2150"/>
      <c r="O139" s="2150"/>
      <c r="P139" s="2150"/>
      <c r="Q139" s="2150"/>
      <c r="R139" s="2150"/>
      <c r="S139" s="2150"/>
      <c r="T139" s="2150"/>
      <c r="U139" s="2150"/>
      <c r="V139" s="2150"/>
      <c r="W139" s="2150"/>
      <c r="X139" s="2150"/>
      <c r="Y139" s="2150"/>
      <c r="Z139" s="2150"/>
      <c r="AA139" s="2150"/>
      <c r="AB139" s="2150"/>
      <c r="AC139" s="2150"/>
      <c r="AD139" s="2150"/>
      <c r="AE139" s="2150"/>
      <c r="AF139" s="2150"/>
      <c r="AG139" s="2150"/>
      <c r="AH139" s="2034" t="s">
        <v>546</v>
      </c>
      <c r="AI139" s="2034"/>
      <c r="AJ139" s="2034"/>
      <c r="AK139" s="2034"/>
      <c r="AL139" s="2034"/>
      <c r="AM139" s="2034"/>
      <c r="AN139" s="2034"/>
      <c r="AO139" s="2034"/>
      <c r="AP139" s="2034"/>
      <c r="AQ139" s="2034"/>
      <c r="AR139" s="2034"/>
      <c r="AS139" s="2034"/>
      <c r="AT139" s="2034"/>
      <c r="AU139" s="2034"/>
      <c r="AV139" s="2034"/>
      <c r="AW139" s="2034"/>
      <c r="AX139" s="2035"/>
      <c r="AY139" s="1190"/>
      <c r="AZ139" s="1190"/>
      <c r="BA139" s="1190"/>
      <c r="BB139" s="1190"/>
      <c r="BC139" s="1190"/>
      <c r="BD139" s="1190"/>
      <c r="BE139" s="1194"/>
    </row>
    <row r="140" spans="1:57" ht="15.75" customHeight="1" thickBot="1">
      <c r="A140" s="1190"/>
      <c r="B140" s="2136" t="s">
        <v>2357</v>
      </c>
      <c r="C140" s="2137"/>
      <c r="D140" s="2137"/>
      <c r="E140" s="2137"/>
      <c r="F140" s="2137"/>
      <c r="G140" s="2137"/>
      <c r="H140" s="2137"/>
      <c r="I140" s="2137"/>
      <c r="J140" s="2137"/>
      <c r="K140" s="2137"/>
      <c r="L140" s="2137"/>
      <c r="M140" s="2137"/>
      <c r="N140" s="2137"/>
      <c r="O140" s="2137"/>
      <c r="P140" s="2137"/>
      <c r="Q140" s="2137"/>
      <c r="R140" s="2137"/>
      <c r="S140" s="2137"/>
      <c r="T140" s="2137"/>
      <c r="U140" s="2137"/>
      <c r="V140" s="2137"/>
      <c r="W140" s="2137"/>
      <c r="X140" s="2137"/>
      <c r="Y140" s="2137"/>
      <c r="Z140" s="2137"/>
      <c r="AA140" s="2137"/>
      <c r="AB140" s="2137"/>
      <c r="AC140" s="2137"/>
      <c r="AD140" s="2137"/>
      <c r="AE140" s="2137"/>
      <c r="AF140" s="2137"/>
      <c r="AG140" s="2138"/>
      <c r="AH140" s="2103"/>
      <c r="AI140" s="2104"/>
      <c r="AJ140" s="2104"/>
      <c r="AK140" s="2104"/>
      <c r="AL140" s="2104"/>
      <c r="AM140" s="2104"/>
      <c r="AN140" s="2104"/>
      <c r="AO140" s="2104"/>
      <c r="AP140" s="2104"/>
      <c r="AQ140" s="2104"/>
      <c r="AR140" s="2104"/>
      <c r="AS140" s="2104"/>
      <c r="AT140" s="2104"/>
      <c r="AU140" s="2104"/>
      <c r="AV140" s="2104"/>
      <c r="AW140" s="2104"/>
      <c r="AX140" s="2105"/>
      <c r="AY140" s="1190"/>
      <c r="AZ140" s="1190"/>
      <c r="BA140" s="1190"/>
      <c r="BB140" s="1190"/>
      <c r="BC140" s="1190"/>
      <c r="BD140" s="1190"/>
      <c r="BE140" s="1194"/>
    </row>
    <row r="141" spans="1:57" ht="15.75" customHeight="1">
      <c r="A141" s="1190"/>
      <c r="B141" s="2136" t="s">
        <v>2356</v>
      </c>
      <c r="C141" s="2137"/>
      <c r="D141" s="2137"/>
      <c r="E141" s="2137"/>
      <c r="F141" s="2137"/>
      <c r="G141" s="2137"/>
      <c r="H141" s="2137"/>
      <c r="I141" s="2137"/>
      <c r="J141" s="2137"/>
      <c r="K141" s="2137"/>
      <c r="L141" s="2137"/>
      <c r="M141" s="2137"/>
      <c r="N141" s="2137"/>
      <c r="O141" s="2137"/>
      <c r="P141" s="2137"/>
      <c r="Q141" s="2137"/>
      <c r="R141" s="2137"/>
      <c r="S141" s="2137"/>
      <c r="T141" s="2137"/>
      <c r="U141" s="2137"/>
      <c r="V141" s="2137"/>
      <c r="W141" s="2137"/>
      <c r="X141" s="2137"/>
      <c r="Y141" s="2137"/>
      <c r="Z141" s="2137"/>
      <c r="AA141" s="2137"/>
      <c r="AB141" s="2137"/>
      <c r="AC141" s="2137"/>
      <c r="AD141" s="2137"/>
      <c r="AE141" s="2137"/>
      <c r="AF141" s="2137"/>
      <c r="AG141" s="2138"/>
      <c r="AH141" s="2034" t="s">
        <v>546</v>
      </c>
      <c r="AI141" s="2034"/>
      <c r="AJ141" s="2034"/>
      <c r="AK141" s="2034"/>
      <c r="AL141" s="2034"/>
      <c r="AM141" s="2034"/>
      <c r="AN141" s="2034"/>
      <c r="AO141" s="2034"/>
      <c r="AP141" s="2034"/>
      <c r="AQ141" s="2034"/>
      <c r="AR141" s="2034"/>
      <c r="AS141" s="2034"/>
      <c r="AT141" s="2034"/>
      <c r="AU141" s="2034"/>
      <c r="AV141" s="2034"/>
      <c r="AW141" s="2034"/>
      <c r="AX141" s="2035"/>
      <c r="AY141" s="1190"/>
      <c r="AZ141" s="1190"/>
      <c r="BA141" s="1190"/>
      <c r="BB141" s="1190"/>
      <c r="BC141" s="1190"/>
      <c r="BD141" s="1190"/>
      <c r="BE141" s="1194"/>
    </row>
    <row r="142" spans="1:57" ht="15.75" customHeight="1">
      <c r="A142" s="1190"/>
      <c r="B142" s="2139" t="s">
        <v>2355</v>
      </c>
      <c r="C142" s="2140"/>
      <c r="D142" s="2140"/>
      <c r="E142" s="2140"/>
      <c r="F142" s="2140"/>
      <c r="G142" s="2140"/>
      <c r="H142" s="2140"/>
      <c r="I142" s="2140"/>
      <c r="J142" s="2140"/>
      <c r="K142" s="2140"/>
      <c r="L142" s="2140"/>
      <c r="M142" s="2140"/>
      <c r="N142" s="2140"/>
      <c r="O142" s="2140"/>
      <c r="P142" s="2140"/>
      <c r="Q142" s="2140"/>
      <c r="R142" s="2141" t="s">
        <v>2354</v>
      </c>
      <c r="S142" s="2141"/>
      <c r="T142" s="2141"/>
      <c r="U142" s="2141"/>
      <c r="V142" s="2141"/>
      <c r="W142" s="2141"/>
      <c r="X142" s="2141"/>
      <c r="Y142" s="2141"/>
      <c r="Z142" s="2141"/>
      <c r="AA142" s="2141"/>
      <c r="AB142" s="2141"/>
      <c r="AC142" s="2141"/>
      <c r="AD142" s="2141"/>
      <c r="AE142" s="2141"/>
      <c r="AF142" s="2141"/>
      <c r="AG142" s="2141"/>
      <c r="AH142" s="2141"/>
      <c r="AI142" s="2141"/>
      <c r="AJ142" s="2141"/>
      <c r="AK142" s="2141"/>
      <c r="AL142" s="2141"/>
      <c r="AM142" s="2141"/>
      <c r="AN142" s="2141"/>
      <c r="AO142" s="2141"/>
      <c r="AP142" s="2141"/>
      <c r="AQ142" s="2141"/>
      <c r="AR142" s="2141"/>
      <c r="AS142" s="2141"/>
      <c r="AT142" s="2141"/>
      <c r="AU142" s="2141"/>
      <c r="AV142" s="2141"/>
      <c r="AW142" s="2141"/>
      <c r="AX142" s="2142"/>
      <c r="AY142" s="1190"/>
      <c r="AZ142" s="1190"/>
      <c r="BA142" s="1190"/>
      <c r="BB142" s="1190"/>
      <c r="BC142" s="1190" t="s">
        <v>250</v>
      </c>
      <c r="BD142" s="1190"/>
      <c r="BE142" s="1194"/>
    </row>
    <row r="143" spans="1:57" ht="15.75" customHeight="1">
      <c r="A143" s="1190"/>
      <c r="B143" s="2143" t="s">
        <v>2353</v>
      </c>
      <c r="C143" s="2144"/>
      <c r="D143" s="2144"/>
      <c r="E143" s="2144"/>
      <c r="F143" s="2144"/>
      <c r="G143" s="2144"/>
      <c r="H143" s="2144"/>
      <c r="I143" s="2144"/>
      <c r="J143" s="2144"/>
      <c r="K143" s="2144"/>
      <c r="L143" s="2144"/>
      <c r="M143" s="2144"/>
      <c r="N143" s="2144"/>
      <c r="O143" s="2144"/>
      <c r="P143" s="2144"/>
      <c r="Q143" s="2144"/>
      <c r="R143" s="2144"/>
      <c r="S143" s="2144"/>
      <c r="T143" s="2144"/>
      <c r="U143" s="2144"/>
      <c r="V143" s="2144"/>
      <c r="W143" s="2144"/>
      <c r="X143" s="2144"/>
      <c r="Y143" s="2144"/>
      <c r="Z143" s="2144"/>
      <c r="AA143" s="2144"/>
      <c r="AB143" s="2144"/>
      <c r="AC143" s="2144"/>
      <c r="AD143" s="2144"/>
      <c r="AE143" s="2144"/>
      <c r="AF143" s="2144"/>
      <c r="AG143" s="2144"/>
      <c r="AH143" s="2144"/>
      <c r="AI143" s="2144"/>
      <c r="AJ143" s="2144"/>
      <c r="AK143" s="2144"/>
      <c r="AL143" s="2144"/>
      <c r="AM143" s="2144"/>
      <c r="AN143" s="2144"/>
      <c r="AO143" s="2144"/>
      <c r="AP143" s="2144"/>
      <c r="AQ143" s="2144"/>
      <c r="AR143" s="2144"/>
      <c r="AS143" s="2144"/>
      <c r="AT143" s="2144"/>
      <c r="AU143" s="2144"/>
      <c r="AV143" s="2144"/>
      <c r="AW143" s="2144"/>
      <c r="AX143" s="2145"/>
      <c r="AY143" s="1190"/>
      <c r="AZ143" s="1190"/>
      <c r="BA143" s="1190"/>
      <c r="BB143" s="1190"/>
      <c r="BC143" s="1190"/>
      <c r="BD143" s="1190"/>
      <c r="BE143" s="1194"/>
    </row>
    <row r="144" spans="1:57" ht="15.75" customHeight="1">
      <c r="A144" s="1190"/>
      <c r="B144" s="2143"/>
      <c r="C144" s="2144"/>
      <c r="D144" s="2144"/>
      <c r="E144" s="2144"/>
      <c r="F144" s="2144"/>
      <c r="G144" s="2144"/>
      <c r="H144" s="2144"/>
      <c r="I144" s="2144"/>
      <c r="J144" s="2144"/>
      <c r="K144" s="2144"/>
      <c r="L144" s="2144"/>
      <c r="M144" s="2144"/>
      <c r="N144" s="2144"/>
      <c r="O144" s="2144"/>
      <c r="P144" s="2144"/>
      <c r="Q144" s="2144"/>
      <c r="R144" s="2144"/>
      <c r="S144" s="2144"/>
      <c r="T144" s="2144"/>
      <c r="U144" s="2144"/>
      <c r="V144" s="2144"/>
      <c r="W144" s="2144"/>
      <c r="X144" s="2144"/>
      <c r="Y144" s="2144"/>
      <c r="Z144" s="2144"/>
      <c r="AA144" s="2144"/>
      <c r="AB144" s="2144"/>
      <c r="AC144" s="2144"/>
      <c r="AD144" s="2144"/>
      <c r="AE144" s="2144"/>
      <c r="AF144" s="2144"/>
      <c r="AG144" s="2144"/>
      <c r="AH144" s="2144"/>
      <c r="AI144" s="2144"/>
      <c r="AJ144" s="2144"/>
      <c r="AK144" s="2144"/>
      <c r="AL144" s="2144"/>
      <c r="AM144" s="2144"/>
      <c r="AN144" s="2144"/>
      <c r="AO144" s="2144"/>
      <c r="AP144" s="2144"/>
      <c r="AQ144" s="2144"/>
      <c r="AR144" s="2144"/>
      <c r="AS144" s="2144"/>
      <c r="AT144" s="2144"/>
      <c r="AU144" s="2144"/>
      <c r="AV144" s="2144"/>
      <c r="AW144" s="2144"/>
      <c r="AX144" s="2145"/>
      <c r="AY144" s="1190"/>
      <c r="AZ144" s="1190"/>
      <c r="BA144" s="1190"/>
      <c r="BB144" s="1190"/>
      <c r="BC144" s="1190"/>
      <c r="BD144" s="1190"/>
      <c r="BE144" s="1194"/>
    </row>
    <row r="145" spans="1:57" ht="15.75" customHeight="1">
      <c r="A145" s="1190"/>
      <c r="B145" s="2143"/>
      <c r="C145" s="2144"/>
      <c r="D145" s="2144"/>
      <c r="E145" s="2144"/>
      <c r="F145" s="2144"/>
      <c r="G145" s="2144"/>
      <c r="H145" s="2144"/>
      <c r="I145" s="2144"/>
      <c r="J145" s="2144"/>
      <c r="K145" s="2144"/>
      <c r="L145" s="2144"/>
      <c r="M145" s="2144"/>
      <c r="N145" s="2144"/>
      <c r="O145" s="2144"/>
      <c r="P145" s="2144"/>
      <c r="Q145" s="2144"/>
      <c r="R145" s="2144"/>
      <c r="S145" s="2144"/>
      <c r="T145" s="2144"/>
      <c r="U145" s="2144"/>
      <c r="V145" s="2144"/>
      <c r="W145" s="2144"/>
      <c r="X145" s="2144"/>
      <c r="Y145" s="2144"/>
      <c r="Z145" s="2144"/>
      <c r="AA145" s="2144"/>
      <c r="AB145" s="2144"/>
      <c r="AC145" s="2144"/>
      <c r="AD145" s="2144"/>
      <c r="AE145" s="2144"/>
      <c r="AF145" s="2144"/>
      <c r="AG145" s="2144"/>
      <c r="AH145" s="2144"/>
      <c r="AI145" s="2144"/>
      <c r="AJ145" s="2144"/>
      <c r="AK145" s="2144"/>
      <c r="AL145" s="2144"/>
      <c r="AM145" s="2144"/>
      <c r="AN145" s="2144"/>
      <c r="AO145" s="2144"/>
      <c r="AP145" s="2144"/>
      <c r="AQ145" s="2144"/>
      <c r="AR145" s="2144"/>
      <c r="AS145" s="2144"/>
      <c r="AT145" s="2144"/>
      <c r="AU145" s="2144"/>
      <c r="AV145" s="2144"/>
      <c r="AW145" s="2144"/>
      <c r="AX145" s="2145"/>
      <c r="AY145" s="1190"/>
      <c r="AZ145" s="1190"/>
      <c r="BA145" s="1190"/>
      <c r="BB145" s="1190"/>
      <c r="BC145" s="1190"/>
      <c r="BD145" s="1190"/>
      <c r="BE145" s="1194"/>
    </row>
    <row r="146" spans="1:57" ht="15.75" customHeight="1">
      <c r="A146" s="1190"/>
      <c r="B146" s="2143"/>
      <c r="C146" s="2144"/>
      <c r="D146" s="2144"/>
      <c r="E146" s="2144"/>
      <c r="F146" s="2144"/>
      <c r="G146" s="2144"/>
      <c r="H146" s="2144"/>
      <c r="I146" s="2144"/>
      <c r="J146" s="2144"/>
      <c r="K146" s="2144"/>
      <c r="L146" s="2144"/>
      <c r="M146" s="2144"/>
      <c r="N146" s="2144"/>
      <c r="O146" s="2144"/>
      <c r="P146" s="2144"/>
      <c r="Q146" s="2144"/>
      <c r="R146" s="2144"/>
      <c r="S146" s="2144"/>
      <c r="T146" s="2144"/>
      <c r="U146" s="2144"/>
      <c r="V146" s="2144"/>
      <c r="W146" s="2144"/>
      <c r="X146" s="2144"/>
      <c r="Y146" s="2144"/>
      <c r="Z146" s="2144"/>
      <c r="AA146" s="2144"/>
      <c r="AB146" s="2144"/>
      <c r="AC146" s="2144"/>
      <c r="AD146" s="2144"/>
      <c r="AE146" s="2144"/>
      <c r="AF146" s="2144"/>
      <c r="AG146" s="2144"/>
      <c r="AH146" s="2144"/>
      <c r="AI146" s="2144"/>
      <c r="AJ146" s="2144"/>
      <c r="AK146" s="2144"/>
      <c r="AL146" s="2144"/>
      <c r="AM146" s="2144"/>
      <c r="AN146" s="2144"/>
      <c r="AO146" s="2144"/>
      <c r="AP146" s="2144"/>
      <c r="AQ146" s="2144"/>
      <c r="AR146" s="2144"/>
      <c r="AS146" s="2144"/>
      <c r="AT146" s="2144"/>
      <c r="AU146" s="2144"/>
      <c r="AV146" s="2144"/>
      <c r="AW146" s="2144"/>
      <c r="AX146" s="2145"/>
      <c r="AY146" s="1190"/>
      <c r="AZ146" s="1190"/>
      <c r="BA146" s="1190"/>
      <c r="BB146" s="1190"/>
      <c r="BC146" s="1190"/>
      <c r="BD146" s="1190"/>
      <c r="BE146" s="1194"/>
    </row>
    <row r="147" spans="1:57" ht="15.75" customHeight="1">
      <c r="A147" s="1190"/>
      <c r="B147" s="2143"/>
      <c r="C147" s="2144"/>
      <c r="D147" s="2144"/>
      <c r="E147" s="2144"/>
      <c r="F147" s="2144"/>
      <c r="G147" s="2144"/>
      <c r="H147" s="2144"/>
      <c r="I147" s="2144"/>
      <c r="J147" s="2144"/>
      <c r="K147" s="2144"/>
      <c r="L147" s="2144"/>
      <c r="M147" s="2144"/>
      <c r="N147" s="2144"/>
      <c r="O147" s="2144"/>
      <c r="P147" s="2144"/>
      <c r="Q147" s="2144"/>
      <c r="R147" s="2144"/>
      <c r="S147" s="2144"/>
      <c r="T147" s="2144"/>
      <c r="U147" s="2144"/>
      <c r="V147" s="2144"/>
      <c r="W147" s="2144"/>
      <c r="X147" s="2144"/>
      <c r="Y147" s="2144"/>
      <c r="Z147" s="2144"/>
      <c r="AA147" s="2144"/>
      <c r="AB147" s="2144"/>
      <c r="AC147" s="2144"/>
      <c r="AD147" s="2144"/>
      <c r="AE147" s="2144"/>
      <c r="AF147" s="2144"/>
      <c r="AG147" s="2144"/>
      <c r="AH147" s="2144"/>
      <c r="AI147" s="2144"/>
      <c r="AJ147" s="2144"/>
      <c r="AK147" s="2144"/>
      <c r="AL147" s="2144"/>
      <c r="AM147" s="2144"/>
      <c r="AN147" s="2144"/>
      <c r="AO147" s="2144"/>
      <c r="AP147" s="2144"/>
      <c r="AQ147" s="2144"/>
      <c r="AR147" s="2144"/>
      <c r="AS147" s="2144"/>
      <c r="AT147" s="2144"/>
      <c r="AU147" s="2144"/>
      <c r="AV147" s="2144"/>
      <c r="AW147" s="2144"/>
      <c r="AX147" s="2145"/>
      <c r="AY147" s="1190"/>
      <c r="AZ147" s="1190"/>
      <c r="BA147" s="1190"/>
      <c r="BB147" s="1190"/>
      <c r="BC147" s="1190"/>
      <c r="BD147" s="1190"/>
      <c r="BE147" s="1194"/>
    </row>
    <row r="148" spans="1:57" ht="15.75" customHeight="1">
      <c r="A148" s="1190"/>
      <c r="B148" s="2143"/>
      <c r="C148" s="2144"/>
      <c r="D148" s="2144"/>
      <c r="E148" s="2144"/>
      <c r="F148" s="2144"/>
      <c r="G148" s="2144"/>
      <c r="H148" s="2144"/>
      <c r="I148" s="2144"/>
      <c r="J148" s="2144"/>
      <c r="K148" s="2144"/>
      <c r="L148" s="2144"/>
      <c r="M148" s="2144"/>
      <c r="N148" s="2144"/>
      <c r="O148" s="2144"/>
      <c r="P148" s="2144"/>
      <c r="Q148" s="2144"/>
      <c r="R148" s="2144"/>
      <c r="S148" s="2144"/>
      <c r="T148" s="2144"/>
      <c r="U148" s="2144"/>
      <c r="V148" s="2144"/>
      <c r="W148" s="2144"/>
      <c r="X148" s="2144"/>
      <c r="Y148" s="2144"/>
      <c r="Z148" s="2144"/>
      <c r="AA148" s="2144"/>
      <c r="AB148" s="2144"/>
      <c r="AC148" s="2144"/>
      <c r="AD148" s="2144"/>
      <c r="AE148" s="2144"/>
      <c r="AF148" s="2144"/>
      <c r="AG148" s="2144"/>
      <c r="AH148" s="2144"/>
      <c r="AI148" s="2144"/>
      <c r="AJ148" s="2144"/>
      <c r="AK148" s="2144"/>
      <c r="AL148" s="2144"/>
      <c r="AM148" s="2144"/>
      <c r="AN148" s="2144"/>
      <c r="AO148" s="2144"/>
      <c r="AP148" s="2144"/>
      <c r="AQ148" s="2144"/>
      <c r="AR148" s="2144"/>
      <c r="AS148" s="2144"/>
      <c r="AT148" s="2144"/>
      <c r="AU148" s="2144"/>
      <c r="AV148" s="2144"/>
      <c r="AW148" s="2144"/>
      <c r="AX148" s="2145"/>
      <c r="AY148" s="1190"/>
      <c r="AZ148" s="1190"/>
      <c r="BA148" s="1190"/>
      <c r="BB148" s="1190"/>
      <c r="BC148" s="1190"/>
      <c r="BD148" s="1190"/>
      <c r="BE148" s="1194"/>
    </row>
    <row r="149" spans="1:57" ht="15.75" customHeight="1">
      <c r="A149" s="1190"/>
      <c r="B149" s="2143"/>
      <c r="C149" s="2144"/>
      <c r="D149" s="2144"/>
      <c r="E149" s="2144"/>
      <c r="F149" s="2144"/>
      <c r="G149" s="2144"/>
      <c r="H149" s="2144"/>
      <c r="I149" s="2144"/>
      <c r="J149" s="2144"/>
      <c r="K149" s="2144"/>
      <c r="L149" s="2144"/>
      <c r="M149" s="2144"/>
      <c r="N149" s="2144"/>
      <c r="O149" s="2144"/>
      <c r="P149" s="2144"/>
      <c r="Q149" s="2144"/>
      <c r="R149" s="2144"/>
      <c r="S149" s="2144"/>
      <c r="T149" s="2144"/>
      <c r="U149" s="2144"/>
      <c r="V149" s="2144"/>
      <c r="W149" s="2144"/>
      <c r="X149" s="2144"/>
      <c r="Y149" s="2144"/>
      <c r="Z149" s="2144"/>
      <c r="AA149" s="2144"/>
      <c r="AB149" s="2144"/>
      <c r="AC149" s="2144"/>
      <c r="AD149" s="2144"/>
      <c r="AE149" s="2144"/>
      <c r="AF149" s="2144"/>
      <c r="AG149" s="2144"/>
      <c r="AH149" s="2144"/>
      <c r="AI149" s="2144"/>
      <c r="AJ149" s="2144"/>
      <c r="AK149" s="2144"/>
      <c r="AL149" s="2144"/>
      <c r="AM149" s="2144"/>
      <c r="AN149" s="2144"/>
      <c r="AO149" s="2144"/>
      <c r="AP149" s="2144"/>
      <c r="AQ149" s="2144"/>
      <c r="AR149" s="2144"/>
      <c r="AS149" s="2144"/>
      <c r="AT149" s="2144"/>
      <c r="AU149" s="2144"/>
      <c r="AV149" s="2144"/>
      <c r="AW149" s="2144"/>
      <c r="AX149" s="2145"/>
      <c r="AY149" s="1190"/>
      <c r="AZ149" s="1190"/>
      <c r="BA149" s="1190"/>
      <c r="BB149" s="1190"/>
      <c r="BC149" s="1190"/>
      <c r="BD149" s="1190"/>
      <c r="BE149" s="1194"/>
    </row>
    <row r="150" spans="1:57" ht="15.75" customHeight="1">
      <c r="A150" s="1190"/>
      <c r="B150" s="2143"/>
      <c r="C150" s="2144"/>
      <c r="D150" s="2144"/>
      <c r="E150" s="2144"/>
      <c r="F150" s="2144"/>
      <c r="G150" s="2144"/>
      <c r="H150" s="2144"/>
      <c r="I150" s="2144"/>
      <c r="J150" s="2144"/>
      <c r="K150" s="2144"/>
      <c r="L150" s="2144"/>
      <c r="M150" s="2144"/>
      <c r="N150" s="2144"/>
      <c r="O150" s="2144"/>
      <c r="P150" s="2144"/>
      <c r="Q150" s="2144"/>
      <c r="R150" s="2144"/>
      <c r="S150" s="2144"/>
      <c r="T150" s="2144"/>
      <c r="U150" s="2144"/>
      <c r="V150" s="2144"/>
      <c r="W150" s="2144"/>
      <c r="X150" s="2144"/>
      <c r="Y150" s="2144"/>
      <c r="Z150" s="2144"/>
      <c r="AA150" s="2144"/>
      <c r="AB150" s="2144"/>
      <c r="AC150" s="2144"/>
      <c r="AD150" s="2144"/>
      <c r="AE150" s="2144"/>
      <c r="AF150" s="2144"/>
      <c r="AG150" s="2144"/>
      <c r="AH150" s="2144"/>
      <c r="AI150" s="2144"/>
      <c r="AJ150" s="2144"/>
      <c r="AK150" s="2144"/>
      <c r="AL150" s="2144"/>
      <c r="AM150" s="2144"/>
      <c r="AN150" s="2144"/>
      <c r="AO150" s="2144"/>
      <c r="AP150" s="2144"/>
      <c r="AQ150" s="2144"/>
      <c r="AR150" s="2144"/>
      <c r="AS150" s="2144"/>
      <c r="AT150" s="2144"/>
      <c r="AU150" s="2144"/>
      <c r="AV150" s="2144"/>
      <c r="AW150" s="2144"/>
      <c r="AX150" s="2145"/>
      <c r="AY150" s="1190"/>
      <c r="AZ150" s="1190"/>
      <c r="BA150" s="1190"/>
      <c r="BB150" s="1190"/>
      <c r="BC150" s="1190"/>
      <c r="BD150" s="1190"/>
      <c r="BE150" s="1194"/>
    </row>
    <row r="151" spans="1:57" ht="15.75" customHeight="1">
      <c r="A151" s="1190"/>
      <c r="B151" s="2143"/>
      <c r="C151" s="2144"/>
      <c r="D151" s="2144"/>
      <c r="E151" s="2144"/>
      <c r="F151" s="2144"/>
      <c r="G151" s="2144"/>
      <c r="H151" s="2144"/>
      <c r="I151" s="2144"/>
      <c r="J151" s="2144"/>
      <c r="K151" s="2144"/>
      <c r="L151" s="2144"/>
      <c r="M151" s="2144"/>
      <c r="N151" s="2144"/>
      <c r="O151" s="2144"/>
      <c r="P151" s="2144"/>
      <c r="Q151" s="2144"/>
      <c r="R151" s="2144"/>
      <c r="S151" s="2144"/>
      <c r="T151" s="2144"/>
      <c r="U151" s="2144"/>
      <c r="V151" s="2144"/>
      <c r="W151" s="2144"/>
      <c r="X151" s="2144"/>
      <c r="Y151" s="2144"/>
      <c r="Z151" s="2144"/>
      <c r="AA151" s="2144"/>
      <c r="AB151" s="2144"/>
      <c r="AC151" s="2144"/>
      <c r="AD151" s="2144"/>
      <c r="AE151" s="2144"/>
      <c r="AF151" s="2144"/>
      <c r="AG151" s="2144"/>
      <c r="AH151" s="2144"/>
      <c r="AI151" s="2144"/>
      <c r="AJ151" s="2144"/>
      <c r="AK151" s="2144"/>
      <c r="AL151" s="2144"/>
      <c r="AM151" s="2144"/>
      <c r="AN151" s="2144"/>
      <c r="AO151" s="2144"/>
      <c r="AP151" s="2144"/>
      <c r="AQ151" s="2144"/>
      <c r="AR151" s="2144"/>
      <c r="AS151" s="2144"/>
      <c r="AT151" s="2144"/>
      <c r="AU151" s="2144"/>
      <c r="AV151" s="2144"/>
      <c r="AW151" s="2144"/>
      <c r="AX151" s="2145"/>
      <c r="AY151" s="1190"/>
      <c r="AZ151" s="1190"/>
      <c r="BA151" s="1190"/>
      <c r="BB151" s="1190"/>
      <c r="BC151" s="1190"/>
      <c r="BD151" s="1190"/>
      <c r="BE151" s="1194"/>
    </row>
    <row r="152" spans="1:57" ht="15.75" customHeight="1" thickBot="1">
      <c r="A152" s="1190"/>
      <c r="B152" s="2146"/>
      <c r="C152" s="2147"/>
      <c r="D152" s="2147"/>
      <c r="E152" s="2147"/>
      <c r="F152" s="2147"/>
      <c r="G152" s="2147"/>
      <c r="H152" s="2147"/>
      <c r="I152" s="2147"/>
      <c r="J152" s="2147"/>
      <c r="K152" s="2147"/>
      <c r="L152" s="2147"/>
      <c r="M152" s="2147"/>
      <c r="N152" s="2147"/>
      <c r="O152" s="2147"/>
      <c r="P152" s="2147"/>
      <c r="Q152" s="2147"/>
      <c r="R152" s="2147"/>
      <c r="S152" s="2147"/>
      <c r="T152" s="2147"/>
      <c r="U152" s="2147"/>
      <c r="V152" s="2147"/>
      <c r="W152" s="2147"/>
      <c r="X152" s="2147"/>
      <c r="Y152" s="2147"/>
      <c r="Z152" s="2147"/>
      <c r="AA152" s="2147"/>
      <c r="AB152" s="2147"/>
      <c r="AC152" s="2147"/>
      <c r="AD152" s="2147"/>
      <c r="AE152" s="2147"/>
      <c r="AF152" s="2147"/>
      <c r="AG152" s="2147"/>
      <c r="AH152" s="2147"/>
      <c r="AI152" s="2147"/>
      <c r="AJ152" s="2147"/>
      <c r="AK152" s="2147"/>
      <c r="AL152" s="2147"/>
      <c r="AM152" s="2147"/>
      <c r="AN152" s="2147"/>
      <c r="AO152" s="2147"/>
      <c r="AP152" s="2147"/>
      <c r="AQ152" s="2147"/>
      <c r="AR152" s="2147"/>
      <c r="AS152" s="2147"/>
      <c r="AT152" s="2147"/>
      <c r="AU152" s="2147"/>
      <c r="AV152" s="2147"/>
      <c r="AW152" s="2147"/>
      <c r="AX152" s="2148"/>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6" t="s">
        <v>2350</v>
      </c>
      <c r="C156" s="2007"/>
      <c r="D156" s="2007"/>
      <c r="E156" s="2007"/>
      <c r="F156" s="2007"/>
      <c r="G156" s="2007"/>
      <c r="H156" s="2007"/>
      <c r="I156" s="2007"/>
      <c r="J156" s="2007"/>
      <c r="K156" s="2007"/>
      <c r="L156" s="2007"/>
      <c r="M156" s="2007"/>
      <c r="N156" s="2007"/>
      <c r="O156" s="2007"/>
      <c r="P156" s="2007"/>
      <c r="Q156" s="2007"/>
      <c r="R156" s="2007"/>
      <c r="S156" s="2007"/>
      <c r="T156" s="2007"/>
      <c r="U156" s="2008"/>
      <c r="V156" s="1190"/>
      <c r="W156" s="1192"/>
      <c r="X156" s="2006" t="s">
        <v>2349</v>
      </c>
      <c r="Y156" s="2007"/>
      <c r="Z156" s="2007"/>
      <c r="AA156" s="2007"/>
      <c r="AB156" s="2007"/>
      <c r="AC156" s="2007"/>
      <c r="AD156" s="2007"/>
      <c r="AE156" s="2007"/>
      <c r="AF156" s="2007"/>
      <c r="AG156" s="2007"/>
      <c r="AH156" s="2007"/>
      <c r="AI156" s="2007"/>
      <c r="AJ156" s="2007"/>
      <c r="AK156" s="2007"/>
      <c r="AL156" s="2007"/>
      <c r="AM156" s="2007"/>
      <c r="AN156" s="2007"/>
      <c r="AO156" s="2007"/>
      <c r="AP156" s="2007"/>
      <c r="AQ156" s="2008"/>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1"/>
      <c r="C157" s="2152"/>
      <c r="D157" s="2152"/>
      <c r="E157" s="2152"/>
      <c r="F157" s="2152"/>
      <c r="G157" s="2152"/>
      <c r="H157" s="2152"/>
      <c r="I157" s="2153" t="s">
        <v>2347</v>
      </c>
      <c r="J157" s="2153"/>
      <c r="K157" s="2153"/>
      <c r="L157" s="2153"/>
      <c r="M157" s="2153"/>
      <c r="N157" s="2153"/>
      <c r="O157" s="2153"/>
      <c r="P157" s="2153" t="s">
        <v>2348</v>
      </c>
      <c r="Q157" s="2153"/>
      <c r="R157" s="2153"/>
      <c r="S157" s="2153"/>
      <c r="T157" s="2153"/>
      <c r="U157" s="2154"/>
      <c r="V157" s="1190"/>
      <c r="W157" s="1190"/>
      <c r="X157" s="2151"/>
      <c r="Y157" s="2152"/>
      <c r="Z157" s="2152"/>
      <c r="AA157" s="2152"/>
      <c r="AB157" s="2152"/>
      <c r="AC157" s="2152"/>
      <c r="AD157" s="2152"/>
      <c r="AE157" s="2153" t="s">
        <v>2347</v>
      </c>
      <c r="AF157" s="2153"/>
      <c r="AG157" s="2153"/>
      <c r="AH157" s="2153"/>
      <c r="AI157" s="2153"/>
      <c r="AJ157" s="2153"/>
      <c r="AK157" s="2153"/>
      <c r="AL157" s="2153" t="s">
        <v>2346</v>
      </c>
      <c r="AM157" s="2153"/>
      <c r="AN157" s="2153"/>
      <c r="AO157" s="2153"/>
      <c r="AP157" s="2153"/>
      <c r="AQ157" s="2154"/>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1"/>
      <c r="C158" s="2152"/>
      <c r="D158" s="2152"/>
      <c r="E158" s="2152"/>
      <c r="F158" s="2152"/>
      <c r="G158" s="2152"/>
      <c r="H158" s="2152"/>
      <c r="I158" s="2153"/>
      <c r="J158" s="2153"/>
      <c r="K158" s="2153"/>
      <c r="L158" s="2153"/>
      <c r="M158" s="2153"/>
      <c r="N158" s="2153"/>
      <c r="O158" s="2153"/>
      <c r="P158" s="2153"/>
      <c r="Q158" s="2153"/>
      <c r="R158" s="2153"/>
      <c r="S158" s="2153"/>
      <c r="T158" s="2153"/>
      <c r="U158" s="2154"/>
      <c r="V158" s="1190"/>
      <c r="W158" s="1190"/>
      <c r="X158" s="2151"/>
      <c r="Y158" s="2152"/>
      <c r="Z158" s="2152"/>
      <c r="AA158" s="2152"/>
      <c r="AB158" s="2152"/>
      <c r="AC158" s="2152"/>
      <c r="AD158" s="2152"/>
      <c r="AE158" s="2153"/>
      <c r="AF158" s="2153"/>
      <c r="AG158" s="2153"/>
      <c r="AH158" s="2153"/>
      <c r="AI158" s="2153"/>
      <c r="AJ158" s="2153"/>
      <c r="AK158" s="2153"/>
      <c r="AL158" s="2153"/>
      <c r="AM158" s="2153"/>
      <c r="AN158" s="2153"/>
      <c r="AO158" s="2153"/>
      <c r="AP158" s="2153"/>
      <c r="AQ158" s="2154"/>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09" t="s">
        <v>2345</v>
      </c>
      <c r="C159" s="2110"/>
      <c r="D159" s="2110"/>
      <c r="E159" s="2110"/>
      <c r="F159" s="2110"/>
      <c r="G159" s="2110"/>
      <c r="H159" s="2110"/>
      <c r="I159" s="2086">
        <v>0</v>
      </c>
      <c r="J159" s="2086"/>
      <c r="K159" s="2086"/>
      <c r="L159" s="2086"/>
      <c r="M159" s="2086"/>
      <c r="N159" s="2086"/>
      <c r="O159" s="2086"/>
      <c r="P159" s="2086">
        <v>0</v>
      </c>
      <c r="Q159" s="2086"/>
      <c r="R159" s="2086"/>
      <c r="S159" s="2086"/>
      <c r="T159" s="2086"/>
      <c r="U159" s="2087"/>
      <c r="V159" s="1190"/>
      <c r="W159" s="1190"/>
      <c r="X159" s="2111" t="s">
        <v>2345</v>
      </c>
      <c r="Y159" s="2112"/>
      <c r="Z159" s="2112"/>
      <c r="AA159" s="2112"/>
      <c r="AB159" s="2112"/>
      <c r="AC159" s="2112"/>
      <c r="AD159" s="2112"/>
      <c r="AE159" s="2101">
        <v>0</v>
      </c>
      <c r="AF159" s="2101"/>
      <c r="AG159" s="2101"/>
      <c r="AH159" s="2101"/>
      <c r="AI159" s="2101"/>
      <c r="AJ159" s="2101"/>
      <c r="AK159" s="2101"/>
      <c r="AL159" s="2101">
        <v>0</v>
      </c>
      <c r="AM159" s="2101"/>
      <c r="AN159" s="2101"/>
      <c r="AO159" s="2101"/>
      <c r="AP159" s="2101"/>
      <c r="AQ159" s="2102"/>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1" t="s">
        <v>2344</v>
      </c>
      <c r="C160" s="2112"/>
      <c r="D160" s="2112"/>
      <c r="E160" s="2112"/>
      <c r="F160" s="2112"/>
      <c r="G160" s="2112"/>
      <c r="H160" s="2112"/>
      <c r="I160" s="2101">
        <v>0</v>
      </c>
      <c r="J160" s="2101"/>
      <c r="K160" s="2101"/>
      <c r="L160" s="2101"/>
      <c r="M160" s="2101"/>
      <c r="N160" s="2101"/>
      <c r="O160" s="2101"/>
      <c r="P160" s="2101">
        <v>0</v>
      </c>
      <c r="Q160" s="2101"/>
      <c r="R160" s="2101"/>
      <c r="S160" s="2101"/>
      <c r="T160" s="2101"/>
      <c r="U160" s="2102"/>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6" t="s">
        <v>2343</v>
      </c>
      <c r="D162" s="2007"/>
      <c r="E162" s="2007"/>
      <c r="F162" s="2007"/>
      <c r="G162" s="2007"/>
      <c r="H162" s="2007"/>
      <c r="I162" s="2007"/>
      <c r="J162" s="2007"/>
      <c r="K162" s="2007"/>
      <c r="L162" s="2007"/>
      <c r="M162" s="2007"/>
      <c r="N162" s="2007"/>
      <c r="O162" s="2007"/>
      <c r="P162" s="2007"/>
      <c r="Q162" s="2007"/>
      <c r="R162" s="2007"/>
      <c r="S162" s="2007"/>
      <c r="T162" s="2007"/>
      <c r="U162" s="2007"/>
      <c r="V162" s="2007"/>
      <c r="W162" s="2007"/>
      <c r="X162" s="2007"/>
      <c r="Y162" s="2007"/>
      <c r="Z162" s="2007"/>
      <c r="AA162" s="2007"/>
      <c r="AB162" s="2007"/>
      <c r="AC162" s="2007"/>
      <c r="AD162" s="2007"/>
      <c r="AE162" s="2007"/>
      <c r="AF162" s="2007"/>
      <c r="AG162" s="2008"/>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1" t="s">
        <v>2328</v>
      </c>
      <c r="D163" s="2152"/>
      <c r="E163" s="2152"/>
      <c r="F163" s="2152"/>
      <c r="G163" s="2152"/>
      <c r="H163" s="2152"/>
      <c r="I163" s="2152"/>
      <c r="J163" s="2152"/>
      <c r="K163" s="2152"/>
      <c r="L163" s="2152"/>
      <c r="M163" s="2152"/>
      <c r="N163" s="2152"/>
      <c r="O163" s="2152"/>
      <c r="P163" s="2152"/>
      <c r="Q163" s="2152" t="s">
        <v>2342</v>
      </c>
      <c r="R163" s="2152"/>
      <c r="S163" s="2152"/>
      <c r="T163" s="2097" t="s">
        <v>2341</v>
      </c>
      <c r="U163" s="2097"/>
      <c r="V163" s="2097"/>
      <c r="W163" s="2097"/>
      <c r="X163" s="2097"/>
      <c r="Y163" s="2097"/>
      <c r="Z163" s="2097"/>
      <c r="AA163" s="2097"/>
      <c r="AB163" s="2152" t="s">
        <v>2340</v>
      </c>
      <c r="AC163" s="2152"/>
      <c r="AD163" s="2152"/>
      <c r="AE163" s="2152"/>
      <c r="AF163" s="2152"/>
      <c r="AG163" s="2160"/>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5" t="s">
        <v>2339</v>
      </c>
      <c r="D164" s="2156"/>
      <c r="E164" s="2156"/>
      <c r="F164" s="2156"/>
      <c r="G164" s="2156"/>
      <c r="H164" s="2156"/>
      <c r="I164" s="2156"/>
      <c r="J164" s="2156"/>
      <c r="K164" s="2156"/>
      <c r="L164" s="2156"/>
      <c r="M164" s="2156"/>
      <c r="N164" s="2156"/>
      <c r="O164" s="2156"/>
      <c r="P164" s="2156"/>
      <c r="Q164" s="2157">
        <v>55</v>
      </c>
      <c r="R164" s="2157"/>
      <c r="S164" s="2157"/>
      <c r="T164" s="2158"/>
      <c r="U164" s="2158"/>
      <c r="V164" s="2158"/>
      <c r="W164" s="2158"/>
      <c r="X164" s="2158"/>
      <c r="Y164" s="2158"/>
      <c r="Z164" s="2158"/>
      <c r="AA164" s="2158"/>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5" t="s">
        <v>2338</v>
      </c>
      <c r="D165" s="2156"/>
      <c r="E165" s="2156"/>
      <c r="F165" s="2156"/>
      <c r="G165" s="2156"/>
      <c r="H165" s="2156"/>
      <c r="I165" s="2156"/>
      <c r="J165" s="2156"/>
      <c r="K165" s="2156"/>
      <c r="L165" s="2156"/>
      <c r="M165" s="2156"/>
      <c r="N165" s="2156"/>
      <c r="O165" s="2156"/>
      <c r="P165" s="2156"/>
      <c r="Q165" s="2157">
        <v>55</v>
      </c>
      <c r="R165" s="2157"/>
      <c r="S165" s="2157"/>
      <c r="T165" s="2159"/>
      <c r="U165" s="2159"/>
      <c r="V165" s="2159"/>
      <c r="W165" s="2159"/>
      <c r="X165" s="2159"/>
      <c r="Y165" s="2159"/>
      <c r="Z165" s="2159"/>
      <c r="AA165" s="2159"/>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5" t="s">
        <v>2337</v>
      </c>
      <c r="D166" s="2156"/>
      <c r="E166" s="2156"/>
      <c r="F166" s="2156"/>
      <c r="G166" s="2156"/>
      <c r="H166" s="2156"/>
      <c r="I166" s="2156"/>
      <c r="J166" s="2156"/>
      <c r="K166" s="2156"/>
      <c r="L166" s="2156"/>
      <c r="M166" s="2156"/>
      <c r="N166" s="2156"/>
      <c r="O166" s="2156"/>
      <c r="P166" s="2156"/>
      <c r="Q166" s="2157">
        <v>55</v>
      </c>
      <c r="R166" s="2157"/>
      <c r="S166" s="2157"/>
      <c r="T166" s="2158"/>
      <c r="U166" s="2158"/>
      <c r="V166" s="2158"/>
      <c r="W166" s="2158"/>
      <c r="X166" s="2158"/>
      <c r="Y166" s="2158"/>
      <c r="Z166" s="2158"/>
      <c r="AA166" s="2158"/>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5" t="s">
        <v>2336</v>
      </c>
      <c r="D167" s="2156"/>
      <c r="E167" s="2156"/>
      <c r="F167" s="2156"/>
      <c r="G167" s="2156"/>
      <c r="H167" s="2156"/>
      <c r="I167" s="2156"/>
      <c r="J167" s="2156"/>
      <c r="K167" s="2156"/>
      <c r="L167" s="2156"/>
      <c r="M167" s="2156"/>
      <c r="N167" s="2156"/>
      <c r="O167" s="2156"/>
      <c r="P167" s="2156"/>
      <c r="Q167" s="2157">
        <v>55</v>
      </c>
      <c r="R167" s="2157"/>
      <c r="S167" s="2157"/>
      <c r="T167" s="2158"/>
      <c r="U167" s="2158"/>
      <c r="V167" s="2158"/>
      <c r="W167" s="2158"/>
      <c r="X167" s="2158"/>
      <c r="Y167" s="2158"/>
      <c r="Z167" s="2158"/>
      <c r="AA167" s="2158"/>
      <c r="AB167" s="2161">
        <v>0</v>
      </c>
      <c r="AC167" s="2161"/>
      <c r="AD167" s="2161"/>
      <c r="AE167" s="2161"/>
      <c r="AF167" s="2161"/>
      <c r="AG167" s="2162"/>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5" t="s">
        <v>170</v>
      </c>
      <c r="D168" s="2156"/>
      <c r="E168" s="2156"/>
      <c r="F168" s="2163" t="s">
        <v>2317</v>
      </c>
      <c r="G168" s="2163"/>
      <c r="H168" s="2163"/>
      <c r="I168" s="2163"/>
      <c r="J168" s="2163"/>
      <c r="K168" s="2163"/>
      <c r="L168" s="2163"/>
      <c r="M168" s="2163"/>
      <c r="N168" s="2163"/>
      <c r="O168" s="2163"/>
      <c r="P168" s="2163"/>
      <c r="Q168" s="2157">
        <v>55</v>
      </c>
      <c r="R168" s="2157"/>
      <c r="S168" s="2157"/>
      <c r="T168" s="2159"/>
      <c r="U168" s="2159"/>
      <c r="V168" s="2159"/>
      <c r="W168" s="2159"/>
      <c r="X168" s="2159"/>
      <c r="Y168" s="2159"/>
      <c r="Z168" s="2159"/>
      <c r="AA168" s="2159"/>
      <c r="AB168" s="2161">
        <v>0</v>
      </c>
      <c r="AC168" s="2161"/>
      <c r="AD168" s="2161"/>
      <c r="AE168" s="2161"/>
      <c r="AF168" s="2161"/>
      <c r="AG168" s="2162"/>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5" t="s">
        <v>170</v>
      </c>
      <c r="D169" s="2156"/>
      <c r="E169" s="2156"/>
      <c r="F169" s="2163" t="s">
        <v>2317</v>
      </c>
      <c r="G169" s="2163"/>
      <c r="H169" s="2163"/>
      <c r="I169" s="2163"/>
      <c r="J169" s="2163"/>
      <c r="K169" s="2163"/>
      <c r="L169" s="2163"/>
      <c r="M169" s="2163"/>
      <c r="N169" s="2163"/>
      <c r="O169" s="2163"/>
      <c r="P169" s="2163"/>
      <c r="Q169" s="2157">
        <v>55</v>
      </c>
      <c r="R169" s="2157"/>
      <c r="S169" s="2157"/>
      <c r="T169" s="2159"/>
      <c r="U169" s="2159"/>
      <c r="V169" s="2159"/>
      <c r="W169" s="2159"/>
      <c r="X169" s="2159"/>
      <c r="Y169" s="2159"/>
      <c r="Z169" s="2159"/>
      <c r="AA169" s="2159"/>
      <c r="AB169" s="2161">
        <v>0</v>
      </c>
      <c r="AC169" s="2161"/>
      <c r="AD169" s="2161"/>
      <c r="AE169" s="2161"/>
      <c r="AF169" s="2161"/>
      <c r="AG169" s="2162"/>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4" t="s">
        <v>170</v>
      </c>
      <c r="D170" s="2165"/>
      <c r="E170" s="2165"/>
      <c r="F170" s="2166" t="s">
        <v>2317</v>
      </c>
      <c r="G170" s="2166"/>
      <c r="H170" s="2166"/>
      <c r="I170" s="2166"/>
      <c r="J170" s="2166"/>
      <c r="K170" s="2166"/>
      <c r="L170" s="2166"/>
      <c r="M170" s="2166"/>
      <c r="N170" s="2166"/>
      <c r="O170" s="2166"/>
      <c r="P170" s="2166"/>
      <c r="Q170" s="2167">
        <v>55</v>
      </c>
      <c r="R170" s="2167"/>
      <c r="S170" s="2167"/>
      <c r="T170" s="2168"/>
      <c r="U170" s="2168"/>
      <c r="V170" s="2168"/>
      <c r="W170" s="2168"/>
      <c r="X170" s="2168"/>
      <c r="Y170" s="2168"/>
      <c r="Z170" s="2168"/>
      <c r="AA170" s="2168"/>
      <c r="AB170" s="2169">
        <v>0</v>
      </c>
      <c r="AC170" s="2169"/>
      <c r="AD170" s="2169"/>
      <c r="AE170" s="2169"/>
      <c r="AF170" s="2169"/>
      <c r="AG170" s="2170"/>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5" t="s">
        <v>2335</v>
      </c>
      <c r="D172" s="2056"/>
      <c r="E172" s="2056"/>
      <c r="F172" s="2056"/>
      <c r="G172" s="2056"/>
      <c r="H172" s="2056"/>
      <c r="I172" s="2056"/>
      <c r="J172" s="2056"/>
      <c r="K172" s="2056"/>
      <c r="L172" s="2056"/>
      <c r="M172" s="2056"/>
      <c r="N172" s="2106"/>
      <c r="O172" s="1190"/>
      <c r="P172" s="2171" t="s">
        <v>2334</v>
      </c>
      <c r="Q172" s="2172"/>
      <c r="R172" s="2172"/>
      <c r="S172" s="2172"/>
      <c r="T172" s="2172"/>
      <c r="U172" s="2172"/>
      <c r="V172" s="2172"/>
      <c r="W172" s="2172"/>
      <c r="X172" s="2172"/>
      <c r="Y172" s="2172"/>
      <c r="Z172" s="2172"/>
      <c r="AA172" s="2172"/>
      <c r="AB172" s="2172"/>
      <c r="AC172" s="2172"/>
      <c r="AD172" s="2172"/>
      <c r="AE172" s="2172"/>
      <c r="AF172" s="2172"/>
      <c r="AG172" s="2172"/>
      <c r="AH172" s="2172"/>
      <c r="AI172" s="2172"/>
      <c r="AJ172" s="2172"/>
      <c r="AK172" s="2172"/>
      <c r="AL172" s="2172"/>
      <c r="AM172" s="2172"/>
      <c r="AN172" s="2172"/>
      <c r="AO172" s="2173"/>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1" t="s">
        <v>2333</v>
      </c>
      <c r="D173" s="2152"/>
      <c r="E173" s="2152"/>
      <c r="F173" s="2152"/>
      <c r="G173" s="2152"/>
      <c r="H173" s="2152"/>
      <c r="I173" s="2152" t="s">
        <v>2332</v>
      </c>
      <c r="J173" s="2152"/>
      <c r="K173" s="2152"/>
      <c r="L173" s="2152"/>
      <c r="M173" s="2152"/>
      <c r="N173" s="2160"/>
      <c r="O173" s="1190"/>
      <c r="P173" s="2075" t="s">
        <v>2331</v>
      </c>
      <c r="Q173" s="2076"/>
      <c r="R173" s="2076"/>
      <c r="S173" s="2076"/>
      <c r="T173" s="2076"/>
      <c r="U173" s="2076"/>
      <c r="V173" s="2076"/>
      <c r="W173" s="2076"/>
      <c r="X173" s="2076"/>
      <c r="Y173" s="2076"/>
      <c r="Z173" s="2076"/>
      <c r="AA173" s="2076"/>
      <c r="AB173" s="2076"/>
      <c r="AC173" s="2076"/>
      <c r="AD173" s="2076"/>
      <c r="AE173" s="2076"/>
      <c r="AF173" s="2076"/>
      <c r="AG173" s="2076"/>
      <c r="AH173" s="2076"/>
      <c r="AI173" s="2076"/>
      <c r="AJ173" s="2076"/>
      <c r="AK173" s="2076"/>
      <c r="AL173" s="2076"/>
      <c r="AM173" s="2076"/>
      <c r="AN173" s="2076"/>
      <c r="AO173" s="2077"/>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1"/>
      <c r="D174" s="2013"/>
      <c r="E174" s="2013"/>
      <c r="F174" s="2013"/>
      <c r="G174" s="2013"/>
      <c r="H174" s="2013"/>
      <c r="I174" s="2158"/>
      <c r="J174" s="2158"/>
      <c r="K174" s="2158"/>
      <c r="L174" s="2158"/>
      <c r="M174" s="2158"/>
      <c r="N174" s="2174"/>
      <c r="O174" s="1190"/>
      <c r="P174" s="2075"/>
      <c r="Q174" s="2076"/>
      <c r="R174" s="2076"/>
      <c r="S174" s="2076"/>
      <c r="T174" s="2076"/>
      <c r="U174" s="2076"/>
      <c r="V174" s="2076"/>
      <c r="W174" s="2076"/>
      <c r="X174" s="2076"/>
      <c r="Y174" s="2076"/>
      <c r="Z174" s="2076"/>
      <c r="AA174" s="2076"/>
      <c r="AB174" s="2076"/>
      <c r="AC174" s="2076"/>
      <c r="AD174" s="2076"/>
      <c r="AE174" s="2076"/>
      <c r="AF174" s="2076"/>
      <c r="AG174" s="2076"/>
      <c r="AH174" s="2076"/>
      <c r="AI174" s="2076"/>
      <c r="AJ174" s="2076"/>
      <c r="AK174" s="2076"/>
      <c r="AL174" s="2076"/>
      <c r="AM174" s="2076"/>
      <c r="AN174" s="2076"/>
      <c r="AO174" s="2077"/>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1"/>
      <c r="D175" s="2013"/>
      <c r="E175" s="2013"/>
      <c r="F175" s="2013"/>
      <c r="G175" s="2013"/>
      <c r="H175" s="2013"/>
      <c r="I175" s="2158"/>
      <c r="J175" s="2158"/>
      <c r="K175" s="2158"/>
      <c r="L175" s="2158"/>
      <c r="M175" s="2158"/>
      <c r="N175" s="2174"/>
      <c r="O175" s="1190"/>
      <c r="P175" s="2075"/>
      <c r="Q175" s="2076"/>
      <c r="R175" s="2076"/>
      <c r="S175" s="2076"/>
      <c r="T175" s="2076"/>
      <c r="U175" s="2076"/>
      <c r="V175" s="2076"/>
      <c r="W175" s="2076"/>
      <c r="X175" s="2076"/>
      <c r="Y175" s="2076"/>
      <c r="Z175" s="2076"/>
      <c r="AA175" s="2076"/>
      <c r="AB175" s="2076"/>
      <c r="AC175" s="2076"/>
      <c r="AD175" s="2076"/>
      <c r="AE175" s="2076"/>
      <c r="AF175" s="2076"/>
      <c r="AG175" s="2076"/>
      <c r="AH175" s="2076"/>
      <c r="AI175" s="2076"/>
      <c r="AJ175" s="2076"/>
      <c r="AK175" s="2076"/>
      <c r="AL175" s="2076"/>
      <c r="AM175" s="2076"/>
      <c r="AN175" s="2076"/>
      <c r="AO175" s="2077"/>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1"/>
      <c r="D176" s="2013"/>
      <c r="E176" s="2013"/>
      <c r="F176" s="2013"/>
      <c r="G176" s="2013"/>
      <c r="H176" s="2013"/>
      <c r="I176" s="2158"/>
      <c r="J176" s="2158"/>
      <c r="K176" s="2158"/>
      <c r="L176" s="2158"/>
      <c r="M176" s="2158"/>
      <c r="N176" s="2174"/>
      <c r="O176" s="1190"/>
      <c r="P176" s="2075"/>
      <c r="Q176" s="2076"/>
      <c r="R176" s="2076"/>
      <c r="S176" s="2076"/>
      <c r="T176" s="2076"/>
      <c r="U176" s="2076"/>
      <c r="V176" s="2076"/>
      <c r="W176" s="2076"/>
      <c r="X176" s="2076"/>
      <c r="Y176" s="2076"/>
      <c r="Z176" s="2076"/>
      <c r="AA176" s="2076"/>
      <c r="AB176" s="2076"/>
      <c r="AC176" s="2076"/>
      <c r="AD176" s="2076"/>
      <c r="AE176" s="2076"/>
      <c r="AF176" s="2076"/>
      <c r="AG176" s="2076"/>
      <c r="AH176" s="2076"/>
      <c r="AI176" s="2076"/>
      <c r="AJ176" s="2076"/>
      <c r="AK176" s="2076"/>
      <c r="AL176" s="2076"/>
      <c r="AM176" s="2076"/>
      <c r="AN176" s="2076"/>
      <c r="AO176" s="2077"/>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1"/>
      <c r="D177" s="2013"/>
      <c r="E177" s="2013"/>
      <c r="F177" s="2013"/>
      <c r="G177" s="2013"/>
      <c r="H177" s="2013"/>
      <c r="I177" s="2158"/>
      <c r="J177" s="2158"/>
      <c r="K177" s="2158"/>
      <c r="L177" s="2158"/>
      <c r="M177" s="2158"/>
      <c r="N177" s="2174"/>
      <c r="O177" s="1190"/>
      <c r="P177" s="2075"/>
      <c r="Q177" s="2076"/>
      <c r="R177" s="2076"/>
      <c r="S177" s="2076"/>
      <c r="T177" s="2076"/>
      <c r="U177" s="2076"/>
      <c r="V177" s="2076"/>
      <c r="W177" s="2076"/>
      <c r="X177" s="2076"/>
      <c r="Y177" s="2076"/>
      <c r="Z177" s="2076"/>
      <c r="AA177" s="2076"/>
      <c r="AB177" s="2076"/>
      <c r="AC177" s="2076"/>
      <c r="AD177" s="2076"/>
      <c r="AE177" s="2076"/>
      <c r="AF177" s="2076"/>
      <c r="AG177" s="2076"/>
      <c r="AH177" s="2076"/>
      <c r="AI177" s="2076"/>
      <c r="AJ177" s="2076"/>
      <c r="AK177" s="2076"/>
      <c r="AL177" s="2076"/>
      <c r="AM177" s="2076"/>
      <c r="AN177" s="2076"/>
      <c r="AO177" s="2077"/>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1"/>
      <c r="D178" s="2013"/>
      <c r="E178" s="2013"/>
      <c r="F178" s="2013"/>
      <c r="G178" s="2013"/>
      <c r="H178" s="2013"/>
      <c r="I178" s="2158"/>
      <c r="J178" s="2158"/>
      <c r="K178" s="2158"/>
      <c r="L178" s="2158"/>
      <c r="M178" s="2158"/>
      <c r="N178" s="2174"/>
      <c r="O178" s="1190"/>
      <c r="P178" s="2075"/>
      <c r="Q178" s="2076"/>
      <c r="R178" s="2076"/>
      <c r="S178" s="2076"/>
      <c r="T178" s="2076"/>
      <c r="U178" s="2076"/>
      <c r="V178" s="2076"/>
      <c r="W178" s="2076"/>
      <c r="X178" s="2076"/>
      <c r="Y178" s="2076"/>
      <c r="Z178" s="2076"/>
      <c r="AA178" s="2076"/>
      <c r="AB178" s="2076"/>
      <c r="AC178" s="2076"/>
      <c r="AD178" s="2076"/>
      <c r="AE178" s="2076"/>
      <c r="AF178" s="2076"/>
      <c r="AG178" s="2076"/>
      <c r="AH178" s="2076"/>
      <c r="AI178" s="2076"/>
      <c r="AJ178" s="2076"/>
      <c r="AK178" s="2076"/>
      <c r="AL178" s="2076"/>
      <c r="AM178" s="2076"/>
      <c r="AN178" s="2076"/>
      <c r="AO178" s="2077"/>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1"/>
      <c r="D179" s="2013"/>
      <c r="E179" s="2013"/>
      <c r="F179" s="2013"/>
      <c r="G179" s="2013"/>
      <c r="H179" s="2013"/>
      <c r="I179" s="2158"/>
      <c r="J179" s="2158"/>
      <c r="K179" s="2158"/>
      <c r="L179" s="2158"/>
      <c r="M179" s="2158"/>
      <c r="N179" s="2174"/>
      <c r="O179" s="1190"/>
      <c r="P179" s="2075"/>
      <c r="Q179" s="2076"/>
      <c r="R179" s="2076"/>
      <c r="S179" s="2076"/>
      <c r="T179" s="2076"/>
      <c r="U179" s="2076"/>
      <c r="V179" s="2076"/>
      <c r="W179" s="2076"/>
      <c r="X179" s="2076"/>
      <c r="Y179" s="2076"/>
      <c r="Z179" s="2076"/>
      <c r="AA179" s="2076"/>
      <c r="AB179" s="2076"/>
      <c r="AC179" s="2076"/>
      <c r="AD179" s="2076"/>
      <c r="AE179" s="2076"/>
      <c r="AF179" s="2076"/>
      <c r="AG179" s="2076"/>
      <c r="AH179" s="2076"/>
      <c r="AI179" s="2076"/>
      <c r="AJ179" s="2076"/>
      <c r="AK179" s="2076"/>
      <c r="AL179" s="2076"/>
      <c r="AM179" s="2076"/>
      <c r="AN179" s="2076"/>
      <c r="AO179" s="2077"/>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5"/>
      <c r="D180" s="2176"/>
      <c r="E180" s="2176"/>
      <c r="F180" s="2176"/>
      <c r="G180" s="2176"/>
      <c r="H180" s="2176"/>
      <c r="I180" s="2177"/>
      <c r="J180" s="2177"/>
      <c r="K180" s="2177"/>
      <c r="L180" s="2177"/>
      <c r="M180" s="2177"/>
      <c r="N180" s="2178"/>
      <c r="O180" s="1190"/>
      <c r="P180" s="2078"/>
      <c r="Q180" s="2079"/>
      <c r="R180" s="2079"/>
      <c r="S180" s="2079"/>
      <c r="T180" s="2079"/>
      <c r="U180" s="2079"/>
      <c r="V180" s="2079"/>
      <c r="W180" s="2079"/>
      <c r="X180" s="2079"/>
      <c r="Y180" s="2079"/>
      <c r="Z180" s="2079"/>
      <c r="AA180" s="2079"/>
      <c r="AB180" s="2079"/>
      <c r="AC180" s="2079"/>
      <c r="AD180" s="2079"/>
      <c r="AE180" s="2079"/>
      <c r="AF180" s="2079"/>
      <c r="AG180" s="2079"/>
      <c r="AH180" s="2079"/>
      <c r="AI180" s="2079"/>
      <c r="AJ180" s="2079"/>
      <c r="AK180" s="2079"/>
      <c r="AL180" s="2079"/>
      <c r="AM180" s="2079"/>
      <c r="AN180" s="2079"/>
      <c r="AO180" s="2080"/>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2" t="s">
        <v>2330</v>
      </c>
      <c r="D182" s="2183"/>
      <c r="E182" s="2183"/>
      <c r="F182" s="2183"/>
      <c r="G182" s="2183"/>
      <c r="H182" s="2183"/>
      <c r="I182" s="2183"/>
      <c r="J182" s="2183"/>
      <c r="K182" s="2183"/>
      <c r="L182" s="2183"/>
      <c r="M182" s="2183"/>
      <c r="N182" s="2183"/>
      <c r="O182" s="2183"/>
      <c r="P182" s="2183"/>
      <c r="Q182" s="2183"/>
      <c r="R182" s="2183"/>
      <c r="S182" s="2183"/>
      <c r="T182" s="2183"/>
      <c r="U182" s="2183"/>
      <c r="V182" s="2183"/>
      <c r="W182" s="2183"/>
      <c r="X182" s="2183"/>
      <c r="Y182" s="2183"/>
      <c r="Z182" s="2183"/>
      <c r="AA182" s="2183"/>
      <c r="AB182" s="2183"/>
      <c r="AC182" s="2183"/>
      <c r="AD182" s="2183"/>
      <c r="AE182" s="2184"/>
      <c r="AF182" s="1190"/>
      <c r="AG182" s="1190"/>
      <c r="AH182" s="2192"/>
      <c r="AI182" s="2192"/>
      <c r="AJ182" s="2192"/>
      <c r="AK182" s="2192"/>
      <c r="AL182" s="2192"/>
      <c r="AM182" s="2192"/>
      <c r="AN182" s="2192"/>
      <c r="AO182" s="2192"/>
      <c r="AP182" s="2192"/>
      <c r="AQ182" s="2192"/>
      <c r="AR182" s="2192"/>
      <c r="AS182" s="2192"/>
      <c r="AT182" s="2192"/>
      <c r="AU182" s="2192"/>
      <c r="AV182" s="2192"/>
      <c r="AW182" s="2192"/>
      <c r="AX182" s="2192"/>
      <c r="AY182" s="2192"/>
      <c r="AZ182" s="2192"/>
      <c r="BA182" s="2192"/>
      <c r="BB182" s="2192"/>
      <c r="BC182" s="2192"/>
      <c r="BD182" s="2192"/>
      <c r="BE182" s="2192"/>
    </row>
    <row r="183" spans="1:57" ht="15.75" customHeight="1" thickBot="1">
      <c r="A183" s="1190"/>
      <c r="B183" s="1190"/>
      <c r="C183" s="2185"/>
      <c r="D183" s="2186"/>
      <c r="E183" s="2186"/>
      <c r="F183" s="2186"/>
      <c r="G183" s="2186"/>
      <c r="H183" s="2186"/>
      <c r="I183" s="2186"/>
      <c r="J183" s="2186"/>
      <c r="K183" s="2186"/>
      <c r="L183" s="2186"/>
      <c r="M183" s="2186"/>
      <c r="N183" s="2186"/>
      <c r="O183" s="2186"/>
      <c r="P183" s="2186"/>
      <c r="Q183" s="2186"/>
      <c r="R183" s="2186"/>
      <c r="S183" s="2186"/>
      <c r="T183" s="2186"/>
      <c r="U183" s="2186"/>
      <c r="V183" s="2186"/>
      <c r="W183" s="2186"/>
      <c r="X183" s="2186"/>
      <c r="Y183" s="2186"/>
      <c r="Z183" s="2186"/>
      <c r="AA183" s="2186"/>
      <c r="AB183" s="2186"/>
      <c r="AC183" s="2186"/>
      <c r="AD183" s="2186"/>
      <c r="AE183" s="2187"/>
      <c r="AF183" s="1190"/>
      <c r="AG183" s="1190"/>
      <c r="AH183" s="2192"/>
      <c r="AI183" s="2192"/>
      <c r="AJ183" s="2192"/>
      <c r="AK183" s="2192"/>
      <c r="AL183" s="2192"/>
      <c r="AM183" s="2192"/>
      <c r="AN183" s="2192"/>
      <c r="AO183" s="2192"/>
      <c r="AP183" s="2192"/>
      <c r="AQ183" s="2192"/>
      <c r="AR183" s="2192"/>
      <c r="AS183" s="2192"/>
      <c r="AT183" s="2192"/>
      <c r="AU183" s="2192"/>
      <c r="AV183" s="2192"/>
      <c r="AW183" s="2192"/>
      <c r="AX183" s="2192"/>
      <c r="AY183" s="2192"/>
      <c r="AZ183" s="2192"/>
      <c r="BA183" s="2192"/>
      <c r="BB183" s="2192"/>
      <c r="BC183" s="2192"/>
      <c r="BD183" s="2192"/>
      <c r="BE183" s="2192"/>
    </row>
    <row r="184" spans="1:57" ht="15.75" customHeight="1">
      <c r="A184" s="1190"/>
      <c r="B184" s="1190"/>
      <c r="C184" s="2055" t="s">
        <v>2328</v>
      </c>
      <c r="D184" s="2056"/>
      <c r="E184" s="2056"/>
      <c r="F184" s="2056"/>
      <c r="G184" s="2056"/>
      <c r="H184" s="2056"/>
      <c r="I184" s="2056"/>
      <c r="J184" s="2056"/>
      <c r="K184" s="2056"/>
      <c r="L184" s="2056"/>
      <c r="M184" s="2056"/>
      <c r="N184" s="2056" t="s">
        <v>2329</v>
      </c>
      <c r="O184" s="2056"/>
      <c r="P184" s="2056"/>
      <c r="Q184" s="2056"/>
      <c r="R184" s="2056"/>
      <c r="S184" s="2056"/>
      <c r="T184" s="2056"/>
      <c r="U184" s="2007" t="s">
        <v>2328</v>
      </c>
      <c r="V184" s="2007"/>
      <c r="W184" s="2007"/>
      <c r="X184" s="2007"/>
      <c r="Y184" s="2007"/>
      <c r="Z184" s="2007"/>
      <c r="AA184" s="2007"/>
      <c r="AB184" s="2007"/>
      <c r="AC184" s="2007"/>
      <c r="AD184" s="2007"/>
      <c r="AE184" s="2008"/>
      <c r="AF184" s="1190"/>
      <c r="AG184" s="1190"/>
      <c r="AH184" s="2192"/>
      <c r="AI184" s="2192"/>
      <c r="AJ184" s="2192"/>
      <c r="AK184" s="2192"/>
      <c r="AL184" s="2192"/>
      <c r="AM184" s="2192"/>
      <c r="AN184" s="2192"/>
      <c r="AO184" s="2192"/>
      <c r="AP184" s="2192"/>
      <c r="AQ184" s="2192"/>
      <c r="AR184" s="2192"/>
      <c r="AS184" s="2192"/>
      <c r="AT184" s="2192"/>
      <c r="AU184" s="2192"/>
      <c r="AV184" s="2192"/>
      <c r="AW184" s="2192"/>
      <c r="AX184" s="2192"/>
      <c r="AY184" s="2192"/>
      <c r="AZ184" s="2192"/>
      <c r="BA184" s="2192"/>
      <c r="BB184" s="2192"/>
      <c r="BC184" s="2192"/>
      <c r="BD184" s="2192"/>
      <c r="BE184" s="2192"/>
    </row>
    <row r="185" spans="1:57" ht="15.75" customHeight="1">
      <c r="A185" s="1190"/>
      <c r="B185" s="1190"/>
      <c r="C185" s="2179" t="s">
        <v>2327</v>
      </c>
      <c r="D185" s="2180"/>
      <c r="E185" s="2180"/>
      <c r="F185" s="2180"/>
      <c r="G185" s="2180"/>
      <c r="H185" s="2180"/>
      <c r="I185" s="2180"/>
      <c r="J185" s="2180"/>
      <c r="K185" s="2180"/>
      <c r="L185" s="2180"/>
      <c r="M185" s="2180"/>
      <c r="N185" s="2181">
        <f>'Sources and Uses Budget'!B105</f>
        <v>82956517</v>
      </c>
      <c r="O185" s="2181"/>
      <c r="P185" s="2181"/>
      <c r="Q185" s="2181"/>
      <c r="R185" s="2181"/>
      <c r="S185" s="2181"/>
      <c r="T185" s="2181"/>
      <c r="U185" s="2193"/>
      <c r="V185" s="2193"/>
      <c r="W185" s="2193"/>
      <c r="X185" s="2193"/>
      <c r="Y185" s="2193"/>
      <c r="Z185" s="2193"/>
      <c r="AA185" s="2193"/>
      <c r="AB185" s="2193"/>
      <c r="AC185" s="2193"/>
      <c r="AD185" s="2193"/>
      <c r="AE185" s="2194"/>
      <c r="AF185" s="1190"/>
      <c r="AG185" s="1190"/>
      <c r="AH185" s="2192"/>
      <c r="AI185" s="2192"/>
      <c r="AJ185" s="2192"/>
      <c r="AK185" s="2192"/>
      <c r="AL185" s="2192"/>
      <c r="AM185" s="2192"/>
      <c r="AN185" s="2192"/>
      <c r="AO185" s="2192"/>
      <c r="AP185" s="2192"/>
      <c r="AQ185" s="2192"/>
      <c r="AR185" s="2192"/>
      <c r="AS185" s="2192"/>
      <c r="AT185" s="2192"/>
      <c r="AU185" s="2192"/>
      <c r="AV185" s="2192"/>
      <c r="AW185" s="2192"/>
      <c r="AX185" s="2192"/>
      <c r="AY185" s="2192"/>
      <c r="AZ185" s="2192"/>
      <c r="BA185" s="2192"/>
      <c r="BB185" s="2192"/>
      <c r="BC185" s="2192"/>
      <c r="BD185" s="2192"/>
      <c r="BE185" s="2192"/>
    </row>
    <row r="186" spans="1:57" ht="15.75" customHeight="1">
      <c r="A186" s="1190"/>
      <c r="B186" s="1190"/>
      <c r="C186" s="2179" t="s">
        <v>2326</v>
      </c>
      <c r="D186" s="2180"/>
      <c r="E186" s="2180"/>
      <c r="F186" s="2180"/>
      <c r="G186" s="2180"/>
      <c r="H186" s="2180"/>
      <c r="I186" s="2180"/>
      <c r="J186" s="2180"/>
      <c r="K186" s="2180"/>
      <c r="L186" s="2180"/>
      <c r="M186" s="2180"/>
      <c r="N186" s="2181">
        <f>N185/J29</f>
        <v>1050082.4936708861</v>
      </c>
      <c r="O186" s="2181"/>
      <c r="P186" s="2181"/>
      <c r="Q186" s="2181"/>
      <c r="R186" s="2181"/>
      <c r="S186" s="2181"/>
      <c r="T186" s="2181"/>
      <c r="U186" s="1228"/>
      <c r="V186" s="1228"/>
      <c r="W186" s="1228"/>
      <c r="X186" s="1228"/>
      <c r="Y186" s="1228"/>
      <c r="Z186" s="1228"/>
      <c r="AA186" s="1228"/>
      <c r="AB186" s="1228"/>
      <c r="AC186" s="1228"/>
      <c r="AD186" s="1228"/>
      <c r="AE186" s="1229"/>
      <c r="AF186" s="1190"/>
      <c r="AG186" s="1190"/>
      <c r="AH186" s="2192"/>
      <c r="AI186" s="2192"/>
      <c r="AJ186" s="2192"/>
      <c r="AK186" s="2192"/>
      <c r="AL186" s="2192"/>
      <c r="AM186" s="2192"/>
      <c r="AN186" s="2192"/>
      <c r="AO186" s="2192"/>
      <c r="AP186" s="2192"/>
      <c r="AQ186" s="2192"/>
      <c r="AR186" s="2192"/>
      <c r="AS186" s="2192"/>
      <c r="AT186" s="2192"/>
      <c r="AU186" s="2192"/>
      <c r="AV186" s="2192"/>
      <c r="AW186" s="2192"/>
      <c r="AX186" s="2192"/>
      <c r="AY186" s="2192"/>
      <c r="AZ186" s="2192"/>
      <c r="BA186" s="2192"/>
      <c r="BB186" s="2192"/>
      <c r="BC186" s="2192"/>
      <c r="BD186" s="2192"/>
      <c r="BE186" s="2192"/>
    </row>
    <row r="187" spans="1:57" ht="15.75" customHeight="1">
      <c r="A187" s="1190"/>
      <c r="B187" s="1190"/>
      <c r="C187" s="2195" t="s">
        <v>2325</v>
      </c>
      <c r="D187" s="2196"/>
      <c r="E187" s="2196"/>
      <c r="F187" s="2196"/>
      <c r="G187" s="2196"/>
      <c r="H187" s="2196"/>
      <c r="I187" s="2196"/>
      <c r="J187" s="2196"/>
      <c r="K187" s="2196"/>
      <c r="L187" s="2196"/>
      <c r="M187" s="2196"/>
      <c r="N187" s="2049">
        <v>0</v>
      </c>
      <c r="O187" s="2049"/>
      <c r="P187" s="2049"/>
      <c r="Q187" s="2049"/>
      <c r="R187" s="2049"/>
      <c r="S187" s="2049"/>
      <c r="T187" s="2049"/>
      <c r="U187" s="2025"/>
      <c r="V187" s="2025"/>
      <c r="W187" s="2025"/>
      <c r="X187" s="2025"/>
      <c r="Y187" s="2025"/>
      <c r="Z187" s="2025"/>
      <c r="AA187" s="2025"/>
      <c r="AB187" s="2025"/>
      <c r="AC187" s="2025"/>
      <c r="AD187" s="2025"/>
      <c r="AE187" s="2026"/>
      <c r="AF187" s="1190"/>
      <c r="AG187" s="1190"/>
      <c r="AH187" s="2192"/>
      <c r="AI187" s="2192"/>
      <c r="AJ187" s="2192"/>
      <c r="AK187" s="2192"/>
      <c r="AL187" s="2192"/>
      <c r="AM187" s="2192"/>
      <c r="AN187" s="2192"/>
      <c r="AO187" s="2192"/>
      <c r="AP187" s="2192"/>
      <c r="AQ187" s="2192"/>
      <c r="AR187" s="2192"/>
      <c r="AS187" s="2192"/>
      <c r="AT187" s="2192"/>
      <c r="AU187" s="2192"/>
      <c r="AV187" s="2192"/>
      <c r="AW187" s="2192"/>
      <c r="AX187" s="2192"/>
      <c r="AY187" s="2192"/>
      <c r="AZ187" s="2192"/>
      <c r="BA187" s="2192"/>
      <c r="BB187" s="2192"/>
      <c r="BC187" s="2192"/>
      <c r="BD187" s="2192"/>
      <c r="BE187" s="2192"/>
    </row>
    <row r="188" spans="1:57" ht="15.75" customHeight="1" thickBot="1">
      <c r="A188" s="1190"/>
      <c r="B188" s="1190"/>
      <c r="C188" s="2179" t="s">
        <v>2324</v>
      </c>
      <c r="D188" s="2180"/>
      <c r="E188" s="2180"/>
      <c r="F188" s="2180"/>
      <c r="G188" s="2180"/>
      <c r="H188" s="2180"/>
      <c r="I188" s="2180"/>
      <c r="J188" s="2180"/>
      <c r="K188" s="2180"/>
      <c r="L188" s="2180"/>
      <c r="M188" s="2180"/>
      <c r="N188" s="2197">
        <f>SUM('Sources and Uses Budget'!B85:B86)</f>
        <v>2117283</v>
      </c>
      <c r="O188" s="2197"/>
      <c r="P188" s="2197"/>
      <c r="Q188" s="2197"/>
      <c r="R188" s="2197"/>
      <c r="S188" s="2197"/>
      <c r="T188" s="2197"/>
      <c r="U188" s="2025"/>
      <c r="V188" s="2025"/>
      <c r="W188" s="2025"/>
      <c r="X188" s="2025"/>
      <c r="Y188" s="2025"/>
      <c r="Z188" s="2025"/>
      <c r="AA188" s="2025"/>
      <c r="AB188" s="2025"/>
      <c r="AC188" s="2025"/>
      <c r="AD188" s="2025"/>
      <c r="AE188" s="2026"/>
      <c r="AF188" s="1190"/>
      <c r="AG188" s="1190"/>
      <c r="AH188" s="2192"/>
      <c r="AI188" s="2192"/>
      <c r="AJ188" s="2192"/>
      <c r="AK188" s="2192"/>
      <c r="AL188" s="2192"/>
      <c r="AM188" s="2192"/>
      <c r="AN188" s="2192"/>
      <c r="AO188" s="2192"/>
      <c r="AP188" s="2192"/>
      <c r="AQ188" s="2192"/>
      <c r="AR188" s="2192"/>
      <c r="AS188" s="2192"/>
      <c r="AT188" s="2192"/>
      <c r="AU188" s="2192"/>
      <c r="AV188" s="2192"/>
      <c r="AW188" s="2192"/>
      <c r="AX188" s="2192"/>
      <c r="AY188" s="2192"/>
      <c r="AZ188" s="2192"/>
      <c r="BA188" s="2192"/>
      <c r="BB188" s="2192"/>
      <c r="BC188" s="2192"/>
      <c r="BD188" s="2192"/>
      <c r="BE188" s="2192"/>
    </row>
    <row r="189" spans="1:57" ht="15.75" customHeight="1" thickBot="1">
      <c r="A189" s="1190"/>
      <c r="B189" s="1190"/>
      <c r="C189" s="2179" t="s">
        <v>2323</v>
      </c>
      <c r="D189" s="2180"/>
      <c r="E189" s="2180"/>
      <c r="F189" s="2180"/>
      <c r="G189" s="2180"/>
      <c r="H189" s="2180"/>
      <c r="I189" s="2180"/>
      <c r="J189" s="2180"/>
      <c r="K189" s="2180"/>
      <c r="L189" s="2180"/>
      <c r="M189" s="2180"/>
      <c r="N189" s="2197">
        <f>'Sources and Uses Budget'!B8</f>
        <v>11000000</v>
      </c>
      <c r="O189" s="2197"/>
      <c r="P189" s="2197"/>
      <c r="Q189" s="2197"/>
      <c r="R189" s="2197"/>
      <c r="S189" s="2197"/>
      <c r="T189" s="2197"/>
      <c r="U189" s="2025"/>
      <c r="V189" s="2025"/>
      <c r="W189" s="2025"/>
      <c r="X189" s="2025"/>
      <c r="Y189" s="2025"/>
      <c r="Z189" s="2025"/>
      <c r="AA189" s="2025"/>
      <c r="AB189" s="2025"/>
      <c r="AC189" s="2025"/>
      <c r="AD189" s="2025"/>
      <c r="AE189" s="2026"/>
      <c r="AF189" s="1190"/>
      <c r="AG189" s="1190"/>
      <c r="AH189" s="2201" t="s">
        <v>2321</v>
      </c>
      <c r="AI189" s="2202"/>
      <c r="AJ189" s="2202"/>
      <c r="AK189" s="2202"/>
      <c r="AL189" s="2202"/>
      <c r="AM189" s="2202"/>
      <c r="AN189" s="2202"/>
      <c r="AO189" s="2202"/>
      <c r="AP189" s="2202"/>
      <c r="AQ189" s="2202"/>
      <c r="AR189" s="2202"/>
      <c r="AS189" s="2202"/>
      <c r="AT189" s="2202"/>
      <c r="AU189" s="2202"/>
      <c r="AV189" s="2202"/>
      <c r="AW189" s="2202"/>
      <c r="AX189" s="2202"/>
      <c r="AY189" s="2202"/>
      <c r="AZ189" s="2202"/>
      <c r="BA189" s="2202"/>
      <c r="BB189" s="2202"/>
      <c r="BC189" s="2202"/>
      <c r="BD189" s="2202"/>
      <c r="BE189" s="2203"/>
    </row>
    <row r="190" spans="1:57" ht="15.75" customHeight="1">
      <c r="A190" s="1190"/>
      <c r="B190" s="1190"/>
      <c r="C190" s="2179" t="s">
        <v>2322</v>
      </c>
      <c r="D190" s="2180"/>
      <c r="E190" s="2180"/>
      <c r="F190" s="2180"/>
      <c r="G190" s="2180"/>
      <c r="H190" s="2180"/>
      <c r="I190" s="2180"/>
      <c r="J190" s="2180"/>
      <c r="K190" s="2180"/>
      <c r="L190" s="2180"/>
      <c r="M190" s="2180"/>
      <c r="N190" s="2188">
        <v>0</v>
      </c>
      <c r="O190" s="2188"/>
      <c r="P190" s="2188"/>
      <c r="Q190" s="2188"/>
      <c r="R190" s="2188"/>
      <c r="S190" s="2188"/>
      <c r="T190" s="2188"/>
      <c r="U190" s="2025"/>
      <c r="V190" s="2025"/>
      <c r="W190" s="2025"/>
      <c r="X190" s="2025"/>
      <c r="Y190" s="2025"/>
      <c r="Z190" s="2025"/>
      <c r="AA190" s="2025"/>
      <c r="AB190" s="2025"/>
      <c r="AC190" s="2025"/>
      <c r="AD190" s="2025"/>
      <c r="AE190" s="2026"/>
      <c r="AF190" s="1190"/>
      <c r="AG190" s="1190"/>
      <c r="AH190" s="2204" t="s">
        <v>2321</v>
      </c>
      <c r="AI190" s="2205"/>
      <c r="AJ190" s="2205"/>
      <c r="AK190" s="2205"/>
      <c r="AL190" s="2205"/>
      <c r="AM190" s="2205"/>
      <c r="AN190" s="2205"/>
      <c r="AO190" s="2205"/>
      <c r="AP190" s="2205"/>
      <c r="AQ190" s="2205"/>
      <c r="AR190" s="2205"/>
      <c r="AS190" s="2205"/>
      <c r="AT190" s="2205"/>
      <c r="AU190" s="2206">
        <v>0</v>
      </c>
      <c r="AV190" s="2206"/>
      <c r="AW190" s="2206"/>
      <c r="AX190" s="2206"/>
      <c r="AY190" s="2206"/>
      <c r="AZ190" s="2206"/>
      <c r="BA190" s="2206"/>
      <c r="BB190" s="2206"/>
      <c r="BC190" s="2207"/>
      <c r="BD190" s="2208"/>
      <c r="BE190" s="2209"/>
    </row>
    <row r="191" spans="1:57" ht="15.75" customHeight="1">
      <c r="A191" s="1190"/>
      <c r="B191" s="1190"/>
      <c r="C191" s="2179" t="s">
        <v>2320</v>
      </c>
      <c r="D191" s="2180"/>
      <c r="E191" s="2180"/>
      <c r="F191" s="2180"/>
      <c r="G191" s="2180"/>
      <c r="H191" s="2180"/>
      <c r="I191" s="2180"/>
      <c r="J191" s="2180"/>
      <c r="K191" s="2180"/>
      <c r="L191" s="2180"/>
      <c r="M191" s="2180"/>
      <c r="N191" s="2188">
        <v>0</v>
      </c>
      <c r="O191" s="2188"/>
      <c r="P191" s="2188"/>
      <c r="Q191" s="2188"/>
      <c r="R191" s="2188"/>
      <c r="S191" s="2188"/>
      <c r="T191" s="2188"/>
      <c r="U191" s="2025"/>
      <c r="V191" s="2025"/>
      <c r="W191" s="2025"/>
      <c r="X191" s="2025"/>
      <c r="Y191" s="2025"/>
      <c r="Z191" s="2025"/>
      <c r="AA191" s="2025"/>
      <c r="AB191" s="2025"/>
      <c r="AC191" s="2025"/>
      <c r="AD191" s="2025"/>
      <c r="AE191" s="2026"/>
      <c r="AF191" s="1190"/>
      <c r="AG191" s="1190"/>
      <c r="AH191" s="2189" t="s">
        <v>2319</v>
      </c>
      <c r="AI191" s="2190"/>
      <c r="AJ191" s="2190"/>
      <c r="AK191" s="2190"/>
      <c r="AL191" s="2190"/>
      <c r="AM191" s="2190"/>
      <c r="AN191" s="2190"/>
      <c r="AO191" s="2190"/>
      <c r="AP191" s="2190"/>
      <c r="AQ191" s="2190"/>
      <c r="AR191" s="2190"/>
      <c r="AS191" s="2190"/>
      <c r="AT191" s="2190"/>
      <c r="AU191" s="2191"/>
      <c r="AV191" s="2191"/>
      <c r="AW191" s="2191"/>
      <c r="AX191" s="2191"/>
      <c r="AY191" s="2191"/>
      <c r="AZ191" s="2191"/>
      <c r="BA191" s="2191"/>
      <c r="BB191" s="2191"/>
      <c r="BC191" s="2198"/>
      <c r="BD191" s="2199"/>
      <c r="BE191" s="2200"/>
    </row>
    <row r="192" spans="1:57" ht="15.75" customHeight="1">
      <c r="A192" s="1190"/>
      <c r="B192" s="1190"/>
      <c r="C192" s="2214" t="s">
        <v>300</v>
      </c>
      <c r="D192" s="2157"/>
      <c r="E192" s="2210" t="s">
        <v>2317</v>
      </c>
      <c r="F192" s="2210"/>
      <c r="G192" s="2210"/>
      <c r="H192" s="2210"/>
      <c r="I192" s="2210"/>
      <c r="J192" s="2210"/>
      <c r="K192" s="2210"/>
      <c r="L192" s="2210"/>
      <c r="M192" s="2210"/>
      <c r="N192" s="2188">
        <v>0</v>
      </c>
      <c r="O192" s="2188"/>
      <c r="P192" s="2188"/>
      <c r="Q192" s="2188"/>
      <c r="R192" s="2188"/>
      <c r="S192" s="2188"/>
      <c r="T192" s="2188"/>
      <c r="U192" s="2025"/>
      <c r="V192" s="2025"/>
      <c r="W192" s="2025"/>
      <c r="X192" s="2025"/>
      <c r="Y192" s="2025"/>
      <c r="Z192" s="2025"/>
      <c r="AA192" s="2025"/>
      <c r="AB192" s="2025"/>
      <c r="AC192" s="2025"/>
      <c r="AD192" s="2025"/>
      <c r="AE192" s="2026"/>
      <c r="AF192" s="1190"/>
      <c r="AG192" s="1190"/>
      <c r="AH192" s="2215" t="s">
        <v>2318</v>
      </c>
      <c r="AI192" s="2216"/>
      <c r="AJ192" s="2216"/>
      <c r="AK192" s="2216"/>
      <c r="AL192" s="2216"/>
      <c r="AM192" s="2216"/>
      <c r="AN192" s="2216"/>
      <c r="AO192" s="2216"/>
      <c r="AP192" s="2216"/>
      <c r="AQ192" s="2216"/>
      <c r="AR192" s="2216"/>
      <c r="AS192" s="2216"/>
      <c r="AT192" s="2216"/>
      <c r="AU192" s="2217">
        <f>SUM(AU190:BB191)</f>
        <v>0</v>
      </c>
      <c r="AV192" s="2217"/>
      <c r="AW192" s="2217"/>
      <c r="AX192" s="2217"/>
      <c r="AY192" s="2217"/>
      <c r="AZ192" s="2217"/>
      <c r="BA192" s="2217"/>
      <c r="BB192" s="2217"/>
      <c r="BC192" s="2198"/>
      <c r="BD192" s="2199"/>
      <c r="BE192" s="2200"/>
    </row>
    <row r="193" spans="1:57" ht="15.75" customHeight="1" thickBot="1">
      <c r="A193" s="1190"/>
      <c r="B193" s="1190"/>
      <c r="C193" s="2081" t="s">
        <v>300</v>
      </c>
      <c r="D193" s="2013"/>
      <c r="E193" s="2210" t="s">
        <v>2317</v>
      </c>
      <c r="F193" s="2210"/>
      <c r="G193" s="2210"/>
      <c r="H193" s="2210"/>
      <c r="I193" s="2210"/>
      <c r="J193" s="2210"/>
      <c r="K193" s="2210"/>
      <c r="L193" s="2210"/>
      <c r="M193" s="2210"/>
      <c r="N193" s="2188">
        <v>0</v>
      </c>
      <c r="O193" s="2188"/>
      <c r="P193" s="2188"/>
      <c r="Q193" s="2188"/>
      <c r="R193" s="2188"/>
      <c r="S193" s="2188"/>
      <c r="T193" s="2188"/>
      <c r="U193" s="2025"/>
      <c r="V193" s="2025"/>
      <c r="W193" s="2025"/>
      <c r="X193" s="2025"/>
      <c r="Y193" s="2025"/>
      <c r="Z193" s="2025"/>
      <c r="AA193" s="2025"/>
      <c r="AB193" s="2025"/>
      <c r="AC193" s="2025"/>
      <c r="AD193" s="2025"/>
      <c r="AE193" s="2026"/>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1"/>
      <c r="BD193" s="2212"/>
      <c r="BE193" s="2213"/>
    </row>
    <row r="194" spans="1:57" ht="15.75" customHeight="1" thickBot="1">
      <c r="A194" s="1190"/>
      <c r="B194" s="1190"/>
      <c r="C194" s="2235" t="s">
        <v>300</v>
      </c>
      <c r="D194" s="2236"/>
      <c r="E194" s="2237" t="s">
        <v>2317</v>
      </c>
      <c r="F194" s="2237"/>
      <c r="G194" s="2237"/>
      <c r="H194" s="2237"/>
      <c r="I194" s="2237"/>
      <c r="J194" s="2237"/>
      <c r="K194" s="2237"/>
      <c r="L194" s="2237"/>
      <c r="M194" s="2238"/>
      <c r="N194" s="2239">
        <v>0</v>
      </c>
      <c r="O194" s="2239"/>
      <c r="P194" s="2239"/>
      <c r="Q194" s="2239"/>
      <c r="R194" s="2239"/>
      <c r="S194" s="2239"/>
      <c r="T194" s="2240"/>
      <c r="U194" s="2241"/>
      <c r="V194" s="2242"/>
      <c r="W194" s="2242"/>
      <c r="X194" s="2242"/>
      <c r="Y194" s="2242"/>
      <c r="Z194" s="2242"/>
      <c r="AA194" s="2242"/>
      <c r="AB194" s="2242"/>
      <c r="AC194" s="2242"/>
      <c r="AD194" s="2242"/>
      <c r="AE194" s="2243"/>
      <c r="AF194" s="1190"/>
      <c r="AG194" s="1190"/>
      <c r="AH194" s="2244" t="s">
        <v>2316</v>
      </c>
      <c r="AI194" s="2245"/>
      <c r="AJ194" s="2245"/>
      <c r="AK194" s="2245"/>
      <c r="AL194" s="2245"/>
      <c r="AM194" s="2245"/>
      <c r="AN194" s="2245"/>
      <c r="AO194" s="2245"/>
      <c r="AP194" s="2245"/>
      <c r="AQ194" s="2245"/>
      <c r="AR194" s="2245"/>
      <c r="AS194" s="2245"/>
      <c r="AT194" s="2245"/>
      <c r="AU194" s="2246"/>
      <c r="AV194" s="2246"/>
      <c r="AW194" s="2246"/>
      <c r="AX194" s="2246"/>
      <c r="AY194" s="2246"/>
      <c r="AZ194" s="2246"/>
      <c r="BA194" s="2246"/>
      <c r="BB194" s="2246"/>
      <c r="BC194" s="1171"/>
      <c r="BD194" s="1171"/>
      <c r="BE194" s="1232"/>
    </row>
    <row r="195" spans="1:57" ht="15.75" customHeight="1">
      <c r="A195" s="1190"/>
      <c r="B195" s="1190"/>
      <c r="C195" s="2218" t="s">
        <v>2315</v>
      </c>
      <c r="D195" s="2219"/>
      <c r="E195" s="2219"/>
      <c r="F195" s="2219"/>
      <c r="G195" s="2219"/>
      <c r="H195" s="2219"/>
      <c r="I195" s="2219"/>
      <c r="J195" s="2219"/>
      <c r="K195" s="2219"/>
      <c r="L195" s="2219"/>
      <c r="M195" s="2219"/>
      <c r="N195" s="2220">
        <f>SUM(N187:T194)</f>
        <v>13117283</v>
      </c>
      <c r="O195" s="2220"/>
      <c r="P195" s="2220"/>
      <c r="Q195" s="2220"/>
      <c r="R195" s="2220"/>
      <c r="S195" s="2220"/>
      <c r="T195" s="2221"/>
      <c r="U195" s="1190"/>
      <c r="V195" s="1190"/>
      <c r="W195" s="1190"/>
      <c r="X195" s="1190"/>
      <c r="Y195" s="1190"/>
      <c r="Z195" s="1190"/>
      <c r="AA195" s="1190"/>
      <c r="AB195" s="1190"/>
      <c r="AC195" s="1190"/>
      <c r="AD195" s="1190"/>
      <c r="AE195" s="1190"/>
      <c r="AF195" s="1190"/>
      <c r="AG195" s="1190"/>
      <c r="AH195" s="2222" t="s">
        <v>2314</v>
      </c>
      <c r="AI195" s="2223"/>
      <c r="AJ195" s="2223"/>
      <c r="AK195" s="2223"/>
      <c r="AL195" s="2223"/>
      <c r="AM195" s="2223"/>
      <c r="AN195" s="2223"/>
      <c r="AO195" s="2223"/>
      <c r="AP195" s="2223"/>
      <c r="AQ195" s="2223"/>
      <c r="AR195" s="2223"/>
      <c r="AS195" s="2223"/>
      <c r="AT195" s="2223"/>
      <c r="AU195" s="2223"/>
      <c r="AV195" s="2223"/>
      <c r="AW195" s="2223"/>
      <c r="AX195" s="2223"/>
      <c r="AY195" s="2223"/>
      <c r="AZ195" s="2223"/>
      <c r="BA195" s="2223"/>
      <c r="BB195" s="2223"/>
      <c r="BC195" s="2223"/>
      <c r="BD195" s="2223"/>
      <c r="BE195" s="2224"/>
    </row>
    <row r="196" spans="1:57" ht="15.75" customHeight="1" thickBot="1">
      <c r="A196" s="1190"/>
      <c r="B196" s="1190"/>
      <c r="C196" s="2228" t="s">
        <v>2313</v>
      </c>
      <c r="D196" s="2229"/>
      <c r="E196" s="2229"/>
      <c r="F196" s="2229"/>
      <c r="G196" s="2229"/>
      <c r="H196" s="2229"/>
      <c r="I196" s="2229"/>
      <c r="J196" s="2229"/>
      <c r="K196" s="2229"/>
      <c r="L196" s="2229"/>
      <c r="M196" s="2229"/>
      <c r="N196" s="2230">
        <f>(N185-N195)/J29</f>
        <v>884040.9367088608</v>
      </c>
      <c r="O196" s="2231"/>
      <c r="P196" s="2231"/>
      <c r="Q196" s="2231"/>
      <c r="R196" s="2231"/>
      <c r="S196" s="2231"/>
      <c r="T196" s="2232"/>
      <c r="U196" s="1195"/>
      <c r="V196" s="1190"/>
      <c r="W196" s="1190"/>
      <c r="X196" s="1190"/>
      <c r="Y196" s="1190"/>
      <c r="Z196" s="1190"/>
      <c r="AA196" s="1190"/>
      <c r="AB196" s="1190"/>
      <c r="AC196" s="1190"/>
      <c r="AD196" s="1190"/>
      <c r="AE196" s="1190"/>
      <c r="AF196" s="1190"/>
      <c r="AG196" s="1190"/>
      <c r="AH196" s="2225"/>
      <c r="AI196" s="2226"/>
      <c r="AJ196" s="2226"/>
      <c r="AK196" s="2226"/>
      <c r="AL196" s="2226"/>
      <c r="AM196" s="2226"/>
      <c r="AN196" s="2226"/>
      <c r="AO196" s="2226"/>
      <c r="AP196" s="2226"/>
      <c r="AQ196" s="2226"/>
      <c r="AR196" s="2226"/>
      <c r="AS196" s="2226"/>
      <c r="AT196" s="2226"/>
      <c r="AU196" s="2226"/>
      <c r="AV196" s="2226"/>
      <c r="AW196" s="2226"/>
      <c r="AX196" s="2226"/>
      <c r="AY196" s="2226"/>
      <c r="AZ196" s="2226"/>
      <c r="BA196" s="2226"/>
      <c r="BB196" s="2226"/>
      <c r="BC196" s="2226"/>
      <c r="BD196" s="2226"/>
      <c r="BE196" s="2227"/>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3"/>
      <c r="AI197" s="2233"/>
      <c r="AJ197" s="2233"/>
      <c r="AK197" s="2233"/>
      <c r="AL197" s="2233"/>
      <c r="AM197" s="2233"/>
      <c r="AN197" s="2233"/>
      <c r="AO197" s="2233"/>
      <c r="AP197" s="2233"/>
      <c r="AQ197" s="2233"/>
      <c r="AR197" s="2233"/>
      <c r="AS197" s="2234"/>
      <c r="AT197" s="2234"/>
      <c r="AU197" s="2234"/>
      <c r="AV197" s="2234"/>
      <c r="AW197" s="2234"/>
      <c r="AX197" s="2234"/>
      <c r="AY197" s="2234"/>
      <c r="AZ197" s="2234"/>
      <c r="BA197" s="2234"/>
      <c r="BB197" s="2234"/>
      <c r="BC197" s="2234"/>
      <c r="BD197" s="2234"/>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2" t="s">
        <v>2312</v>
      </c>
      <c r="D199" s="2253"/>
      <c r="E199" s="2253"/>
      <c r="F199" s="2253"/>
      <c r="G199" s="2253"/>
      <c r="H199" s="2253"/>
      <c r="I199" s="2253"/>
      <c r="J199" s="2253"/>
      <c r="K199" s="2253"/>
      <c r="L199" s="2253"/>
      <c r="M199" s="2253"/>
      <c r="N199" s="2253"/>
      <c r="O199" s="2253"/>
      <c r="P199" s="2253"/>
      <c r="Q199" s="2253"/>
      <c r="R199" s="2253"/>
      <c r="S199" s="2253"/>
      <c r="T199" s="2253"/>
      <c r="U199" s="2253"/>
      <c r="V199" s="2253"/>
      <c r="W199" s="2253"/>
      <c r="X199" s="2253"/>
      <c r="Y199" s="2253"/>
      <c r="Z199" s="2253"/>
      <c r="AA199" s="2253"/>
      <c r="AB199" s="2253"/>
      <c r="AC199" s="2253"/>
      <c r="AD199" s="2253"/>
      <c r="AE199" s="2254"/>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5" t="s">
        <v>2311</v>
      </c>
      <c r="D200" s="2255"/>
      <c r="E200" s="2255"/>
      <c r="F200" s="2255"/>
      <c r="G200" s="2255"/>
      <c r="H200" s="2255"/>
      <c r="I200" s="2255"/>
      <c r="J200" s="2255"/>
      <c r="K200" s="2255"/>
      <c r="L200" s="2255"/>
      <c r="M200" s="2255"/>
      <c r="N200" s="2255"/>
      <c r="O200" s="2256" t="s">
        <v>2310</v>
      </c>
      <c r="P200" s="2256"/>
      <c r="Q200" s="2256"/>
      <c r="R200" s="2256"/>
      <c r="S200" s="2256"/>
      <c r="T200" s="2256"/>
      <c r="U200" s="2256"/>
      <c r="V200" s="2256"/>
      <c r="W200" s="2256"/>
      <c r="X200" s="2256" t="s">
        <v>2309</v>
      </c>
      <c r="Y200" s="2256"/>
      <c r="Z200" s="2256"/>
      <c r="AA200" s="2256"/>
      <c r="AB200" s="2256"/>
      <c r="AC200" s="2256"/>
      <c r="AD200" s="2256"/>
      <c r="AE200" s="2256"/>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7" t="s">
        <v>2308</v>
      </c>
      <c r="D201" s="2247"/>
      <c r="E201" s="2247"/>
      <c r="F201" s="2247"/>
      <c r="G201" s="2247"/>
      <c r="H201" s="2247"/>
      <c r="I201" s="2247"/>
      <c r="J201" s="2247"/>
      <c r="K201" s="2247"/>
      <c r="L201" s="2247"/>
      <c r="M201" s="2247"/>
      <c r="N201" s="2247"/>
      <c r="O201" s="2248" t="s">
        <v>2307</v>
      </c>
      <c r="P201" s="2248"/>
      <c r="Q201" s="2248"/>
      <c r="R201" s="2248"/>
      <c r="S201" s="2248"/>
      <c r="T201" s="2248"/>
      <c r="U201" s="2248"/>
      <c r="V201" s="2248"/>
      <c r="W201" s="2248"/>
      <c r="X201" s="2249">
        <v>0.03</v>
      </c>
      <c r="Y201" s="2249"/>
      <c r="Z201" s="2249"/>
      <c r="AA201" s="2249"/>
      <c r="AB201" s="2249"/>
      <c r="AC201" s="2249"/>
      <c r="AD201" s="2249"/>
      <c r="AE201" s="2249"/>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7" t="s">
        <v>855</v>
      </c>
      <c r="D202" s="2247"/>
      <c r="E202" s="2247"/>
      <c r="F202" s="2247"/>
      <c r="G202" s="2247"/>
      <c r="H202" s="2247"/>
      <c r="I202" s="2247"/>
      <c r="J202" s="2247"/>
      <c r="K202" s="2247"/>
      <c r="L202" s="2247"/>
      <c r="M202" s="2247"/>
      <c r="N202" s="2247"/>
      <c r="O202" s="2248" t="s">
        <v>2307</v>
      </c>
      <c r="P202" s="2248"/>
      <c r="Q202" s="2248"/>
      <c r="R202" s="2248"/>
      <c r="S202" s="2248"/>
      <c r="T202" s="2248"/>
      <c r="U202" s="2248"/>
      <c r="V202" s="2248"/>
      <c r="W202" s="2248"/>
      <c r="X202" s="2249">
        <v>0.03</v>
      </c>
      <c r="Y202" s="2249"/>
      <c r="Z202" s="2249"/>
      <c r="AA202" s="2249"/>
      <c r="AB202" s="2249"/>
      <c r="AC202" s="2249"/>
      <c r="AD202" s="2249"/>
      <c r="AE202" s="2249"/>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7" t="s">
        <v>2306</v>
      </c>
      <c r="D203" s="2247"/>
      <c r="E203" s="2247"/>
      <c r="F203" s="2247"/>
      <c r="G203" s="2247"/>
      <c r="H203" s="2247"/>
      <c r="I203" s="2247"/>
      <c r="J203" s="2247"/>
      <c r="K203" s="2247"/>
      <c r="L203" s="2247"/>
      <c r="M203" s="2247"/>
      <c r="N203" s="2247"/>
      <c r="O203" s="2250">
        <f>SUM(O201:W202)</f>
        <v>0</v>
      </c>
      <c r="P203" s="2251"/>
      <c r="Q203" s="2251"/>
      <c r="R203" s="2251"/>
      <c r="S203" s="2251"/>
      <c r="T203" s="2251"/>
      <c r="U203" s="2251"/>
      <c r="V203" s="2251"/>
      <c r="W203" s="2251"/>
      <c r="X203" s="2251" t="s">
        <v>2305</v>
      </c>
      <c r="Y203" s="2251"/>
      <c r="Z203" s="2251"/>
      <c r="AA203" s="2251"/>
      <c r="AB203" s="2251"/>
      <c r="AC203" s="2251"/>
      <c r="AD203" s="2251"/>
      <c r="AE203" s="2251"/>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7" t="s">
        <v>2304</v>
      </c>
      <c r="D204" s="2257"/>
      <c r="E204" s="2257"/>
      <c r="F204" s="2257"/>
      <c r="G204" s="2257"/>
      <c r="H204" s="2257"/>
      <c r="I204" s="2257"/>
      <c r="J204" s="2257"/>
      <c r="K204" s="2257"/>
      <c r="L204" s="2257"/>
      <c r="M204" s="2257"/>
      <c r="N204" s="2257"/>
      <c r="O204" s="2257"/>
      <c r="P204" s="2257"/>
      <c r="Q204" s="2257"/>
      <c r="R204" s="2257"/>
      <c r="S204" s="2257"/>
      <c r="T204" s="2257"/>
      <c r="U204" s="2257"/>
      <c r="V204" s="2257"/>
      <c r="W204" s="2257"/>
      <c r="X204" s="2257"/>
      <c r="Y204" s="2257"/>
      <c r="Z204" s="2257"/>
      <c r="AA204" s="2257"/>
      <c r="AB204" s="2257"/>
      <c r="AC204" s="2257"/>
      <c r="AD204" s="2257"/>
      <c r="AE204" s="2257"/>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8" t="s">
        <v>2303</v>
      </c>
      <c r="D206" s="2259"/>
      <c r="E206" s="2259"/>
      <c r="F206" s="2259"/>
      <c r="G206" s="2259"/>
      <c r="H206" s="2259"/>
      <c r="I206" s="2259"/>
      <c r="J206" s="2259"/>
      <c r="K206" s="2259"/>
      <c r="L206" s="2259"/>
      <c r="M206" s="2259"/>
      <c r="N206" s="2259"/>
      <c r="O206" s="2259"/>
      <c r="P206" s="2259"/>
      <c r="Q206" s="2259"/>
      <c r="R206" s="2259"/>
      <c r="S206" s="2259"/>
      <c r="T206" s="2259"/>
      <c r="U206" s="2259"/>
      <c r="V206" s="2259"/>
      <c r="W206" s="2259"/>
      <c r="X206" s="2259"/>
      <c r="Y206" s="2259"/>
      <c r="Z206" s="2259"/>
      <c r="AA206" s="2259"/>
      <c r="AB206" s="2259"/>
      <c r="AC206" s="2259"/>
      <c r="AD206" s="2259"/>
      <c r="AE206" s="2259"/>
      <c r="AF206" s="2259"/>
      <c r="AG206" s="2259"/>
      <c r="AH206" s="2259"/>
      <c r="AI206" s="2259"/>
      <c r="AJ206" s="2259"/>
      <c r="AK206" s="2260"/>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1" t="s">
        <v>2302</v>
      </c>
      <c r="D207" s="2262"/>
      <c r="E207" s="2262"/>
      <c r="F207" s="2263"/>
      <c r="G207" s="2267" t="s">
        <v>2301</v>
      </c>
      <c r="H207" s="2262"/>
      <c r="I207" s="2262"/>
      <c r="J207" s="2262"/>
      <c r="K207" s="2262"/>
      <c r="L207" s="2262"/>
      <c r="M207" s="2262"/>
      <c r="N207" s="2262"/>
      <c r="O207" s="2263"/>
      <c r="P207" s="2269" t="s">
        <v>2300</v>
      </c>
      <c r="Q207" s="2270"/>
      <c r="R207" s="2270"/>
      <c r="S207" s="2270"/>
      <c r="T207" s="2271"/>
      <c r="U207" s="2275" t="s">
        <v>2299</v>
      </c>
      <c r="V207" s="2276"/>
      <c r="W207" s="2276"/>
      <c r="X207" s="2277"/>
      <c r="Y207" s="2275" t="s">
        <v>2298</v>
      </c>
      <c r="Z207" s="2276"/>
      <c r="AA207" s="2276"/>
      <c r="AB207" s="2277"/>
      <c r="AC207" s="2275" t="s">
        <v>2297</v>
      </c>
      <c r="AD207" s="2276"/>
      <c r="AE207" s="2276"/>
      <c r="AF207" s="2277"/>
      <c r="AG207" s="2267" t="s">
        <v>2296</v>
      </c>
      <c r="AH207" s="2262"/>
      <c r="AI207" s="2262"/>
      <c r="AJ207" s="2262"/>
      <c r="AK207" s="2281"/>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4"/>
      <c r="D208" s="2265"/>
      <c r="E208" s="2265"/>
      <c r="F208" s="2266"/>
      <c r="G208" s="2268"/>
      <c r="H208" s="2265"/>
      <c r="I208" s="2265"/>
      <c r="J208" s="2265"/>
      <c r="K208" s="2265"/>
      <c r="L208" s="2265"/>
      <c r="M208" s="2265"/>
      <c r="N208" s="2265"/>
      <c r="O208" s="2266"/>
      <c r="P208" s="2272"/>
      <c r="Q208" s="2273"/>
      <c r="R208" s="2273"/>
      <c r="S208" s="2273"/>
      <c r="T208" s="2274"/>
      <c r="U208" s="2278"/>
      <c r="V208" s="2279"/>
      <c r="W208" s="2279"/>
      <c r="X208" s="2280"/>
      <c r="Y208" s="2278"/>
      <c r="Z208" s="2279"/>
      <c r="AA208" s="2279"/>
      <c r="AB208" s="2280"/>
      <c r="AC208" s="2278"/>
      <c r="AD208" s="2279"/>
      <c r="AE208" s="2279"/>
      <c r="AF208" s="2280"/>
      <c r="AG208" s="2268"/>
      <c r="AH208" s="2265"/>
      <c r="AI208" s="2265"/>
      <c r="AJ208" s="2265"/>
      <c r="AK208" s="2282"/>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6">
        <v>1</v>
      </c>
      <c r="D209" s="2287"/>
      <c r="E209" s="2287"/>
      <c r="F209" s="2287"/>
      <c r="G209" s="2288" t="s">
        <v>1885</v>
      </c>
      <c r="H209" s="2288"/>
      <c r="I209" s="2288"/>
      <c r="J209" s="2288"/>
      <c r="K209" s="2288"/>
      <c r="L209" s="2288"/>
      <c r="M209" s="2288"/>
      <c r="N209" s="2288"/>
      <c r="O209" s="2288"/>
      <c r="P209" s="2289"/>
      <c r="Q209" s="2292"/>
      <c r="R209" s="2292"/>
      <c r="S209" s="2292"/>
      <c r="T209" s="2292"/>
      <c r="U209" s="2290" t="s">
        <v>1885</v>
      </c>
      <c r="V209" s="2290"/>
      <c r="W209" s="2290"/>
      <c r="X209" s="2290"/>
      <c r="Y209" s="2290" t="s">
        <v>1885</v>
      </c>
      <c r="Z209" s="2290"/>
      <c r="AA209" s="2290"/>
      <c r="AB209" s="2290"/>
      <c r="AC209" s="2291" t="s">
        <v>1885</v>
      </c>
      <c r="AD209" s="2291"/>
      <c r="AE209" s="2291"/>
      <c r="AF209" s="2291"/>
      <c r="AG209" s="2283"/>
      <c r="AH209" s="2284"/>
      <c r="AI209" s="2284"/>
      <c r="AJ209" s="2284"/>
      <c r="AK209" s="2285"/>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6">
        <v>2</v>
      </c>
      <c r="D210" s="2287"/>
      <c r="E210" s="2287"/>
      <c r="F210" s="2287"/>
      <c r="G210" s="2288" t="s">
        <v>1885</v>
      </c>
      <c r="H210" s="2288"/>
      <c r="I210" s="2288"/>
      <c r="J210" s="2288"/>
      <c r="K210" s="2288"/>
      <c r="L210" s="2288"/>
      <c r="M210" s="2288"/>
      <c r="N210" s="2288"/>
      <c r="O210" s="2288"/>
      <c r="P210" s="2289"/>
      <c r="Q210" s="2289"/>
      <c r="R210" s="2289"/>
      <c r="S210" s="2289"/>
      <c r="T210" s="2289"/>
      <c r="U210" s="2290" t="s">
        <v>1885</v>
      </c>
      <c r="V210" s="2290"/>
      <c r="W210" s="2290"/>
      <c r="X210" s="2290"/>
      <c r="Y210" s="2290" t="s">
        <v>1885</v>
      </c>
      <c r="Z210" s="2290"/>
      <c r="AA210" s="2290"/>
      <c r="AB210" s="2290"/>
      <c r="AC210" s="2291" t="s">
        <v>1885</v>
      </c>
      <c r="AD210" s="2291"/>
      <c r="AE210" s="2291"/>
      <c r="AF210" s="2291"/>
      <c r="AG210" s="2283"/>
      <c r="AH210" s="2284"/>
      <c r="AI210" s="2284"/>
      <c r="AJ210" s="2284"/>
      <c r="AK210" s="2285"/>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6">
        <v>3</v>
      </c>
      <c r="D211" s="2287"/>
      <c r="E211" s="2287"/>
      <c r="F211" s="2287"/>
      <c r="G211" s="2288" t="s">
        <v>1885</v>
      </c>
      <c r="H211" s="2288"/>
      <c r="I211" s="2288"/>
      <c r="J211" s="2288"/>
      <c r="K211" s="2288"/>
      <c r="L211" s="2288"/>
      <c r="M211" s="2288"/>
      <c r="N211" s="2288"/>
      <c r="O211" s="2288"/>
      <c r="P211" s="2289"/>
      <c r="Q211" s="2289"/>
      <c r="R211" s="2289"/>
      <c r="S211" s="2289"/>
      <c r="T211" s="2289"/>
      <c r="U211" s="2290" t="s">
        <v>1885</v>
      </c>
      <c r="V211" s="2290"/>
      <c r="W211" s="2290"/>
      <c r="X211" s="2290"/>
      <c r="Y211" s="2290" t="s">
        <v>1885</v>
      </c>
      <c r="Z211" s="2290"/>
      <c r="AA211" s="2290"/>
      <c r="AB211" s="2290"/>
      <c r="AC211" s="2291" t="s">
        <v>1885</v>
      </c>
      <c r="AD211" s="2291"/>
      <c r="AE211" s="2291"/>
      <c r="AF211" s="2291"/>
      <c r="AG211" s="2283"/>
      <c r="AH211" s="2284"/>
      <c r="AI211" s="2284"/>
      <c r="AJ211" s="2284"/>
      <c r="AK211" s="2285"/>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6">
        <v>4</v>
      </c>
      <c r="D212" s="2287"/>
      <c r="E212" s="2287"/>
      <c r="F212" s="2287"/>
      <c r="G212" s="2288" t="s">
        <v>1885</v>
      </c>
      <c r="H212" s="2288"/>
      <c r="I212" s="2288"/>
      <c r="J212" s="2288"/>
      <c r="K212" s="2288"/>
      <c r="L212" s="2288"/>
      <c r="M212" s="2288"/>
      <c r="N212" s="2288"/>
      <c r="O212" s="2288"/>
      <c r="P212" s="2289"/>
      <c r="Q212" s="2289"/>
      <c r="R212" s="2289"/>
      <c r="S212" s="2289"/>
      <c r="T212" s="2289"/>
      <c r="U212" s="2290" t="s">
        <v>1885</v>
      </c>
      <c r="V212" s="2290"/>
      <c r="W212" s="2290"/>
      <c r="X212" s="2290"/>
      <c r="Y212" s="2290" t="s">
        <v>1885</v>
      </c>
      <c r="Z212" s="2290"/>
      <c r="AA212" s="2290"/>
      <c r="AB212" s="2290"/>
      <c r="AC212" s="2291" t="s">
        <v>1885</v>
      </c>
      <c r="AD212" s="2291"/>
      <c r="AE212" s="2291"/>
      <c r="AF212" s="2291"/>
      <c r="AG212" s="2283"/>
      <c r="AH212" s="2284"/>
      <c r="AI212" s="2284"/>
      <c r="AJ212" s="2284"/>
      <c r="AK212" s="2285"/>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6">
        <v>5</v>
      </c>
      <c r="D213" s="2287"/>
      <c r="E213" s="2287"/>
      <c r="F213" s="2287"/>
      <c r="G213" s="2288" t="s">
        <v>1885</v>
      </c>
      <c r="H213" s="2288"/>
      <c r="I213" s="2288"/>
      <c r="J213" s="2288"/>
      <c r="K213" s="2288"/>
      <c r="L213" s="2288"/>
      <c r="M213" s="2288"/>
      <c r="N213" s="2288"/>
      <c r="O213" s="2288"/>
      <c r="P213" s="2289"/>
      <c r="Q213" s="2289"/>
      <c r="R213" s="2289"/>
      <c r="S213" s="2289"/>
      <c r="T213" s="2289"/>
      <c r="U213" s="2290" t="s">
        <v>1885</v>
      </c>
      <c r="V213" s="2290"/>
      <c r="W213" s="2290"/>
      <c r="X213" s="2290"/>
      <c r="Y213" s="2290" t="s">
        <v>1885</v>
      </c>
      <c r="Z213" s="2290"/>
      <c r="AA213" s="2290"/>
      <c r="AB213" s="2290"/>
      <c r="AC213" s="2291" t="s">
        <v>1885</v>
      </c>
      <c r="AD213" s="2291"/>
      <c r="AE213" s="2291"/>
      <c r="AF213" s="2291"/>
      <c r="AG213" s="2283"/>
      <c r="AH213" s="2284"/>
      <c r="AI213" s="2284"/>
      <c r="AJ213" s="2284"/>
      <c r="AK213" s="2285"/>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6">
        <v>6</v>
      </c>
      <c r="D214" s="2287"/>
      <c r="E214" s="2287"/>
      <c r="F214" s="2287"/>
      <c r="G214" s="2288" t="s">
        <v>1885</v>
      </c>
      <c r="H214" s="2288"/>
      <c r="I214" s="2288"/>
      <c r="J214" s="2288"/>
      <c r="K214" s="2288"/>
      <c r="L214" s="2288"/>
      <c r="M214" s="2288"/>
      <c r="N214" s="2288"/>
      <c r="O214" s="2288"/>
      <c r="P214" s="2289"/>
      <c r="Q214" s="2289"/>
      <c r="R214" s="2289"/>
      <c r="S214" s="2289"/>
      <c r="T214" s="2289"/>
      <c r="U214" s="2290"/>
      <c r="V214" s="2290"/>
      <c r="W214" s="2290"/>
      <c r="X214" s="2290"/>
      <c r="Y214" s="2290"/>
      <c r="Z214" s="2290"/>
      <c r="AA214" s="2290"/>
      <c r="AB214" s="2290"/>
      <c r="AC214" s="2291" t="s">
        <v>1885</v>
      </c>
      <c r="AD214" s="2291"/>
      <c r="AE214" s="2291"/>
      <c r="AF214" s="2291"/>
      <c r="AG214" s="2283"/>
      <c r="AH214" s="2284"/>
      <c r="AI214" s="2284"/>
      <c r="AJ214" s="2284"/>
      <c r="AK214" s="2285"/>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6">
        <v>7</v>
      </c>
      <c r="D215" s="2287"/>
      <c r="E215" s="2287"/>
      <c r="F215" s="2287"/>
      <c r="G215" s="2288"/>
      <c r="H215" s="2288"/>
      <c r="I215" s="2288"/>
      <c r="J215" s="2288"/>
      <c r="K215" s="2288"/>
      <c r="L215" s="2288"/>
      <c r="M215" s="2288"/>
      <c r="N215" s="2288"/>
      <c r="O215" s="2288"/>
      <c r="P215" s="2289"/>
      <c r="Q215" s="2289"/>
      <c r="R215" s="2289"/>
      <c r="S215" s="2289"/>
      <c r="T215" s="2289"/>
      <c r="U215" s="2290"/>
      <c r="V215" s="2290"/>
      <c r="W215" s="2290"/>
      <c r="X215" s="2290"/>
      <c r="Y215" s="2290"/>
      <c r="Z215" s="2290"/>
      <c r="AA215" s="2290"/>
      <c r="AB215" s="2290"/>
      <c r="AC215" s="2291" t="s">
        <v>1885</v>
      </c>
      <c r="AD215" s="2291"/>
      <c r="AE215" s="2291"/>
      <c r="AF215" s="2291"/>
      <c r="AG215" s="2283"/>
      <c r="AH215" s="2284"/>
      <c r="AI215" s="2284"/>
      <c r="AJ215" s="2284"/>
      <c r="AK215" s="2285"/>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5" t="s">
        <v>2295</v>
      </c>
      <c r="D216" s="2306"/>
      <c r="E216" s="2306"/>
      <c r="F216" s="2306"/>
      <c r="G216" s="2306"/>
      <c r="H216" s="2306"/>
      <c r="I216" s="2306"/>
      <c r="J216" s="2306"/>
      <c r="K216" s="2306"/>
      <c r="L216" s="2306"/>
      <c r="M216" s="2306"/>
      <c r="N216" s="2306"/>
      <c r="O216" s="2306"/>
      <c r="P216" s="2307"/>
      <c r="Q216" s="2307"/>
      <c r="R216" s="2307"/>
      <c r="S216" s="2307"/>
      <c r="T216" s="2307"/>
      <c r="U216" s="2308">
        <f>-SUM(U209:U215)</f>
        <v>0</v>
      </c>
      <c r="V216" s="2308"/>
      <c r="W216" s="2308"/>
      <c r="X216" s="2308"/>
      <c r="Y216" s="2308">
        <f>-SUM(Y209:Y215)</f>
        <v>0</v>
      </c>
      <c r="Z216" s="2308"/>
      <c r="AA216" s="2308"/>
      <c r="AB216" s="2308"/>
      <c r="AC216" s="2309">
        <f>-SUM(AC209:AC215)</f>
        <v>0</v>
      </c>
      <c r="AD216" s="2309"/>
      <c r="AE216" s="2309"/>
      <c r="AF216" s="2309"/>
      <c r="AG216" s="2310"/>
      <c r="AH216" s="2311"/>
      <c r="AI216" s="2311"/>
      <c r="AJ216" s="2311"/>
      <c r="AK216" s="2312"/>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3" t="s">
        <v>2293</v>
      </c>
      <c r="C221" s="2294"/>
      <c r="D221" s="2294"/>
      <c r="E221" s="2294"/>
      <c r="F221" s="2294"/>
      <c r="G221" s="2294"/>
      <c r="H221" s="2294"/>
      <c r="I221" s="2294"/>
      <c r="J221" s="2294"/>
      <c r="K221" s="2294"/>
      <c r="L221" s="2294"/>
      <c r="M221" s="2294"/>
      <c r="N221" s="2294"/>
      <c r="O221" s="2294"/>
      <c r="P221" s="2294"/>
      <c r="Q221" s="2294"/>
      <c r="R221" s="2294"/>
      <c r="S221" s="2294"/>
      <c r="T221" s="2294"/>
      <c r="U221" s="2294"/>
      <c r="V221" s="2294"/>
      <c r="W221" s="2294"/>
      <c r="X221" s="2294"/>
      <c r="Y221" s="2294"/>
      <c r="Z221" s="2294"/>
      <c r="AA221" s="2294"/>
      <c r="AB221" s="2294"/>
      <c r="AC221" s="2294"/>
      <c r="AD221" s="2294"/>
      <c r="AE221" s="2294"/>
      <c r="AF221" s="2294"/>
      <c r="AG221" s="2294"/>
      <c r="AH221" s="2294"/>
      <c r="AI221" s="2294"/>
      <c r="AJ221" s="2294"/>
      <c r="AK221" s="2294"/>
      <c r="AL221" s="2294"/>
      <c r="AM221" s="2294"/>
      <c r="AN221" s="2294"/>
      <c r="AO221" s="2294"/>
      <c r="AP221" s="2294"/>
      <c r="AQ221" s="2294"/>
      <c r="AR221" s="2294"/>
      <c r="AS221" s="2294"/>
      <c r="AT221" s="2294"/>
      <c r="AU221" s="2294"/>
      <c r="AV221" s="2294"/>
      <c r="AW221" s="2294"/>
      <c r="AX221" s="2294"/>
      <c r="AY221" s="2294"/>
      <c r="AZ221" s="2294"/>
      <c r="BA221" s="2294"/>
      <c r="BB221" s="2294"/>
      <c r="BC221" s="2294"/>
      <c r="BD221" s="2295"/>
      <c r="BE221" s="1194"/>
    </row>
    <row r="222" spans="1:57" ht="15.75" customHeight="1">
      <c r="A222" s="1190"/>
      <c r="B222" s="2296"/>
      <c r="C222" s="2297"/>
      <c r="D222" s="2297"/>
      <c r="E222" s="2297"/>
      <c r="F222" s="2297"/>
      <c r="G222" s="2297"/>
      <c r="H222" s="2297"/>
      <c r="I222" s="2297"/>
      <c r="J222" s="2297"/>
      <c r="K222" s="2297"/>
      <c r="L222" s="2297"/>
      <c r="M222" s="2297"/>
      <c r="N222" s="2297"/>
      <c r="O222" s="2297"/>
      <c r="P222" s="2297"/>
      <c r="Q222" s="2297"/>
      <c r="R222" s="2297"/>
      <c r="S222" s="2297"/>
      <c r="T222" s="2297"/>
      <c r="U222" s="2297"/>
      <c r="V222" s="2297"/>
      <c r="W222" s="2297"/>
      <c r="X222" s="2297"/>
      <c r="Y222" s="2297"/>
      <c r="Z222" s="2297"/>
      <c r="AA222" s="2297"/>
      <c r="AB222" s="2297"/>
      <c r="AC222" s="2297"/>
      <c r="AD222" s="2297"/>
      <c r="AE222" s="2297"/>
      <c r="AF222" s="2297"/>
      <c r="AG222" s="2297"/>
      <c r="AH222" s="2297"/>
      <c r="AI222" s="2297"/>
      <c r="AJ222" s="2297"/>
      <c r="AK222" s="2297"/>
      <c r="AL222" s="2297"/>
      <c r="AM222" s="2297"/>
      <c r="AN222" s="2297"/>
      <c r="AO222" s="2297"/>
      <c r="AP222" s="2297"/>
      <c r="AQ222" s="2297"/>
      <c r="AR222" s="2297"/>
      <c r="AS222" s="2297"/>
      <c r="AT222" s="2297"/>
      <c r="AU222" s="2297"/>
      <c r="AV222" s="2297"/>
      <c r="AW222" s="2297"/>
      <c r="AX222" s="2297"/>
      <c r="AY222" s="2297"/>
      <c r="AZ222" s="2297"/>
      <c r="BA222" s="2297"/>
      <c r="BB222" s="2297"/>
      <c r="BC222" s="2297"/>
      <c r="BD222" s="2298"/>
      <c r="BE222" s="1194"/>
    </row>
    <row r="223" spans="1:57" ht="15.75" customHeight="1">
      <c r="A223" s="1190"/>
      <c r="B223" s="2299" t="s">
        <v>2292</v>
      </c>
      <c r="C223" s="2300"/>
      <c r="D223" s="2300"/>
      <c r="E223" s="2300"/>
      <c r="F223" s="2300"/>
      <c r="G223" s="2300"/>
      <c r="H223" s="2300"/>
      <c r="I223" s="2300"/>
      <c r="J223" s="2300"/>
      <c r="K223" s="2300"/>
      <c r="L223" s="2300"/>
      <c r="M223" s="2300"/>
      <c r="N223" s="2300"/>
      <c r="O223" s="2300"/>
      <c r="P223" s="2300"/>
      <c r="Q223" s="2300"/>
      <c r="R223" s="2300"/>
      <c r="S223" s="2300"/>
      <c r="T223" s="2300"/>
      <c r="U223" s="2300"/>
      <c r="V223" s="2300"/>
      <c r="W223" s="2300"/>
      <c r="X223" s="2300"/>
      <c r="Y223" s="2300"/>
      <c r="Z223" s="2300"/>
      <c r="AA223" s="2300"/>
      <c r="AB223" s="2300"/>
      <c r="AC223" s="2300"/>
      <c r="AD223" s="2300"/>
      <c r="AE223" s="2300"/>
      <c r="AF223" s="2300"/>
      <c r="AG223" s="2300"/>
      <c r="AH223" s="2300"/>
      <c r="AI223" s="2300"/>
      <c r="AJ223" s="2300"/>
      <c r="AK223" s="2300"/>
      <c r="AL223" s="2300"/>
      <c r="AM223" s="2300"/>
      <c r="AN223" s="2300"/>
      <c r="AO223" s="2300"/>
      <c r="AP223" s="2300"/>
      <c r="AQ223" s="2300"/>
      <c r="AR223" s="2300"/>
      <c r="AS223" s="2300"/>
      <c r="AT223" s="2300"/>
      <c r="AU223" s="2300"/>
      <c r="AV223" s="2300"/>
      <c r="AW223" s="2300"/>
      <c r="AX223" s="2300"/>
      <c r="AY223" s="2300"/>
      <c r="AZ223" s="2300"/>
      <c r="BA223" s="2300"/>
      <c r="BB223" s="2300"/>
      <c r="BC223" s="2300"/>
      <c r="BD223" s="2301"/>
      <c r="BE223" s="1194"/>
    </row>
    <row r="224" spans="1:57" ht="15.75" customHeight="1">
      <c r="A224" s="1190"/>
      <c r="B224" s="2299" t="s">
        <v>2291</v>
      </c>
      <c r="C224" s="2300"/>
      <c r="D224" s="2300"/>
      <c r="E224" s="2300"/>
      <c r="F224" s="2300"/>
      <c r="G224" s="2300"/>
      <c r="H224" s="2300"/>
      <c r="I224" s="2300"/>
      <c r="J224" s="2300"/>
      <c r="K224" s="2300"/>
      <c r="L224" s="2300"/>
      <c r="M224" s="2300"/>
      <c r="N224" s="2300"/>
      <c r="O224" s="2300"/>
      <c r="P224" s="2300"/>
      <c r="Q224" s="2300"/>
      <c r="R224" s="2300"/>
      <c r="S224" s="2300"/>
      <c r="T224" s="2300"/>
      <c r="U224" s="2300"/>
      <c r="V224" s="2300"/>
      <c r="W224" s="2300"/>
      <c r="X224" s="2300"/>
      <c r="Y224" s="2300"/>
      <c r="Z224" s="2300"/>
      <c r="AA224" s="2300"/>
      <c r="AB224" s="2300"/>
      <c r="AC224" s="2300"/>
      <c r="AD224" s="2300"/>
      <c r="AE224" s="2300"/>
      <c r="AF224" s="2300"/>
      <c r="AG224" s="2300"/>
      <c r="AH224" s="2300"/>
      <c r="AI224" s="2300"/>
      <c r="AJ224" s="2300"/>
      <c r="AK224" s="2300"/>
      <c r="AL224" s="2300"/>
      <c r="AM224" s="2300"/>
      <c r="AN224" s="2300"/>
      <c r="AO224" s="2300"/>
      <c r="AP224" s="2300"/>
      <c r="AQ224" s="2300"/>
      <c r="AR224" s="2300"/>
      <c r="AS224" s="2300"/>
      <c r="AT224" s="2300"/>
      <c r="AU224" s="2300"/>
      <c r="AV224" s="2300"/>
      <c r="AW224" s="2300"/>
      <c r="AX224" s="2300"/>
      <c r="AY224" s="2300"/>
      <c r="AZ224" s="2300"/>
      <c r="BA224" s="2300"/>
      <c r="BB224" s="2300"/>
      <c r="BC224" s="2300"/>
      <c r="BD224" s="2301"/>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2" t="s">
        <v>2290</v>
      </c>
      <c r="C226" s="2192"/>
      <c r="D226" s="2192"/>
      <c r="E226" s="2192"/>
      <c r="F226" s="2192"/>
      <c r="G226" s="2192"/>
      <c r="H226" s="2192"/>
      <c r="I226" s="2192"/>
      <c r="J226" s="2192"/>
      <c r="K226" s="2192"/>
      <c r="L226" s="2192"/>
      <c r="M226" s="2192"/>
      <c r="N226" s="2192"/>
      <c r="O226" s="2192"/>
      <c r="P226" s="2192"/>
      <c r="Q226" s="2192"/>
      <c r="R226" s="2192"/>
      <c r="S226" s="2192"/>
      <c r="T226" s="2192"/>
      <c r="U226" s="2192"/>
      <c r="V226" s="2192"/>
      <c r="W226" s="2192"/>
      <c r="X226" s="2192"/>
      <c r="Y226" s="2192"/>
      <c r="Z226" s="2192"/>
      <c r="AA226" s="2192"/>
      <c r="AB226" s="2192"/>
      <c r="AC226" s="2192"/>
      <c r="AD226" s="2192"/>
      <c r="AE226" s="2192"/>
      <c r="AF226" s="2192"/>
      <c r="AG226" s="2192"/>
      <c r="AH226" s="2192"/>
      <c r="AI226" s="2192"/>
      <c r="AJ226" s="2192"/>
      <c r="AK226" s="2192"/>
      <c r="AL226" s="2192"/>
      <c r="AM226" s="2192"/>
      <c r="AN226" s="2192"/>
      <c r="AO226" s="2192"/>
      <c r="AP226" s="2192"/>
      <c r="AQ226" s="2192"/>
      <c r="AR226" s="2192"/>
      <c r="AS226" s="2192"/>
      <c r="AT226" s="2192"/>
      <c r="AU226" s="2192"/>
      <c r="AV226" s="2192"/>
      <c r="AW226" s="2192"/>
      <c r="AX226" s="2192"/>
      <c r="AY226" s="2192"/>
      <c r="AZ226" s="2192"/>
      <c r="BA226" s="2192"/>
      <c r="BB226" s="2192"/>
      <c r="BC226" s="2192"/>
      <c r="BD226" s="2303"/>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4" t="s">
        <v>2288</v>
      </c>
      <c r="I230" s="2304"/>
      <c r="J230" s="2304"/>
      <c r="K230" s="2304"/>
      <c r="L230" s="2304"/>
      <c r="M230" s="2304"/>
      <c r="N230" s="2304"/>
      <c r="O230" s="2304"/>
      <c r="P230" s="2304"/>
      <c r="Q230" s="2304"/>
      <c r="R230" s="2304"/>
      <c r="S230" s="2304"/>
      <c r="T230" s="2304"/>
      <c r="U230" s="2304"/>
      <c r="V230" s="2304"/>
      <c r="W230" s="2304"/>
      <c r="X230" s="2304"/>
      <c r="Y230" s="2304"/>
      <c r="Z230" s="2304"/>
      <c r="AA230" s="2304"/>
      <c r="AB230" s="2304"/>
      <c r="AC230" s="2304"/>
      <c r="AD230" s="2304"/>
      <c r="AE230" s="2304"/>
      <c r="AF230" s="2304"/>
      <c r="AG230" s="2304"/>
      <c r="AH230" s="2304"/>
      <c r="AI230" s="2304"/>
      <c r="AJ230" s="2304"/>
      <c r="AK230" s="2304"/>
      <c r="AL230" s="2304"/>
      <c r="AM230" s="2304"/>
      <c r="AN230" s="2304"/>
      <c r="AO230" s="2304"/>
      <c r="AP230" s="2304"/>
      <c r="AQ230" s="2304"/>
      <c r="AR230" s="2304"/>
      <c r="AS230" s="2304"/>
      <c r="AT230" s="2304"/>
      <c r="AU230" s="2304"/>
      <c r="AV230" s="2304"/>
      <c r="AW230" s="2304"/>
      <c r="AX230" s="2304"/>
      <c r="AY230" s="2304"/>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2" t="s">
        <v>2287</v>
      </c>
      <c r="I232" s="2322"/>
      <c r="J232" s="2322"/>
      <c r="K232" s="2322"/>
      <c r="L232" s="2322"/>
      <c r="M232" s="2322"/>
      <c r="N232" s="2322"/>
      <c r="O232" s="2322"/>
      <c r="P232" s="2322"/>
      <c r="Q232" s="2322"/>
      <c r="R232" s="2322"/>
      <c r="S232" s="2322"/>
      <c r="T232" s="2322"/>
      <c r="U232" s="2322"/>
      <c r="V232" s="2322"/>
      <c r="W232" s="2322"/>
      <c r="X232" s="2322"/>
      <c r="Y232" s="2322"/>
      <c r="Z232" s="2322"/>
      <c r="AA232" s="2322"/>
      <c r="AB232" s="2322"/>
      <c r="AC232" s="2322"/>
      <c r="AD232" s="2322"/>
      <c r="AE232" s="2322"/>
      <c r="AF232" s="2322"/>
      <c r="AG232" s="2322"/>
      <c r="AH232" s="2322"/>
      <c r="AI232" s="2322"/>
      <c r="AJ232" s="2322"/>
      <c r="AK232" s="2322"/>
      <c r="AL232" s="2322"/>
      <c r="AM232" s="2322"/>
      <c r="AN232" s="2322"/>
      <c r="AO232" s="2322"/>
      <c r="AP232" s="2322"/>
      <c r="AQ232" s="2322"/>
      <c r="AR232" s="2322"/>
      <c r="AS232" s="2322"/>
      <c r="AT232" s="2322"/>
      <c r="AU232" s="2322"/>
      <c r="AV232" s="2322"/>
      <c r="AW232" s="2322"/>
      <c r="AX232" s="2322"/>
      <c r="AY232" s="2322"/>
      <c r="AZ232" s="2322"/>
      <c r="BA232" s="1190"/>
      <c r="BB232" s="1190"/>
      <c r="BC232" s="1190"/>
      <c r="BD232" s="1194"/>
      <c r="BE232" s="1194"/>
    </row>
    <row r="233" spans="1:57" ht="15.75" customHeight="1">
      <c r="A233" s="1190"/>
      <c r="B233" s="1189"/>
      <c r="C233" s="1190"/>
      <c r="D233" s="1190"/>
      <c r="E233" s="1190"/>
      <c r="F233" s="1190"/>
      <c r="G233" s="1190"/>
      <c r="H233" s="2322"/>
      <c r="I233" s="2322"/>
      <c r="J233" s="2322"/>
      <c r="K233" s="2322"/>
      <c r="L233" s="2322"/>
      <c r="M233" s="2322"/>
      <c r="N233" s="2322"/>
      <c r="O233" s="2322"/>
      <c r="P233" s="2322"/>
      <c r="Q233" s="2322"/>
      <c r="R233" s="2322"/>
      <c r="S233" s="2322"/>
      <c r="T233" s="2322"/>
      <c r="U233" s="2322"/>
      <c r="V233" s="2322"/>
      <c r="W233" s="2322"/>
      <c r="X233" s="2322"/>
      <c r="Y233" s="2322"/>
      <c r="Z233" s="2322"/>
      <c r="AA233" s="2322"/>
      <c r="AB233" s="2322"/>
      <c r="AC233" s="2322"/>
      <c r="AD233" s="2322"/>
      <c r="AE233" s="2322"/>
      <c r="AF233" s="2322"/>
      <c r="AG233" s="2322"/>
      <c r="AH233" s="2322"/>
      <c r="AI233" s="2322"/>
      <c r="AJ233" s="2322"/>
      <c r="AK233" s="2322"/>
      <c r="AL233" s="2322"/>
      <c r="AM233" s="2322"/>
      <c r="AN233" s="2322"/>
      <c r="AO233" s="2322"/>
      <c r="AP233" s="2322"/>
      <c r="AQ233" s="2322"/>
      <c r="AR233" s="2322"/>
      <c r="AS233" s="2322"/>
      <c r="AT233" s="2322"/>
      <c r="AU233" s="2322"/>
      <c r="AV233" s="2322"/>
      <c r="AW233" s="2322"/>
      <c r="AX233" s="2322"/>
      <c r="AY233" s="2322"/>
      <c r="AZ233" s="2322"/>
      <c r="BA233" s="1190"/>
      <c r="BB233" s="1190"/>
      <c r="BC233" s="1190"/>
      <c r="BD233" s="1194"/>
      <c r="BE233" s="1194"/>
    </row>
    <row r="234" spans="1:57" ht="15.75" customHeight="1">
      <c r="A234" s="1190"/>
      <c r="B234" s="1189"/>
      <c r="C234" s="1190"/>
      <c r="D234" s="1190"/>
      <c r="E234" s="1190"/>
      <c r="F234" s="1190"/>
      <c r="G234" s="1190"/>
      <c r="H234" s="2322"/>
      <c r="I234" s="2322"/>
      <c r="J234" s="2322"/>
      <c r="K234" s="2322"/>
      <c r="L234" s="2322"/>
      <c r="M234" s="2322"/>
      <c r="N234" s="2322"/>
      <c r="O234" s="2322"/>
      <c r="P234" s="2322"/>
      <c r="Q234" s="2322"/>
      <c r="R234" s="2322"/>
      <c r="S234" s="2322"/>
      <c r="T234" s="2322"/>
      <c r="U234" s="2322"/>
      <c r="V234" s="2322"/>
      <c r="W234" s="2322"/>
      <c r="X234" s="2322"/>
      <c r="Y234" s="2322"/>
      <c r="Z234" s="2322"/>
      <c r="AA234" s="2322"/>
      <c r="AB234" s="2322"/>
      <c r="AC234" s="2322"/>
      <c r="AD234" s="2322"/>
      <c r="AE234" s="2322"/>
      <c r="AF234" s="2322"/>
      <c r="AG234" s="2322"/>
      <c r="AH234" s="2322"/>
      <c r="AI234" s="2322"/>
      <c r="AJ234" s="2322"/>
      <c r="AK234" s="2322"/>
      <c r="AL234" s="2322"/>
      <c r="AM234" s="2322"/>
      <c r="AN234" s="2322"/>
      <c r="AO234" s="2322"/>
      <c r="AP234" s="2322"/>
      <c r="AQ234" s="2322"/>
      <c r="AR234" s="2322"/>
      <c r="AS234" s="2322"/>
      <c r="AT234" s="2322"/>
      <c r="AU234" s="2322"/>
      <c r="AV234" s="2322"/>
      <c r="AW234" s="2322"/>
      <c r="AX234" s="2322"/>
      <c r="AY234" s="2322"/>
      <c r="AZ234" s="2322"/>
      <c r="BA234" s="1190"/>
      <c r="BB234" s="1190"/>
      <c r="BC234" s="1190"/>
      <c r="BD234" s="1194"/>
      <c r="BE234" s="1194"/>
    </row>
    <row r="235" spans="1:57" ht="15.75" customHeight="1">
      <c r="A235" s="1190"/>
      <c r="B235" s="1189"/>
      <c r="C235" s="1190"/>
      <c r="D235" s="1190"/>
      <c r="E235" s="1190"/>
      <c r="F235" s="1190"/>
      <c r="G235" s="1190"/>
      <c r="H235" s="2322"/>
      <c r="I235" s="2322"/>
      <c r="J235" s="2322"/>
      <c r="K235" s="2322"/>
      <c r="L235" s="2322"/>
      <c r="M235" s="2322"/>
      <c r="N235" s="2322"/>
      <c r="O235" s="2322"/>
      <c r="P235" s="2322"/>
      <c r="Q235" s="2322"/>
      <c r="R235" s="2322"/>
      <c r="S235" s="2322"/>
      <c r="T235" s="2322"/>
      <c r="U235" s="2322"/>
      <c r="V235" s="2322"/>
      <c r="W235" s="2322"/>
      <c r="X235" s="2322"/>
      <c r="Y235" s="2322"/>
      <c r="Z235" s="2322"/>
      <c r="AA235" s="2322"/>
      <c r="AB235" s="2322"/>
      <c r="AC235" s="2322"/>
      <c r="AD235" s="2322"/>
      <c r="AE235" s="2322"/>
      <c r="AF235" s="2322"/>
      <c r="AG235" s="2322"/>
      <c r="AH235" s="2322"/>
      <c r="AI235" s="2322"/>
      <c r="AJ235" s="2322"/>
      <c r="AK235" s="2322"/>
      <c r="AL235" s="2322"/>
      <c r="AM235" s="2322"/>
      <c r="AN235" s="2322"/>
      <c r="AO235" s="2322"/>
      <c r="AP235" s="2322"/>
      <c r="AQ235" s="2322"/>
      <c r="AR235" s="2322"/>
      <c r="AS235" s="2322"/>
      <c r="AT235" s="2322"/>
      <c r="AU235" s="2322"/>
      <c r="AV235" s="2322"/>
      <c r="AW235" s="2322"/>
      <c r="AX235" s="2322"/>
      <c r="AY235" s="2322"/>
      <c r="AZ235" s="2322"/>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3" t="s">
        <v>2286</v>
      </c>
      <c r="I237" s="2323"/>
      <c r="J237" s="2323"/>
      <c r="K237" s="2323"/>
      <c r="L237" s="2323"/>
      <c r="M237" s="2323"/>
      <c r="N237" s="2323"/>
      <c r="O237" s="2323"/>
      <c r="P237" s="2323"/>
      <c r="Q237" s="2323"/>
      <c r="R237" s="2323"/>
      <c r="S237" s="2323"/>
      <c r="T237" s="2323"/>
      <c r="U237" s="2323"/>
      <c r="V237" s="2323"/>
      <c r="W237" s="2323"/>
      <c r="X237" s="2323"/>
      <c r="Y237" s="2323"/>
      <c r="Z237" s="2323"/>
      <c r="AA237" s="2323"/>
      <c r="AB237" s="2323"/>
      <c r="AC237" s="2323"/>
      <c r="AD237" s="2323"/>
      <c r="AE237" s="2323"/>
      <c r="AF237" s="2323"/>
      <c r="AG237" s="2323"/>
      <c r="AH237" s="2323"/>
      <c r="AI237" s="2323"/>
      <c r="AJ237" s="2323"/>
      <c r="AK237" s="2323"/>
      <c r="AL237" s="2323"/>
      <c r="AM237" s="2323"/>
      <c r="AN237" s="2323"/>
      <c r="AO237" s="2323"/>
      <c r="AP237" s="2323"/>
      <c r="AQ237" s="2323"/>
      <c r="AR237" s="2323"/>
      <c r="AS237" s="2323"/>
      <c r="AT237" s="2323"/>
      <c r="AU237" s="2323"/>
      <c r="AV237" s="2323"/>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3" t="s">
        <v>2285</v>
      </c>
      <c r="I239" s="2313"/>
      <c r="J239" s="2313"/>
      <c r="K239" s="2313"/>
      <c r="L239" s="1239"/>
      <c r="M239" s="1239"/>
      <c r="N239" s="1239"/>
      <c r="O239" s="1239"/>
      <c r="P239" s="1239"/>
      <c r="Q239" s="1239"/>
      <c r="R239" s="1239"/>
      <c r="S239" s="2324"/>
      <c r="T239" s="2325"/>
      <c r="U239" s="2325"/>
      <c r="V239" s="2325"/>
      <c r="W239" s="2325"/>
      <c r="X239" s="2325"/>
      <c r="Y239" s="2325"/>
      <c r="Z239" s="2325"/>
      <c r="AA239" s="2325"/>
      <c r="AB239" s="2325"/>
      <c r="AC239" s="2325"/>
      <c r="AD239" s="2325"/>
      <c r="AE239" s="2325"/>
      <c r="AF239" s="2325"/>
      <c r="AG239" s="2325"/>
      <c r="AH239" s="2325"/>
      <c r="AI239" s="2325"/>
      <c r="AJ239" s="2326"/>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3" t="s">
        <v>2284</v>
      </c>
      <c r="I241" s="2313"/>
      <c r="J241" s="2313"/>
      <c r="K241" s="1241"/>
      <c r="L241" s="1239"/>
      <c r="M241" s="1239"/>
      <c r="N241" s="1239"/>
      <c r="O241" s="1239"/>
      <c r="P241" s="1239"/>
      <c r="Q241" s="1239"/>
      <c r="R241" s="1239"/>
      <c r="S241" s="2314"/>
      <c r="T241" s="2315"/>
      <c r="U241" s="2315"/>
      <c r="V241" s="2315"/>
      <c r="W241" s="2315"/>
      <c r="X241" s="2315"/>
      <c r="Y241" s="2315"/>
      <c r="Z241" s="2315"/>
      <c r="AA241" s="2315"/>
      <c r="AB241" s="2315"/>
      <c r="AC241" s="2315"/>
      <c r="AD241" s="2315"/>
      <c r="AE241" s="2315"/>
      <c r="AF241" s="2315"/>
      <c r="AG241" s="2315"/>
      <c r="AH241" s="2315"/>
      <c r="AI241" s="2315"/>
      <c r="AJ241" s="2316"/>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3" t="s">
        <v>442</v>
      </c>
      <c r="I243" s="2313"/>
      <c r="J243" s="1241"/>
      <c r="K243" s="1241"/>
      <c r="L243" s="1239"/>
      <c r="M243" s="1239"/>
      <c r="N243" s="1239"/>
      <c r="O243" s="1239"/>
      <c r="P243" s="1239"/>
      <c r="Q243" s="1239"/>
      <c r="R243" s="1239"/>
      <c r="S243" s="2314"/>
      <c r="T243" s="2315"/>
      <c r="U243" s="2315"/>
      <c r="V243" s="2315"/>
      <c r="W243" s="2315"/>
      <c r="X243" s="2315"/>
      <c r="Y243" s="2315"/>
      <c r="Z243" s="2315"/>
      <c r="AA243" s="2315"/>
      <c r="AB243" s="2315"/>
      <c r="AC243" s="2315"/>
      <c r="AD243" s="2315"/>
      <c r="AE243" s="2315"/>
      <c r="AF243" s="2315"/>
      <c r="AG243" s="2315"/>
      <c r="AH243" s="2315"/>
      <c r="AI243" s="2315"/>
      <c r="AJ243" s="2316"/>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7" t="s">
        <v>2283</v>
      </c>
      <c r="I245" s="2317"/>
      <c r="J245" s="2317"/>
      <c r="K245" s="2317"/>
      <c r="L245" s="2317"/>
      <c r="M245" s="2317"/>
      <c r="N245" s="2317"/>
      <c r="O245" s="2317"/>
      <c r="P245" s="1239"/>
      <c r="Q245" s="1239"/>
      <c r="R245" s="1239"/>
      <c r="S245" s="2314"/>
      <c r="T245" s="2315"/>
      <c r="U245" s="2315"/>
      <c r="V245" s="2315"/>
      <c r="W245" s="2315"/>
      <c r="X245" s="2315"/>
      <c r="Y245" s="2315"/>
      <c r="Z245" s="2315"/>
      <c r="AA245" s="2315"/>
      <c r="AB245" s="2315"/>
      <c r="AC245" s="2315"/>
      <c r="AD245" s="2315"/>
      <c r="AE245" s="2315"/>
      <c r="AF245" s="2315"/>
      <c r="AG245" s="2315"/>
      <c r="AH245" s="2315"/>
      <c r="AI245" s="2315"/>
      <c r="AJ245" s="2316"/>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8" t="s">
        <v>2282</v>
      </c>
      <c r="I247" s="2318"/>
      <c r="J247" s="1239"/>
      <c r="K247" s="1239"/>
      <c r="L247" s="1239"/>
      <c r="M247" s="1239"/>
      <c r="N247" s="1239"/>
      <c r="O247" s="1239"/>
      <c r="P247" s="1239"/>
      <c r="Q247" s="1239"/>
      <c r="R247" s="1239"/>
      <c r="S247" s="2319"/>
      <c r="T247" s="2320"/>
      <c r="U247" s="2320"/>
      <c r="V247" s="2320"/>
      <c r="W247" s="2320"/>
      <c r="X247" s="2320"/>
      <c r="Y247" s="2320"/>
      <c r="Z247" s="2320"/>
      <c r="AA247" s="2320"/>
      <c r="AB247" s="2320"/>
      <c r="AC247" s="2320"/>
      <c r="AD247" s="2320"/>
      <c r="AE247" s="2320"/>
      <c r="AF247" s="2320"/>
      <c r="AG247" s="2320"/>
      <c r="AH247" s="2320"/>
      <c r="AI247" s="2320"/>
      <c r="AJ247" s="2321"/>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4" workbookViewId="0">
      <selection activeCell="AB73" sqref="AB73"/>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8" t="s">
        <v>1281</v>
      </c>
      <c r="B1" s="2358"/>
      <c r="C1" s="2358"/>
      <c r="D1" s="2358"/>
      <c r="E1" s="2358"/>
      <c r="F1" s="2358"/>
      <c r="G1" s="2358"/>
      <c r="H1" s="2358"/>
      <c r="I1" s="2358"/>
      <c r="J1" s="2358"/>
      <c r="K1" s="2358"/>
      <c r="L1" s="2358"/>
      <c r="M1" s="2358"/>
      <c r="N1" s="2358"/>
      <c r="O1" s="2358"/>
      <c r="P1" s="2358"/>
      <c r="Q1" s="2358"/>
      <c r="R1" s="2358"/>
      <c r="S1" s="2358"/>
      <c r="T1" s="2358"/>
      <c r="U1" s="2358"/>
      <c r="V1" s="2358"/>
      <c r="W1" s="2358"/>
      <c r="X1" s="2358"/>
      <c r="Y1" s="2358"/>
      <c r="Z1" s="2358"/>
      <c r="AA1" s="2358"/>
      <c r="AB1" s="2358"/>
      <c r="AC1" s="2358"/>
      <c r="AD1" s="2358"/>
      <c r="AE1" s="2358"/>
      <c r="AF1" s="2358"/>
      <c r="AG1" s="2358"/>
      <c r="AH1" s="2358"/>
      <c r="AI1" s="2358"/>
      <c r="AJ1" s="2358"/>
      <c r="AK1" s="2358"/>
      <c r="AL1" s="2358"/>
      <c r="AM1" s="2358"/>
      <c r="AN1" s="2358"/>
    </row>
    <row r="2" spans="1:40" ht="12.95" customHeight="1" thickBot="1">
      <c r="A2" s="2359"/>
      <c r="B2" s="2359"/>
      <c r="C2" s="2359"/>
      <c r="D2" s="2359"/>
      <c r="E2" s="2359"/>
      <c r="F2" s="2359"/>
      <c r="G2" s="2359"/>
      <c r="H2" s="2359"/>
      <c r="I2" s="2359"/>
      <c r="J2" s="2359"/>
      <c r="K2" s="2359"/>
      <c r="L2" s="2359"/>
      <c r="M2" s="2359"/>
      <c r="N2" s="2359"/>
      <c r="O2" s="2359"/>
      <c r="P2" s="2359"/>
      <c r="Q2" s="2359"/>
      <c r="R2" s="2359"/>
      <c r="S2" s="2359"/>
      <c r="T2" s="2359"/>
      <c r="U2" s="2359"/>
      <c r="V2" s="2359"/>
      <c r="W2" s="2359"/>
      <c r="X2" s="2359"/>
      <c r="Y2" s="2359"/>
      <c r="Z2" s="2359"/>
      <c r="AA2" s="2359"/>
      <c r="AB2" s="2359"/>
      <c r="AC2" s="2359"/>
      <c r="AD2" s="2359"/>
      <c r="AE2" s="2359"/>
      <c r="AF2" s="2359"/>
      <c r="AG2" s="2359"/>
      <c r="AH2" s="2359"/>
      <c r="AI2" s="2359"/>
      <c r="AJ2" s="2359"/>
      <c r="AK2" s="2359"/>
      <c r="AL2" s="2359"/>
      <c r="AM2" s="2359"/>
      <c r="AN2" s="2359"/>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60" t="str">
        <f xml:space="preserve"> IF(T25=100%,'Sources and Basis Breakdown'!G2,'Sources and Basis Breakdown'!F2)</f>
        <v>30% PVC for New Const/
Rehabilitation
DDA/QCT
Building(s)</v>
      </c>
      <c r="U7" s="2360"/>
      <c r="V7" s="2360"/>
      <c r="W7" s="2360"/>
      <c r="X7" s="2360"/>
      <c r="Y7" s="2360" t="str">
        <f>IF(T25=100%,"",'Sources and Basis Breakdown'!G2)</f>
        <v>30% PVC for New Const/
Rehabilitation
NON-DDA/
NON-QCT Building(s)</v>
      </c>
      <c r="Z7" s="2360"/>
      <c r="AA7" s="2360"/>
      <c r="AB7" s="2360"/>
      <c r="AC7" s="2360"/>
      <c r="AD7" s="2360" t="str">
        <f xml:space="preserve"> IF(T25=100%, 'Sources and Basis Breakdown'!J2,'Sources and Basis Breakdown'!I2)</f>
        <v>30% PVC for Acquisition
DDA/QCT Building(s)</v>
      </c>
      <c r="AE7" s="2360"/>
      <c r="AF7" s="2360"/>
      <c r="AG7" s="2360"/>
      <c r="AH7" s="2360"/>
      <c r="AI7" s="2360" t="str">
        <f>IF(T25=100%,"",'Sources and Basis Breakdown'!J2)</f>
        <v>30% PVC for Acquisition
NON-DDA/
NON-QCT Building(s)</v>
      </c>
      <c r="AJ7" s="2360"/>
      <c r="AK7" s="2360"/>
      <c r="AL7" s="2360"/>
      <c r="AM7" s="2360"/>
    </row>
    <row r="8" spans="1:40" ht="12.95" customHeight="1">
      <c r="B8" s="407"/>
      <c r="T8" s="2360"/>
      <c r="U8" s="2360"/>
      <c r="V8" s="2360"/>
      <c r="W8" s="2360"/>
      <c r="X8" s="2360"/>
      <c r="Y8" s="2360"/>
      <c r="Z8" s="2360"/>
      <c r="AA8" s="2360"/>
      <c r="AB8" s="2360"/>
      <c r="AC8" s="2360"/>
      <c r="AD8" s="2360"/>
      <c r="AE8" s="2360"/>
      <c r="AF8" s="2360"/>
      <c r="AG8" s="2360"/>
      <c r="AH8" s="2360"/>
      <c r="AI8" s="2360"/>
      <c r="AJ8" s="2360"/>
      <c r="AK8" s="2360"/>
      <c r="AL8" s="2360"/>
      <c r="AM8" s="2360"/>
    </row>
    <row r="9" spans="1:40" ht="12.95" customHeight="1">
      <c r="B9" s="407"/>
      <c r="T9" s="2360"/>
      <c r="U9" s="2360"/>
      <c r="V9" s="2360"/>
      <c r="W9" s="2360"/>
      <c r="X9" s="2360"/>
      <c r="Y9" s="2360"/>
      <c r="Z9" s="2360"/>
      <c r="AA9" s="2360"/>
      <c r="AB9" s="2360"/>
      <c r="AC9" s="2360"/>
      <c r="AD9" s="2360"/>
      <c r="AE9" s="2360"/>
      <c r="AF9" s="2360"/>
      <c r="AG9" s="2360"/>
      <c r="AH9" s="2360"/>
      <c r="AI9" s="2360"/>
      <c r="AJ9" s="2360"/>
      <c r="AK9" s="2360"/>
      <c r="AL9" s="2360"/>
      <c r="AM9" s="2360"/>
    </row>
    <row r="10" spans="1:40" ht="12.95" customHeight="1">
      <c r="B10" s="408"/>
      <c r="C10" s="409"/>
      <c r="D10" s="409"/>
      <c r="E10" s="409"/>
      <c r="F10" s="409"/>
      <c r="G10" s="409"/>
      <c r="H10" s="409"/>
      <c r="I10" s="409"/>
      <c r="J10" s="409"/>
      <c r="K10" s="409"/>
      <c r="L10" s="409"/>
      <c r="M10" s="409"/>
      <c r="N10" s="409"/>
      <c r="O10" s="409"/>
      <c r="P10" s="409"/>
      <c r="Q10" s="409"/>
      <c r="R10" s="409"/>
      <c r="S10" s="409"/>
      <c r="T10" s="2360"/>
      <c r="U10" s="2360"/>
      <c r="V10" s="2360"/>
      <c r="W10" s="2360"/>
      <c r="X10" s="2360"/>
      <c r="Y10" s="2360"/>
      <c r="Z10" s="2360"/>
      <c r="AA10" s="2360"/>
      <c r="AB10" s="2360"/>
      <c r="AC10" s="2360"/>
      <c r="AD10" s="2360"/>
      <c r="AE10" s="2360"/>
      <c r="AF10" s="2360"/>
      <c r="AG10" s="2360"/>
      <c r="AH10" s="2360"/>
      <c r="AI10" s="2360"/>
      <c r="AJ10" s="2360"/>
      <c r="AK10" s="2360"/>
      <c r="AL10" s="2360"/>
      <c r="AM10" s="2360"/>
    </row>
    <row r="11" spans="1:40" ht="12.95" customHeight="1">
      <c r="B11" s="2339" t="s">
        <v>375</v>
      </c>
      <c r="C11" s="2340"/>
      <c r="D11" s="2340"/>
      <c r="E11" s="2340"/>
      <c r="F11" s="2340"/>
      <c r="G11" s="2340"/>
      <c r="H11" s="2340"/>
      <c r="I11" s="2340"/>
      <c r="J11" s="2340"/>
      <c r="K11" s="2340"/>
      <c r="L11" s="2340"/>
      <c r="M11" s="2340"/>
      <c r="N11" s="2340"/>
      <c r="O11" s="2340"/>
      <c r="P11" s="2340"/>
      <c r="Q11" s="2340"/>
      <c r="R11" s="2340"/>
      <c r="S11" s="2341"/>
      <c r="T11" s="2361">
        <f>IF('Sources and Basis Breakdown'!F107=0,'Sources and Basis Breakdown'!E107,'Sources and Basis Breakdown'!F107)</f>
        <v>71002344</v>
      </c>
      <c r="U11" s="2362"/>
      <c r="V11" s="2362"/>
      <c r="W11" s="2362"/>
      <c r="X11" s="2362"/>
      <c r="Y11" s="2361">
        <f>IF(Y7="",0,IF('Sources and Basis Breakdown'!G107+'Sources and Basis Breakdown'!F107='Sources and Basis Breakdown'!E107,'Sources and Basis Breakdown'!G107,0))</f>
        <v>0</v>
      </c>
      <c r="Z11" s="2362"/>
      <c r="AA11" s="2362"/>
      <c r="AB11" s="2362"/>
      <c r="AC11" s="2362"/>
      <c r="AD11" s="2362">
        <f>IF('Sources and Basis Breakdown'!I107=0,'Sources and Basis Breakdown'!H107,'Sources and Basis Breakdown'!I107)</f>
        <v>0</v>
      </c>
      <c r="AE11" s="2362"/>
      <c r="AF11" s="2362"/>
      <c r="AG11" s="2362"/>
      <c r="AH11" s="2362"/>
      <c r="AI11" s="2362">
        <f>IF(Y7="",0,IF('Sources and Basis Breakdown'!I107+'Sources and Basis Breakdown'!J107='Sources and Basis Breakdown'!H107,'Sources and Basis Breakdown'!J107,0))</f>
        <v>0</v>
      </c>
      <c r="AJ11" s="2362"/>
      <c r="AK11" s="2362"/>
      <c r="AL11" s="2362"/>
      <c r="AM11" s="2362"/>
    </row>
    <row r="12" spans="1:40" ht="12.95" customHeight="1">
      <c r="B12" s="2354" t="s">
        <v>498</v>
      </c>
      <c r="C12" s="1286"/>
      <c r="D12" s="1286"/>
      <c r="E12" s="1286"/>
      <c r="F12" s="1286"/>
      <c r="G12" s="1286"/>
      <c r="H12" s="1286"/>
      <c r="I12" s="1286"/>
      <c r="J12" s="1286"/>
      <c r="K12" s="1286"/>
      <c r="L12" s="1286"/>
      <c r="M12" s="1286"/>
      <c r="N12" s="1286"/>
      <c r="O12" s="1286"/>
      <c r="P12" s="1286"/>
      <c r="Q12" s="1286"/>
      <c r="R12" s="1286"/>
      <c r="S12" s="2355"/>
      <c r="T12" s="2327"/>
      <c r="U12" s="2328"/>
      <c r="V12" s="2328"/>
      <c r="W12" s="2328"/>
      <c r="X12" s="2329"/>
      <c r="Y12" s="2327"/>
      <c r="Z12" s="2328"/>
      <c r="AA12" s="2328"/>
      <c r="AB12" s="2328"/>
      <c r="AC12" s="2329"/>
      <c r="AD12" s="2327"/>
      <c r="AE12" s="2328"/>
      <c r="AF12" s="2328"/>
      <c r="AG12" s="2328"/>
      <c r="AH12" s="2329"/>
      <c r="AI12" s="2327"/>
      <c r="AJ12" s="2328"/>
      <c r="AK12" s="2328"/>
      <c r="AL12" s="2328"/>
      <c r="AM12" s="2329"/>
    </row>
    <row r="13" spans="1:40" ht="12.95" customHeight="1">
      <c r="B13" s="435"/>
      <c r="C13" s="2356" t="s">
        <v>499</v>
      </c>
      <c r="D13" s="2356"/>
      <c r="E13" s="2356"/>
      <c r="F13" s="2356"/>
      <c r="G13" s="2356"/>
      <c r="H13" s="2356"/>
      <c r="I13" s="2356"/>
      <c r="J13" s="2356"/>
      <c r="K13" s="2356"/>
      <c r="L13" s="2356"/>
      <c r="M13" s="2356"/>
      <c r="N13" s="2356"/>
      <c r="O13" s="2356"/>
      <c r="P13" s="2356"/>
      <c r="Q13" s="2356"/>
      <c r="R13" s="2356"/>
      <c r="S13" s="2357"/>
      <c r="T13" s="2363"/>
      <c r="U13" s="2364"/>
      <c r="V13" s="2364"/>
      <c r="W13" s="2364"/>
      <c r="X13" s="2364"/>
      <c r="Y13" s="2363"/>
      <c r="Z13" s="2364"/>
      <c r="AA13" s="2364"/>
      <c r="AB13" s="2364"/>
      <c r="AC13" s="2364"/>
      <c r="AD13" s="2364"/>
      <c r="AE13" s="2364"/>
      <c r="AF13" s="2364"/>
      <c r="AG13" s="2364"/>
      <c r="AH13" s="2364"/>
      <c r="AI13" s="2364"/>
      <c r="AJ13" s="2364"/>
      <c r="AK13" s="2364"/>
      <c r="AL13" s="2364"/>
      <c r="AM13" s="2364"/>
    </row>
    <row r="14" spans="1:40" ht="12.95" customHeight="1">
      <c r="B14" s="435"/>
      <c r="C14" s="2356" t="s">
        <v>500</v>
      </c>
      <c r="D14" s="2356"/>
      <c r="E14" s="2356"/>
      <c r="F14" s="2356"/>
      <c r="G14" s="2356"/>
      <c r="H14" s="2356"/>
      <c r="I14" s="2356"/>
      <c r="J14" s="2356"/>
      <c r="K14" s="2356"/>
      <c r="L14" s="2356"/>
      <c r="M14" s="2356"/>
      <c r="N14" s="2356"/>
      <c r="O14" s="2356"/>
      <c r="P14" s="2356"/>
      <c r="Q14" s="2356"/>
      <c r="R14" s="2356"/>
      <c r="S14" s="2357"/>
      <c r="T14" s="2330"/>
      <c r="U14" s="2331"/>
      <c r="V14" s="2331"/>
      <c r="W14" s="2331"/>
      <c r="X14" s="2331"/>
      <c r="Y14" s="2330"/>
      <c r="Z14" s="2331"/>
      <c r="AA14" s="2331"/>
      <c r="AB14" s="2331"/>
      <c r="AC14" s="2331"/>
      <c r="AD14" s="2331"/>
      <c r="AE14" s="2331"/>
      <c r="AF14" s="2331"/>
      <c r="AG14" s="2331"/>
      <c r="AH14" s="2331"/>
      <c r="AI14" s="2331"/>
      <c r="AJ14" s="2331"/>
      <c r="AK14" s="2331"/>
      <c r="AL14" s="2331"/>
      <c r="AM14" s="2331"/>
    </row>
    <row r="15" spans="1:40" ht="12.95" customHeight="1">
      <c r="B15" s="435"/>
      <c r="C15" s="2356" t="s">
        <v>501</v>
      </c>
      <c r="D15" s="2356"/>
      <c r="E15" s="2356"/>
      <c r="F15" s="2356"/>
      <c r="G15" s="2356"/>
      <c r="H15" s="2356"/>
      <c r="I15" s="2356"/>
      <c r="J15" s="2356"/>
      <c r="K15" s="2356"/>
      <c r="L15" s="2356"/>
      <c r="M15" s="2356"/>
      <c r="N15" s="2356"/>
      <c r="O15" s="2356"/>
      <c r="P15" s="2356"/>
      <c r="Q15" s="2356"/>
      <c r="R15" s="2356"/>
      <c r="S15" s="2357"/>
      <c r="T15" s="2330"/>
      <c r="U15" s="2331"/>
      <c r="V15" s="2331"/>
      <c r="W15" s="2331"/>
      <c r="X15" s="2331"/>
      <c r="Y15" s="2330"/>
      <c r="Z15" s="2331"/>
      <c r="AA15" s="2331"/>
      <c r="AB15" s="2331"/>
      <c r="AC15" s="2331"/>
      <c r="AD15" s="2331"/>
      <c r="AE15" s="2331"/>
      <c r="AF15" s="2331"/>
      <c r="AG15" s="2331"/>
      <c r="AH15" s="2331"/>
      <c r="AI15" s="2331"/>
      <c r="AJ15" s="2331"/>
      <c r="AK15" s="2331"/>
      <c r="AL15" s="2331"/>
      <c r="AM15" s="2331"/>
    </row>
    <row r="16" spans="1:40" ht="12.95" customHeight="1">
      <c r="B16" s="435"/>
      <c r="C16" s="2356" t="s">
        <v>806</v>
      </c>
      <c r="D16" s="2356"/>
      <c r="E16" s="2356"/>
      <c r="F16" s="2356"/>
      <c r="G16" s="2356"/>
      <c r="H16" s="2356"/>
      <c r="I16" s="2356"/>
      <c r="J16" s="2356"/>
      <c r="K16" s="2356"/>
      <c r="L16" s="2356"/>
      <c r="M16" s="2356"/>
      <c r="N16" s="2356"/>
      <c r="O16" s="2356"/>
      <c r="P16" s="2356"/>
      <c r="Q16" s="2356"/>
      <c r="R16" s="2356"/>
      <c r="S16" s="2357"/>
      <c r="T16" s="2330"/>
      <c r="U16" s="2331"/>
      <c r="V16" s="2331"/>
      <c r="W16" s="2331"/>
      <c r="X16" s="2331"/>
      <c r="Y16" s="2330"/>
      <c r="Z16" s="2331"/>
      <c r="AA16" s="2331"/>
      <c r="AB16" s="2331"/>
      <c r="AC16" s="2331"/>
      <c r="AD16" s="2331"/>
      <c r="AE16" s="2331"/>
      <c r="AF16" s="2331"/>
      <c r="AG16" s="2331"/>
      <c r="AH16" s="2331"/>
      <c r="AI16" s="2331"/>
      <c r="AJ16" s="2331"/>
      <c r="AK16" s="2331"/>
      <c r="AL16" s="2331"/>
      <c r="AM16" s="2331"/>
    </row>
    <row r="17" spans="1:40" ht="12.95" customHeight="1">
      <c r="B17" s="435"/>
      <c r="C17" s="2356" t="s">
        <v>502</v>
      </c>
      <c r="D17" s="2356"/>
      <c r="E17" s="2356"/>
      <c r="F17" s="2356"/>
      <c r="G17" s="2356"/>
      <c r="H17" s="2356"/>
      <c r="I17" s="2356"/>
      <c r="J17" s="2356"/>
      <c r="K17" s="2356"/>
      <c r="L17" s="2356"/>
      <c r="M17" s="2356"/>
      <c r="N17" s="2356"/>
      <c r="O17" s="2356"/>
      <c r="P17" s="2356"/>
      <c r="Q17" s="2356"/>
      <c r="R17" s="2356"/>
      <c r="S17" s="2357"/>
      <c r="T17" s="2330"/>
      <c r="U17" s="2331"/>
      <c r="V17" s="2331"/>
      <c r="W17" s="2331"/>
      <c r="X17" s="2331"/>
      <c r="Y17" s="2330"/>
      <c r="Z17" s="2331"/>
      <c r="AA17" s="2331"/>
      <c r="AB17" s="2331"/>
      <c r="AC17" s="2331"/>
      <c r="AD17" s="2331"/>
      <c r="AE17" s="2331"/>
      <c r="AF17" s="2331"/>
      <c r="AG17" s="2331"/>
      <c r="AH17" s="2331"/>
      <c r="AI17" s="2331"/>
      <c r="AJ17" s="2331"/>
      <c r="AK17" s="2331"/>
      <c r="AL17" s="2331"/>
      <c r="AM17" s="2331"/>
    </row>
    <row r="18" spans="1:40" ht="12.95" customHeight="1">
      <c r="A18"/>
      <c r="B18" s="1150"/>
      <c r="C18" s="1809" t="s">
        <v>961</v>
      </c>
      <c r="D18" s="1809"/>
      <c r="E18" s="1809"/>
      <c r="F18" s="1809"/>
      <c r="G18" s="1809"/>
      <c r="H18" s="1809"/>
      <c r="I18" s="1809"/>
      <c r="J18" s="1809"/>
      <c r="K18" s="1809"/>
      <c r="L18" s="1809"/>
      <c r="M18" s="1809"/>
      <c r="N18" s="1809"/>
      <c r="O18" s="1809"/>
      <c r="P18" s="1809"/>
      <c r="Q18" s="1809"/>
      <c r="R18" s="1809"/>
      <c r="S18" s="1810"/>
      <c r="T18" s="2330"/>
      <c r="U18" s="2331"/>
      <c r="V18" s="2331"/>
      <c r="W18" s="2331"/>
      <c r="X18" s="2331"/>
      <c r="Y18" s="2330"/>
      <c r="Z18" s="2331"/>
      <c r="AA18" s="2331"/>
      <c r="AB18" s="2331"/>
      <c r="AC18" s="2331"/>
      <c r="AD18" s="2331"/>
      <c r="AE18" s="2331"/>
      <c r="AF18" s="2331"/>
      <c r="AG18" s="2331"/>
      <c r="AH18" s="2331"/>
      <c r="AI18" s="2331"/>
      <c r="AJ18" s="2331"/>
      <c r="AK18" s="2331"/>
      <c r="AL18" s="2331"/>
      <c r="AM18" s="2331"/>
    </row>
    <row r="19" spans="1:40" ht="12.95" customHeight="1">
      <c r="B19" s="1150"/>
      <c r="C19" s="1809" t="s">
        <v>961</v>
      </c>
      <c r="D19" s="1809"/>
      <c r="E19" s="1809"/>
      <c r="F19" s="1809"/>
      <c r="G19" s="1809"/>
      <c r="H19" s="1809"/>
      <c r="I19" s="1809"/>
      <c r="J19" s="1809"/>
      <c r="K19" s="1809"/>
      <c r="L19" s="1809"/>
      <c r="M19" s="1809"/>
      <c r="N19" s="1809"/>
      <c r="O19" s="1809"/>
      <c r="P19" s="1809"/>
      <c r="Q19" s="1809"/>
      <c r="R19" s="1809"/>
      <c r="S19" s="1810"/>
      <c r="T19" s="2330"/>
      <c r="U19" s="2331"/>
      <c r="V19" s="2331"/>
      <c r="W19" s="2331"/>
      <c r="X19" s="2331"/>
      <c r="Y19" s="2330"/>
      <c r="Z19" s="2331"/>
      <c r="AA19" s="2331"/>
      <c r="AB19" s="2331"/>
      <c r="AC19" s="2331"/>
      <c r="AD19" s="2331"/>
      <c r="AE19" s="2331"/>
      <c r="AF19" s="2331"/>
      <c r="AG19" s="2331"/>
      <c r="AH19" s="2331"/>
      <c r="AI19" s="2331"/>
      <c r="AJ19" s="2331"/>
      <c r="AK19" s="2331"/>
      <c r="AL19" s="2331"/>
      <c r="AM19" s="2331"/>
    </row>
    <row r="20" spans="1:40" ht="12.95" customHeight="1">
      <c r="B20" s="2339" t="s">
        <v>503</v>
      </c>
      <c r="C20" s="2340"/>
      <c r="D20" s="2340"/>
      <c r="E20" s="2340"/>
      <c r="F20" s="2340"/>
      <c r="G20" s="2340"/>
      <c r="H20" s="2340"/>
      <c r="I20" s="2340"/>
      <c r="J20" s="2340"/>
      <c r="K20" s="2340"/>
      <c r="L20" s="2340"/>
      <c r="M20" s="2340"/>
      <c r="N20" s="2340"/>
      <c r="O20" s="2340"/>
      <c r="P20" s="2340"/>
      <c r="Q20" s="2340"/>
      <c r="R20" s="2340"/>
      <c r="S20" s="2341"/>
      <c r="T20" s="2332">
        <f>SUM(T13:X19)</f>
        <v>0</v>
      </c>
      <c r="U20" s="2333"/>
      <c r="V20" s="2333"/>
      <c r="W20" s="2333"/>
      <c r="X20" s="2333"/>
      <c r="Y20" s="2332">
        <f>SUM(Y13:AC19)</f>
        <v>0</v>
      </c>
      <c r="Z20" s="2333"/>
      <c r="AA20" s="2333"/>
      <c r="AB20" s="2333"/>
      <c r="AC20" s="2333"/>
      <c r="AD20" s="2334">
        <f>SUM(AD13:AH19)</f>
        <v>0</v>
      </c>
      <c r="AE20" s="2335"/>
      <c r="AF20" s="2335"/>
      <c r="AG20" s="2335"/>
      <c r="AH20" s="2332"/>
      <c r="AI20" s="2334">
        <f>SUM(AI13:AM19)</f>
        <v>0</v>
      </c>
      <c r="AJ20" s="2335"/>
      <c r="AK20" s="2335"/>
      <c r="AL20" s="2335"/>
      <c r="AM20" s="2332"/>
    </row>
    <row r="21" spans="1:40" ht="12.95" customHeight="1">
      <c r="B21" s="2339" t="s">
        <v>1264</v>
      </c>
      <c r="C21" s="2340"/>
      <c r="D21" s="2340"/>
      <c r="E21" s="2340"/>
      <c r="F21" s="2340"/>
      <c r="G21" s="2340"/>
      <c r="H21" s="2340"/>
      <c r="I21" s="2340"/>
      <c r="J21" s="2340"/>
      <c r="K21" s="2340"/>
      <c r="L21" s="2340"/>
      <c r="M21" s="2340"/>
      <c r="N21" s="2340"/>
      <c r="O21" s="2340"/>
      <c r="P21" s="2340"/>
      <c r="Q21" s="2340"/>
      <c r="R21" s="2340"/>
      <c r="S21" s="2341"/>
      <c r="T21" s="2330"/>
      <c r="U21" s="2331"/>
      <c r="V21" s="2331"/>
      <c r="W21" s="2331"/>
      <c r="X21" s="2331"/>
      <c r="Y21" s="2330"/>
      <c r="Z21" s="2331"/>
      <c r="AA21" s="2331"/>
      <c r="AB21" s="2331"/>
      <c r="AC21" s="2331"/>
      <c r="AD21" s="2327"/>
      <c r="AE21" s="2328"/>
      <c r="AF21" s="2328"/>
      <c r="AG21" s="2328"/>
      <c r="AH21" s="2329"/>
      <c r="AI21" s="2327"/>
      <c r="AJ21" s="2328"/>
      <c r="AK21" s="2328"/>
      <c r="AL21" s="2328"/>
      <c r="AM21" s="2329"/>
    </row>
    <row r="22" spans="1:40" ht="12.95" customHeight="1">
      <c r="B22" s="2339" t="s">
        <v>504</v>
      </c>
      <c r="C22" s="2340"/>
      <c r="D22" s="2340"/>
      <c r="E22" s="2340"/>
      <c r="F22" s="2340"/>
      <c r="G22" s="2340"/>
      <c r="H22" s="2340"/>
      <c r="I22" s="2340"/>
      <c r="J22" s="2340"/>
      <c r="K22" s="2340"/>
      <c r="L22" s="2340"/>
      <c r="M22" s="2340"/>
      <c r="N22" s="2340"/>
      <c r="O22" s="2340"/>
      <c r="P22" s="2340"/>
      <c r="Q22" s="2340"/>
      <c r="R22" s="2340"/>
      <c r="S22" s="2341"/>
      <c r="T22" s="2365">
        <f>(ABS(T20)+ABS(T21))*-1</f>
        <v>0</v>
      </c>
      <c r="U22" s="2366"/>
      <c r="V22" s="2366"/>
      <c r="W22" s="2366"/>
      <c r="X22" s="2366"/>
      <c r="Y22" s="2365">
        <f>(Y20+Y21)*-1</f>
        <v>0</v>
      </c>
      <c r="Z22" s="2366"/>
      <c r="AA22" s="2366"/>
      <c r="AB22" s="2366"/>
      <c r="AC22" s="2366"/>
      <c r="AD22" s="2367">
        <f>(AD20)*-1</f>
        <v>0</v>
      </c>
      <c r="AE22" s="2368"/>
      <c r="AF22" s="2368"/>
      <c r="AG22" s="2368"/>
      <c r="AH22" s="2365"/>
      <c r="AI22" s="2367">
        <f>(AI20)*-1</f>
        <v>0</v>
      </c>
      <c r="AJ22" s="2368"/>
      <c r="AK22" s="2368"/>
      <c r="AL22" s="2368"/>
      <c r="AM22" s="2365"/>
    </row>
    <row r="23" spans="1:40" ht="12.95" customHeight="1">
      <c r="B23" s="2339" t="s">
        <v>505</v>
      </c>
      <c r="C23" s="2340"/>
      <c r="D23" s="2340"/>
      <c r="E23" s="2340"/>
      <c r="F23" s="2340"/>
      <c r="G23" s="2340"/>
      <c r="H23" s="2340"/>
      <c r="I23" s="2340"/>
      <c r="J23" s="2340"/>
      <c r="K23" s="2340"/>
      <c r="L23" s="2340"/>
      <c r="M23" s="2340"/>
      <c r="N23" s="2340"/>
      <c r="O23" s="2340"/>
      <c r="P23" s="2340"/>
      <c r="Q23" s="2340"/>
      <c r="R23" s="2340"/>
      <c r="S23" s="2341"/>
      <c r="T23" s="2332">
        <f>T11+T22</f>
        <v>71002344</v>
      </c>
      <c r="U23" s="2333"/>
      <c r="V23" s="2333"/>
      <c r="W23" s="2333"/>
      <c r="X23" s="2333"/>
      <c r="Y23" s="2332">
        <f>Y11+Y22</f>
        <v>0</v>
      </c>
      <c r="Z23" s="2333"/>
      <c r="AA23" s="2333"/>
      <c r="AB23" s="2333"/>
      <c r="AC23" s="2333"/>
      <c r="AD23" s="2332">
        <f>AD11+AD22</f>
        <v>0</v>
      </c>
      <c r="AE23" s="2333"/>
      <c r="AF23" s="2333"/>
      <c r="AG23" s="2333"/>
      <c r="AH23" s="2333"/>
      <c r="AI23" s="2332">
        <f>AI11+AI22</f>
        <v>0</v>
      </c>
      <c r="AJ23" s="2333"/>
      <c r="AK23" s="2333"/>
      <c r="AL23" s="2333"/>
      <c r="AM23" s="2333"/>
    </row>
    <row r="24" spans="1:40" ht="12.95" customHeight="1">
      <c r="B24" s="2339" t="s">
        <v>962</v>
      </c>
      <c r="C24" s="2340"/>
      <c r="D24" s="2340"/>
      <c r="E24" s="2340"/>
      <c r="F24" s="2340"/>
      <c r="G24" s="2340"/>
      <c r="H24" s="2340"/>
      <c r="I24" s="2340"/>
      <c r="J24" s="2340"/>
      <c r="K24" s="2340"/>
      <c r="L24" s="2340"/>
      <c r="M24" s="2340"/>
      <c r="N24" s="2340"/>
      <c r="O24" s="2340"/>
      <c r="P24" s="2340"/>
      <c r="Q24" s="2340"/>
      <c r="R24" s="2340"/>
      <c r="S24" s="2341"/>
      <c r="T24" s="2334">
        <f>Application!AJ1053</f>
        <v>126988884</v>
      </c>
      <c r="U24" s="2335"/>
      <c r="V24" s="2335"/>
      <c r="W24" s="2335"/>
      <c r="X24" s="2335"/>
      <c r="Y24" s="2335"/>
      <c r="Z24" s="2335"/>
      <c r="AA24" s="2335"/>
      <c r="AB24" s="2335"/>
      <c r="AC24" s="2335"/>
      <c r="AD24" s="2335"/>
      <c r="AE24" s="2335"/>
      <c r="AF24" s="2335"/>
      <c r="AG24" s="2335"/>
      <c r="AH24" s="2335"/>
      <c r="AI24" s="2335"/>
      <c r="AJ24" s="2335"/>
      <c r="AK24" s="2335"/>
      <c r="AL24" s="2335"/>
      <c r="AM24" s="2332"/>
    </row>
    <row r="25" spans="1:40" ht="12.95" customHeight="1">
      <c r="B25" s="2343" t="s">
        <v>1265</v>
      </c>
      <c r="C25" s="2344"/>
      <c r="D25" s="2344"/>
      <c r="E25" s="2344"/>
      <c r="F25" s="2344"/>
      <c r="G25" s="2344"/>
      <c r="H25" s="2344"/>
      <c r="I25" s="2344"/>
      <c r="J25" s="2344"/>
      <c r="K25" s="2344"/>
      <c r="L25" s="2344"/>
      <c r="M25" s="2344"/>
      <c r="N25" s="2344"/>
      <c r="O25" s="2344"/>
      <c r="P25" s="2344"/>
      <c r="Q25" s="2344"/>
      <c r="R25" s="2344"/>
      <c r="S25" s="2345"/>
      <c r="T25" s="2369">
        <f>IF(OR(Application!T196="yes",Application!T195="yes"),1.3,1)</f>
        <v>1.3</v>
      </c>
      <c r="U25" s="2370"/>
      <c r="V25" s="2370"/>
      <c r="W25" s="2370"/>
      <c r="X25" s="2370"/>
      <c r="Y25" s="2369">
        <v>1</v>
      </c>
      <c r="Z25" s="2370"/>
      <c r="AA25" s="2370"/>
      <c r="AB25" s="2370"/>
      <c r="AC25" s="2370"/>
      <c r="AD25" s="2369">
        <v>1</v>
      </c>
      <c r="AE25" s="2370"/>
      <c r="AF25" s="2370"/>
      <c r="AG25" s="2370"/>
      <c r="AH25" s="2371"/>
      <c r="AI25" s="2369">
        <v>1</v>
      </c>
      <c r="AJ25" s="2370"/>
      <c r="AK25" s="2370"/>
      <c r="AL25" s="2370"/>
      <c r="AM25" s="2371"/>
    </row>
    <row r="26" spans="1:40" ht="12.95" customHeight="1">
      <c r="B26" s="2339" t="s">
        <v>506</v>
      </c>
      <c r="C26" s="2340"/>
      <c r="D26" s="2340"/>
      <c r="E26" s="2340"/>
      <c r="F26" s="2340"/>
      <c r="G26" s="2340"/>
      <c r="H26" s="2340"/>
      <c r="I26" s="2340"/>
      <c r="J26" s="2340"/>
      <c r="K26" s="2340"/>
      <c r="L26" s="2340"/>
      <c r="M26" s="2340"/>
      <c r="N26" s="2340"/>
      <c r="O26" s="2340"/>
      <c r="P26" s="2340"/>
      <c r="Q26" s="2340"/>
      <c r="R26" s="2340"/>
      <c r="S26" s="2341"/>
      <c r="T26" s="2332">
        <f>T23*T25</f>
        <v>92303047.200000003</v>
      </c>
      <c r="U26" s="2333"/>
      <c r="V26" s="2333"/>
      <c r="W26" s="2333"/>
      <c r="X26" s="2333"/>
      <c r="Y26" s="2332">
        <f>Y23*Y25</f>
        <v>0</v>
      </c>
      <c r="Z26" s="2333"/>
      <c r="AA26" s="2333"/>
      <c r="AB26" s="2333"/>
      <c r="AC26" s="2333"/>
      <c r="AD26" s="2332">
        <f>AD23*AD25</f>
        <v>0</v>
      </c>
      <c r="AE26" s="2333"/>
      <c r="AF26" s="2333"/>
      <c r="AG26" s="2333"/>
      <c r="AH26" s="2333"/>
      <c r="AI26" s="2332">
        <f>AI23*AI25</f>
        <v>0</v>
      </c>
      <c r="AJ26" s="2333"/>
      <c r="AK26" s="2333"/>
      <c r="AL26" s="2333"/>
      <c r="AM26" s="2333"/>
    </row>
    <row r="27" spans="1:40" ht="12.95" customHeight="1">
      <c r="A27" s="410"/>
      <c r="B27" s="2346" t="s">
        <v>426</v>
      </c>
      <c r="C27" s="2347"/>
      <c r="D27" s="2347"/>
      <c r="E27" s="2347"/>
      <c r="F27" s="2347"/>
      <c r="G27" s="2347"/>
      <c r="H27" s="2347"/>
      <c r="I27" s="2347"/>
      <c r="J27" s="2347"/>
      <c r="K27" s="2347"/>
      <c r="L27" s="2347"/>
      <c r="M27" s="2347"/>
      <c r="N27" s="2347"/>
      <c r="O27" s="2347"/>
      <c r="P27" s="2347"/>
      <c r="Q27" s="2347"/>
      <c r="R27" s="2347"/>
      <c r="S27" s="2348"/>
      <c r="T27" s="2352">
        <f>Application!$AG$445</f>
        <v>1</v>
      </c>
      <c r="U27" s="2353"/>
      <c r="V27" s="2353"/>
      <c r="W27" s="2353"/>
      <c r="X27" s="2353"/>
      <c r="Y27" s="2352">
        <f>Application!$AG$445</f>
        <v>1</v>
      </c>
      <c r="Z27" s="2353"/>
      <c r="AA27" s="2353"/>
      <c r="AB27" s="2353"/>
      <c r="AC27" s="2353"/>
      <c r="AD27" s="2352">
        <f>Application!$AG$445</f>
        <v>1</v>
      </c>
      <c r="AE27" s="2353"/>
      <c r="AF27" s="2353"/>
      <c r="AG27" s="2353"/>
      <c r="AH27" s="2353"/>
      <c r="AI27" s="2352">
        <f>Application!$AG$445</f>
        <v>1</v>
      </c>
      <c r="AJ27" s="2353"/>
      <c r="AK27" s="2353"/>
      <c r="AL27" s="2353"/>
      <c r="AM27" s="2353"/>
    </row>
    <row r="28" spans="1:40" ht="12.95" customHeight="1">
      <c r="A28" s="404"/>
      <c r="B28" s="2339" t="s">
        <v>507</v>
      </c>
      <c r="C28" s="2340"/>
      <c r="D28" s="2340"/>
      <c r="E28" s="2340"/>
      <c r="F28" s="2340"/>
      <c r="G28" s="2340"/>
      <c r="H28" s="2340"/>
      <c r="I28" s="2340"/>
      <c r="J28" s="2340"/>
      <c r="K28" s="2340"/>
      <c r="L28" s="2340"/>
      <c r="M28" s="2340"/>
      <c r="N28" s="2340"/>
      <c r="O28" s="2340"/>
      <c r="P28" s="2340"/>
      <c r="Q28" s="2340"/>
      <c r="R28" s="2340"/>
      <c r="S28" s="2341"/>
      <c r="T28" s="2332">
        <f>IF(ISERROR((T26*T27)),0,(T26*T27))</f>
        <v>92303047.200000003</v>
      </c>
      <c r="U28" s="2333"/>
      <c r="V28" s="2333"/>
      <c r="W28" s="2333"/>
      <c r="X28" s="2333"/>
      <c r="Y28" s="2332">
        <f>IF(ISERROR((Y26*Y27)),0,(Y26*Y27))</f>
        <v>0</v>
      </c>
      <c r="Z28" s="2333"/>
      <c r="AA28" s="2333"/>
      <c r="AB28" s="2333"/>
      <c r="AC28" s="2333"/>
      <c r="AD28" s="2332">
        <f>IF(ISERROR((AD26*AD27)),0,(AD26*AD27))</f>
        <v>0</v>
      </c>
      <c r="AE28" s="2333"/>
      <c r="AF28" s="2333"/>
      <c r="AG28" s="2333"/>
      <c r="AH28" s="2333"/>
      <c r="AI28" s="2332">
        <f>IF(ISERROR((AI26*AI27)),0,(AI26*AI27))</f>
        <v>0</v>
      </c>
      <c r="AJ28" s="2333"/>
      <c r="AK28" s="2333"/>
      <c r="AL28" s="2333"/>
      <c r="AM28" s="2333"/>
    </row>
    <row r="29" spans="1:40" ht="12.95" customHeight="1">
      <c r="B29" s="2339" t="s">
        <v>524</v>
      </c>
      <c r="C29" s="2340"/>
      <c r="D29" s="2340"/>
      <c r="E29" s="2340"/>
      <c r="F29" s="2340"/>
      <c r="G29" s="2340"/>
      <c r="H29" s="2340"/>
      <c r="I29" s="2340"/>
      <c r="J29" s="2340"/>
      <c r="K29" s="2340"/>
      <c r="L29" s="2340"/>
      <c r="M29" s="2340"/>
      <c r="N29" s="2340"/>
      <c r="O29" s="2340"/>
      <c r="P29" s="2340"/>
      <c r="Q29" s="2340"/>
      <c r="R29" s="2340"/>
      <c r="S29" s="2341"/>
      <c r="T29" s="2334">
        <f>T28+Y28+AD28+AI28</f>
        <v>92303047.200000003</v>
      </c>
      <c r="U29" s="2335"/>
      <c r="V29" s="2335"/>
      <c r="W29" s="2335"/>
      <c r="X29" s="2335"/>
      <c r="Y29" s="2335"/>
      <c r="Z29" s="2335"/>
      <c r="AA29" s="2335"/>
      <c r="AB29" s="2335"/>
      <c r="AC29" s="2335"/>
      <c r="AD29" s="2335"/>
      <c r="AE29" s="2335"/>
      <c r="AF29" s="2335"/>
      <c r="AG29" s="2335"/>
      <c r="AH29" s="2335"/>
      <c r="AI29" s="2335"/>
      <c r="AJ29" s="2335"/>
      <c r="AK29" s="2335"/>
      <c r="AL29" s="2335"/>
      <c r="AM29" s="2332"/>
    </row>
    <row r="30" spans="1:40" ht="12.95" customHeight="1">
      <c r="B30" s="2342" t="s">
        <v>1267</v>
      </c>
      <c r="C30" s="2342"/>
      <c r="D30" s="2342"/>
      <c r="E30" s="2342"/>
      <c r="F30" s="2342"/>
      <c r="G30" s="2342"/>
      <c r="H30" s="2342"/>
      <c r="I30" s="2342"/>
      <c r="J30" s="2342"/>
      <c r="K30" s="2342"/>
      <c r="L30" s="2342"/>
      <c r="M30" s="2342"/>
      <c r="N30" s="2342"/>
      <c r="O30" s="2342"/>
      <c r="P30" s="2342"/>
      <c r="Q30" s="2342"/>
      <c r="R30" s="2342"/>
      <c r="S30" s="2342"/>
      <c r="T30" s="2342"/>
      <c r="U30" s="2342"/>
      <c r="V30" s="2342"/>
      <c r="W30" s="2342"/>
      <c r="X30" s="2342"/>
      <c r="Y30" s="2342"/>
      <c r="Z30" s="2342"/>
      <c r="AA30" s="2342"/>
      <c r="AB30" s="2342"/>
      <c r="AC30" s="2342"/>
      <c r="AD30" s="2342"/>
      <c r="AE30" s="2342"/>
      <c r="AF30" s="2342"/>
      <c r="AG30" s="2342"/>
      <c r="AH30" s="2342"/>
      <c r="AI30" s="2342"/>
      <c r="AJ30" s="2342"/>
      <c r="AK30" s="2342"/>
      <c r="AL30" s="2342"/>
      <c r="AM30" s="2342"/>
    </row>
    <row r="31" spans="1:40" ht="12.95" customHeight="1">
      <c r="B31" s="2342" t="s">
        <v>1266</v>
      </c>
      <c r="C31" s="2342"/>
      <c r="D31" s="2342"/>
      <c r="E31" s="2342"/>
      <c r="F31" s="2342"/>
      <c r="G31" s="2342"/>
      <c r="H31" s="2342"/>
      <c r="I31" s="2342"/>
      <c r="J31" s="2342"/>
      <c r="K31" s="2342"/>
      <c r="L31" s="2342"/>
      <c r="M31" s="2342"/>
      <c r="N31" s="2342"/>
      <c r="O31" s="2342"/>
      <c r="P31" s="2342"/>
      <c r="Q31" s="2342"/>
      <c r="R31" s="2342"/>
      <c r="S31" s="2342"/>
      <c r="T31" s="2342"/>
      <c r="U31" s="2342"/>
      <c r="V31" s="2342"/>
      <c r="W31" s="2342"/>
      <c r="X31" s="2342"/>
      <c r="Y31" s="2342"/>
      <c r="Z31" s="2342"/>
      <c r="AA31" s="2342"/>
      <c r="AB31" s="2342"/>
      <c r="AC31" s="2342"/>
      <c r="AD31" s="2342"/>
      <c r="AE31" s="2342"/>
      <c r="AF31" s="2342"/>
      <c r="AG31" s="2342"/>
      <c r="AH31" s="2342"/>
      <c r="AI31" s="2342"/>
      <c r="AJ31" s="2342"/>
      <c r="AK31" s="2342"/>
      <c r="AL31" s="2342"/>
      <c r="AM31" s="2342"/>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0" t="s">
        <v>1155</v>
      </c>
      <c r="Z35" s="2360"/>
      <c r="AA35" s="2360"/>
      <c r="AB35" s="2360"/>
      <c r="AC35" s="2360"/>
      <c r="AD35" s="2380" t="s">
        <v>369</v>
      </c>
      <c r="AE35" s="2380"/>
      <c r="AF35" s="2380"/>
      <c r="AG35" s="2380"/>
      <c r="AH35" s="2380"/>
    </row>
    <row r="36" spans="1:76" ht="12.95" customHeight="1">
      <c r="B36" s="407"/>
      <c r="X36" s="412"/>
      <c r="Y36" s="2360"/>
      <c r="Z36" s="2360"/>
      <c r="AA36" s="2360"/>
      <c r="AB36" s="2360"/>
      <c r="AC36" s="2360"/>
      <c r="AD36" s="2380"/>
      <c r="AE36" s="2380"/>
      <c r="AF36" s="2380"/>
      <c r="AG36" s="2380"/>
      <c r="AH36" s="2380"/>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0"/>
      <c r="Z37" s="2360"/>
      <c r="AA37" s="2360"/>
      <c r="AB37" s="2360"/>
      <c r="AC37" s="2360"/>
      <c r="AD37" s="2380"/>
      <c r="AE37" s="2380"/>
      <c r="AF37" s="2380"/>
      <c r="AG37" s="2380"/>
      <c r="AH37" s="2380"/>
    </row>
    <row r="38" spans="1:76" ht="12.95" customHeight="1">
      <c r="A38" s="404"/>
      <c r="B38" s="2339" t="s">
        <v>507</v>
      </c>
      <c r="C38" s="2340"/>
      <c r="D38" s="2340"/>
      <c r="E38" s="2340"/>
      <c r="F38" s="2340"/>
      <c r="G38" s="2340"/>
      <c r="H38" s="2340"/>
      <c r="I38" s="2340"/>
      <c r="J38" s="2340"/>
      <c r="K38" s="2340"/>
      <c r="L38" s="2340"/>
      <c r="M38" s="2340"/>
      <c r="N38" s="2340"/>
      <c r="O38" s="2340"/>
      <c r="P38" s="2340"/>
      <c r="Q38" s="2340"/>
      <c r="R38" s="2340"/>
      <c r="S38" s="2340"/>
      <c r="T38" s="2340"/>
      <c r="U38" s="2340"/>
      <c r="V38" s="2340"/>
      <c r="W38" s="2340"/>
      <c r="X38" s="2341"/>
      <c r="Y38" s="2333">
        <f>IF(T24&gt;=(T23+Y23+AD23+AI23),T28+Y28,0)</f>
        <v>92303047.200000003</v>
      </c>
      <c r="Z38" s="2333"/>
      <c r="AA38" s="2333"/>
      <c r="AB38" s="2333"/>
      <c r="AC38" s="2333"/>
      <c r="AD38" s="2333">
        <f>IF(T24&gt;=(T23+Y23+AD23+AI23),AD28+AI28,0)</f>
        <v>0</v>
      </c>
      <c r="AE38" s="2333"/>
      <c r="AF38" s="2333"/>
      <c r="AG38" s="2333"/>
      <c r="AH38" s="2333"/>
    </row>
    <row r="39" spans="1:76" ht="12.95" customHeight="1">
      <c r="B39" s="2339" t="s">
        <v>1692</v>
      </c>
      <c r="C39" s="2340"/>
      <c r="D39" s="2340"/>
      <c r="E39" s="2340"/>
      <c r="F39" s="2340"/>
      <c r="G39" s="2340"/>
      <c r="H39" s="2340"/>
      <c r="I39" s="2340"/>
      <c r="J39" s="2340"/>
      <c r="K39" s="2340"/>
      <c r="L39" s="2340"/>
      <c r="M39" s="2340"/>
      <c r="N39" s="2340"/>
      <c r="O39" s="2340"/>
      <c r="P39" s="2340"/>
      <c r="Q39" s="2340"/>
      <c r="R39" s="2340"/>
      <c r="S39" s="2340"/>
      <c r="T39" s="2340"/>
      <c r="U39" s="2340"/>
      <c r="V39" s="2340"/>
      <c r="W39" s="2340"/>
      <c r="X39" s="2341"/>
      <c r="Y39" s="2381">
        <v>0.04</v>
      </c>
      <c r="Z39" s="2381"/>
      <c r="AA39" s="2381"/>
      <c r="AB39" s="2381"/>
      <c r="AC39" s="2381"/>
      <c r="AD39" s="2381">
        <v>0.04</v>
      </c>
      <c r="AE39" s="2381"/>
      <c r="AF39" s="2381"/>
      <c r="AG39" s="2381"/>
      <c r="AH39" s="2381"/>
    </row>
    <row r="40" spans="1:76" ht="12.95" customHeight="1">
      <c r="A40" s="404"/>
      <c r="B40" s="2339" t="s">
        <v>643</v>
      </c>
      <c r="C40" s="2340"/>
      <c r="D40" s="2340"/>
      <c r="E40" s="2340"/>
      <c r="F40" s="2340"/>
      <c r="G40" s="2340"/>
      <c r="H40" s="2340"/>
      <c r="I40" s="2340"/>
      <c r="J40" s="2340"/>
      <c r="K40" s="2340"/>
      <c r="L40" s="2340"/>
      <c r="M40" s="2340"/>
      <c r="N40" s="2340"/>
      <c r="O40" s="2340"/>
      <c r="P40" s="2340"/>
      <c r="Q40" s="2340"/>
      <c r="R40" s="2340"/>
      <c r="S40" s="2340"/>
      <c r="T40" s="2340"/>
      <c r="U40" s="2340"/>
      <c r="V40" s="2340"/>
      <c r="W40" s="2340"/>
      <c r="X40" s="2341"/>
      <c r="Y40" s="2333">
        <f>ROUND(Y38*Y39,0)</f>
        <v>3692122</v>
      </c>
      <c r="Z40" s="2333"/>
      <c r="AA40" s="2333"/>
      <c r="AB40" s="2333"/>
      <c r="AC40" s="2333"/>
      <c r="AD40" s="2332">
        <f>ROUND(AD38*AD39,0)</f>
        <v>0</v>
      </c>
      <c r="AE40" s="2333"/>
      <c r="AF40" s="2333"/>
      <c r="AG40" s="2333"/>
      <c r="AH40" s="2333"/>
    </row>
    <row r="41" spans="1:76" ht="12.95" customHeight="1">
      <c r="B41" s="2339" t="s">
        <v>644</v>
      </c>
      <c r="C41" s="2340"/>
      <c r="D41" s="2340"/>
      <c r="E41" s="2340"/>
      <c r="F41" s="2340"/>
      <c r="G41" s="2340"/>
      <c r="H41" s="2340"/>
      <c r="I41" s="2340"/>
      <c r="J41" s="2340"/>
      <c r="K41" s="2340"/>
      <c r="L41" s="2340"/>
      <c r="M41" s="2340"/>
      <c r="N41" s="2340"/>
      <c r="O41" s="2340"/>
      <c r="P41" s="2340"/>
      <c r="Q41" s="2340"/>
      <c r="R41" s="2340"/>
      <c r="S41" s="2340"/>
      <c r="T41" s="2340"/>
      <c r="U41" s="2340"/>
      <c r="V41" s="2340"/>
      <c r="W41" s="2340"/>
      <c r="X41" s="2341"/>
      <c r="Y41" s="2334">
        <f>Y40+AD40</f>
        <v>3692122</v>
      </c>
      <c r="Z41" s="2335"/>
      <c r="AA41" s="2335"/>
      <c r="AB41" s="2335"/>
      <c r="AC41" s="2335"/>
      <c r="AD41" s="2335"/>
      <c r="AE41" s="2335"/>
      <c r="AF41" s="2335"/>
      <c r="AG41" s="2335"/>
      <c r="AH41" s="2332"/>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7" t="s">
        <v>1277</v>
      </c>
      <c r="B44" s="2337"/>
      <c r="C44" s="2337"/>
      <c r="D44" s="2337"/>
      <c r="E44" s="2337"/>
      <c r="F44" s="2337"/>
      <c r="G44" s="2337"/>
      <c r="H44" s="2337"/>
      <c r="I44" s="2337"/>
      <c r="J44" s="2337"/>
      <c r="K44" s="2337"/>
      <c r="L44" s="2337"/>
      <c r="M44" s="2337"/>
      <c r="N44" s="2337"/>
      <c r="O44" s="2337"/>
      <c r="P44" s="2337"/>
      <c r="Q44" s="2337"/>
      <c r="R44" s="2337"/>
      <c r="S44" s="2337"/>
      <c r="T44" s="2337"/>
      <c r="U44" s="2337"/>
      <c r="V44" s="2337"/>
      <c r="W44" s="2337"/>
      <c r="X44" s="2337"/>
      <c r="Y44" s="2337"/>
      <c r="Z44" s="2337"/>
      <c r="AA44" s="2337"/>
      <c r="AB44" s="2337"/>
      <c r="AC44" s="2337"/>
      <c r="AD44" s="2337"/>
      <c r="AE44" s="2337"/>
      <c r="AF44" s="2337"/>
      <c r="AG44" s="2337"/>
      <c r="AH44" s="2337"/>
      <c r="AI44" s="2337"/>
      <c r="AJ44" s="2337"/>
      <c r="AK44" s="2337"/>
      <c r="AL44" s="2337"/>
      <c r="AM44" s="2337"/>
      <c r="AN44" s="2337"/>
      <c r="AO44" s="2337"/>
      <c r="AP44" s="2337"/>
      <c r="AQ44" s="2337"/>
      <c r="AR44" s="2337"/>
      <c r="AS44" s="2337"/>
      <c r="AT44" s="2337"/>
      <c r="AU44" s="2337"/>
      <c r="AV44" s="2337"/>
      <c r="AW44" s="2337"/>
      <c r="AX44" s="2337"/>
      <c r="AY44" s="2337"/>
      <c r="AZ44" s="2337"/>
      <c r="BA44" s="2337"/>
      <c r="BB44" s="2337"/>
      <c r="BC44" s="2337"/>
      <c r="BD44" s="2337"/>
      <c r="BE44" s="2337"/>
      <c r="BF44" s="2337"/>
      <c r="BG44" s="2337"/>
      <c r="BH44" s="2337"/>
      <c r="BI44" s="2337"/>
      <c r="BJ44" s="2337"/>
      <c r="BK44" s="2337"/>
      <c r="BL44" s="2337"/>
      <c r="BM44" s="2337"/>
      <c r="BN44" s="2337"/>
      <c r="BO44" s="2337"/>
      <c r="BP44" s="2337"/>
      <c r="BQ44" s="2337"/>
      <c r="BR44" s="2337"/>
      <c r="BS44" s="2337"/>
      <c r="BT44" s="2337"/>
      <c r="BU44" s="2337"/>
      <c r="BV44" s="2337"/>
      <c r="BW44" s="2337"/>
      <c r="BX44" s="2337"/>
    </row>
    <row r="45" spans="1:76" s="204" customFormat="1" ht="12.95" customHeight="1" thickTop="1"/>
    <row r="46" spans="1:76" ht="12.95" customHeight="1">
      <c r="A46" s="404" t="s">
        <v>587</v>
      </c>
      <c r="C46" s="404" t="s">
        <v>282</v>
      </c>
    </row>
    <row r="47" spans="1:76" ht="12.95" customHeight="1">
      <c r="D47" s="404" t="s">
        <v>283</v>
      </c>
      <c r="AB47" s="2349">
        <f>'Sources and Uses Budget'!B105-MAX(IF('Sources and Uses Budget'!B15="",0,'Sources and Uses Budget'!B15),IF(Application!AG394="",0,Application!AG394))</f>
        <v>82956517</v>
      </c>
      <c r="AC47" s="2350"/>
      <c r="AD47" s="2350"/>
      <c r="AE47" s="2350"/>
      <c r="AF47" s="2351"/>
    </row>
    <row r="48" spans="1:76" ht="12.95" customHeight="1">
      <c r="D48" s="404" t="s">
        <v>21</v>
      </c>
      <c r="AB48" s="2349">
        <f>Application!AO639-MAX(IF('Sources and Uses Budget'!B15="",0,'Sources and Uses Budget'!B15),IF(Application!AG394="",0,Application!AG394))</f>
        <v>40997631</v>
      </c>
      <c r="AC48" s="2350"/>
      <c r="AD48" s="2350"/>
      <c r="AE48" s="2350"/>
      <c r="AF48" s="2351"/>
    </row>
    <row r="49" spans="1:76" ht="12.95" customHeight="1">
      <c r="D49" s="404" t="s">
        <v>91</v>
      </c>
      <c r="AB49" s="2349">
        <f>AB47-AB48</f>
        <v>41958886</v>
      </c>
      <c r="AC49" s="2350"/>
      <c r="AD49" s="2350"/>
      <c r="AE49" s="2350"/>
      <c r="AF49" s="2351"/>
    </row>
    <row r="50" spans="1:76" ht="12.95" customHeight="1">
      <c r="D50" s="404" t="s">
        <v>682</v>
      </c>
      <c r="AA50" s="415"/>
      <c r="AB50" s="2376">
        <v>0.83</v>
      </c>
      <c r="AC50" s="2377"/>
      <c r="AD50" s="2377"/>
      <c r="AE50" s="2377"/>
      <c r="AF50" s="2378"/>
    </row>
    <row r="51" spans="1:76" s="417" customFormat="1" ht="12.95" customHeight="1">
      <c r="A51" s="402"/>
      <c r="B51" s="402"/>
      <c r="C51" s="402"/>
      <c r="D51" s="402"/>
      <c r="E51" s="2379" t="s">
        <v>2612</v>
      </c>
      <c r="F51" s="2379"/>
      <c r="G51" s="2379"/>
      <c r="H51" s="2379"/>
      <c r="I51" s="2379"/>
      <c r="J51" s="2379"/>
      <c r="K51" s="2379"/>
      <c r="L51" s="2379"/>
      <c r="M51" s="2379"/>
      <c r="N51" s="2379"/>
      <c r="O51" s="2379"/>
      <c r="P51" s="2379"/>
      <c r="Q51" s="2379"/>
      <c r="R51" s="2379"/>
      <c r="S51" s="2379"/>
      <c r="T51" s="2379"/>
      <c r="U51" s="2379"/>
      <c r="V51" s="2379"/>
      <c r="W51" s="2379"/>
      <c r="X51" s="2379"/>
      <c r="Y51" s="2379"/>
      <c r="Z51" s="2379"/>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9"/>
      <c r="F52" s="2379"/>
      <c r="G52" s="2379"/>
      <c r="H52" s="2379"/>
      <c r="I52" s="2379"/>
      <c r="J52" s="2379"/>
      <c r="K52" s="2379"/>
      <c r="L52" s="2379"/>
      <c r="M52" s="2379"/>
      <c r="N52" s="2379"/>
      <c r="O52" s="2379"/>
      <c r="P52" s="2379"/>
      <c r="Q52" s="2379"/>
      <c r="R52" s="2379"/>
      <c r="S52" s="2379"/>
      <c r="T52" s="2379"/>
      <c r="U52" s="2379"/>
      <c r="V52" s="2379"/>
      <c r="W52" s="2379"/>
      <c r="X52" s="2379"/>
      <c r="Y52" s="2379"/>
      <c r="Z52" s="2379"/>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9">
        <f>ROUND(IF(ISERROR((AB49/AB50)),0,(AB49/AB50)),0)</f>
        <v>50552875</v>
      </c>
      <c r="AC54" s="2350"/>
      <c r="AD54" s="2350"/>
      <c r="AE54" s="2350"/>
      <c r="AF54" s="2351"/>
    </row>
    <row r="55" spans="1:76" ht="12.95" customHeight="1">
      <c r="D55" s="404" t="s">
        <v>333</v>
      </c>
      <c r="AB55" s="2349">
        <f>(AB54/10)</f>
        <v>5055287.5</v>
      </c>
      <c r="AC55" s="2350"/>
      <c r="AD55" s="2350"/>
      <c r="AE55" s="2350"/>
      <c r="AF55" s="2351"/>
    </row>
    <row r="56" spans="1:76" ht="12.95" customHeight="1">
      <c r="D56" s="404" t="s">
        <v>757</v>
      </c>
      <c r="AB56" s="2349">
        <f>ROUND((IF((Y41&lt;AB55),Y41,AB55)),0)</f>
        <v>3692122</v>
      </c>
      <c r="AC56" s="2350"/>
      <c r="AD56" s="2350"/>
      <c r="AE56" s="2350"/>
      <c r="AF56" s="2351"/>
    </row>
    <row r="57" spans="1:76" ht="12.95" customHeight="1">
      <c r="D57" s="404" t="s">
        <v>756</v>
      </c>
      <c r="AB57" s="2349">
        <f>ROUND((10*AB56*AB50),0)</f>
        <v>30644613</v>
      </c>
      <c r="AC57" s="2350"/>
      <c r="AD57" s="2350"/>
      <c r="AE57" s="2350"/>
      <c r="AF57" s="2351"/>
    </row>
    <row r="58" spans="1:76" ht="12.95" customHeight="1">
      <c r="D58" s="404"/>
      <c r="AB58" s="423"/>
      <c r="AC58" s="423"/>
      <c r="AD58" s="423"/>
      <c r="AE58" s="423"/>
      <c r="AF58" s="423"/>
    </row>
    <row r="59" spans="1:76" ht="12.95" customHeight="1">
      <c r="D59" s="404" t="s">
        <v>755</v>
      </c>
      <c r="AB59" s="2372">
        <f>AB49-AB57</f>
        <v>11314273</v>
      </c>
      <c r="AC59" s="2372"/>
      <c r="AD59" s="2372"/>
      <c r="AE59" s="2372"/>
      <c r="AF59" s="2372"/>
    </row>
    <row r="60" spans="1:76" ht="12.95" customHeight="1">
      <c r="D60" s="404"/>
      <c r="AB60" s="423"/>
      <c r="AC60" s="423"/>
      <c r="AD60" s="423"/>
      <c r="AE60" s="423"/>
      <c r="AF60" s="423"/>
    </row>
    <row r="61" spans="1:76" s="204" customFormat="1" ht="12.95" customHeight="1" thickBot="1">
      <c r="A61" s="2337" t="str">
        <f>IF(Application!AP205="yes","Farmworker State Credit", "State Credit" )</f>
        <v>State Credit</v>
      </c>
      <c r="B61" s="2337"/>
      <c r="C61" s="2337"/>
      <c r="D61" s="2337"/>
      <c r="E61" s="2337"/>
      <c r="F61" s="2337"/>
      <c r="G61" s="2337"/>
      <c r="H61" s="2337"/>
      <c r="I61" s="2337"/>
      <c r="J61" s="2337"/>
      <c r="K61" s="2337"/>
      <c r="L61" s="2337"/>
      <c r="M61" s="2337"/>
      <c r="N61" s="2337"/>
      <c r="O61" s="2337"/>
      <c r="P61" s="2337"/>
      <c r="Q61" s="2337"/>
      <c r="R61" s="2337"/>
      <c r="S61" s="2337"/>
      <c r="T61" s="2337"/>
      <c r="U61" s="2337"/>
      <c r="V61" s="2337"/>
      <c r="W61" s="2337"/>
      <c r="X61" s="2337"/>
      <c r="Y61" s="2337"/>
      <c r="Z61" s="2337"/>
      <c r="AA61" s="2337"/>
      <c r="AB61" s="2337"/>
      <c r="AC61" s="2337"/>
      <c r="AD61" s="2337"/>
      <c r="AE61" s="2337"/>
      <c r="AF61" s="2337"/>
      <c r="AG61" s="2337"/>
      <c r="AH61" s="2337"/>
      <c r="AI61" s="2337"/>
      <c r="AJ61" s="2337"/>
      <c r="AK61" s="2337"/>
      <c r="AL61" s="2337"/>
      <c r="AM61" s="2337"/>
      <c r="AN61" s="2337"/>
      <c r="AO61" s="2337"/>
      <c r="AP61" s="2337"/>
      <c r="AQ61" s="2337"/>
      <c r="AR61" s="2337"/>
      <c r="AS61" s="2337"/>
      <c r="AT61" s="2337"/>
      <c r="AU61" s="2337"/>
      <c r="AV61" s="2337"/>
      <c r="AW61" s="2337"/>
      <c r="AX61" s="2337"/>
      <c r="AY61" s="2337"/>
      <c r="AZ61" s="2337"/>
      <c r="BA61" s="2337"/>
      <c r="BB61" s="2337"/>
      <c r="BC61" s="2337"/>
      <c r="BD61" s="2337"/>
      <c r="BE61" s="2337"/>
      <c r="BF61" s="2337"/>
      <c r="BG61" s="2337"/>
      <c r="BH61" s="2337"/>
      <c r="BI61" s="2337"/>
      <c r="BJ61" s="2337"/>
      <c r="BK61" s="2337"/>
      <c r="BL61" s="2337"/>
      <c r="BM61" s="2337"/>
      <c r="BN61" s="2337"/>
      <c r="BO61" s="2337"/>
      <c r="BP61" s="2337"/>
      <c r="BQ61" s="2337"/>
      <c r="BR61" s="2337"/>
      <c r="BS61" s="2337"/>
      <c r="BT61" s="2337"/>
      <c r="BU61" s="2337"/>
      <c r="BV61" s="2337"/>
      <c r="BW61" s="2337"/>
      <c r="BX61" s="2337"/>
    </row>
    <row r="62" spans="1:76" s="204" customFormat="1" ht="12.95" customHeight="1" thickTop="1"/>
    <row r="63" spans="1:76" ht="12.95" customHeight="1">
      <c r="A63" s="404" t="s">
        <v>590</v>
      </c>
      <c r="C63" s="205" t="s">
        <v>1249</v>
      </c>
      <c r="Y63" s="2373" t="s">
        <v>985</v>
      </c>
      <c r="Z63" s="2373"/>
      <c r="AA63" s="2373"/>
      <c r="AB63" s="2373"/>
      <c r="AC63" s="2373"/>
      <c r="AD63" s="2373" t="s">
        <v>369</v>
      </c>
      <c r="AE63" s="2373"/>
      <c r="AF63" s="2373"/>
      <c r="AG63" s="2373"/>
      <c r="AH63" s="2373"/>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34">
        <f>IF(Application!$Z$205="(select)",0,((T23*T27)+Y28))</f>
        <v>71002344</v>
      </c>
      <c r="Z64" s="2374"/>
      <c r="AA64" s="2374"/>
      <c r="AB64" s="2374"/>
      <c r="AC64" s="2375"/>
      <c r="AD64" s="2334">
        <f>IF(AND(OR(Application!D211="At-Risk",Application!D211="At-Risk and Special Needs"),Application!M358="yes"),AD28+AI28,0)</f>
        <v>0</v>
      </c>
      <c r="AE64" s="2374"/>
      <c r="AF64" s="2374"/>
      <c r="AG64" s="2374"/>
      <c r="AH64" s="2375"/>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7">
        <f>IF(OR(Application!Z205="State Farmworker Credit",Application!Z205="$500M (Farmworker Housing)"),0.75,IF(Application!Z205="15% set-aside",0.13,IF(Application!Z205="15% set-aside with qualifying low value rehab",0.95,IF(Application!Z205="$500M",0.3,0))))</f>
        <v>0.3</v>
      </c>
      <c r="Z67" s="2387"/>
      <c r="AA67" s="2387"/>
      <c r="AB67" s="2387"/>
      <c r="AC67" s="2387"/>
      <c r="AD67" s="2387">
        <f>IF(Application!Z205="15% set-aside with qualifying low value rehab", 0.95,IF(OR(Application!D211="At-Risk",'Points System'!B13="Yes"),0.13,0))</f>
        <v>0</v>
      </c>
      <c r="AE67" s="2387"/>
      <c r="AF67" s="2387"/>
      <c r="AG67" s="2387"/>
      <c r="AH67" s="2387"/>
    </row>
    <row r="68" spans="1:36" ht="12.95" customHeight="1">
      <c r="C68" s="404"/>
      <c r="D68" s="205" t="s">
        <v>2225</v>
      </c>
      <c r="Y68" s="2333">
        <f>ROUND(Y64*Y67,0)</f>
        <v>21300703</v>
      </c>
      <c r="Z68" s="2388"/>
      <c r="AA68" s="2388"/>
      <c r="AB68" s="2388"/>
      <c r="AC68" s="2388"/>
      <c r="AD68" s="2333">
        <f>ROUND(AD64*AD67,0)</f>
        <v>0</v>
      </c>
      <c r="AE68" s="2388"/>
      <c r="AF68" s="2388"/>
      <c r="AG68" s="2388"/>
      <c r="AH68" s="2388"/>
    </row>
    <row r="69" spans="1:36" ht="12.95" customHeight="1">
      <c r="C69" s="404"/>
      <c r="D69" s="205" t="s">
        <v>2226</v>
      </c>
      <c r="Y69" s="2333">
        <f>IF(OR(Application!Z205="State Farmworker Credit",Application!Z205="$500M (Farmworker Housing)"),Y68+AD68,MIN(Y68+AD68,200000*(Application!G753+Application!O777)))</f>
        <v>15800000</v>
      </c>
      <c r="Z69" s="2333"/>
      <c r="AA69" s="2333"/>
      <c r="AB69" s="2333"/>
      <c r="AC69" s="2333"/>
      <c r="AD69" s="2333"/>
      <c r="AE69" s="2333"/>
      <c r="AF69" s="2333"/>
      <c r="AG69" s="2333"/>
      <c r="AH69" s="2333"/>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76">
        <v>0.83</v>
      </c>
      <c r="AC72" s="2377"/>
      <c r="AD72" s="2377"/>
      <c r="AE72" s="2377"/>
      <c r="AF72" s="2378"/>
    </row>
    <row r="73" spans="1:36" ht="12.95" customHeight="1">
      <c r="A73" s="404"/>
      <c r="C73" s="404"/>
      <c r="D73" s="404"/>
      <c r="E73" s="2389" t="s">
        <v>1252</v>
      </c>
      <c r="F73" s="2389"/>
      <c r="G73" s="2389"/>
      <c r="H73" s="2389"/>
      <c r="I73" s="2389"/>
      <c r="J73" s="2389"/>
      <c r="K73" s="2389"/>
      <c r="L73" s="2389"/>
      <c r="M73" s="2389"/>
      <c r="N73" s="2389"/>
      <c r="O73" s="2389"/>
      <c r="P73" s="2389"/>
      <c r="Q73" s="2389"/>
      <c r="R73" s="2389"/>
      <c r="S73" s="2389"/>
      <c r="T73" s="2389"/>
      <c r="U73" s="2389"/>
      <c r="V73" s="2389"/>
      <c r="W73" s="2389"/>
      <c r="X73" s="2389"/>
      <c r="Y73" s="2389"/>
      <c r="Z73" s="2389"/>
      <c r="AA73" s="2389"/>
      <c r="AB73" s="438"/>
      <c r="AC73" s="438"/>
    </row>
    <row r="74" spans="1:36" ht="12.95" customHeight="1">
      <c r="A74" s="404"/>
      <c r="C74" s="404"/>
      <c r="D74" s="404"/>
      <c r="E74" s="2389"/>
      <c r="F74" s="2389"/>
      <c r="G74" s="2389"/>
      <c r="H74" s="2389"/>
      <c r="I74" s="2389"/>
      <c r="J74" s="2389"/>
      <c r="K74" s="2389"/>
      <c r="L74" s="2389"/>
      <c r="M74" s="2389"/>
      <c r="N74" s="2389"/>
      <c r="O74" s="2389"/>
      <c r="P74" s="2389"/>
      <c r="Q74" s="2389"/>
      <c r="R74" s="2389"/>
      <c r="S74" s="2389"/>
      <c r="T74" s="2389"/>
      <c r="U74" s="2389"/>
      <c r="V74" s="2389"/>
      <c r="W74" s="2389"/>
      <c r="X74" s="2389"/>
      <c r="Y74" s="2389"/>
      <c r="Z74" s="2389"/>
      <c r="AA74" s="2389"/>
      <c r="AB74" s="438"/>
      <c r="AC74" s="438"/>
    </row>
    <row r="75" spans="1:36" ht="12.95" customHeight="1">
      <c r="A75" s="404"/>
      <c r="C75" s="404"/>
      <c r="D75" s="404"/>
      <c r="E75" s="2389"/>
      <c r="F75" s="2389"/>
      <c r="G75" s="2389"/>
      <c r="H75" s="2389"/>
      <c r="I75" s="2389"/>
      <c r="J75" s="2389"/>
      <c r="K75" s="2389"/>
      <c r="L75" s="2389"/>
      <c r="M75" s="2389"/>
      <c r="N75" s="2389"/>
      <c r="O75" s="2389"/>
      <c r="P75" s="2389"/>
      <c r="Q75" s="2389"/>
      <c r="R75" s="2389"/>
      <c r="S75" s="2389"/>
      <c r="T75" s="2389"/>
      <c r="U75" s="2389"/>
      <c r="V75" s="2389"/>
      <c r="W75" s="2389"/>
      <c r="X75" s="2389"/>
      <c r="Y75" s="2389"/>
      <c r="Z75" s="2389"/>
      <c r="AA75" s="2389"/>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82">
        <f>ROUND(IF(ISERROR((AB59/AB72)),0,(AB59/AB72)),0)</f>
        <v>13631654</v>
      </c>
      <c r="AC77" s="2382"/>
      <c r="AD77" s="2382"/>
      <c r="AE77" s="2382"/>
      <c r="AF77" s="2382"/>
    </row>
    <row r="78" spans="1:36" ht="12.95" customHeight="1">
      <c r="C78" s="404"/>
      <c r="D78" s="205" t="s">
        <v>1254</v>
      </c>
      <c r="AB78" s="2383">
        <f>ROUNDUP(MIN(Y69,AB77),0)</f>
        <v>13631654</v>
      </c>
      <c r="AC78" s="2384"/>
      <c r="AD78" s="2384"/>
      <c r="AE78" s="2384"/>
      <c r="AF78" s="2385"/>
    </row>
    <row r="79" spans="1:36" ht="12.95" customHeight="1">
      <c r="C79" s="404"/>
      <c r="D79" s="205" t="s">
        <v>1255</v>
      </c>
      <c r="AB79" s="2386">
        <f>AB78*AB72</f>
        <v>11314272.82</v>
      </c>
      <c r="AC79" s="2386"/>
      <c r="AD79" s="2386"/>
      <c r="AE79" s="2386"/>
      <c r="AF79" s="2386"/>
    </row>
    <row r="80" spans="1:36" ht="12.95" customHeight="1">
      <c r="C80" s="404"/>
      <c r="D80" s="404"/>
      <c r="AB80" s="425"/>
      <c r="AC80" s="425"/>
      <c r="AD80" s="425"/>
      <c r="AE80" s="425"/>
      <c r="AF80" s="425"/>
    </row>
    <row r="81" spans="1:78" ht="12.95" customHeight="1">
      <c r="D81" s="404" t="s">
        <v>755</v>
      </c>
      <c r="AB81" s="2372">
        <f>AB49-(AB57+AB79)</f>
        <v>0.17999999970197678</v>
      </c>
      <c r="AC81" s="2372"/>
      <c r="AD81" s="2372"/>
      <c r="AE81" s="2372"/>
      <c r="AF81" s="2372"/>
    </row>
    <row r="82" spans="1:78" ht="12.95" customHeight="1">
      <c r="F82" s="522"/>
      <c r="J82" s="522" t="str">
        <f>IF(AB81&gt;0,"FUNDING GAP MUST NOT EXCEED ZERO","")</f>
        <v>FUNDING GAP MUST NOT EXCEED ZERO</v>
      </c>
    </row>
    <row r="83" spans="1:78" ht="12.95" customHeight="1">
      <c r="D83" s="523"/>
    </row>
    <row r="84" spans="1:78" ht="12.95" customHeight="1" thickBot="1">
      <c r="A84" s="2337"/>
      <c r="B84" s="2337"/>
      <c r="C84" s="2337"/>
      <c r="D84" s="2337"/>
      <c r="E84" s="2337"/>
      <c r="F84" s="2337"/>
      <c r="G84" s="2337"/>
      <c r="H84" s="2337"/>
      <c r="I84" s="2337"/>
      <c r="J84" s="2337"/>
      <c r="K84" s="2337"/>
      <c r="L84" s="2337"/>
      <c r="M84" s="2337"/>
      <c r="N84" s="2337"/>
      <c r="O84" s="2337"/>
      <c r="P84" s="2337"/>
      <c r="Q84" s="2337"/>
      <c r="R84" s="2337"/>
      <c r="S84" s="2337"/>
      <c r="T84" s="2337"/>
      <c r="U84" s="2337"/>
      <c r="V84" s="2337"/>
      <c r="W84" s="2337"/>
      <c r="X84" s="2337"/>
      <c r="Y84" s="2337"/>
      <c r="Z84" s="2337"/>
      <c r="AA84" s="2337"/>
      <c r="AB84" s="2337"/>
      <c r="AC84" s="2337"/>
      <c r="AD84" s="2337"/>
      <c r="AE84" s="2337"/>
      <c r="AF84" s="2337"/>
      <c r="AG84" s="2337"/>
      <c r="AH84" s="2337"/>
      <c r="AI84" s="2337"/>
      <c r="AJ84" s="2337"/>
      <c r="AK84" s="2337"/>
      <c r="AL84" s="2337"/>
      <c r="AM84" s="2337"/>
      <c r="AN84" s="2337"/>
      <c r="AO84" s="2337"/>
      <c r="AP84" s="2337"/>
      <c r="AQ84" s="2337"/>
      <c r="AR84" s="2337"/>
      <c r="AS84" s="2337"/>
      <c r="AT84" s="2337"/>
      <c r="AU84" s="2337"/>
      <c r="AV84" s="2337"/>
      <c r="AW84" s="2337"/>
      <c r="AX84" s="2337"/>
      <c r="AY84" s="2337"/>
      <c r="AZ84" s="2337"/>
      <c r="BA84" s="2337"/>
      <c r="BB84" s="2337"/>
      <c r="BC84" s="2337"/>
      <c r="BD84" s="2337"/>
      <c r="BE84" s="2337"/>
      <c r="BF84" s="2337"/>
      <c r="BG84" s="2337"/>
      <c r="BH84" s="2337"/>
      <c r="BI84" s="2337"/>
      <c r="BJ84" s="2337"/>
      <c r="BK84" s="2337"/>
      <c r="BL84" s="2337"/>
      <c r="BM84" s="2337"/>
      <c r="BN84" s="2337"/>
      <c r="BO84" s="2337"/>
      <c r="BP84" s="2337"/>
      <c r="BQ84" s="2337"/>
      <c r="BR84" s="2337"/>
      <c r="BS84" s="2337"/>
      <c r="BT84" s="2337"/>
      <c r="BU84" s="2337"/>
      <c r="BV84" s="2337"/>
      <c r="BW84" s="2337"/>
      <c r="BX84" s="2337"/>
    </row>
    <row r="85" spans="1:78" ht="12.95" customHeight="1" thickTop="1"/>
    <row r="86" spans="1:78" ht="12.95" customHeight="1">
      <c r="A86" s="404"/>
      <c r="C86" s="205"/>
    </row>
    <row r="87" spans="1:78" ht="12.95" customHeight="1">
      <c r="D87" s="205"/>
      <c r="AB87" s="2338"/>
      <c r="AC87" s="2338"/>
      <c r="AD87" s="2338"/>
      <c r="AE87" s="2338"/>
      <c r="AF87" s="2338"/>
    </row>
    <row r="88" spans="1:78" ht="12.95" customHeight="1" thickBot="1">
      <c r="D88" s="205"/>
      <c r="AB88" s="2336"/>
      <c r="AC88" s="2336"/>
      <c r="AD88" s="2336"/>
      <c r="AE88" s="2336"/>
      <c r="AF88" s="2336"/>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80" workbookViewId="0">
      <selection activeCell="E127" sqref="E127:W12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620" t="s">
        <v>1301</v>
      </c>
      <c r="B1" s="2620"/>
      <c r="C1" s="2620"/>
      <c r="D1" s="2620"/>
      <c r="E1" s="2620"/>
      <c r="F1" s="2620"/>
      <c r="G1" s="2620"/>
      <c r="H1" s="2620"/>
      <c r="I1" s="2620"/>
      <c r="J1" s="2620"/>
      <c r="K1" s="2620"/>
      <c r="L1" s="2620"/>
      <c r="M1" s="2620"/>
      <c r="N1" s="2620"/>
      <c r="O1" s="2620"/>
      <c r="P1" s="2620"/>
      <c r="Q1" s="2620"/>
      <c r="R1" s="2620"/>
      <c r="S1" s="2620"/>
      <c r="T1" s="2620"/>
      <c r="U1" s="2620"/>
      <c r="V1" s="2620"/>
      <c r="W1" s="2620"/>
      <c r="X1" s="2620"/>
      <c r="Y1" s="2620"/>
      <c r="Z1" s="2620"/>
      <c r="AA1" s="2620"/>
      <c r="AB1" s="2620"/>
      <c r="AC1" s="2620"/>
      <c r="AD1" s="2620"/>
      <c r="AE1" s="2620"/>
      <c r="AF1" s="2620"/>
      <c r="AG1" s="2620"/>
      <c r="AH1" s="2620"/>
      <c r="AI1" s="2620"/>
      <c r="AJ1" s="2620"/>
      <c r="AK1" s="2620"/>
      <c r="AL1" s="2620"/>
      <c r="AM1" s="2620"/>
    </row>
    <row r="2" spans="1:42" s="536" customFormat="1" ht="12.75" customHeight="1" thickBot="1">
      <c r="A2" s="2621"/>
      <c r="B2" s="2621"/>
      <c r="C2" s="2621"/>
      <c r="D2" s="2621"/>
      <c r="E2" s="2621"/>
      <c r="F2" s="2621"/>
      <c r="G2" s="2621"/>
      <c r="H2" s="2621"/>
      <c r="I2" s="2621"/>
      <c r="J2" s="2621"/>
      <c r="K2" s="2621"/>
      <c r="L2" s="2621"/>
      <c r="M2" s="2621"/>
      <c r="N2" s="2621"/>
      <c r="O2" s="2621"/>
      <c r="P2" s="2621"/>
      <c r="Q2" s="2621"/>
      <c r="R2" s="2621"/>
      <c r="S2" s="2621"/>
      <c r="T2" s="2621"/>
      <c r="U2" s="2621"/>
      <c r="V2" s="2621"/>
      <c r="W2" s="2621"/>
      <c r="X2" s="2621"/>
      <c r="Y2" s="2621"/>
      <c r="Z2" s="2621"/>
      <c r="AA2" s="2621"/>
      <c r="AB2" s="2621"/>
      <c r="AC2" s="2621"/>
      <c r="AD2" s="2621"/>
      <c r="AE2" s="2621"/>
      <c r="AF2" s="2621"/>
      <c r="AG2" s="2621"/>
      <c r="AH2" s="2621"/>
      <c r="AI2" s="2621"/>
      <c r="AJ2" s="2621"/>
      <c r="AK2" s="2621"/>
      <c r="AL2" s="2621"/>
      <c r="AM2" s="2621"/>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1" t="s">
        <v>1306</v>
      </c>
      <c r="AF7" s="2461"/>
      <c r="AG7" s="2461"/>
      <c r="AH7" s="2461"/>
      <c r="AI7" s="2461"/>
      <c r="AJ7" s="2461"/>
      <c r="AK7" s="2461"/>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4" t="s">
        <v>592</v>
      </c>
      <c r="C13" s="2614"/>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2"/>
      <c r="AH13" s="2622"/>
      <c r="AI13" s="2622"/>
      <c r="AJ13" s="2623"/>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4" t="s">
        <v>592</v>
      </c>
      <c r="C16" s="2614"/>
      <c r="D16" s="547"/>
      <c r="E16" s="2606" t="s">
        <v>1308</v>
      </c>
      <c r="F16" s="2607"/>
      <c r="G16" s="2607"/>
      <c r="H16" s="2607"/>
      <c r="I16" s="2607"/>
      <c r="J16" s="2607"/>
      <c r="K16" s="2607"/>
      <c r="L16" s="2607"/>
      <c r="M16" s="2607"/>
      <c r="N16" s="2607"/>
      <c r="O16" s="2607"/>
      <c r="P16" s="2607"/>
      <c r="Q16" s="2607"/>
      <c r="R16" s="2607"/>
      <c r="S16" s="2607"/>
      <c r="T16" s="2607"/>
      <c r="U16" s="2607"/>
      <c r="V16" s="2607"/>
      <c r="W16" s="2607"/>
      <c r="X16" s="2607"/>
      <c r="Y16" s="2607"/>
      <c r="Z16" s="2607"/>
      <c r="AA16" s="2607"/>
      <c r="AB16" s="2607"/>
      <c r="AC16" s="2607"/>
      <c r="AD16" s="2607"/>
      <c r="AE16" s="2607"/>
      <c r="AF16" s="2607"/>
      <c r="AG16" s="2607"/>
      <c r="AH16" s="2607"/>
      <c r="AI16" s="2607"/>
      <c r="AJ16" s="2608"/>
      <c r="AK16" s="540"/>
      <c r="AL16" s="540"/>
      <c r="AM16" s="540"/>
      <c r="AN16" s="535"/>
      <c r="AO16" s="550">
        <f>IF($B25="yes",20,0)</f>
        <v>0</v>
      </c>
      <c r="AP16" s="14"/>
    </row>
    <row r="17" spans="1:42" s="536" customFormat="1" ht="12.75" customHeight="1">
      <c r="A17" s="540"/>
      <c r="B17" s="540"/>
      <c r="C17" s="540"/>
      <c r="D17" s="551"/>
      <c r="E17" s="2609"/>
      <c r="F17" s="2610"/>
      <c r="G17" s="2610"/>
      <c r="H17" s="2610"/>
      <c r="I17" s="2610"/>
      <c r="J17" s="2610"/>
      <c r="K17" s="2610"/>
      <c r="L17" s="2610"/>
      <c r="M17" s="2610"/>
      <c r="N17" s="2610"/>
      <c r="O17" s="2610"/>
      <c r="P17" s="2610"/>
      <c r="Q17" s="2610"/>
      <c r="R17" s="2610"/>
      <c r="S17" s="2610"/>
      <c r="T17" s="2610"/>
      <c r="U17" s="2610"/>
      <c r="V17" s="2610"/>
      <c r="W17" s="2610"/>
      <c r="X17" s="2610"/>
      <c r="Y17" s="2610"/>
      <c r="Z17" s="2610"/>
      <c r="AA17" s="2610"/>
      <c r="AB17" s="2610"/>
      <c r="AC17" s="2610"/>
      <c r="AD17" s="2610"/>
      <c r="AE17" s="2610"/>
      <c r="AF17" s="2610"/>
      <c r="AG17" s="2610"/>
      <c r="AH17" s="2610"/>
      <c r="AI17" s="2610"/>
      <c r="AJ17" s="2611"/>
      <c r="AK17" s="540"/>
      <c r="AL17" s="540"/>
      <c r="AM17" s="540"/>
      <c r="AN17" s="535"/>
      <c r="AO17" s="550">
        <f>IF($B28="yes",20,0)</f>
        <v>0</v>
      </c>
    </row>
    <row r="18" spans="1:42" s="536" customFormat="1" ht="12.75" customHeight="1">
      <c r="A18" s="540"/>
      <c r="B18" s="540"/>
      <c r="C18" s="540"/>
      <c r="D18" s="551"/>
      <c r="E18" s="2609"/>
      <c r="F18" s="2610"/>
      <c r="G18" s="2610"/>
      <c r="H18" s="2610"/>
      <c r="I18" s="2610"/>
      <c r="J18" s="2610"/>
      <c r="K18" s="2610"/>
      <c r="L18" s="2610"/>
      <c r="M18" s="2610"/>
      <c r="N18" s="2610"/>
      <c r="O18" s="2610"/>
      <c r="P18" s="2610"/>
      <c r="Q18" s="2610"/>
      <c r="R18" s="2610"/>
      <c r="S18" s="2610"/>
      <c r="T18" s="2610"/>
      <c r="U18" s="2610"/>
      <c r="V18" s="2610"/>
      <c r="W18" s="2610"/>
      <c r="X18" s="2610"/>
      <c r="Y18" s="2610"/>
      <c r="Z18" s="2610"/>
      <c r="AA18" s="2610"/>
      <c r="AB18" s="2610"/>
      <c r="AC18" s="2610"/>
      <c r="AD18" s="2610"/>
      <c r="AE18" s="2610"/>
      <c r="AF18" s="2610"/>
      <c r="AG18" s="2610"/>
      <c r="AH18" s="2610"/>
      <c r="AI18" s="2610"/>
      <c r="AJ18" s="2611"/>
      <c r="AK18" s="540"/>
      <c r="AL18" s="540"/>
      <c r="AM18" s="540"/>
      <c r="AN18" s="535"/>
      <c r="AO18" s="536">
        <f>IF(SUM(AO13:AO17)&gt;20,20,(SUM(AO13:AO17)))</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0"/>
      <c r="F20" s="2631"/>
      <c r="G20" s="2631"/>
      <c r="H20" s="2631"/>
      <c r="I20" s="2631"/>
      <c r="J20" s="2631"/>
      <c r="K20" s="2631"/>
      <c r="L20" s="2631"/>
      <c r="M20" s="2631"/>
      <c r="N20" s="2631"/>
      <c r="O20" s="2631"/>
      <c r="P20" s="2631"/>
      <c r="Q20" s="2631"/>
      <c r="R20" s="2631"/>
      <c r="S20" s="2631"/>
      <c r="T20" s="2631"/>
      <c r="U20" s="2631"/>
      <c r="V20" s="2631"/>
      <c r="W20" s="2631"/>
      <c r="X20" s="2631"/>
      <c r="Y20" s="2631"/>
      <c r="Z20" s="2631"/>
      <c r="AA20" s="2631"/>
      <c r="AB20" s="2631"/>
      <c r="AC20" s="2631"/>
      <c r="AD20" s="2631"/>
      <c r="AE20" s="2631"/>
      <c r="AF20" s="2631"/>
      <c r="AG20" s="2631"/>
      <c r="AH20" s="2631"/>
      <c r="AI20" s="2631"/>
      <c r="AJ20" s="2632"/>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4" t="s">
        <v>592</v>
      </c>
      <c r="C22" s="2614"/>
      <c r="D22" s="547"/>
      <c r="E22" s="2624" t="s">
        <v>1311</v>
      </c>
      <c r="F22" s="2625"/>
      <c r="G22" s="2625"/>
      <c r="H22" s="2625"/>
      <c r="I22" s="2625"/>
      <c r="J22" s="2625"/>
      <c r="K22" s="2625"/>
      <c r="L22" s="2625"/>
      <c r="M22" s="2625"/>
      <c r="N22" s="2625"/>
      <c r="O22" s="2625"/>
      <c r="P22" s="2625"/>
      <c r="Q22" s="2625"/>
      <c r="R22" s="2625"/>
      <c r="S22" s="2625"/>
      <c r="T22" s="2625"/>
      <c r="U22" s="2625"/>
      <c r="V22" s="2625"/>
      <c r="W22" s="2625"/>
      <c r="X22" s="2625"/>
      <c r="Y22" s="2625"/>
      <c r="Z22" s="2625"/>
      <c r="AA22" s="2625"/>
      <c r="AB22" s="2625"/>
      <c r="AC22" s="2625"/>
      <c r="AD22" s="2625"/>
      <c r="AE22" s="2625"/>
      <c r="AF22" s="2625"/>
      <c r="AG22" s="2625"/>
      <c r="AH22" s="2625"/>
      <c r="AI22" s="2625"/>
      <c r="AJ22" s="2626"/>
      <c r="AK22" s="540"/>
      <c r="AL22" s="540"/>
      <c r="AM22" s="540"/>
      <c r="AN22" s="535"/>
      <c r="AO22" s="550">
        <f>IF($B40="yes",14,0)</f>
        <v>0</v>
      </c>
    </row>
    <row r="23" spans="1:42" s="536" customFormat="1" ht="12.75" customHeight="1">
      <c r="A23" s="540"/>
      <c r="B23" s="540"/>
      <c r="C23" s="540"/>
      <c r="D23" s="550"/>
      <c r="E23" s="2627"/>
      <c r="F23" s="2628"/>
      <c r="G23" s="2628"/>
      <c r="H23" s="2628"/>
      <c r="I23" s="2628"/>
      <c r="J23" s="2628"/>
      <c r="K23" s="2628"/>
      <c r="L23" s="2628"/>
      <c r="M23" s="2628"/>
      <c r="N23" s="2628"/>
      <c r="O23" s="2628"/>
      <c r="P23" s="2628"/>
      <c r="Q23" s="2628"/>
      <c r="R23" s="2628"/>
      <c r="S23" s="2628"/>
      <c r="T23" s="2628"/>
      <c r="U23" s="2628"/>
      <c r="V23" s="2628"/>
      <c r="W23" s="2628"/>
      <c r="X23" s="2628"/>
      <c r="Y23" s="2628"/>
      <c r="Z23" s="2628"/>
      <c r="AA23" s="2628"/>
      <c r="AB23" s="2628"/>
      <c r="AC23" s="2628"/>
      <c r="AD23" s="2628"/>
      <c r="AE23" s="2628"/>
      <c r="AF23" s="2628"/>
      <c r="AG23" s="2628"/>
      <c r="AH23" s="2628"/>
      <c r="AI23" s="2628"/>
      <c r="AJ23" s="2629"/>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4" t="s">
        <v>592</v>
      </c>
      <c r="C25" s="2614"/>
      <c r="D25" s="547"/>
      <c r="E25" s="2541" t="s">
        <v>2034</v>
      </c>
      <c r="F25" s="2542"/>
      <c r="G25" s="2542"/>
      <c r="H25" s="2542"/>
      <c r="I25" s="2542"/>
      <c r="J25" s="2542"/>
      <c r="K25" s="2542"/>
      <c r="L25" s="2542"/>
      <c r="M25" s="2542"/>
      <c r="N25" s="2542"/>
      <c r="O25" s="2542"/>
      <c r="P25" s="2542"/>
      <c r="Q25" s="2542"/>
      <c r="R25" s="2542"/>
      <c r="S25" s="2542"/>
      <c r="T25" s="2542"/>
      <c r="U25" s="2542"/>
      <c r="V25" s="2542"/>
      <c r="W25" s="2542"/>
      <c r="X25" s="2542"/>
      <c r="Y25" s="2542"/>
      <c r="Z25" s="2542"/>
      <c r="AA25" s="2542"/>
      <c r="AB25" s="2542"/>
      <c r="AC25" s="2542"/>
      <c r="AD25" s="2542"/>
      <c r="AE25" s="2542"/>
      <c r="AF25" s="2542"/>
      <c r="AG25" s="2542"/>
      <c r="AH25" s="2542"/>
      <c r="AI25" s="2542"/>
      <c r="AJ25" s="2543"/>
      <c r="AK25" s="540"/>
      <c r="AL25" s="540"/>
      <c r="AM25" s="540"/>
      <c r="AN25" s="535"/>
      <c r="AO25" s="550">
        <f>IF($B45="yes",6,0)</f>
        <v>0</v>
      </c>
    </row>
    <row r="26" spans="1:42" s="536" customFormat="1" ht="12.75" customHeight="1">
      <c r="A26" s="540"/>
      <c r="B26" s="540"/>
      <c r="C26" s="540"/>
      <c r="D26" s="550"/>
      <c r="E26" s="2566"/>
      <c r="F26" s="2567"/>
      <c r="G26" s="2567"/>
      <c r="H26" s="2567"/>
      <c r="I26" s="2567"/>
      <c r="J26" s="2567"/>
      <c r="K26" s="2567"/>
      <c r="L26" s="2567"/>
      <c r="M26" s="2567"/>
      <c r="N26" s="2567"/>
      <c r="O26" s="2567"/>
      <c r="P26" s="2567"/>
      <c r="Q26" s="2567"/>
      <c r="R26" s="2567"/>
      <c r="S26" s="2567"/>
      <c r="T26" s="2567"/>
      <c r="U26" s="2567"/>
      <c r="V26" s="2567"/>
      <c r="W26" s="2567"/>
      <c r="X26" s="2567"/>
      <c r="Y26" s="2567"/>
      <c r="Z26" s="2567"/>
      <c r="AA26" s="2567"/>
      <c r="AB26" s="2567"/>
      <c r="AC26" s="2567"/>
      <c r="AD26" s="2567"/>
      <c r="AE26" s="2567"/>
      <c r="AF26" s="2567"/>
      <c r="AG26" s="2567"/>
      <c r="AH26" s="2567"/>
      <c r="AI26" s="2567"/>
      <c r="AJ26" s="2568"/>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4" t="s">
        <v>592</v>
      </c>
      <c r="C28" s="2614"/>
      <c r="D28" s="547"/>
      <c r="E28" s="2643" t="s">
        <v>2249</v>
      </c>
      <c r="F28" s="2644"/>
      <c r="G28" s="2644"/>
      <c r="H28" s="2644"/>
      <c r="I28" s="2644"/>
      <c r="J28" s="2644"/>
      <c r="K28" s="2644"/>
      <c r="L28" s="2644"/>
      <c r="M28" s="2644"/>
      <c r="N28" s="2644"/>
      <c r="O28" s="2644"/>
      <c r="P28" s="2644"/>
      <c r="Q28" s="2644"/>
      <c r="R28" s="2644"/>
      <c r="S28" s="2644"/>
      <c r="T28" s="2644"/>
      <c r="U28" s="2644"/>
      <c r="V28" s="2644"/>
      <c r="W28" s="2644"/>
      <c r="X28" s="2644"/>
      <c r="Y28" s="2644"/>
      <c r="Z28" s="2644"/>
      <c r="AA28" s="2644"/>
      <c r="AB28" s="2644"/>
      <c r="AC28" s="2644"/>
      <c r="AD28" s="2644"/>
      <c r="AE28" s="2644"/>
      <c r="AF28" s="2644"/>
      <c r="AG28" s="2644"/>
      <c r="AH28" s="2644"/>
      <c r="AI28" s="2644"/>
      <c r="AJ28" s="2645"/>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614" t="s">
        <v>592</v>
      </c>
      <c r="C33" s="2614"/>
      <c r="D33" s="547"/>
      <c r="E33" s="2624" t="s">
        <v>2251</v>
      </c>
      <c r="F33" s="2625"/>
      <c r="G33" s="2625"/>
      <c r="H33" s="2625"/>
      <c r="I33" s="2625"/>
      <c r="J33" s="2625"/>
      <c r="K33" s="2625"/>
      <c r="L33" s="2625"/>
      <c r="M33" s="2625"/>
      <c r="N33" s="2625"/>
      <c r="O33" s="2625"/>
      <c r="P33" s="2625"/>
      <c r="Q33" s="2625"/>
      <c r="R33" s="2625"/>
      <c r="S33" s="2625"/>
      <c r="T33" s="2625"/>
      <c r="U33" s="2625"/>
      <c r="V33" s="2625"/>
      <c r="W33" s="2625"/>
      <c r="X33" s="2625"/>
      <c r="Y33" s="2625"/>
      <c r="Z33" s="2625"/>
      <c r="AA33" s="2625"/>
      <c r="AB33" s="2625"/>
      <c r="AC33" s="2625"/>
      <c r="AD33" s="2625"/>
      <c r="AE33" s="2625"/>
      <c r="AF33" s="2625"/>
      <c r="AG33" s="2625"/>
      <c r="AH33" s="2625"/>
      <c r="AI33" s="2625"/>
      <c r="AJ33" s="2626"/>
      <c r="AK33" s="540"/>
      <c r="AL33" s="540"/>
      <c r="AM33" s="540"/>
      <c r="AN33" s="535"/>
      <c r="AO33" s="550"/>
    </row>
    <row r="34" spans="1:41" s="536" customFormat="1" ht="12.75" customHeight="1">
      <c r="A34" s="540"/>
      <c r="B34" s="540"/>
      <c r="C34" s="540"/>
      <c r="E34" s="2627"/>
      <c r="F34" s="2628"/>
      <c r="G34" s="2628"/>
      <c r="H34" s="2628"/>
      <c r="I34" s="2628"/>
      <c r="J34" s="2628"/>
      <c r="K34" s="2628"/>
      <c r="L34" s="2628"/>
      <c r="M34" s="2628"/>
      <c r="N34" s="2628"/>
      <c r="O34" s="2628"/>
      <c r="P34" s="2628"/>
      <c r="Q34" s="2628"/>
      <c r="R34" s="2628"/>
      <c r="S34" s="2628"/>
      <c r="T34" s="2628"/>
      <c r="U34" s="2628"/>
      <c r="V34" s="2628"/>
      <c r="W34" s="2628"/>
      <c r="X34" s="2628"/>
      <c r="Y34" s="2628"/>
      <c r="Z34" s="2628"/>
      <c r="AA34" s="2628"/>
      <c r="AB34" s="2628"/>
      <c r="AC34" s="2628"/>
      <c r="AD34" s="2628"/>
      <c r="AE34" s="2628"/>
      <c r="AF34" s="2628"/>
      <c r="AG34" s="2628"/>
      <c r="AH34" s="2628"/>
      <c r="AI34" s="2628"/>
      <c r="AJ34" s="2629"/>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4" t="s">
        <v>592</v>
      </c>
      <c r="C36" s="2614"/>
      <c r="D36" s="547"/>
      <c r="E36" s="2541" t="s">
        <v>2252</v>
      </c>
      <c r="F36" s="2542"/>
      <c r="G36" s="2542"/>
      <c r="H36" s="2542"/>
      <c r="I36" s="2542"/>
      <c r="J36" s="2542"/>
      <c r="K36" s="2542"/>
      <c r="L36" s="2542"/>
      <c r="M36" s="2542"/>
      <c r="N36" s="2542"/>
      <c r="O36" s="2542"/>
      <c r="P36" s="2542"/>
      <c r="Q36" s="2542"/>
      <c r="R36" s="2542"/>
      <c r="S36" s="2542"/>
      <c r="T36" s="2542"/>
      <c r="U36" s="2542"/>
      <c r="V36" s="2542"/>
      <c r="W36" s="2542"/>
      <c r="X36" s="2542"/>
      <c r="Y36" s="2542"/>
      <c r="Z36" s="2542"/>
      <c r="AA36" s="2542"/>
      <c r="AB36" s="2542"/>
      <c r="AC36" s="2542"/>
      <c r="AD36" s="2542"/>
      <c r="AE36" s="2542"/>
      <c r="AF36" s="2542"/>
      <c r="AG36" s="2542"/>
      <c r="AH36" s="2542"/>
      <c r="AI36" s="2542"/>
      <c r="AJ36" s="2543"/>
      <c r="AK36" s="540"/>
      <c r="AL36" s="540"/>
      <c r="AM36" s="540"/>
      <c r="AN36" s="535"/>
    </row>
    <row r="37" spans="1:41" s="536" customFormat="1" ht="12.75" customHeight="1">
      <c r="A37" s="540"/>
      <c r="B37" s="540"/>
      <c r="C37" s="540"/>
      <c r="E37" s="2544"/>
      <c r="F37" s="2545"/>
      <c r="G37" s="2545"/>
      <c r="H37" s="2545"/>
      <c r="I37" s="2545"/>
      <c r="J37" s="2545"/>
      <c r="K37" s="2545"/>
      <c r="L37" s="2545"/>
      <c r="M37" s="2545"/>
      <c r="N37" s="2545"/>
      <c r="O37" s="2545"/>
      <c r="P37" s="2545"/>
      <c r="Q37" s="2545"/>
      <c r="R37" s="2545"/>
      <c r="S37" s="2545"/>
      <c r="T37" s="2545"/>
      <c r="U37" s="2545"/>
      <c r="V37" s="2545"/>
      <c r="W37" s="2545"/>
      <c r="X37" s="2545"/>
      <c r="Y37" s="2545"/>
      <c r="Z37" s="2545"/>
      <c r="AA37" s="2545"/>
      <c r="AB37" s="2545"/>
      <c r="AC37" s="2545"/>
      <c r="AD37" s="2545"/>
      <c r="AE37" s="2545"/>
      <c r="AF37" s="2545"/>
      <c r="AG37" s="2545"/>
      <c r="AH37" s="2545"/>
      <c r="AI37" s="2545"/>
      <c r="AJ37" s="2546"/>
      <c r="AK37" s="540"/>
      <c r="AL37" s="540"/>
      <c r="AM37" s="540"/>
      <c r="AN37" s="535"/>
    </row>
    <row r="38" spans="1:41" s="536" customFormat="1" ht="12.75" customHeight="1">
      <c r="A38" s="540"/>
      <c r="B38" s="540"/>
      <c r="C38" s="540"/>
      <c r="E38" s="2566"/>
      <c r="F38" s="2567"/>
      <c r="G38" s="2567"/>
      <c r="H38" s="2567"/>
      <c r="I38" s="2567"/>
      <c r="J38" s="2567"/>
      <c r="K38" s="2567"/>
      <c r="L38" s="2567"/>
      <c r="M38" s="2567"/>
      <c r="N38" s="2567"/>
      <c r="O38" s="2567"/>
      <c r="P38" s="2567"/>
      <c r="Q38" s="2567"/>
      <c r="R38" s="2567"/>
      <c r="S38" s="2567"/>
      <c r="T38" s="2567"/>
      <c r="U38" s="2567"/>
      <c r="V38" s="2567"/>
      <c r="W38" s="2567"/>
      <c r="X38" s="2567"/>
      <c r="Y38" s="2567"/>
      <c r="Z38" s="2567"/>
      <c r="AA38" s="2567"/>
      <c r="AB38" s="2567"/>
      <c r="AC38" s="2567"/>
      <c r="AD38" s="2567"/>
      <c r="AE38" s="2567"/>
      <c r="AF38" s="2567"/>
      <c r="AG38" s="2567"/>
      <c r="AH38" s="2567"/>
      <c r="AI38" s="2567"/>
      <c r="AJ38" s="2568"/>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4" t="s">
        <v>592</v>
      </c>
      <c r="C40" s="2614"/>
      <c r="D40" s="547"/>
      <c r="E40" s="2541" t="s">
        <v>2250</v>
      </c>
      <c r="F40" s="2542"/>
      <c r="G40" s="2542"/>
      <c r="H40" s="2542"/>
      <c r="I40" s="2542"/>
      <c r="J40" s="2542"/>
      <c r="K40" s="2542"/>
      <c r="L40" s="2542"/>
      <c r="M40" s="2542"/>
      <c r="N40" s="2542"/>
      <c r="O40" s="2542"/>
      <c r="P40" s="2542"/>
      <c r="Q40" s="2542"/>
      <c r="R40" s="2542"/>
      <c r="S40" s="2542"/>
      <c r="T40" s="2542"/>
      <c r="U40" s="2542"/>
      <c r="V40" s="2542"/>
      <c r="W40" s="2542"/>
      <c r="X40" s="2542"/>
      <c r="Y40" s="2542"/>
      <c r="Z40" s="2542"/>
      <c r="AA40" s="2542"/>
      <c r="AB40" s="2542"/>
      <c r="AC40" s="2542"/>
      <c r="AD40" s="2542"/>
      <c r="AE40" s="2542"/>
      <c r="AF40" s="2542"/>
      <c r="AG40" s="2542"/>
      <c r="AH40" s="2542"/>
      <c r="AI40" s="2542"/>
      <c r="AJ40" s="2543"/>
      <c r="AK40" s="540"/>
      <c r="AL40" s="540"/>
      <c r="AM40" s="540"/>
      <c r="AN40" s="535"/>
    </row>
    <row r="41" spans="1:41" s="536" customFormat="1" ht="12.75" customHeight="1">
      <c r="A41" s="540"/>
      <c r="B41" s="540"/>
      <c r="C41" s="540"/>
      <c r="E41" s="2566"/>
      <c r="F41" s="2567"/>
      <c r="G41" s="2567"/>
      <c r="H41" s="2567"/>
      <c r="I41" s="2567"/>
      <c r="J41" s="2567"/>
      <c r="K41" s="2567"/>
      <c r="L41" s="2567"/>
      <c r="M41" s="2567"/>
      <c r="N41" s="2567"/>
      <c r="O41" s="2567"/>
      <c r="P41" s="2567"/>
      <c r="Q41" s="2567"/>
      <c r="R41" s="2567"/>
      <c r="S41" s="2567"/>
      <c r="T41" s="2567"/>
      <c r="U41" s="2567"/>
      <c r="V41" s="2567"/>
      <c r="W41" s="2567"/>
      <c r="X41" s="2567"/>
      <c r="Y41" s="2567"/>
      <c r="Z41" s="2567"/>
      <c r="AA41" s="2567"/>
      <c r="AB41" s="2567"/>
      <c r="AC41" s="2567"/>
      <c r="AD41" s="2567"/>
      <c r="AE41" s="2567"/>
      <c r="AF41" s="2567"/>
      <c r="AG41" s="2567"/>
      <c r="AH41" s="2567"/>
      <c r="AI41" s="2567"/>
      <c r="AJ41" s="2568"/>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4" t="s">
        <v>592</v>
      </c>
      <c r="C45" s="2614"/>
      <c r="D45" s="1142"/>
      <c r="E45" s="2541" t="s">
        <v>2009</v>
      </c>
      <c r="F45" s="2542"/>
      <c r="G45" s="2542"/>
      <c r="H45" s="2542"/>
      <c r="I45" s="2542"/>
      <c r="J45" s="2542"/>
      <c r="K45" s="2542"/>
      <c r="L45" s="2542"/>
      <c r="M45" s="2542"/>
      <c r="N45" s="2542"/>
      <c r="O45" s="2542"/>
      <c r="P45" s="2542"/>
      <c r="Q45" s="2542"/>
      <c r="R45" s="2542"/>
      <c r="S45" s="2542"/>
      <c r="T45" s="2542"/>
      <c r="U45" s="2542"/>
      <c r="V45" s="2542"/>
      <c r="W45" s="2542"/>
      <c r="X45" s="2542"/>
      <c r="Y45" s="2542"/>
      <c r="Z45" s="2542"/>
      <c r="AA45" s="2542"/>
      <c r="AB45" s="2542"/>
      <c r="AC45" s="2542"/>
      <c r="AD45" s="2542"/>
      <c r="AE45" s="2542"/>
      <c r="AF45" s="2542"/>
      <c r="AG45" s="2542"/>
      <c r="AH45" s="2542"/>
      <c r="AI45" s="2542"/>
      <c r="AJ45" s="2543"/>
      <c r="AK45" s="1142"/>
      <c r="AL45" s="540"/>
      <c r="AM45" s="540"/>
      <c r="AN45" s="535"/>
    </row>
    <row r="46" spans="1:41" s="536" customFormat="1" ht="12.75" customHeight="1">
      <c r="A46" s="540"/>
      <c r="B46" s="540"/>
      <c r="C46" s="540"/>
      <c r="E46" s="2544"/>
      <c r="F46" s="2545"/>
      <c r="G46" s="2545"/>
      <c r="H46" s="2545"/>
      <c r="I46" s="2545"/>
      <c r="J46" s="2545"/>
      <c r="K46" s="2545"/>
      <c r="L46" s="2545"/>
      <c r="M46" s="2545"/>
      <c r="N46" s="2545"/>
      <c r="O46" s="2545"/>
      <c r="P46" s="2545"/>
      <c r="Q46" s="2545"/>
      <c r="R46" s="2545"/>
      <c r="S46" s="2545"/>
      <c r="T46" s="2545"/>
      <c r="U46" s="2545"/>
      <c r="V46" s="2545"/>
      <c r="W46" s="2545"/>
      <c r="X46" s="2545"/>
      <c r="Y46" s="2545"/>
      <c r="Z46" s="2545"/>
      <c r="AA46" s="2545"/>
      <c r="AB46" s="2545"/>
      <c r="AC46" s="2545"/>
      <c r="AD46" s="2545"/>
      <c r="AE46" s="2545"/>
      <c r="AF46" s="2545"/>
      <c r="AG46" s="2545"/>
      <c r="AH46" s="2545"/>
      <c r="AI46" s="2545"/>
      <c r="AJ46" s="2546"/>
      <c r="AK46" s="540"/>
      <c r="AL46" s="540"/>
      <c r="AM46" s="540"/>
      <c r="AN46" s="535"/>
    </row>
    <row r="47" spans="1:41" s="536" customFormat="1" ht="12.75" customHeight="1">
      <c r="A47" s="540"/>
      <c r="D47" s="547"/>
      <c r="E47" s="2566"/>
      <c r="F47" s="2567"/>
      <c r="G47" s="2567"/>
      <c r="H47" s="2567"/>
      <c r="I47" s="2567"/>
      <c r="J47" s="2567"/>
      <c r="K47" s="2567"/>
      <c r="L47" s="2567"/>
      <c r="M47" s="2567"/>
      <c r="N47" s="2567"/>
      <c r="O47" s="2567"/>
      <c r="P47" s="2567"/>
      <c r="Q47" s="2567"/>
      <c r="R47" s="2567"/>
      <c r="S47" s="2567"/>
      <c r="T47" s="2567"/>
      <c r="U47" s="2567"/>
      <c r="V47" s="2567"/>
      <c r="W47" s="2567"/>
      <c r="X47" s="2567"/>
      <c r="Y47" s="2567"/>
      <c r="Z47" s="2567"/>
      <c r="AA47" s="2567"/>
      <c r="AB47" s="2567"/>
      <c r="AC47" s="2567"/>
      <c r="AD47" s="2567"/>
      <c r="AE47" s="2567"/>
      <c r="AF47" s="2567"/>
      <c r="AG47" s="2567"/>
      <c r="AH47" s="2567"/>
      <c r="AI47" s="2567"/>
      <c r="AJ47" s="2568"/>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4" t="s">
        <v>592</v>
      </c>
      <c r="C52" s="2614"/>
      <c r="D52" s="540"/>
      <c r="E52" s="2541" t="s">
        <v>2014</v>
      </c>
      <c r="F52" s="2542"/>
      <c r="G52" s="2542"/>
      <c r="H52" s="2542"/>
      <c r="I52" s="2542"/>
      <c r="J52" s="2542"/>
      <c r="K52" s="2542"/>
      <c r="L52" s="2542"/>
      <c r="M52" s="2542"/>
      <c r="N52" s="2542"/>
      <c r="O52" s="2542"/>
      <c r="P52" s="2542"/>
      <c r="Q52" s="2542"/>
      <c r="R52" s="2542"/>
      <c r="S52" s="2542"/>
      <c r="T52" s="2542"/>
      <c r="U52" s="2542"/>
      <c r="V52" s="2542"/>
      <c r="W52" s="2542"/>
      <c r="X52" s="2542"/>
      <c r="Y52" s="2542"/>
      <c r="Z52" s="2542"/>
      <c r="AA52" s="2542"/>
      <c r="AB52" s="2542"/>
      <c r="AC52" s="2542"/>
      <c r="AD52" s="2542"/>
      <c r="AE52" s="2542"/>
      <c r="AF52" s="2542"/>
      <c r="AG52" s="2542"/>
      <c r="AH52" s="2542"/>
      <c r="AI52" s="2542"/>
      <c r="AJ52" s="2543"/>
      <c r="AK52" s="540"/>
      <c r="AL52" s="540"/>
      <c r="AM52" s="540"/>
      <c r="AN52" s="535"/>
      <c r="AO52" s="559"/>
    </row>
    <row r="53" spans="1:50" s="536" customFormat="1" ht="12.75" customHeight="1">
      <c r="A53" s="540"/>
      <c r="D53" s="547"/>
      <c r="E53" s="2544"/>
      <c r="F53" s="2545"/>
      <c r="G53" s="2545"/>
      <c r="H53" s="2545"/>
      <c r="I53" s="2545"/>
      <c r="J53" s="2545"/>
      <c r="K53" s="2545"/>
      <c r="L53" s="2545"/>
      <c r="M53" s="2545"/>
      <c r="N53" s="2545"/>
      <c r="O53" s="2545"/>
      <c r="P53" s="2545"/>
      <c r="Q53" s="2545"/>
      <c r="R53" s="2545"/>
      <c r="S53" s="2545"/>
      <c r="T53" s="2545"/>
      <c r="U53" s="2545"/>
      <c r="V53" s="2545"/>
      <c r="W53" s="2545"/>
      <c r="X53" s="2545"/>
      <c r="Y53" s="2545"/>
      <c r="Z53" s="2545"/>
      <c r="AA53" s="2545"/>
      <c r="AB53" s="2545"/>
      <c r="AC53" s="2545"/>
      <c r="AD53" s="2545"/>
      <c r="AE53" s="2545"/>
      <c r="AF53" s="2545"/>
      <c r="AG53" s="2545"/>
      <c r="AH53" s="2545"/>
      <c r="AI53" s="2545"/>
      <c r="AJ53" s="2546"/>
      <c r="AK53" s="540"/>
      <c r="AL53" s="540"/>
      <c r="AM53" s="540"/>
      <c r="AN53" s="535"/>
      <c r="AO53" s="559"/>
    </row>
    <row r="54" spans="1:50" s="536" customFormat="1" ht="12.75" customHeight="1">
      <c r="A54" s="540"/>
      <c r="D54" s="540"/>
      <c r="E54" s="2566"/>
      <c r="F54" s="2567"/>
      <c r="G54" s="2567"/>
      <c r="H54" s="2567"/>
      <c r="I54" s="2567"/>
      <c r="J54" s="2567"/>
      <c r="K54" s="2567"/>
      <c r="L54" s="2567"/>
      <c r="M54" s="2567"/>
      <c r="N54" s="2567"/>
      <c r="O54" s="2567"/>
      <c r="P54" s="2567"/>
      <c r="Q54" s="2567"/>
      <c r="R54" s="2567"/>
      <c r="S54" s="2567"/>
      <c r="T54" s="2567"/>
      <c r="U54" s="2567"/>
      <c r="V54" s="2567"/>
      <c r="W54" s="2567"/>
      <c r="X54" s="2567"/>
      <c r="Y54" s="2567"/>
      <c r="Z54" s="2567"/>
      <c r="AA54" s="2567"/>
      <c r="AB54" s="2567"/>
      <c r="AC54" s="2567"/>
      <c r="AD54" s="2567"/>
      <c r="AE54" s="2567"/>
      <c r="AF54" s="2567"/>
      <c r="AG54" s="2567"/>
      <c r="AH54" s="2567"/>
      <c r="AI54" s="2567"/>
      <c r="AJ54" s="2568"/>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4" t="s">
        <v>592</v>
      </c>
      <c r="C56" s="2614"/>
      <c r="D56" s="540"/>
      <c r="E56" s="2640" t="s">
        <v>2015</v>
      </c>
      <c r="F56" s="2641"/>
      <c r="G56" s="2641"/>
      <c r="H56" s="2641"/>
      <c r="I56" s="2641"/>
      <c r="J56" s="2641"/>
      <c r="K56" s="2641"/>
      <c r="L56" s="2641"/>
      <c r="M56" s="2641"/>
      <c r="N56" s="2641"/>
      <c r="O56" s="2641"/>
      <c r="P56" s="2641"/>
      <c r="Q56" s="2641"/>
      <c r="R56" s="2641"/>
      <c r="S56" s="2641"/>
      <c r="T56" s="2641"/>
      <c r="U56" s="2641"/>
      <c r="V56" s="2641"/>
      <c r="W56" s="2641"/>
      <c r="X56" s="2641"/>
      <c r="Y56" s="2641"/>
      <c r="Z56" s="2641"/>
      <c r="AA56" s="2641"/>
      <c r="AB56" s="2641"/>
      <c r="AC56" s="2641"/>
      <c r="AD56" s="2641"/>
      <c r="AE56" s="2641"/>
      <c r="AF56" s="2641"/>
      <c r="AG56" s="2641"/>
      <c r="AH56" s="2641"/>
      <c r="AI56" s="2641"/>
      <c r="AJ56" s="2642"/>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4" t="s">
        <v>592</v>
      </c>
      <c r="C58" s="2614"/>
      <c r="D58" s="540"/>
      <c r="E58" s="2541" t="s">
        <v>2016</v>
      </c>
      <c r="F58" s="2542"/>
      <c r="G58" s="2542"/>
      <c r="H58" s="2542"/>
      <c r="I58" s="2542"/>
      <c r="J58" s="2542"/>
      <c r="K58" s="2542"/>
      <c r="L58" s="2542"/>
      <c r="M58" s="2542"/>
      <c r="N58" s="2542"/>
      <c r="O58" s="2542"/>
      <c r="P58" s="2542"/>
      <c r="Q58" s="2542"/>
      <c r="R58" s="2542"/>
      <c r="S58" s="2542"/>
      <c r="T58" s="2542"/>
      <c r="U58" s="2542"/>
      <c r="V58" s="2542"/>
      <c r="W58" s="2542"/>
      <c r="X58" s="2542"/>
      <c r="Y58" s="2542"/>
      <c r="Z58" s="2542"/>
      <c r="AA58" s="2542"/>
      <c r="AB58" s="2542"/>
      <c r="AC58" s="2542"/>
      <c r="AD58" s="2542"/>
      <c r="AE58" s="2542"/>
      <c r="AF58" s="2542"/>
      <c r="AG58" s="2542"/>
      <c r="AH58" s="2542"/>
      <c r="AI58" s="2542"/>
      <c r="AJ58" s="2543"/>
      <c r="AK58" s="540"/>
      <c r="AL58" s="540"/>
      <c r="AM58" s="540"/>
      <c r="AN58" s="535"/>
    </row>
    <row r="59" spans="1:50" s="536" customFormat="1" ht="12.75" customHeight="1">
      <c r="A59" s="540"/>
      <c r="B59" s="547"/>
      <c r="C59" s="547"/>
      <c r="D59" s="547"/>
      <c r="E59" s="2566"/>
      <c r="F59" s="2567"/>
      <c r="G59" s="2567"/>
      <c r="H59" s="2567"/>
      <c r="I59" s="2567"/>
      <c r="J59" s="2567"/>
      <c r="K59" s="2567"/>
      <c r="L59" s="2567"/>
      <c r="M59" s="2567"/>
      <c r="N59" s="2567"/>
      <c r="O59" s="2567"/>
      <c r="P59" s="2567"/>
      <c r="Q59" s="2567"/>
      <c r="R59" s="2567"/>
      <c r="S59" s="2567"/>
      <c r="T59" s="2567"/>
      <c r="U59" s="2567"/>
      <c r="V59" s="2567"/>
      <c r="W59" s="2567"/>
      <c r="X59" s="2567"/>
      <c r="Y59" s="2567"/>
      <c r="Z59" s="2567"/>
      <c r="AA59" s="2567"/>
      <c r="AB59" s="2567"/>
      <c r="AC59" s="2567"/>
      <c r="AD59" s="2567"/>
      <c r="AE59" s="2567"/>
      <c r="AF59" s="2567"/>
      <c r="AG59" s="2567"/>
      <c r="AH59" s="2567"/>
      <c r="AI59" s="2567"/>
      <c r="AJ59" s="2568"/>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587">
        <f>AO39</f>
        <v>0</v>
      </c>
      <c r="AL62" s="2588"/>
      <c r="AM62" s="2589"/>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1" t="s">
        <v>1315</v>
      </c>
      <c r="AF65" s="2461"/>
      <c r="AG65" s="2461"/>
      <c r="AH65" s="2461"/>
      <c r="AI65" s="2461"/>
      <c r="AJ65" s="2461"/>
      <c r="AK65" s="2461"/>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4" t="s">
        <v>592</v>
      </c>
      <c r="C68" s="2614"/>
      <c r="D68" s="547" t="s">
        <v>1316</v>
      </c>
      <c r="E68" s="2606" t="s">
        <v>2017</v>
      </c>
      <c r="F68" s="2607"/>
      <c r="G68" s="2607"/>
      <c r="H68" s="2607"/>
      <c r="I68" s="2607"/>
      <c r="J68" s="2607"/>
      <c r="K68" s="2607"/>
      <c r="L68" s="2607"/>
      <c r="M68" s="2607"/>
      <c r="N68" s="2607"/>
      <c r="O68" s="2607"/>
      <c r="P68" s="2607"/>
      <c r="Q68" s="2607"/>
      <c r="R68" s="2607"/>
      <c r="S68" s="2607"/>
      <c r="T68" s="2607"/>
      <c r="U68" s="2607"/>
      <c r="V68" s="2607"/>
      <c r="W68" s="2607"/>
      <c r="X68" s="2607"/>
      <c r="Y68" s="2607"/>
      <c r="Z68" s="2607"/>
      <c r="AA68" s="2607"/>
      <c r="AB68" s="2607"/>
      <c r="AC68" s="2607"/>
      <c r="AD68" s="2607"/>
      <c r="AE68" s="2607"/>
      <c r="AF68" s="2607"/>
      <c r="AG68" s="2607"/>
      <c r="AH68" s="2607"/>
      <c r="AI68" s="2607"/>
      <c r="AJ68" s="2608"/>
      <c r="AK68" s="543"/>
      <c r="AL68" s="540"/>
      <c r="AM68" s="540"/>
      <c r="AN68" s="535"/>
      <c r="AO68" s="550">
        <f>IF($B68="yes",10,0)</f>
        <v>0</v>
      </c>
    </row>
    <row r="69" spans="1:42" s="536" customFormat="1" ht="12.75" customHeight="1">
      <c r="A69" s="538"/>
      <c r="B69" s="540"/>
      <c r="C69" s="540"/>
      <c r="D69" s="551"/>
      <c r="E69" s="2609"/>
      <c r="F69" s="2610"/>
      <c r="G69" s="2610"/>
      <c r="H69" s="2610"/>
      <c r="I69" s="2610"/>
      <c r="J69" s="2610"/>
      <c r="K69" s="2610"/>
      <c r="L69" s="2610"/>
      <c r="M69" s="2610"/>
      <c r="N69" s="2610"/>
      <c r="O69" s="2610"/>
      <c r="P69" s="2610"/>
      <c r="Q69" s="2610"/>
      <c r="R69" s="2610"/>
      <c r="S69" s="2610"/>
      <c r="T69" s="2610"/>
      <c r="U69" s="2610"/>
      <c r="V69" s="2610"/>
      <c r="W69" s="2610"/>
      <c r="X69" s="2610"/>
      <c r="Y69" s="2610"/>
      <c r="Z69" s="2610"/>
      <c r="AA69" s="2610"/>
      <c r="AB69" s="2610"/>
      <c r="AC69" s="2610"/>
      <c r="AD69" s="2610"/>
      <c r="AE69" s="2610"/>
      <c r="AF69" s="2610"/>
      <c r="AG69" s="2610"/>
      <c r="AH69" s="2610"/>
      <c r="AI69" s="2610"/>
      <c r="AJ69" s="2611"/>
      <c r="AK69" s="543"/>
      <c r="AL69" s="540"/>
      <c r="AM69" s="540"/>
      <c r="AN69" s="535"/>
      <c r="AO69" s="550">
        <f>IF($B74="yes",10,0)</f>
        <v>0</v>
      </c>
    </row>
    <row r="70" spans="1:42" s="536" customFormat="1" ht="12.75" customHeight="1">
      <c r="A70" s="538"/>
      <c r="B70" s="540"/>
      <c r="C70" s="540"/>
      <c r="D70" s="551"/>
      <c r="E70" s="2609"/>
      <c r="F70" s="2610"/>
      <c r="G70" s="2610"/>
      <c r="H70" s="2610"/>
      <c r="I70" s="2610"/>
      <c r="J70" s="2610"/>
      <c r="K70" s="2610"/>
      <c r="L70" s="2610"/>
      <c r="M70" s="2610"/>
      <c r="N70" s="2610"/>
      <c r="O70" s="2610"/>
      <c r="P70" s="2610"/>
      <c r="Q70" s="2610"/>
      <c r="R70" s="2610"/>
      <c r="S70" s="2610"/>
      <c r="T70" s="2610"/>
      <c r="U70" s="2610"/>
      <c r="V70" s="2610"/>
      <c r="W70" s="2610"/>
      <c r="X70" s="2610"/>
      <c r="Y70" s="2610"/>
      <c r="Z70" s="2610"/>
      <c r="AA70" s="2610"/>
      <c r="AB70" s="2610"/>
      <c r="AC70" s="2610"/>
      <c r="AD70" s="2610"/>
      <c r="AE70" s="2610"/>
      <c r="AF70" s="2610"/>
      <c r="AG70" s="2610"/>
      <c r="AH70" s="2610"/>
      <c r="AI70" s="2610"/>
      <c r="AJ70" s="2611"/>
      <c r="AK70" s="543"/>
      <c r="AL70" s="540"/>
      <c r="AM70" s="540"/>
      <c r="AN70" s="535"/>
      <c r="AO70" s="550">
        <f>IF($B81="yes",10,0)</f>
        <v>10</v>
      </c>
    </row>
    <row r="71" spans="1:42" s="536" customFormat="1" ht="12.75" customHeight="1">
      <c r="A71" s="538"/>
      <c r="B71" s="540"/>
      <c r="C71" s="540"/>
      <c r="D71" s="551"/>
      <c r="E71" s="2609"/>
      <c r="F71" s="2610"/>
      <c r="G71" s="2610"/>
      <c r="H71" s="2610"/>
      <c r="I71" s="2610"/>
      <c r="J71" s="2610"/>
      <c r="K71" s="2610"/>
      <c r="L71" s="2610"/>
      <c r="M71" s="2610"/>
      <c r="N71" s="2610"/>
      <c r="O71" s="2610"/>
      <c r="P71" s="2610"/>
      <c r="Q71" s="2610"/>
      <c r="R71" s="2610"/>
      <c r="S71" s="2610"/>
      <c r="T71" s="2610"/>
      <c r="U71" s="2610"/>
      <c r="V71" s="2610"/>
      <c r="W71" s="2610"/>
      <c r="X71" s="2610"/>
      <c r="Y71" s="2610"/>
      <c r="Z71" s="2610"/>
      <c r="AA71" s="2610"/>
      <c r="AB71" s="2610"/>
      <c r="AC71" s="2610"/>
      <c r="AD71" s="2610"/>
      <c r="AE71" s="2610"/>
      <c r="AF71" s="2610"/>
      <c r="AG71" s="2610"/>
      <c r="AH71" s="2610"/>
      <c r="AI71" s="2610"/>
      <c r="AJ71" s="2611"/>
      <c r="AK71" s="543"/>
      <c r="AL71" s="540"/>
      <c r="AM71" s="540"/>
      <c r="AN71" s="535"/>
      <c r="AO71" s="536">
        <f>IF(SUM(AO68:AO70)&gt;10,10,(SUM(AO68:AO70)))</f>
        <v>10</v>
      </c>
      <c r="AP71" s="574" t="s">
        <v>1317</v>
      </c>
    </row>
    <row r="72" spans="1:42" s="536" customFormat="1" ht="12.75" customHeight="1">
      <c r="A72" s="538"/>
      <c r="B72" s="540"/>
      <c r="C72" s="540"/>
      <c r="D72" s="551"/>
      <c r="E72" s="2636"/>
      <c r="F72" s="2637"/>
      <c r="G72" s="2637"/>
      <c r="H72" s="2637"/>
      <c r="I72" s="2637"/>
      <c r="J72" s="2637"/>
      <c r="K72" s="2637"/>
      <c r="L72" s="2637"/>
      <c r="M72" s="2637"/>
      <c r="N72" s="2637"/>
      <c r="O72" s="2637"/>
      <c r="P72" s="2637"/>
      <c r="Q72" s="2637"/>
      <c r="R72" s="2637"/>
      <c r="S72" s="2637"/>
      <c r="T72" s="2637"/>
      <c r="U72" s="2637"/>
      <c r="V72" s="2637"/>
      <c r="W72" s="2637"/>
      <c r="X72" s="2637"/>
      <c r="Y72" s="2637"/>
      <c r="Z72" s="2637"/>
      <c r="AA72" s="2637"/>
      <c r="AB72" s="2637"/>
      <c r="AC72" s="2637"/>
      <c r="AD72" s="2637"/>
      <c r="AE72" s="2637"/>
      <c r="AF72" s="2637"/>
      <c r="AG72" s="2637"/>
      <c r="AH72" s="2637"/>
      <c r="AI72" s="2637"/>
      <c r="AJ72" s="2638"/>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4" t="s">
        <v>592</v>
      </c>
      <c r="C74" s="2614"/>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39" t="s">
        <v>592</v>
      </c>
      <c r="F75" s="2614"/>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4" t="s">
        <v>592</v>
      </c>
      <c r="F76" s="2635"/>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4" t="s">
        <v>592</v>
      </c>
      <c r="F77" s="2635"/>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39" t="s">
        <v>592</v>
      </c>
      <c r="F79" s="2614"/>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4" t="s">
        <v>546</v>
      </c>
      <c r="C81" s="2614"/>
      <c r="D81" s="547" t="s">
        <v>1321</v>
      </c>
      <c r="E81" s="2541" t="s">
        <v>1741</v>
      </c>
      <c r="F81" s="2542"/>
      <c r="G81" s="2542"/>
      <c r="H81" s="2542"/>
      <c r="I81" s="2542"/>
      <c r="J81" s="2542"/>
      <c r="K81" s="2542"/>
      <c r="L81" s="2542"/>
      <c r="M81" s="2542"/>
      <c r="N81" s="2542"/>
      <c r="O81" s="2542"/>
      <c r="P81" s="2542"/>
      <c r="Q81" s="2542"/>
      <c r="R81" s="2542"/>
      <c r="S81" s="2542"/>
      <c r="T81" s="2542"/>
      <c r="U81" s="2542"/>
      <c r="V81" s="2542"/>
      <c r="W81" s="2542"/>
      <c r="X81" s="2542"/>
      <c r="Y81" s="2542"/>
      <c r="Z81" s="2542"/>
      <c r="AA81" s="2542"/>
      <c r="AB81" s="2542"/>
      <c r="AC81" s="2542"/>
      <c r="AD81" s="2542"/>
      <c r="AE81" s="2542"/>
      <c r="AF81" s="2542"/>
      <c r="AG81" s="2542"/>
      <c r="AH81" s="2542"/>
      <c r="AI81" s="2542"/>
      <c r="AJ81" s="2543"/>
      <c r="AK81" s="543"/>
      <c r="AL81" s="540"/>
      <c r="AM81" s="540"/>
      <c r="AN81" s="535"/>
    </row>
    <row r="82" spans="1:43" s="536" customFormat="1" ht="12.75" customHeight="1">
      <c r="A82" s="538"/>
      <c r="B82" s="540"/>
      <c r="C82" s="540"/>
      <c r="D82" s="550"/>
      <c r="E82" s="2566"/>
      <c r="F82" s="2567"/>
      <c r="G82" s="2567"/>
      <c r="H82" s="2567"/>
      <c r="I82" s="2567"/>
      <c r="J82" s="2567"/>
      <c r="K82" s="2567"/>
      <c r="L82" s="2567"/>
      <c r="M82" s="2567"/>
      <c r="N82" s="2567"/>
      <c r="O82" s="2567"/>
      <c r="P82" s="2567"/>
      <c r="Q82" s="2567"/>
      <c r="R82" s="2567"/>
      <c r="S82" s="2567"/>
      <c r="T82" s="2567"/>
      <c r="U82" s="2567"/>
      <c r="V82" s="2567"/>
      <c r="W82" s="2567"/>
      <c r="X82" s="2567"/>
      <c r="Y82" s="2567"/>
      <c r="Z82" s="2567"/>
      <c r="AA82" s="2567"/>
      <c r="AB82" s="2567"/>
      <c r="AC82" s="2567"/>
      <c r="AD82" s="2567"/>
      <c r="AE82" s="2567"/>
      <c r="AF82" s="2567"/>
      <c r="AG82" s="2567"/>
      <c r="AH82" s="2567"/>
      <c r="AI82" s="2567"/>
      <c r="AJ82" s="2568"/>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587">
        <f>IF(AK62&gt;0,0,AO71)</f>
        <v>10</v>
      </c>
      <c r="AL84" s="2588"/>
      <c r="AM84" s="2589"/>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1" t="s">
        <v>1306</v>
      </c>
      <c r="AF87" s="2461"/>
      <c r="AG87" s="2461"/>
      <c r="AH87" s="2461"/>
      <c r="AI87" s="2461"/>
      <c r="AJ87" s="2461"/>
      <c r="AK87" s="2461"/>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4" t="s">
        <v>592</v>
      </c>
      <c r="C90" s="2614"/>
      <c r="D90" s="547" t="s">
        <v>1316</v>
      </c>
      <c r="E90" s="2606" t="s">
        <v>1326</v>
      </c>
      <c r="F90" s="2607"/>
      <c r="G90" s="2607"/>
      <c r="H90" s="2607"/>
      <c r="I90" s="2607"/>
      <c r="J90" s="2607"/>
      <c r="K90" s="2607"/>
      <c r="L90" s="2607"/>
      <c r="M90" s="2607"/>
      <c r="N90" s="2607"/>
      <c r="O90" s="2607"/>
      <c r="P90" s="2607"/>
      <c r="Q90" s="2607"/>
      <c r="R90" s="2607"/>
      <c r="S90" s="2607"/>
      <c r="T90" s="2607"/>
      <c r="U90" s="2607"/>
      <c r="V90" s="2607"/>
      <c r="W90" s="2607"/>
      <c r="X90" s="2607"/>
      <c r="Y90" s="2607"/>
      <c r="Z90" s="2607"/>
      <c r="AA90" s="2607"/>
      <c r="AB90" s="2607"/>
      <c r="AC90" s="2607"/>
      <c r="AD90" s="2607"/>
      <c r="AE90" s="2607"/>
      <c r="AF90" s="2607"/>
      <c r="AG90" s="2607"/>
      <c r="AH90" s="2607"/>
      <c r="AI90" s="2607"/>
      <c r="AJ90" s="2608"/>
      <c r="AK90" s="543"/>
      <c r="AL90" s="540"/>
      <c r="AM90" s="540"/>
      <c r="AN90" s="535"/>
    </row>
    <row r="91" spans="1:43" s="536" customFormat="1" ht="12.75" customHeight="1">
      <c r="A91" s="538"/>
      <c r="B91" s="539"/>
      <c r="C91" s="539"/>
      <c r="D91" s="539"/>
      <c r="E91" s="2609"/>
      <c r="F91" s="2610"/>
      <c r="G91" s="2610"/>
      <c r="H91" s="2610"/>
      <c r="I91" s="2610"/>
      <c r="J91" s="2610"/>
      <c r="K91" s="2610"/>
      <c r="L91" s="2610"/>
      <c r="M91" s="2610"/>
      <c r="N91" s="2610"/>
      <c r="O91" s="2610"/>
      <c r="P91" s="2610"/>
      <c r="Q91" s="2610"/>
      <c r="R91" s="2610"/>
      <c r="S91" s="2610"/>
      <c r="T91" s="2610"/>
      <c r="U91" s="2610"/>
      <c r="V91" s="2610"/>
      <c r="W91" s="2610"/>
      <c r="X91" s="2610"/>
      <c r="Y91" s="2610"/>
      <c r="Z91" s="2610"/>
      <c r="AA91" s="2610"/>
      <c r="AB91" s="2610"/>
      <c r="AC91" s="2610"/>
      <c r="AD91" s="2610"/>
      <c r="AE91" s="2610"/>
      <c r="AF91" s="2610"/>
      <c r="AG91" s="2610"/>
      <c r="AH91" s="2610"/>
      <c r="AI91" s="2610"/>
      <c r="AJ91" s="2611"/>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2">
        <f>Application!AC753</f>
        <v>0.48717948717948717</v>
      </c>
      <c r="F93" s="2603"/>
      <c r="G93" s="2603"/>
      <c r="H93" s="2603"/>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3">
        <f>0.6-ROUNDUP(E93,2)</f>
        <v>0.10999999999999999</v>
      </c>
      <c r="F94" s="2408"/>
      <c r="G94" s="2408"/>
      <c r="H94" s="2408"/>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8">
        <f>IF(E94*200&gt;20,20,E94*200)</f>
        <v>20</v>
      </c>
      <c r="F95" s="2619"/>
      <c r="G95" s="2619"/>
      <c r="H95" s="2619"/>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4" t="s">
        <v>546</v>
      </c>
      <c r="C98" s="2614"/>
      <c r="D98" s="547" t="s">
        <v>1318</v>
      </c>
      <c r="E98" s="2606" t="s">
        <v>1726</v>
      </c>
      <c r="F98" s="2607"/>
      <c r="G98" s="2607"/>
      <c r="H98" s="2607"/>
      <c r="I98" s="2607"/>
      <c r="J98" s="2607"/>
      <c r="K98" s="2607"/>
      <c r="L98" s="2607"/>
      <c r="M98" s="2607"/>
      <c r="N98" s="2607"/>
      <c r="O98" s="2607"/>
      <c r="P98" s="2607"/>
      <c r="Q98" s="2607"/>
      <c r="R98" s="2607"/>
      <c r="S98" s="2607"/>
      <c r="T98" s="2607"/>
      <c r="U98" s="2607"/>
      <c r="V98" s="2607"/>
      <c r="W98" s="2607"/>
      <c r="X98" s="2607"/>
      <c r="Y98" s="2607"/>
      <c r="Z98" s="2607"/>
      <c r="AA98" s="2607"/>
      <c r="AB98" s="2607"/>
      <c r="AC98" s="2607"/>
      <c r="AD98" s="2607"/>
      <c r="AE98" s="2607"/>
      <c r="AF98" s="2607"/>
      <c r="AG98" s="2607"/>
      <c r="AH98" s="2607"/>
      <c r="AI98" s="2607"/>
      <c r="AJ98" s="2608"/>
      <c r="AK98" s="543"/>
      <c r="AL98" s="540"/>
      <c r="AM98" s="540"/>
      <c r="AN98" s="535"/>
    </row>
    <row r="99" spans="1:47" s="536" customFormat="1" ht="12.75" customHeight="1">
      <c r="A99" s="538"/>
      <c r="B99" s="539"/>
      <c r="C99" s="539"/>
      <c r="D99" s="539"/>
      <c r="E99" s="2609"/>
      <c r="F99" s="2610"/>
      <c r="G99" s="2610"/>
      <c r="H99" s="2610"/>
      <c r="I99" s="2610"/>
      <c r="J99" s="2610"/>
      <c r="K99" s="2610"/>
      <c r="L99" s="2610"/>
      <c r="M99" s="2610"/>
      <c r="N99" s="2610"/>
      <c r="O99" s="2610"/>
      <c r="P99" s="2610"/>
      <c r="Q99" s="2610"/>
      <c r="R99" s="2610"/>
      <c r="S99" s="2610"/>
      <c r="T99" s="2610"/>
      <c r="U99" s="2610"/>
      <c r="V99" s="2610"/>
      <c r="W99" s="2610"/>
      <c r="X99" s="2610"/>
      <c r="Y99" s="2610"/>
      <c r="Z99" s="2610"/>
      <c r="AA99" s="2610"/>
      <c r="AB99" s="2610"/>
      <c r="AC99" s="2610"/>
      <c r="AD99" s="2610"/>
      <c r="AE99" s="2610"/>
      <c r="AF99" s="2610"/>
      <c r="AG99" s="2610"/>
      <c r="AH99" s="2610"/>
      <c r="AI99" s="2610"/>
      <c r="AJ99" s="2611"/>
      <c r="AK99" s="543"/>
      <c r="AL99" s="540"/>
      <c r="AM99" s="540"/>
      <c r="AN99" s="535"/>
    </row>
    <row r="100" spans="1:47" s="536" customFormat="1" ht="12.75" customHeight="1">
      <c r="A100" s="538"/>
      <c r="B100" s="539"/>
      <c r="C100" s="539"/>
      <c r="D100" s="539"/>
      <c r="E100" s="2609"/>
      <c r="F100" s="2610"/>
      <c r="G100" s="2610"/>
      <c r="H100" s="2610"/>
      <c r="I100" s="2610"/>
      <c r="J100" s="2610"/>
      <c r="K100" s="2610"/>
      <c r="L100" s="2610"/>
      <c r="M100" s="2610"/>
      <c r="N100" s="2610"/>
      <c r="O100" s="2610"/>
      <c r="P100" s="2610"/>
      <c r="Q100" s="2610"/>
      <c r="R100" s="2610"/>
      <c r="S100" s="2610"/>
      <c r="T100" s="2610"/>
      <c r="U100" s="2610"/>
      <c r="V100" s="2610"/>
      <c r="W100" s="2610"/>
      <c r="X100" s="2610"/>
      <c r="Y100" s="2610"/>
      <c r="Z100" s="2610"/>
      <c r="AA100" s="2610"/>
      <c r="AB100" s="2610"/>
      <c r="AC100" s="2610"/>
      <c r="AD100" s="2610"/>
      <c r="AE100" s="2610"/>
      <c r="AF100" s="2610"/>
      <c r="AG100" s="2610"/>
      <c r="AH100" s="2610"/>
      <c r="AI100" s="2610"/>
      <c r="AJ100" s="2611"/>
      <c r="AK100" s="543"/>
      <c r="AL100" s="540"/>
      <c r="AM100" s="540"/>
      <c r="AN100" s="535"/>
    </row>
    <row r="101" spans="1:47" s="536" customFormat="1" ht="12.75" customHeight="1">
      <c r="A101" s="538"/>
      <c r="B101" s="539"/>
      <c r="C101" s="539"/>
      <c r="D101" s="539"/>
      <c r="E101" s="2609"/>
      <c r="F101" s="2610"/>
      <c r="G101" s="2610"/>
      <c r="H101" s="2610"/>
      <c r="I101" s="2610"/>
      <c r="J101" s="2610"/>
      <c r="K101" s="2610"/>
      <c r="L101" s="2610"/>
      <c r="M101" s="2610"/>
      <c r="N101" s="2610"/>
      <c r="O101" s="2610"/>
      <c r="P101" s="2610"/>
      <c r="Q101" s="2610"/>
      <c r="R101" s="2610"/>
      <c r="S101" s="2610"/>
      <c r="T101" s="2610"/>
      <c r="U101" s="2610"/>
      <c r="V101" s="2610"/>
      <c r="W101" s="2610"/>
      <c r="X101" s="2610"/>
      <c r="Y101" s="2610"/>
      <c r="Z101" s="2610"/>
      <c r="AA101" s="2610"/>
      <c r="AB101" s="2610"/>
      <c r="AC101" s="2610"/>
      <c r="AD101" s="2610"/>
      <c r="AE101" s="2610"/>
      <c r="AF101" s="2610"/>
      <c r="AG101" s="2610"/>
      <c r="AH101" s="2610"/>
      <c r="AI101" s="2610"/>
      <c r="AJ101" s="2611"/>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2">
        <f>Application!AC753</f>
        <v>0.48717948717948717</v>
      </c>
      <c r="F103" s="2603"/>
      <c r="G103" s="2603"/>
      <c r="H103" s="2603"/>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2">
        <f ca="1">SUMIF(Application!AC718:AG752,0.2,Application!G718:J752)/Application!G753+SUMIF(Application!AC718:AG752,0.25,Application!G718:J752)/Application!G753+SUMIF(Application!AC718:AG752,0.3,Application!G718:J752)/Application!G753</f>
        <v>0.30769230769230771</v>
      </c>
      <c r="F104" s="2603"/>
      <c r="G104" s="2603"/>
      <c r="H104" s="2603"/>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2">
        <f ca="1">SUMIF(Application!AC718:AG752,0.35,Application!G718:J752)/Application!G753+SUMIF(Application!AC718:AG752,0.4,Application!G718:J752)/Application!G753+SUMIF(Application!AC718:AG752,0.45,Application!G718:J752)/Application!G753+SUMIF(Application!AC718:AG752,0.5,Application!G718:J752)/Application!G753</f>
        <v>0.20512820512820512</v>
      </c>
      <c r="F105" s="2603"/>
      <c r="G105" s="2603"/>
      <c r="H105" s="2603"/>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0">
        <f ca="1">IF(AND(E103&lt;=0.6,OR(AND(E104&gt;=0.1,E105&gt;=0.1),AND(E104&gt;0.1,(E104+E105)&gt;=0.2))),20,0)</f>
        <v>20</v>
      </c>
      <c r="F106" s="2601"/>
      <c r="G106" s="2601"/>
      <c r="H106" s="2601"/>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587">
        <f ca="1">MAX(AP95,AP106)</f>
        <v>20</v>
      </c>
      <c r="AL109" s="2588"/>
      <c r="AM109" s="2589"/>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1" t="s">
        <v>1315</v>
      </c>
      <c r="AF112" s="2461"/>
      <c r="AG112" s="2461"/>
      <c r="AH112" s="2461"/>
      <c r="AI112" s="2461"/>
      <c r="AJ112" s="2461"/>
      <c r="AK112" s="2461"/>
      <c r="AL112" s="540"/>
      <c r="AM112" s="540"/>
      <c r="AN112" s="535"/>
      <c r="AO112" s="536" t="str">
        <f>Application!B718</f>
        <v>SRO/Studio</v>
      </c>
      <c r="AQ112" s="536">
        <f>Application!O718</f>
        <v>988</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1691</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2043</v>
      </c>
    </row>
    <row r="115" spans="1:52" s="536" customFormat="1" ht="12.75" customHeight="1">
      <c r="A115" s="540"/>
      <c r="B115" s="2614" t="s">
        <v>546</v>
      </c>
      <c r="C115" s="2614"/>
      <c r="D115" s="547" t="s">
        <v>1316</v>
      </c>
      <c r="E115" s="2606" t="s">
        <v>1858</v>
      </c>
      <c r="F115" s="2607"/>
      <c r="G115" s="2607"/>
      <c r="H115" s="2607"/>
      <c r="I115" s="2607"/>
      <c r="J115" s="2607"/>
      <c r="K115" s="2607"/>
      <c r="L115" s="2607"/>
      <c r="M115" s="2607"/>
      <c r="N115" s="2607"/>
      <c r="O115" s="2607"/>
      <c r="P115" s="2607"/>
      <c r="Q115" s="2607"/>
      <c r="R115" s="2607"/>
      <c r="S115" s="2607"/>
      <c r="T115" s="2607"/>
      <c r="U115" s="2607"/>
      <c r="V115" s="2607"/>
      <c r="W115" s="2607"/>
      <c r="X115" s="2607"/>
      <c r="Y115" s="2607"/>
      <c r="Z115" s="2607"/>
      <c r="AA115" s="2607"/>
      <c r="AB115" s="2607"/>
      <c r="AC115" s="2607"/>
      <c r="AD115" s="2607"/>
      <c r="AE115" s="2607"/>
      <c r="AF115" s="2607"/>
      <c r="AG115" s="2607"/>
      <c r="AH115" s="2607"/>
      <c r="AI115" s="2607"/>
      <c r="AJ115" s="2608"/>
      <c r="AK115" s="540"/>
      <c r="AL115" s="540"/>
      <c r="AM115" s="540"/>
      <c r="AN115" s="535"/>
      <c r="AO115" s="536" t="str">
        <f>Application!B721</f>
        <v>1 Bedroom</v>
      </c>
      <c r="AQ115" s="536">
        <f>Application!O721</f>
        <v>1051</v>
      </c>
      <c r="AU115" s="536" t="s">
        <v>1841</v>
      </c>
      <c r="AV115" s="595" t="s">
        <v>1842</v>
      </c>
      <c r="AW115" s="536" t="s">
        <v>1843</v>
      </c>
    </row>
    <row r="116" spans="1:52" s="536" customFormat="1" ht="12.75" customHeight="1">
      <c r="A116" s="540"/>
      <c r="B116" s="539"/>
      <c r="C116" s="539"/>
      <c r="D116" s="539"/>
      <c r="E116" s="2609"/>
      <c r="F116" s="2610"/>
      <c r="G116" s="2610"/>
      <c r="H116" s="2610"/>
      <c r="I116" s="2610"/>
      <c r="J116" s="2610"/>
      <c r="K116" s="2610"/>
      <c r="L116" s="2610"/>
      <c r="M116" s="2610"/>
      <c r="N116" s="2610"/>
      <c r="O116" s="2610"/>
      <c r="P116" s="2610"/>
      <c r="Q116" s="2610"/>
      <c r="R116" s="2610"/>
      <c r="S116" s="2610"/>
      <c r="T116" s="2610"/>
      <c r="U116" s="2610"/>
      <c r="V116" s="2610"/>
      <c r="W116" s="2610"/>
      <c r="X116" s="2610"/>
      <c r="Y116" s="2610"/>
      <c r="Z116" s="2610"/>
      <c r="AA116" s="2610"/>
      <c r="AB116" s="2610"/>
      <c r="AC116" s="2610"/>
      <c r="AD116" s="2610"/>
      <c r="AE116" s="2610"/>
      <c r="AF116" s="2610"/>
      <c r="AG116" s="2610"/>
      <c r="AH116" s="2610"/>
      <c r="AI116" s="2610"/>
      <c r="AJ116" s="2611"/>
      <c r="AK116" s="540"/>
      <c r="AL116" s="540"/>
      <c r="AM116" s="540"/>
      <c r="AN116" s="535"/>
      <c r="AO116" s="536" t="str">
        <f>Application!B722</f>
        <v>1 Bedroom</v>
      </c>
      <c r="AQ116" s="536">
        <f>Application!O722</f>
        <v>1051</v>
      </c>
      <c r="AU116" s="856" t="str">
        <f>E124</f>
        <v>Studio/SRO</v>
      </c>
      <c r="AV116" s="536">
        <f t="array" ref="AV116">SUM(IF(Application!B718:F752="SRO/Studio",Application!G718:J752))</f>
        <v>5</v>
      </c>
      <c r="AW116" s="1011">
        <f>AV116/AV122</f>
        <v>6.4102564102564097E-2</v>
      </c>
    </row>
    <row r="117" spans="1:52" s="536" customFormat="1" ht="12.75" customHeight="1">
      <c r="A117" s="540"/>
      <c r="B117" s="539"/>
      <c r="C117" s="539"/>
      <c r="D117" s="539"/>
      <c r="E117" s="2609"/>
      <c r="F117" s="2610"/>
      <c r="G117" s="2610"/>
      <c r="H117" s="2610"/>
      <c r="I117" s="2610"/>
      <c r="J117" s="2610"/>
      <c r="K117" s="2610"/>
      <c r="L117" s="2610"/>
      <c r="M117" s="2610"/>
      <c r="N117" s="2610"/>
      <c r="O117" s="2610"/>
      <c r="P117" s="2610"/>
      <c r="Q117" s="2610"/>
      <c r="R117" s="2610"/>
      <c r="S117" s="2610"/>
      <c r="T117" s="2610"/>
      <c r="U117" s="2610"/>
      <c r="V117" s="2610"/>
      <c r="W117" s="2610"/>
      <c r="X117" s="2610"/>
      <c r="Y117" s="2610"/>
      <c r="Z117" s="2610"/>
      <c r="AA117" s="2610"/>
      <c r="AB117" s="2610"/>
      <c r="AC117" s="2610"/>
      <c r="AD117" s="2610"/>
      <c r="AE117" s="2610"/>
      <c r="AF117" s="2610"/>
      <c r="AG117" s="2610"/>
      <c r="AH117" s="2610"/>
      <c r="AI117" s="2610"/>
      <c r="AJ117" s="2611"/>
      <c r="AK117" s="540"/>
      <c r="AL117" s="540"/>
      <c r="AM117" s="540"/>
      <c r="AN117" s="535"/>
      <c r="AO117" s="536" t="str">
        <f>Application!B723</f>
        <v>1 Bedroom</v>
      </c>
      <c r="AQ117" s="536">
        <f>Application!O723</f>
        <v>1805</v>
      </c>
      <c r="AU117" s="856" t="str">
        <f>J124</f>
        <v>1-bedroom</v>
      </c>
      <c r="AV117" s="536">
        <f t="array" ref="AV117">SUM(IF(Application!B718:F752="1 Bedroom",Application!G718:J752))</f>
        <v>32</v>
      </c>
      <c r="AW117" s="1011">
        <f>AV117/AV122</f>
        <v>0.41025641025641024</v>
      </c>
    </row>
    <row r="118" spans="1:52" s="536" customFormat="1" ht="12.75" customHeight="1">
      <c r="A118" s="540"/>
      <c r="B118" s="539"/>
      <c r="C118" s="539"/>
      <c r="D118" s="539"/>
      <c r="E118" s="2609"/>
      <c r="F118" s="2610"/>
      <c r="G118" s="2610"/>
      <c r="H118" s="2610"/>
      <c r="I118" s="2610"/>
      <c r="J118" s="2610"/>
      <c r="K118" s="2610"/>
      <c r="L118" s="2610"/>
      <c r="M118" s="2610"/>
      <c r="N118" s="2610"/>
      <c r="O118" s="2610"/>
      <c r="P118" s="2610"/>
      <c r="Q118" s="2610"/>
      <c r="R118" s="2610"/>
      <c r="S118" s="2610"/>
      <c r="T118" s="2610"/>
      <c r="U118" s="2610"/>
      <c r="V118" s="2610"/>
      <c r="W118" s="2610"/>
      <c r="X118" s="2610"/>
      <c r="Y118" s="2610"/>
      <c r="Z118" s="2610"/>
      <c r="AA118" s="2610"/>
      <c r="AB118" s="2610"/>
      <c r="AC118" s="2610"/>
      <c r="AD118" s="2610"/>
      <c r="AE118" s="2610"/>
      <c r="AF118" s="2610"/>
      <c r="AG118" s="2610"/>
      <c r="AH118" s="2610"/>
      <c r="AI118" s="2610"/>
      <c r="AJ118" s="2611"/>
      <c r="AK118" s="540"/>
      <c r="AL118" s="540"/>
      <c r="AM118" s="540"/>
      <c r="AN118" s="535"/>
      <c r="AO118" s="536" t="str">
        <f>Application!B724</f>
        <v>1 Bedroom</v>
      </c>
      <c r="AQ118" s="536">
        <f>Application!O724</f>
        <v>2182</v>
      </c>
      <c r="AU118" s="856" t="str">
        <f>O124</f>
        <v>2-bedroom</v>
      </c>
      <c r="AV118" s="536">
        <f t="array" ref="AV118">SUM(IF(Application!B718:F752="2 Bedrooms",Application!G718:J752))</f>
        <v>21</v>
      </c>
      <c r="AW118" s="1011">
        <f>AV118/AV122</f>
        <v>0.26923076923076922</v>
      </c>
    </row>
    <row r="119" spans="1:52" s="536" customFormat="1" ht="12.75" customHeight="1">
      <c r="A119" s="540"/>
      <c r="B119" s="539"/>
      <c r="C119" s="539"/>
      <c r="D119" s="539"/>
      <c r="E119" s="2609"/>
      <c r="F119" s="2610"/>
      <c r="G119" s="2610"/>
      <c r="H119" s="2610"/>
      <c r="I119" s="2610"/>
      <c r="J119" s="2610"/>
      <c r="K119" s="2610"/>
      <c r="L119" s="2610"/>
      <c r="M119" s="2610"/>
      <c r="N119" s="2610"/>
      <c r="O119" s="2610"/>
      <c r="P119" s="2610"/>
      <c r="Q119" s="2610"/>
      <c r="R119" s="2610"/>
      <c r="S119" s="2610"/>
      <c r="T119" s="2610"/>
      <c r="U119" s="2610"/>
      <c r="V119" s="2610"/>
      <c r="W119" s="2610"/>
      <c r="X119" s="2610"/>
      <c r="Y119" s="2610"/>
      <c r="Z119" s="2610"/>
      <c r="AA119" s="2610"/>
      <c r="AB119" s="2610"/>
      <c r="AC119" s="2610"/>
      <c r="AD119" s="2610"/>
      <c r="AE119" s="2610"/>
      <c r="AF119" s="2610"/>
      <c r="AG119" s="2610"/>
      <c r="AH119" s="2610"/>
      <c r="AI119" s="2610"/>
      <c r="AJ119" s="2611"/>
      <c r="AK119" s="540"/>
      <c r="AL119" s="540"/>
      <c r="AM119" s="540"/>
      <c r="AN119" s="535"/>
      <c r="AO119" s="536" t="str">
        <f>Application!B725</f>
        <v>2 Bedrooms</v>
      </c>
      <c r="AQ119" s="536">
        <f>Application!O725</f>
        <v>1250</v>
      </c>
      <c r="AU119" s="856" t="str">
        <f>T124</f>
        <v>3-bedroom</v>
      </c>
      <c r="AV119" s="536">
        <f t="array" ref="AV119">SUM(IF(Application!B718:F752="3 Bedrooms",Application!G718:J752))</f>
        <v>20</v>
      </c>
      <c r="AW119" s="1011">
        <f>AV119/AV122</f>
        <v>0.25641025641025639</v>
      </c>
    </row>
    <row r="120" spans="1:52" s="536" customFormat="1" ht="12.75" customHeight="1">
      <c r="A120" s="540"/>
      <c r="B120" s="539"/>
      <c r="C120" s="539"/>
      <c r="D120" s="539"/>
      <c r="E120" s="2609"/>
      <c r="F120" s="2610"/>
      <c r="G120" s="2610"/>
      <c r="H120" s="2610"/>
      <c r="I120" s="2610"/>
      <c r="J120" s="2610"/>
      <c r="K120" s="2610"/>
      <c r="L120" s="2610"/>
      <c r="M120" s="2610"/>
      <c r="N120" s="2610"/>
      <c r="O120" s="2610"/>
      <c r="P120" s="2610"/>
      <c r="Q120" s="2610"/>
      <c r="R120" s="2610"/>
      <c r="S120" s="2610"/>
      <c r="T120" s="2610"/>
      <c r="U120" s="2610"/>
      <c r="V120" s="2610"/>
      <c r="W120" s="2610"/>
      <c r="X120" s="2610"/>
      <c r="Y120" s="2610"/>
      <c r="Z120" s="2610"/>
      <c r="AA120" s="2610"/>
      <c r="AB120" s="2610"/>
      <c r="AC120" s="2610"/>
      <c r="AD120" s="2610"/>
      <c r="AE120" s="2610"/>
      <c r="AF120" s="2610"/>
      <c r="AG120" s="2610"/>
      <c r="AH120" s="2610"/>
      <c r="AI120" s="2610"/>
      <c r="AJ120" s="2611"/>
      <c r="AK120" s="540"/>
      <c r="AL120" s="540"/>
      <c r="AM120" s="540"/>
      <c r="AN120" s="535"/>
      <c r="AO120" s="536" t="str">
        <f>Application!B726</f>
        <v>2 Bedrooms</v>
      </c>
      <c r="AQ120" s="536">
        <f>Application!O726</f>
        <v>1250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09"/>
      <c r="F121" s="2610"/>
      <c r="G121" s="2610"/>
      <c r="H121" s="2610"/>
      <c r="I121" s="2610"/>
      <c r="J121" s="2610"/>
      <c r="K121" s="2610"/>
      <c r="L121" s="2610"/>
      <c r="M121" s="2610"/>
      <c r="N121" s="2610"/>
      <c r="O121" s="2610"/>
      <c r="P121" s="2610"/>
      <c r="Q121" s="2610"/>
      <c r="R121" s="2610"/>
      <c r="S121" s="2610"/>
      <c r="T121" s="2610"/>
      <c r="U121" s="2610"/>
      <c r="V121" s="2610"/>
      <c r="W121" s="2610"/>
      <c r="X121" s="2610"/>
      <c r="Y121" s="2610"/>
      <c r="Z121" s="2610"/>
      <c r="AA121" s="2610"/>
      <c r="AB121" s="2610"/>
      <c r="AC121" s="2610"/>
      <c r="AD121" s="2610"/>
      <c r="AE121" s="2610"/>
      <c r="AF121" s="2610"/>
      <c r="AG121" s="2610"/>
      <c r="AH121" s="2610"/>
      <c r="AI121" s="2610"/>
      <c r="AJ121" s="2611"/>
      <c r="AK121" s="540"/>
      <c r="AL121" s="540"/>
      <c r="AM121" s="540"/>
      <c r="AN121" s="535"/>
      <c r="AO121" s="536" t="str">
        <f>Application!B727</f>
        <v>2 Bedrooms</v>
      </c>
      <c r="AQ121" s="536">
        <f>Application!O727</f>
        <v>2155</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09"/>
      <c r="F122" s="2610"/>
      <c r="G122" s="2610"/>
      <c r="H122" s="2610"/>
      <c r="I122" s="2610"/>
      <c r="J122" s="2610"/>
      <c r="K122" s="2610"/>
      <c r="L122" s="2610"/>
      <c r="M122" s="2610"/>
      <c r="N122" s="2610"/>
      <c r="O122" s="2610"/>
      <c r="P122" s="2610"/>
      <c r="Q122" s="2610"/>
      <c r="R122" s="2610"/>
      <c r="S122" s="2610"/>
      <c r="T122" s="2610"/>
      <c r="U122" s="2610"/>
      <c r="V122" s="2610"/>
      <c r="W122" s="2610"/>
      <c r="X122" s="2610"/>
      <c r="Y122" s="2610"/>
      <c r="Z122" s="2610"/>
      <c r="AA122" s="2610"/>
      <c r="AB122" s="2610"/>
      <c r="AC122" s="2610"/>
      <c r="AD122" s="2610"/>
      <c r="AE122" s="2610"/>
      <c r="AF122" s="2610"/>
      <c r="AG122" s="2610"/>
      <c r="AH122" s="2610"/>
      <c r="AI122" s="2610"/>
      <c r="AJ122" s="2611"/>
      <c r="AK122" s="540"/>
      <c r="AL122" s="540"/>
      <c r="AM122" s="540"/>
      <c r="AN122" s="535"/>
      <c r="AO122" s="536" t="str">
        <f>Application!B728</f>
        <v>2 Bedrooms</v>
      </c>
      <c r="AQ122" s="536">
        <f>Application!O728</f>
        <v>2607</v>
      </c>
      <c r="AV122" s="536">
        <f>SUM(AV116:AV121)</f>
        <v>78</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1432</v>
      </c>
    </row>
    <row r="124" spans="1:52" s="536" customFormat="1" ht="12.75" customHeight="1">
      <c r="A124" s="540"/>
      <c r="B124" s="539"/>
      <c r="C124" s="540"/>
      <c r="D124" s="540"/>
      <c r="E124" s="2602" t="s">
        <v>1589</v>
      </c>
      <c r="F124" s="2603"/>
      <c r="G124" s="2603"/>
      <c r="H124" s="2603"/>
      <c r="I124" s="577"/>
      <c r="J124" s="2603" t="s">
        <v>1632</v>
      </c>
      <c r="K124" s="2603"/>
      <c r="L124" s="2603"/>
      <c r="M124" s="2603"/>
      <c r="N124" s="577"/>
      <c r="O124" s="2603" t="s">
        <v>1633</v>
      </c>
      <c r="P124" s="2603"/>
      <c r="Q124" s="2603"/>
      <c r="R124" s="2603"/>
      <c r="S124" s="577"/>
      <c r="T124" s="2603" t="s">
        <v>1335</v>
      </c>
      <c r="U124" s="2603"/>
      <c r="V124" s="2603"/>
      <c r="W124" s="2603"/>
      <c r="X124" s="577"/>
      <c r="Y124" s="2603" t="s">
        <v>1634</v>
      </c>
      <c r="Z124" s="2603"/>
      <c r="AA124" s="2603"/>
      <c r="AB124" s="2603"/>
      <c r="AC124" s="577"/>
      <c r="AD124" s="2603" t="s">
        <v>1635</v>
      </c>
      <c r="AE124" s="2603"/>
      <c r="AF124" s="2603"/>
      <c r="AG124" s="2603"/>
      <c r="AH124" s="577"/>
      <c r="AI124" s="577"/>
      <c r="AJ124" s="579"/>
      <c r="AK124" s="540"/>
      <c r="AL124" s="540"/>
      <c r="AM124" s="540"/>
      <c r="AN124" s="535"/>
      <c r="AO124" s="536" t="str">
        <f>Application!B730</f>
        <v>3 Bedrooms</v>
      </c>
      <c r="AQ124" s="536">
        <f>Application!O730</f>
        <v>2476</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3 Bedrooms</v>
      </c>
      <c r="AQ125" s="536">
        <f>Application!O731</f>
        <v>2999</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4">
        <v>2682</v>
      </c>
      <c r="F127" s="2605"/>
      <c r="G127" s="2605"/>
      <c r="H127" s="2605"/>
      <c r="I127" s="864"/>
      <c r="J127" s="2605">
        <v>2862</v>
      </c>
      <c r="K127" s="2605"/>
      <c r="L127" s="2605"/>
      <c r="M127" s="2605"/>
      <c r="N127" s="864"/>
      <c r="O127" s="2605">
        <v>3652</v>
      </c>
      <c r="P127" s="2605"/>
      <c r="Q127" s="2605"/>
      <c r="R127" s="2605"/>
      <c r="S127" s="864"/>
      <c r="T127" s="2605">
        <v>5464</v>
      </c>
      <c r="U127" s="2605"/>
      <c r="V127" s="2605"/>
      <c r="W127" s="2605"/>
      <c r="X127" s="864"/>
      <c r="Y127" s="2605"/>
      <c r="Z127" s="2605"/>
      <c r="AA127" s="2605"/>
      <c r="AB127" s="2605"/>
      <c r="AC127" s="864"/>
      <c r="AD127" s="2605"/>
      <c r="AE127" s="2605"/>
      <c r="AF127" s="2605"/>
      <c r="AG127" s="2605"/>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2">
        <f>Application!DX670</f>
        <v>1550.6000000000001</v>
      </c>
      <c r="F130" s="2613"/>
      <c r="G130" s="2613"/>
      <c r="H130" s="2613"/>
      <c r="I130" s="864"/>
      <c r="J130" s="2613">
        <f>Application!EC670</f>
        <v>1793.21875</v>
      </c>
      <c r="K130" s="2613"/>
      <c r="L130" s="2613"/>
      <c r="M130" s="2613"/>
      <c r="N130" s="864"/>
      <c r="O130" s="2613">
        <f>Application!EH670</f>
        <v>1831.6190476190475</v>
      </c>
      <c r="P130" s="2613"/>
      <c r="Q130" s="2613"/>
      <c r="R130" s="2613"/>
      <c r="S130" s="868"/>
      <c r="T130" s="2613">
        <f>Application!EM670</f>
        <v>2685.3</v>
      </c>
      <c r="U130" s="2613"/>
      <c r="V130" s="2613"/>
      <c r="W130" s="2613"/>
      <c r="X130" s="868"/>
      <c r="Y130" s="2613">
        <f>Application!ER670</f>
        <v>0</v>
      </c>
      <c r="Z130" s="2613"/>
      <c r="AA130" s="2613"/>
      <c r="AB130" s="2613"/>
      <c r="AC130" s="868"/>
      <c r="AD130" s="2613">
        <f>Application!EW670</f>
        <v>0</v>
      </c>
      <c r="AE130" s="2613"/>
      <c r="AF130" s="2613"/>
      <c r="AG130" s="2613"/>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7">
        <f>(E127-E130)/E127</f>
        <v>0.42184936614466811</v>
      </c>
      <c r="F133" s="2408"/>
      <c r="G133" s="2408"/>
      <c r="H133" s="2409"/>
      <c r="I133" s="577"/>
      <c r="J133" s="2407">
        <f>(J127-J130)/J127</f>
        <v>0.37343859189378059</v>
      </c>
      <c r="K133" s="2408"/>
      <c r="L133" s="2408"/>
      <c r="M133" s="2409"/>
      <c r="N133" s="577"/>
      <c r="O133" s="2407">
        <f>(O127-O130)/O127</f>
        <v>0.49846137797945028</v>
      </c>
      <c r="P133" s="2408"/>
      <c r="Q133" s="2408"/>
      <c r="R133" s="2409"/>
      <c r="S133" s="577"/>
      <c r="T133" s="2407">
        <f>(T127-T130)/T127</f>
        <v>0.50854685212298678</v>
      </c>
      <c r="U133" s="2408"/>
      <c r="V133" s="2408"/>
      <c r="W133" s="2409"/>
      <c r="X133" s="577"/>
      <c r="Y133" s="2407" t="e">
        <f>(Y127-Y130)/Y127</f>
        <v>#DIV/0!</v>
      </c>
      <c r="Z133" s="2408"/>
      <c r="AA133" s="2408"/>
      <c r="AB133" s="2409"/>
      <c r="AC133" s="577"/>
      <c r="AD133" s="2407" t="e">
        <f>(AD127-AD130)/AD127</f>
        <v>#DIV/0!</v>
      </c>
      <c r="AE133" s="2408"/>
      <c r="AF133" s="2408"/>
      <c r="AG133" s="2409"/>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5">
        <f>IF(((E133-0.1)*AW116)&gt;0,((E133-0.1)*AW116),0)</f>
        <v>2.0631369624658207E-2</v>
      </c>
      <c r="F136" s="2616"/>
      <c r="G136" s="2616"/>
      <c r="H136" s="2617"/>
      <c r="I136" s="577"/>
      <c r="J136" s="2615">
        <f>IF(((J133-0.1)*AW117)&gt;0,((J133-0.1)*AW117),0)</f>
        <v>0.11217993513590999</v>
      </c>
      <c r="K136" s="2616"/>
      <c r="L136" s="2616"/>
      <c r="M136" s="2617"/>
      <c r="N136" s="577"/>
      <c r="O136" s="2615">
        <f>IF(((O133-0.1)*AW118)&gt;0,((O133-0.1)*AW118),0)</f>
        <v>0.10727806330215968</v>
      </c>
      <c r="P136" s="2616"/>
      <c r="Q136" s="2616"/>
      <c r="R136" s="2617"/>
      <c r="S136" s="577"/>
      <c r="T136" s="2615">
        <f>IF(((T133-0.1)*AW119)&gt;0,((T133-0.1)*AW119),0)</f>
        <v>0.10475560310845815</v>
      </c>
      <c r="U136" s="2616"/>
      <c r="V136" s="2616"/>
      <c r="W136" s="2617"/>
      <c r="X136" s="577"/>
      <c r="Y136" s="2615" t="e">
        <f>IF(((Y133-0.1)*AW120)&gt;0,((Y133-0.1)*AW120),0)</f>
        <v>#DIV/0!</v>
      </c>
      <c r="Z136" s="2616"/>
      <c r="AA136" s="2616"/>
      <c r="AB136" s="2617"/>
      <c r="AC136" s="577"/>
      <c r="AD136" s="2615" t="e">
        <f>IF(((AD133-0.1)*AW121)&gt;0,((AD133-0.1)*AW121),0)</f>
        <v>#DIV/0!</v>
      </c>
      <c r="AE136" s="2616"/>
      <c r="AF136" s="2616"/>
      <c r="AG136" s="2617"/>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7">
        <f>ROUNDDOWN(SUMIF(E136:AG136,"&gt;0"),2)</f>
        <v>0.34</v>
      </c>
      <c r="F138" s="2408"/>
      <c r="G138" s="2408"/>
      <c r="H138" s="2409"/>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7">
        <f>IF((E138*100)&gt;10,10,E138*100)</f>
        <v>10</v>
      </c>
      <c r="F139" s="2588"/>
      <c r="G139" s="2588"/>
      <c r="H139" s="2589"/>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587">
        <f>E139</f>
        <v>10</v>
      </c>
      <c r="AL143" s="2588"/>
      <c r="AM143" s="2589"/>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61" t="s">
        <v>1315</v>
      </c>
      <c r="AF146" s="2461"/>
      <c r="AG146" s="2461"/>
      <c r="AH146" s="2461"/>
      <c r="AI146" s="2461"/>
      <c r="AJ146" s="2461"/>
      <c r="AK146" s="2461"/>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1" t="s">
        <v>1339</v>
      </c>
      <c r="AG148" s="2521"/>
      <c r="AH148" s="2521"/>
      <c r="AI148" s="2521"/>
      <c r="AJ148" s="2521"/>
      <c r="AK148" s="2521"/>
      <c r="AL148" s="2521"/>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1" t="s">
        <v>2714</v>
      </c>
      <c r="C150" s="2591"/>
      <c r="D150" s="2591"/>
      <c r="E150" s="2591"/>
      <c r="F150" s="2591"/>
      <c r="G150" s="2591"/>
      <c r="H150" s="2591"/>
      <c r="I150" s="2591"/>
      <c r="J150" s="2591"/>
      <c r="K150" s="2591"/>
      <c r="L150" s="2591"/>
      <c r="M150" s="2591"/>
      <c r="N150" s="2591"/>
      <c r="O150" s="2591"/>
      <c r="P150" s="2591"/>
      <c r="Q150" s="2591"/>
      <c r="R150" s="2591"/>
      <c r="S150" s="2591"/>
      <c r="T150" s="2591"/>
      <c r="U150" s="2591"/>
      <c r="V150" s="2591"/>
      <c r="W150" s="2591"/>
      <c r="X150" s="2591"/>
      <c r="Y150" s="2591"/>
      <c r="Z150" s="2591"/>
      <c r="AA150" s="2591"/>
      <c r="AB150" s="2591"/>
      <c r="AC150" s="2591"/>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592" t="s">
        <v>1342</v>
      </c>
      <c r="C153" s="2592"/>
      <c r="D153" s="2592"/>
      <c r="E153" s="2592"/>
      <c r="F153" s="2592"/>
      <c r="G153" s="2592"/>
      <c r="H153" s="2592"/>
      <c r="I153" s="2592"/>
      <c r="J153" s="2592"/>
      <c r="K153" s="2592"/>
      <c r="L153" s="2592"/>
      <c r="M153" s="2592"/>
      <c r="N153" s="2592"/>
      <c r="O153" s="2592"/>
      <c r="P153" s="2592"/>
      <c r="Q153" s="2592"/>
      <c r="R153" s="2592"/>
      <c r="S153" s="2592"/>
      <c r="T153" s="2592"/>
      <c r="U153" s="2592"/>
      <c r="V153" s="2592"/>
      <c r="W153" s="2592"/>
      <c r="X153" s="2592"/>
      <c r="Y153" s="2592"/>
      <c r="Z153" s="2592"/>
      <c r="AA153" s="2592"/>
      <c r="AB153" s="2592"/>
      <c r="AC153" s="2592"/>
      <c r="AD153" s="2592"/>
      <c r="AE153" s="2592"/>
      <c r="AF153" s="2592"/>
      <c r="AG153" s="2592"/>
      <c r="AH153" s="2592"/>
      <c r="AI153" s="2592"/>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1343</v>
      </c>
      <c r="AB155" s="2393" t="s">
        <v>592</v>
      </c>
      <c r="AC155" s="2393"/>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592" t="s">
        <v>1344</v>
      </c>
      <c r="C158" s="2592"/>
      <c r="D158" s="2592"/>
      <c r="E158" s="2592"/>
      <c r="F158" s="2592"/>
      <c r="G158" s="2592"/>
      <c r="H158" s="2592"/>
      <c r="I158" s="2592"/>
      <c r="J158" s="2592"/>
      <c r="K158" s="2592"/>
      <c r="L158" s="2592"/>
      <c r="M158" s="2592"/>
      <c r="N158" s="2592"/>
      <c r="O158" s="2592"/>
      <c r="P158" s="2592"/>
      <c r="Q158" s="2592"/>
      <c r="R158" s="2592"/>
      <c r="S158" s="2592"/>
      <c r="T158" s="2592"/>
      <c r="U158" s="2592"/>
      <c r="V158" s="2592"/>
      <c r="W158" s="2592"/>
      <c r="X158" s="2592"/>
      <c r="Y158" s="2592"/>
      <c r="Z158" s="2592"/>
      <c r="AA158" s="2592"/>
      <c r="AB158" s="2592"/>
      <c r="AC158" s="2592"/>
      <c r="AD158" s="2592"/>
      <c r="AE158" s="2592"/>
      <c r="AF158" s="2592"/>
      <c r="AG158" s="2592"/>
      <c r="AH158" s="2592"/>
      <c r="AI158" s="2592"/>
      <c r="AJ158" s="2592"/>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0" t="s">
        <v>2476</v>
      </c>
      <c r="C161" s="2390"/>
      <c r="D161" s="2390"/>
      <c r="E161" s="2390"/>
      <c r="F161" s="2390"/>
      <c r="G161" s="2390"/>
      <c r="H161" s="2390"/>
      <c r="I161" s="2390"/>
      <c r="J161" s="2390"/>
      <c r="K161" s="2390"/>
      <c r="L161" s="2390"/>
      <c r="M161" s="2390"/>
      <c r="N161" s="2390"/>
      <c r="O161" s="2390"/>
      <c r="P161" s="2390"/>
      <c r="Q161" s="2390"/>
      <c r="R161" s="2390"/>
      <c r="S161" s="2390"/>
      <c r="T161" s="2390"/>
      <c r="U161" s="2390"/>
      <c r="V161" s="2390"/>
      <c r="W161" s="2390"/>
      <c r="X161" s="2390"/>
      <c r="Y161" s="2390"/>
      <c r="Z161" s="2390"/>
      <c r="AA161" s="2390"/>
      <c r="AB161" s="2390"/>
      <c r="AC161" s="2390"/>
      <c r="AD161" s="2390"/>
      <c r="AE161" s="2390"/>
      <c r="AF161" s="2390"/>
      <c r="AG161" s="2390"/>
      <c r="AH161" s="2390"/>
      <c r="AI161" s="2390"/>
      <c r="AJ161" s="2390"/>
      <c r="AK161" s="1180"/>
      <c r="AM161" s="539"/>
      <c r="AN161" s="535"/>
      <c r="AO161" s="476"/>
      <c r="AP161" s="489"/>
    </row>
    <row r="162" spans="1:42" s="536" customFormat="1" ht="12.75" customHeight="1">
      <c r="B162" s="2390"/>
      <c r="C162" s="2390"/>
      <c r="D162" s="2390"/>
      <c r="E162" s="2390"/>
      <c r="F162" s="2390"/>
      <c r="G162" s="2390"/>
      <c r="H162" s="2390"/>
      <c r="I162" s="2390"/>
      <c r="J162" s="2390"/>
      <c r="K162" s="2390"/>
      <c r="L162" s="2390"/>
      <c r="M162" s="2390"/>
      <c r="N162" s="2390"/>
      <c r="O162" s="2390"/>
      <c r="P162" s="2390"/>
      <c r="Q162" s="2390"/>
      <c r="R162" s="2390"/>
      <c r="S162" s="2390"/>
      <c r="T162" s="2390"/>
      <c r="U162" s="2390"/>
      <c r="V162" s="2390"/>
      <c r="W162" s="2390"/>
      <c r="X162" s="2390"/>
      <c r="Y162" s="2390"/>
      <c r="Z162" s="2390"/>
      <c r="AA162" s="2390"/>
      <c r="AB162" s="2390"/>
      <c r="AC162" s="2390"/>
      <c r="AD162" s="2390"/>
      <c r="AE162" s="2390"/>
      <c r="AF162" s="2390"/>
      <c r="AG162" s="2390"/>
      <c r="AH162" s="2390"/>
      <c r="AI162" s="2390"/>
      <c r="AJ162" s="2390"/>
      <c r="AK162" s="1180"/>
      <c r="AM162" s="539"/>
      <c r="AN162" s="535"/>
      <c r="AO162" s="476"/>
      <c r="AP162" s="489"/>
    </row>
    <row r="163" spans="1:42" s="536" customFormat="1" ht="12.75" customHeight="1">
      <c r="C163" s="2391" t="s">
        <v>2477</v>
      </c>
      <c r="D163" s="2391"/>
      <c r="E163" s="2391"/>
      <c r="F163" s="2391"/>
      <c r="G163" s="2391"/>
      <c r="H163" s="2391"/>
      <c r="I163" s="2391"/>
      <c r="J163" s="2391"/>
      <c r="K163" s="2391"/>
      <c r="L163" s="2391"/>
      <c r="M163" s="2391"/>
      <c r="N163" s="2391"/>
      <c r="O163" s="2391"/>
      <c r="P163" s="2391"/>
      <c r="Q163" s="2391"/>
      <c r="R163" s="2391"/>
      <c r="S163" s="2391"/>
      <c r="T163" s="2391"/>
      <c r="U163" s="2391"/>
      <c r="V163" s="2391"/>
      <c r="W163" s="2391"/>
      <c r="X163" s="2391"/>
      <c r="Y163" s="2391"/>
      <c r="Z163" s="2391"/>
      <c r="AA163" s="2391"/>
      <c r="AB163" s="2391"/>
      <c r="AC163" s="2391"/>
      <c r="AD163" s="2391"/>
      <c r="AE163" s="2391"/>
      <c r="AF163" s="2391"/>
      <c r="AG163" s="2391"/>
      <c r="AH163" s="2391"/>
      <c r="AI163" s="2391"/>
      <c r="AJ163" s="2391"/>
      <c r="AK163" s="1180"/>
      <c r="AM163" s="539"/>
      <c r="AN163" s="535"/>
      <c r="AO163" s="476"/>
      <c r="AP163" s="489"/>
    </row>
    <row r="164" spans="1:42" s="536" customFormat="1" ht="12.75" customHeight="1">
      <c r="B164" s="1180"/>
      <c r="C164" s="2392" t="s">
        <v>2475</v>
      </c>
      <c r="D164" s="2392"/>
      <c r="E164" s="2392"/>
      <c r="F164" s="2392"/>
      <c r="G164" s="2392"/>
      <c r="H164" s="2392"/>
      <c r="I164" s="2392"/>
      <c r="J164" s="2392"/>
      <c r="K164" s="2392"/>
      <c r="L164" s="2392"/>
      <c r="M164" s="2392"/>
      <c r="N164" s="2392"/>
      <c r="O164" s="2392"/>
      <c r="P164" s="2392"/>
      <c r="Q164" s="2392"/>
      <c r="R164" s="2392"/>
      <c r="S164" s="2392"/>
      <c r="T164" s="2392"/>
      <c r="U164" s="2392"/>
      <c r="V164" s="2392"/>
      <c r="W164" s="2392"/>
      <c r="X164" s="2392"/>
      <c r="Y164" s="2392"/>
      <c r="Z164" s="2392"/>
      <c r="AA164" s="1170"/>
      <c r="AB164" s="1170"/>
      <c r="AC164" s="1170"/>
      <c r="AD164" s="1170"/>
      <c r="AE164" s="1170"/>
      <c r="AF164" s="1170"/>
      <c r="AG164" s="1170"/>
      <c r="AH164" s="1170"/>
      <c r="AJ164" s="2393" t="s">
        <v>592</v>
      </c>
      <c r="AK164" s="2393"/>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81">
        <f>IF($AB$155="N/A",VLOOKUP($B$153,$AO$151:$AP$154,2,FALSE),VLOOKUP($B$158,$AO$156:$AP$158,2,FALSE))</f>
        <v>7</v>
      </c>
      <c r="AK166" s="2481"/>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1" t="s">
        <v>1353</v>
      </c>
      <c r="AG168" s="2521"/>
      <c r="AH168" s="2521"/>
      <c r="AI168" s="2521"/>
      <c r="AJ168" s="2521"/>
      <c r="AK168" s="2521"/>
      <c r="AL168" s="2521"/>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2" t="s">
        <v>1351</v>
      </c>
      <c r="D170" s="2592"/>
      <c r="E170" s="2592"/>
      <c r="F170" s="2592"/>
      <c r="G170" s="2592"/>
      <c r="H170" s="2592"/>
      <c r="I170" s="2592"/>
      <c r="J170" s="2592"/>
      <c r="K170" s="2592"/>
      <c r="L170" s="2592"/>
      <c r="M170" s="2592"/>
      <c r="N170" s="2592"/>
      <c r="O170" s="2592"/>
      <c r="P170" s="2592"/>
      <c r="Q170" s="2592"/>
      <c r="R170" s="2592"/>
      <c r="S170" s="2592"/>
      <c r="T170" s="2592"/>
      <c r="U170" s="2592"/>
      <c r="V170" s="2592"/>
      <c r="W170" s="2592"/>
      <c r="X170" s="2592"/>
      <c r="Y170" s="2592"/>
      <c r="Z170" s="2592"/>
      <c r="AA170" s="2592"/>
      <c r="AB170" s="2592"/>
      <c r="AC170" s="2592"/>
      <c r="AD170" s="2592"/>
      <c r="AE170" s="2592"/>
      <c r="AF170" s="2592"/>
      <c r="AG170" s="2592"/>
      <c r="AH170" s="2592"/>
      <c r="AI170" s="2592"/>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3" t="s">
        <v>592</v>
      </c>
      <c r="AG172" s="2393"/>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592" t="s">
        <v>1344</v>
      </c>
      <c r="D174" s="2592"/>
      <c r="E174" s="2592"/>
      <c r="F174" s="2592"/>
      <c r="G174" s="2592"/>
      <c r="H174" s="2592"/>
      <c r="I174" s="2592"/>
      <c r="J174" s="2592"/>
      <c r="K174" s="2592"/>
      <c r="L174" s="2592"/>
      <c r="M174" s="2592"/>
      <c r="N174" s="2592"/>
      <c r="O174" s="2592"/>
      <c r="P174" s="2592"/>
      <c r="Q174" s="2592"/>
      <c r="R174" s="2592"/>
      <c r="S174" s="2592"/>
      <c r="T174" s="2592"/>
      <c r="U174" s="2592"/>
      <c r="V174" s="2592"/>
      <c r="W174" s="2592"/>
      <c r="X174" s="2592"/>
      <c r="Y174" s="2592"/>
      <c r="Z174" s="2592"/>
      <c r="AA174" s="2592"/>
      <c r="AB174" s="2592"/>
      <c r="AC174" s="2592"/>
      <c r="AD174" s="2592"/>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593" t="str">
        <f>Application!AA335</f>
        <v>Danco Property Management</v>
      </c>
      <c r="D178" s="2593"/>
      <c r="E178" s="2593"/>
      <c r="F178" s="2593"/>
      <c r="G178" s="2593"/>
      <c r="H178" s="2593"/>
      <c r="I178" s="2593"/>
      <c r="J178" s="2593"/>
      <c r="K178" s="2593"/>
      <c r="L178" s="2593"/>
      <c r="M178" s="2593"/>
      <c r="N178" s="2593"/>
      <c r="O178" s="2593"/>
      <c r="P178" s="2593"/>
      <c r="Q178" s="2593"/>
      <c r="R178" s="2593"/>
      <c r="S178" s="2593"/>
      <c r="T178" s="2593"/>
      <c r="U178" s="2593"/>
      <c r="V178" s="2593"/>
      <c r="W178" s="2593"/>
      <c r="X178" s="2593"/>
      <c r="Y178" s="2593"/>
      <c r="Z178" s="2593"/>
      <c r="AA178" s="2593"/>
      <c r="AB178" s="2593"/>
      <c r="AC178" s="2593"/>
      <c r="AD178" s="2593"/>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80">
        <f>IF($AF$172="N/A",VLOOKUP($C$170,$AO$170:$AP$173,2,FALSE),VLOOKUP($C$174,$AO$177:$AP$179,2,FALSE))</f>
        <v>3</v>
      </c>
      <c r="AK180" s="2480"/>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587">
        <f>$AJ$166+$AJ$180</f>
        <v>10</v>
      </c>
      <c r="AL183" s="2588"/>
      <c r="AM183" s="2589"/>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1" t="s">
        <v>1315</v>
      </c>
      <c r="AF186" s="2461"/>
      <c r="AG186" s="2461"/>
      <c r="AH186" s="2461"/>
      <c r="AI186" s="2461"/>
      <c r="AJ186" s="2461"/>
      <c r="AK186" s="2461"/>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590" t="s">
        <v>1042</v>
      </c>
      <c r="C188" s="2590"/>
      <c r="D188" s="2590"/>
      <c r="E188" s="2590"/>
      <c r="F188" s="2590"/>
      <c r="G188" s="2590"/>
      <c r="H188" s="2590"/>
      <c r="I188" s="2590"/>
      <c r="J188" s="2590"/>
      <c r="K188" s="2590"/>
      <c r="L188" s="2590"/>
      <c r="M188" s="2590"/>
      <c r="N188" s="2590"/>
      <c r="O188" s="2590"/>
      <c r="P188" s="2590"/>
      <c r="Q188" s="2590"/>
      <c r="R188" s="2590"/>
      <c r="S188" s="2590"/>
      <c r="T188" s="2590"/>
      <c r="U188" s="2590"/>
      <c r="V188" s="2590"/>
      <c r="W188" s="2590"/>
      <c r="X188" s="2590"/>
      <c r="Y188" s="2590"/>
      <c r="Z188" s="2590"/>
      <c r="AA188" s="2590"/>
      <c r="AB188" s="2590"/>
      <c r="AC188" s="2590"/>
      <c r="AD188" s="536"/>
      <c r="AE188" s="536"/>
      <c r="AF188" s="2521" t="s">
        <v>1364</v>
      </c>
      <c r="AG188" s="2521"/>
      <c r="AH188" s="2521"/>
      <c r="AI188" s="2521"/>
      <c r="AJ188" s="2521"/>
      <c r="AK188" s="2521"/>
      <c r="AL188" s="2521"/>
      <c r="AN188" s="597"/>
      <c r="AP188" s="550" t="s">
        <v>1044</v>
      </c>
      <c r="AQ188" s="550">
        <v>10</v>
      </c>
    </row>
    <row r="189" spans="1:73" s="550" customFormat="1" ht="12.75" customHeight="1">
      <c r="A189" s="536"/>
      <c r="B189" s="2392" t="s">
        <v>1727</v>
      </c>
      <c r="C189" s="2392"/>
      <c r="D189" s="2392"/>
      <c r="E189" s="2392"/>
      <c r="F189" s="2392"/>
      <c r="G189" s="2392"/>
      <c r="H189" s="2392"/>
      <c r="I189" s="2392"/>
      <c r="J189" s="2392"/>
      <c r="K189" s="2392"/>
      <c r="L189" s="2392"/>
      <c r="M189" s="2392"/>
      <c r="N189" s="2392"/>
      <c r="O189" s="2392"/>
      <c r="P189" s="2392"/>
      <c r="Q189" s="2392"/>
      <c r="R189" s="2392"/>
      <c r="S189" s="2392"/>
      <c r="T189" s="2591" t="s">
        <v>592</v>
      </c>
      <c r="U189" s="2591"/>
      <c r="V189" s="2591"/>
      <c r="W189" s="2591"/>
      <c r="X189" s="2591"/>
      <c r="Y189" s="2591"/>
      <c r="Z189" s="2591"/>
      <c r="AA189" s="2591"/>
      <c r="AB189" s="2591"/>
      <c r="AC189" s="2591"/>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28">
        <f>IF(AK84&gt;0,VLOOKUP($B$188,AP185:AQ191,2,FALSE),0)</f>
        <v>10</v>
      </c>
      <c r="AL191" s="2429"/>
      <c r="AM191" s="2430"/>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1" t="s">
        <v>1373</v>
      </c>
      <c r="AF194" s="2461"/>
      <c r="AG194" s="2461"/>
      <c r="AH194" s="2461"/>
      <c r="AI194" s="2461"/>
      <c r="AJ194" s="2461"/>
      <c r="AK194" s="2461"/>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4" t="s">
        <v>2692</v>
      </c>
      <c r="C199" s="2584"/>
      <c r="D199" s="2584"/>
      <c r="E199" s="2584"/>
      <c r="F199" s="2584"/>
      <c r="G199" s="2584"/>
      <c r="H199" s="2584"/>
      <c r="I199" s="2584"/>
      <c r="J199" s="2584"/>
      <c r="K199" s="2584"/>
      <c r="L199" s="2584"/>
      <c r="M199" s="2584"/>
      <c r="N199" s="2584"/>
      <c r="O199" s="2584"/>
      <c r="P199" s="2584"/>
      <c r="Q199" s="2584"/>
      <c r="R199" s="2584"/>
      <c r="S199" s="2584"/>
      <c r="T199" s="2584"/>
      <c r="U199" s="2584"/>
      <c r="V199" s="2584"/>
      <c r="W199" s="2584"/>
      <c r="X199" s="2584"/>
      <c r="Y199" s="2584"/>
      <c r="Z199" s="2584"/>
      <c r="AA199" s="2584"/>
      <c r="AB199" s="2584"/>
      <c r="AC199" s="846"/>
      <c r="AD199" s="2574">
        <f>+[1]Application!AM557</f>
        <v>8000000</v>
      </c>
      <c r="AE199" s="2574"/>
      <c r="AF199" s="2574"/>
      <c r="AG199" s="2574"/>
      <c r="AH199" s="2574"/>
      <c r="AI199" s="2574"/>
      <c r="AJ199" s="2574"/>
      <c r="AK199" s="610"/>
    </row>
    <row r="200" spans="1:40">
      <c r="A200" s="605"/>
      <c r="B200" s="2584" t="s">
        <v>2715</v>
      </c>
      <c r="C200" s="2584"/>
      <c r="D200" s="2584"/>
      <c r="E200" s="2584"/>
      <c r="F200" s="2584"/>
      <c r="G200" s="2584"/>
      <c r="H200" s="2584"/>
      <c r="I200" s="2584"/>
      <c r="J200" s="2584"/>
      <c r="K200" s="2584"/>
      <c r="L200" s="2584"/>
      <c r="M200" s="2584"/>
      <c r="N200" s="2584"/>
      <c r="O200" s="2584"/>
      <c r="P200" s="2584"/>
      <c r="Q200" s="2584"/>
      <c r="R200" s="2584"/>
      <c r="S200" s="2584"/>
      <c r="T200" s="2584"/>
      <c r="U200" s="2584"/>
      <c r="V200" s="2584"/>
      <c r="W200" s="2584"/>
      <c r="X200" s="2584"/>
      <c r="Y200" s="2584"/>
      <c r="Z200" s="2584"/>
      <c r="AA200" s="2584"/>
      <c r="AB200" s="2584"/>
      <c r="AC200" s="846"/>
      <c r="AD200" s="2574">
        <f>+[1]Application!AM558</f>
        <v>7900000</v>
      </c>
      <c r="AE200" s="2574"/>
      <c r="AF200" s="2574"/>
      <c r="AG200" s="2574"/>
      <c r="AH200" s="2574"/>
      <c r="AI200" s="2574"/>
      <c r="AJ200" s="2574"/>
      <c r="AK200" s="610"/>
    </row>
    <row r="201" spans="1:40">
      <c r="A201" s="605"/>
      <c r="B201" s="2584"/>
      <c r="C201" s="2584"/>
      <c r="D201" s="2584"/>
      <c r="E201" s="2584"/>
      <c r="F201" s="2584"/>
      <c r="G201" s="2584"/>
      <c r="H201" s="2584"/>
      <c r="I201" s="2584"/>
      <c r="J201" s="2584"/>
      <c r="K201" s="2584"/>
      <c r="L201" s="2584"/>
      <c r="M201" s="2584"/>
      <c r="N201" s="2584"/>
      <c r="O201" s="2584"/>
      <c r="P201" s="2584"/>
      <c r="Q201" s="2584"/>
      <c r="R201" s="2584"/>
      <c r="S201" s="2584"/>
      <c r="T201" s="2584"/>
      <c r="U201" s="2584"/>
      <c r="V201" s="2584"/>
      <c r="W201" s="2584"/>
      <c r="X201" s="2584"/>
      <c r="Y201" s="2584"/>
      <c r="Z201" s="2584"/>
      <c r="AA201" s="2584"/>
      <c r="AB201" s="2584"/>
      <c r="AC201" s="846"/>
      <c r="AD201" s="2574"/>
      <c r="AE201" s="2574"/>
      <c r="AF201" s="2574"/>
      <c r="AG201" s="2574"/>
      <c r="AH201" s="2574"/>
      <c r="AI201" s="2574"/>
      <c r="AJ201" s="2574"/>
      <c r="AK201" s="610"/>
    </row>
    <row r="202" spans="1:40">
      <c r="A202" s="605"/>
      <c r="B202" s="2584"/>
      <c r="C202" s="2584"/>
      <c r="D202" s="2584"/>
      <c r="E202" s="2584"/>
      <c r="F202" s="2584"/>
      <c r="G202" s="2584"/>
      <c r="H202" s="2584"/>
      <c r="I202" s="2584"/>
      <c r="J202" s="2584"/>
      <c r="K202" s="2584"/>
      <c r="L202" s="2584"/>
      <c r="M202" s="2584"/>
      <c r="N202" s="2584"/>
      <c r="O202" s="2584"/>
      <c r="P202" s="2584"/>
      <c r="Q202" s="2584"/>
      <c r="R202" s="2584"/>
      <c r="S202" s="2584"/>
      <c r="T202" s="2584"/>
      <c r="U202" s="2584"/>
      <c r="V202" s="2584"/>
      <c r="W202" s="2584"/>
      <c r="X202" s="2584"/>
      <c r="Y202" s="2584"/>
      <c r="Z202" s="2584"/>
      <c r="AA202" s="2584"/>
      <c r="AB202" s="2584"/>
      <c r="AC202" s="846"/>
      <c r="AD202" s="2574"/>
      <c r="AE202" s="2574"/>
      <c r="AF202" s="2574"/>
      <c r="AG202" s="2574"/>
      <c r="AH202" s="2574"/>
      <c r="AI202" s="2574"/>
      <c r="AJ202" s="2574"/>
      <c r="AK202" s="610"/>
    </row>
    <row r="203" spans="1:40">
      <c r="A203" s="605"/>
      <c r="B203" s="2584"/>
      <c r="C203" s="2584"/>
      <c r="D203" s="2584"/>
      <c r="E203" s="2584"/>
      <c r="F203" s="2584"/>
      <c r="G203" s="2584"/>
      <c r="H203" s="2584"/>
      <c r="I203" s="2584"/>
      <c r="J203" s="2584"/>
      <c r="K203" s="2584"/>
      <c r="L203" s="2584"/>
      <c r="M203" s="2584"/>
      <c r="N203" s="2584"/>
      <c r="O203" s="2584"/>
      <c r="P203" s="2584"/>
      <c r="Q203" s="2584"/>
      <c r="R203" s="2584"/>
      <c r="S203" s="2584"/>
      <c r="T203" s="2584"/>
      <c r="U203" s="2584"/>
      <c r="V203" s="2584"/>
      <c r="W203" s="2584"/>
      <c r="X203" s="2584"/>
      <c r="Y203" s="2584"/>
      <c r="Z203" s="2584"/>
      <c r="AA203" s="2584"/>
      <c r="AB203" s="2584"/>
      <c r="AC203" s="846"/>
      <c r="AD203" s="2574"/>
      <c r="AE203" s="2574"/>
      <c r="AF203" s="2574"/>
      <c r="AG203" s="2574"/>
      <c r="AH203" s="2574"/>
      <c r="AI203" s="2574"/>
      <c r="AJ203" s="2574"/>
      <c r="AK203" s="610"/>
    </row>
    <row r="204" spans="1:40">
      <c r="A204" s="605"/>
      <c r="B204" s="2584"/>
      <c r="C204" s="2584"/>
      <c r="D204" s="2584"/>
      <c r="E204" s="2584"/>
      <c r="F204" s="2584"/>
      <c r="G204" s="2584"/>
      <c r="H204" s="2584"/>
      <c r="I204" s="2584"/>
      <c r="J204" s="2584"/>
      <c r="K204" s="2584"/>
      <c r="L204" s="2584"/>
      <c r="M204" s="2584"/>
      <c r="N204" s="2584"/>
      <c r="O204" s="2584"/>
      <c r="P204" s="2584"/>
      <c r="Q204" s="2584"/>
      <c r="R204" s="2584"/>
      <c r="S204" s="2584"/>
      <c r="T204" s="2584"/>
      <c r="U204" s="2584"/>
      <c r="V204" s="2584"/>
      <c r="W204" s="2584"/>
      <c r="X204" s="2584"/>
      <c r="Y204" s="2584"/>
      <c r="Z204" s="2584"/>
      <c r="AA204" s="2584"/>
      <c r="AB204" s="2584"/>
      <c r="AC204" s="846"/>
      <c r="AD204" s="2574"/>
      <c r="AE204" s="2574"/>
      <c r="AF204" s="2574"/>
      <c r="AG204" s="2574"/>
      <c r="AH204" s="2574"/>
      <c r="AI204" s="2574"/>
      <c r="AJ204" s="2574"/>
      <c r="AK204" s="610"/>
    </row>
    <row r="205" spans="1:40">
      <c r="A205" s="605"/>
      <c r="B205" s="2584"/>
      <c r="C205" s="2584"/>
      <c r="D205" s="2584"/>
      <c r="E205" s="2584"/>
      <c r="F205" s="2584"/>
      <c r="G205" s="2584"/>
      <c r="H205" s="2584"/>
      <c r="I205" s="2584"/>
      <c r="J205" s="2584"/>
      <c r="K205" s="2584"/>
      <c r="L205" s="2584"/>
      <c r="M205" s="2584"/>
      <c r="N205" s="2584"/>
      <c r="O205" s="2584"/>
      <c r="P205" s="2584"/>
      <c r="Q205" s="2584"/>
      <c r="R205" s="2584"/>
      <c r="S205" s="2584"/>
      <c r="T205" s="2584"/>
      <c r="U205" s="2584"/>
      <c r="V205" s="2584"/>
      <c r="W205" s="2584"/>
      <c r="X205" s="2584"/>
      <c r="Y205" s="2584"/>
      <c r="Z205" s="2584"/>
      <c r="AA205" s="2584"/>
      <c r="AB205" s="2584"/>
      <c r="AC205" s="846"/>
      <c r="AD205" s="2574"/>
      <c r="AE205" s="2574"/>
      <c r="AF205" s="2574"/>
      <c r="AG205" s="2574"/>
      <c r="AH205" s="2574"/>
      <c r="AI205" s="2574"/>
      <c r="AJ205" s="2574"/>
      <c r="AK205" s="610"/>
    </row>
    <row r="206" spans="1:40">
      <c r="A206" s="605"/>
      <c r="B206" s="2584"/>
      <c r="C206" s="2584"/>
      <c r="D206" s="2584"/>
      <c r="E206" s="2584"/>
      <c r="F206" s="2584"/>
      <c r="G206" s="2584"/>
      <c r="H206" s="2584"/>
      <c r="I206" s="2584"/>
      <c r="J206" s="2584"/>
      <c r="K206" s="2584"/>
      <c r="L206" s="2584"/>
      <c r="M206" s="2584"/>
      <c r="N206" s="2584"/>
      <c r="O206" s="2584"/>
      <c r="P206" s="2584"/>
      <c r="Q206" s="2584"/>
      <c r="R206" s="2584"/>
      <c r="S206" s="2584"/>
      <c r="T206" s="2584"/>
      <c r="U206" s="2584"/>
      <c r="V206" s="2584"/>
      <c r="W206" s="2584"/>
      <c r="X206" s="2584"/>
      <c r="Y206" s="2584"/>
      <c r="Z206" s="2584"/>
      <c r="AA206" s="2584"/>
      <c r="AB206" s="2584"/>
      <c r="AC206" s="846"/>
      <c r="AD206" s="2574"/>
      <c r="AE206" s="2574"/>
      <c r="AF206" s="2574"/>
      <c r="AG206" s="2574"/>
      <c r="AH206" s="2574"/>
      <c r="AI206" s="2574"/>
      <c r="AJ206" s="2574"/>
      <c r="AK206" s="610"/>
    </row>
    <row r="207" spans="1:40">
      <c r="A207" s="605"/>
      <c r="B207" s="2584"/>
      <c r="C207" s="2584"/>
      <c r="D207" s="2584"/>
      <c r="E207" s="2584"/>
      <c r="F207" s="2584"/>
      <c r="G207" s="2584"/>
      <c r="H207" s="2584"/>
      <c r="I207" s="2584"/>
      <c r="J207" s="2584"/>
      <c r="K207" s="2584"/>
      <c r="L207" s="2584"/>
      <c r="M207" s="2584"/>
      <c r="N207" s="2584"/>
      <c r="O207" s="2584"/>
      <c r="P207" s="2584"/>
      <c r="Q207" s="2584"/>
      <c r="R207" s="2584"/>
      <c r="S207" s="2584"/>
      <c r="T207" s="2584"/>
      <c r="U207" s="2584"/>
      <c r="V207" s="2584"/>
      <c r="W207" s="2584"/>
      <c r="X207" s="2584"/>
      <c r="Y207" s="2584"/>
      <c r="Z207" s="2584"/>
      <c r="AA207" s="2584"/>
      <c r="AB207" s="2584"/>
      <c r="AC207" s="846"/>
      <c r="AD207" s="2574"/>
      <c r="AE207" s="2574"/>
      <c r="AF207" s="2574"/>
      <c r="AG207" s="2574"/>
      <c r="AH207" s="2574"/>
      <c r="AI207" s="2574"/>
      <c r="AJ207" s="2574"/>
      <c r="AK207" s="610"/>
    </row>
    <row r="208" spans="1:40">
      <c r="A208" s="605"/>
      <c r="B208" s="2584"/>
      <c r="C208" s="2584"/>
      <c r="D208" s="2584"/>
      <c r="E208" s="2584"/>
      <c r="F208" s="2584"/>
      <c r="G208" s="2584"/>
      <c r="H208" s="2584"/>
      <c r="I208" s="2584"/>
      <c r="J208" s="2584"/>
      <c r="K208" s="2584"/>
      <c r="L208" s="2584"/>
      <c r="M208" s="2584"/>
      <c r="N208" s="2584"/>
      <c r="O208" s="2584"/>
      <c r="P208" s="2584"/>
      <c r="Q208" s="2584"/>
      <c r="R208" s="2584"/>
      <c r="S208" s="2584"/>
      <c r="T208" s="2584"/>
      <c r="U208" s="2584"/>
      <c r="V208" s="2584"/>
      <c r="W208" s="2584"/>
      <c r="X208" s="2584"/>
      <c r="Y208" s="2584"/>
      <c r="Z208" s="2584"/>
      <c r="AA208" s="2584"/>
      <c r="AB208" s="2584"/>
      <c r="AC208" s="846"/>
      <c r="AD208" s="2574"/>
      <c r="AE208" s="2574"/>
      <c r="AF208" s="2574"/>
      <c r="AG208" s="2574"/>
      <c r="AH208" s="2574"/>
      <c r="AI208" s="2574"/>
      <c r="AJ208" s="2574"/>
      <c r="AK208" s="610"/>
    </row>
    <row r="209" spans="1:37">
      <c r="A209" s="605"/>
      <c r="B209" s="2599" t="s">
        <v>1628</v>
      </c>
      <c r="C209" s="2599"/>
      <c r="D209" s="2599"/>
      <c r="E209" s="2599"/>
      <c r="F209" s="2599"/>
      <c r="G209" s="2599"/>
      <c r="H209" s="2599"/>
      <c r="I209" s="2599"/>
      <c r="J209" s="2599"/>
      <c r="K209" s="2599"/>
      <c r="L209" s="2599"/>
      <c r="M209" s="2599"/>
      <c r="N209" s="2599"/>
      <c r="O209" s="2599"/>
      <c r="P209" s="2599"/>
      <c r="Q209" s="2599"/>
      <c r="R209" s="2599"/>
      <c r="S209" s="2599"/>
      <c r="T209" s="2599"/>
      <c r="U209" s="2599"/>
      <c r="V209" s="2599"/>
      <c r="W209" s="2599"/>
      <c r="X209" s="2599"/>
      <c r="Y209" s="2599"/>
      <c r="Z209" s="2599"/>
      <c r="AA209" s="2599"/>
      <c r="AB209" s="2599"/>
      <c r="AC209" s="536"/>
      <c r="AD209" s="2572">
        <f>AB260</f>
        <v>0</v>
      </c>
      <c r="AE209" s="2572"/>
      <c r="AF209" s="2572"/>
      <c r="AG209" s="2572"/>
      <c r="AH209" s="2572"/>
      <c r="AI209" s="2572"/>
      <c r="AJ209" s="2572"/>
      <c r="AK209" s="610"/>
    </row>
    <row r="210" spans="1:37">
      <c r="A210" s="605"/>
      <c r="B210" s="2446" t="s">
        <v>1591</v>
      </c>
      <c r="C210" s="2446"/>
      <c r="D210" s="2446"/>
      <c r="E210" s="2446"/>
      <c r="F210" s="2446"/>
      <c r="G210" s="2446"/>
      <c r="H210" s="2446"/>
      <c r="I210" s="2446"/>
      <c r="J210" s="2446"/>
      <c r="K210" s="2446"/>
      <c r="L210" s="2446"/>
      <c r="M210" s="2446"/>
      <c r="N210" s="2446"/>
      <c r="O210" s="2446"/>
      <c r="P210" s="2446"/>
      <c r="Q210" s="2446"/>
      <c r="R210" s="2446"/>
      <c r="S210" s="2446"/>
      <c r="T210" s="2446"/>
      <c r="U210" s="2446"/>
      <c r="V210" s="2446"/>
      <c r="W210" s="2446"/>
      <c r="X210" s="2446"/>
      <c r="Y210" s="2446"/>
      <c r="Z210" s="2446"/>
      <c r="AA210" s="2446"/>
      <c r="AB210" s="2446"/>
      <c r="AC210" s="846"/>
      <c r="AD210" s="2573">
        <f>'Sources and Uses Budget'!B15</f>
        <v>0</v>
      </c>
      <c r="AE210" s="2573"/>
      <c r="AF210" s="2573"/>
      <c r="AG210" s="2573"/>
      <c r="AH210" s="2573"/>
      <c r="AI210" s="2573"/>
      <c r="AJ210" s="2573"/>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78">
        <f>SUM(AD199:AJ209)-AD210</f>
        <v>15900000</v>
      </c>
      <c r="AE211" s="2578"/>
      <c r="AF211" s="2578"/>
      <c r="AG211" s="2578"/>
      <c r="AH211" s="2578"/>
      <c r="AI211" s="2578"/>
      <c r="AJ211" s="2578"/>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7" t="s">
        <v>1608</v>
      </c>
      <c r="J222" s="2597"/>
      <c r="K222" s="2597"/>
      <c r="L222" s="536"/>
      <c r="M222" s="536"/>
      <c r="N222" s="536"/>
      <c r="O222" s="536"/>
      <c r="P222" s="536"/>
      <c r="Q222" s="536"/>
      <c r="R222" s="536"/>
      <c r="S222" s="536"/>
      <c r="T222" s="2412" t="s">
        <v>1602</v>
      </c>
      <c r="U222" s="2412"/>
      <c r="V222" s="2412"/>
      <c r="W222" s="2412"/>
      <c r="X222" s="2412"/>
      <c r="Y222" s="2412"/>
      <c r="Z222" s="849"/>
      <c r="AA222" s="489"/>
      <c r="AB222" s="2594" t="s">
        <v>1603</v>
      </c>
      <c r="AC222" s="2594"/>
      <c r="AD222" s="2594"/>
      <c r="AE222" s="2594"/>
      <c r="AF222" s="2594"/>
      <c r="AG222" s="2594"/>
      <c r="AH222" s="827"/>
      <c r="AI222" s="827"/>
      <c r="AJ222" s="827"/>
      <c r="AK222" s="610"/>
    </row>
    <row r="223" spans="1:37">
      <c r="A223" s="605"/>
      <c r="B223" s="2595" t="s">
        <v>1588</v>
      </c>
      <c r="C223" s="2595"/>
      <c r="D223" s="2595"/>
      <c r="E223" s="2595"/>
      <c r="F223" s="2595"/>
      <c r="G223" s="2595"/>
      <c r="I223" s="2596" t="s">
        <v>1609</v>
      </c>
      <c r="J223" s="2596"/>
      <c r="K223" s="2596"/>
      <c r="L223" s="1008"/>
      <c r="N223" s="2447" t="s">
        <v>1604</v>
      </c>
      <c r="O223" s="2447"/>
      <c r="P223" s="2447"/>
      <c r="Q223" s="2447"/>
      <c r="R223" s="2447"/>
      <c r="T223" s="2447" t="s">
        <v>1605</v>
      </c>
      <c r="U223" s="2447"/>
      <c r="V223" s="2447"/>
      <c r="W223" s="2447"/>
      <c r="X223" s="2447"/>
      <c r="Y223" s="2447"/>
      <c r="Z223" s="850"/>
      <c r="AA223" s="489"/>
      <c r="AB223" s="2462" t="s">
        <v>1606</v>
      </c>
      <c r="AC223" s="2462"/>
      <c r="AD223" s="2462"/>
      <c r="AE223" s="2462"/>
      <c r="AF223" s="2462"/>
      <c r="AG223" s="2462"/>
      <c r="AH223" s="827"/>
      <c r="AI223" s="827"/>
      <c r="AJ223" s="827"/>
      <c r="AK223" s="610"/>
    </row>
    <row r="224" spans="1:37">
      <c r="A224" s="605"/>
      <c r="B224" s="2463" t="s">
        <v>1185</v>
      </c>
      <c r="C224" s="2463"/>
      <c r="D224" s="2463"/>
      <c r="E224" s="2463"/>
      <c r="F224" s="2463"/>
      <c r="G224" s="2463"/>
      <c r="H224" s="852"/>
      <c r="I224" s="2416"/>
      <c r="J224" s="2416"/>
      <c r="K224" s="2416"/>
      <c r="L224" s="1008"/>
      <c r="N224" s="2414"/>
      <c r="O224" s="2414"/>
      <c r="P224" s="2414"/>
      <c r="Q224" s="2414"/>
      <c r="R224" s="2414"/>
      <c r="T224" s="2413"/>
      <c r="U224" s="2413"/>
      <c r="V224" s="2413"/>
      <c r="W224" s="2413"/>
      <c r="X224" s="2413"/>
      <c r="Y224" s="2413"/>
      <c r="Z224" s="851"/>
      <c r="AA224" s="851"/>
      <c r="AB224" s="2411">
        <f t="shared" ref="AB224:AB233" si="0">MAX(($T224-$N224)*$I224*12,0)</f>
        <v>0</v>
      </c>
      <c r="AC224" s="2411"/>
      <c r="AD224" s="2411"/>
      <c r="AE224" s="2411"/>
      <c r="AF224" s="2411"/>
      <c r="AG224" s="2411"/>
      <c r="AH224" s="827"/>
      <c r="AI224" s="827"/>
      <c r="AJ224" s="827"/>
      <c r="AK224" s="610"/>
    </row>
    <row r="225" spans="1:37">
      <c r="A225" s="605"/>
      <c r="B225" s="2463" t="s">
        <v>1185</v>
      </c>
      <c r="C225" s="2463"/>
      <c r="D225" s="2463"/>
      <c r="E225" s="2463"/>
      <c r="F225" s="2463"/>
      <c r="G225" s="2463"/>
      <c r="I225" s="2416"/>
      <c r="J225" s="2416"/>
      <c r="K225" s="2416"/>
      <c r="L225" s="1008"/>
      <c r="N225" s="2414"/>
      <c r="O225" s="2414"/>
      <c r="P225" s="2414"/>
      <c r="Q225" s="2414"/>
      <c r="R225" s="2414"/>
      <c r="T225" s="2413"/>
      <c r="U225" s="2413"/>
      <c r="V225" s="2413"/>
      <c r="W225" s="2413"/>
      <c r="X225" s="2413"/>
      <c r="Y225" s="2413"/>
      <c r="Z225" s="851"/>
      <c r="AA225" s="851"/>
      <c r="AB225" s="2411">
        <f t="shared" si="0"/>
        <v>0</v>
      </c>
      <c r="AC225" s="2411"/>
      <c r="AD225" s="2411"/>
      <c r="AE225" s="2411"/>
      <c r="AF225" s="2411"/>
      <c r="AG225" s="2411"/>
      <c r="AH225" s="827"/>
      <c r="AI225" s="827"/>
      <c r="AJ225" s="827"/>
      <c r="AK225" s="610"/>
    </row>
    <row r="226" spans="1:37">
      <c r="A226" s="605"/>
      <c r="B226" s="2463" t="s">
        <v>1185</v>
      </c>
      <c r="C226" s="2463"/>
      <c r="D226" s="2463"/>
      <c r="E226" s="2463"/>
      <c r="F226" s="2463"/>
      <c r="G226" s="2463"/>
      <c r="I226" s="2416"/>
      <c r="J226" s="2416"/>
      <c r="K226" s="2416"/>
      <c r="L226" s="1008"/>
      <c r="N226" s="2414"/>
      <c r="O226" s="2414"/>
      <c r="P226" s="2414"/>
      <c r="Q226" s="2414"/>
      <c r="R226" s="2414"/>
      <c r="T226" s="2413"/>
      <c r="U226" s="2413"/>
      <c r="V226" s="2413"/>
      <c r="W226" s="2413"/>
      <c r="X226" s="2413"/>
      <c r="Y226" s="2413"/>
      <c r="Z226" s="851"/>
      <c r="AA226" s="851"/>
      <c r="AB226" s="2411">
        <f t="shared" si="0"/>
        <v>0</v>
      </c>
      <c r="AC226" s="2411"/>
      <c r="AD226" s="2411"/>
      <c r="AE226" s="2411"/>
      <c r="AF226" s="2411"/>
      <c r="AG226" s="2411"/>
      <c r="AH226" s="827"/>
      <c r="AI226" s="827"/>
      <c r="AJ226" s="827"/>
      <c r="AK226" s="610"/>
    </row>
    <row r="227" spans="1:37">
      <c r="A227" s="605"/>
      <c r="B227" s="2463" t="s">
        <v>1185</v>
      </c>
      <c r="C227" s="2463"/>
      <c r="D227" s="2463"/>
      <c r="E227" s="2463"/>
      <c r="F227" s="2463"/>
      <c r="G227" s="2463"/>
      <c r="I227" s="2416"/>
      <c r="J227" s="2416"/>
      <c r="K227" s="2416"/>
      <c r="L227" s="1008"/>
      <c r="N227" s="2414"/>
      <c r="O227" s="2414"/>
      <c r="P227" s="2414"/>
      <c r="Q227" s="2414"/>
      <c r="R227" s="2414"/>
      <c r="T227" s="2413"/>
      <c r="U227" s="2413"/>
      <c r="V227" s="2413"/>
      <c r="W227" s="2413"/>
      <c r="X227" s="2413"/>
      <c r="Y227" s="2413"/>
      <c r="Z227" s="851"/>
      <c r="AA227" s="851"/>
      <c r="AB227" s="2411">
        <f t="shared" si="0"/>
        <v>0</v>
      </c>
      <c r="AC227" s="2411"/>
      <c r="AD227" s="2411"/>
      <c r="AE227" s="2411"/>
      <c r="AF227" s="2411"/>
      <c r="AG227" s="2411"/>
      <c r="AH227" s="827"/>
      <c r="AI227" s="827"/>
      <c r="AJ227" s="827"/>
      <c r="AK227" s="610"/>
    </row>
    <row r="228" spans="1:37">
      <c r="A228" s="605"/>
      <c r="B228" s="2463" t="s">
        <v>1185</v>
      </c>
      <c r="C228" s="2463"/>
      <c r="D228" s="2463"/>
      <c r="E228" s="2463"/>
      <c r="F228" s="2463"/>
      <c r="G228" s="2463"/>
      <c r="I228" s="2416"/>
      <c r="J228" s="2416"/>
      <c r="K228" s="2416"/>
      <c r="L228" s="1015"/>
      <c r="N228" s="2414"/>
      <c r="O228" s="2414"/>
      <c r="P228" s="2414"/>
      <c r="Q228" s="2414"/>
      <c r="R228" s="2414"/>
      <c r="T228" s="2413"/>
      <c r="U228" s="2413"/>
      <c r="V228" s="2413"/>
      <c r="W228" s="2413"/>
      <c r="X228" s="2413"/>
      <c r="Y228" s="2413"/>
      <c r="Z228" s="851"/>
      <c r="AA228" s="851"/>
      <c r="AB228" s="2411">
        <f t="shared" si="0"/>
        <v>0</v>
      </c>
      <c r="AC228" s="2411"/>
      <c r="AD228" s="2411"/>
      <c r="AE228" s="2411"/>
      <c r="AF228" s="2411"/>
      <c r="AG228" s="2411"/>
      <c r="AH228" s="827"/>
      <c r="AI228" s="827"/>
      <c r="AJ228" s="827"/>
      <c r="AK228" s="610"/>
    </row>
    <row r="229" spans="1:37">
      <c r="A229" s="605"/>
      <c r="B229" s="2463" t="s">
        <v>1185</v>
      </c>
      <c r="C229" s="2463"/>
      <c r="D229" s="2463"/>
      <c r="E229" s="2463"/>
      <c r="F229" s="2463"/>
      <c r="G229" s="2463"/>
      <c r="I229" s="2416"/>
      <c r="J229" s="2416"/>
      <c r="K229" s="2416"/>
      <c r="L229" s="1015"/>
      <c r="N229" s="2414"/>
      <c r="O229" s="2414"/>
      <c r="P229" s="2414"/>
      <c r="Q229" s="2414"/>
      <c r="R229" s="2414"/>
      <c r="T229" s="2413"/>
      <c r="U229" s="2413"/>
      <c r="V229" s="2413"/>
      <c r="W229" s="2413"/>
      <c r="X229" s="2413"/>
      <c r="Y229" s="2413"/>
      <c r="Z229" s="851"/>
      <c r="AA229" s="851"/>
      <c r="AB229" s="2411">
        <f t="shared" si="0"/>
        <v>0</v>
      </c>
      <c r="AC229" s="2411"/>
      <c r="AD229" s="2411"/>
      <c r="AE229" s="2411"/>
      <c r="AF229" s="2411"/>
      <c r="AG229" s="2411"/>
      <c r="AH229" s="827"/>
      <c r="AI229" s="827"/>
      <c r="AJ229" s="827"/>
      <c r="AK229" s="610"/>
    </row>
    <row r="230" spans="1:37">
      <c r="A230" s="605"/>
      <c r="B230" s="2463" t="s">
        <v>1185</v>
      </c>
      <c r="C230" s="2463"/>
      <c r="D230" s="2463"/>
      <c r="E230" s="2463"/>
      <c r="F230" s="2463"/>
      <c r="G230" s="2463"/>
      <c r="I230" s="2416"/>
      <c r="J230" s="2416"/>
      <c r="K230" s="2416"/>
      <c r="L230" s="1015"/>
      <c r="N230" s="2414"/>
      <c r="O230" s="2414"/>
      <c r="P230" s="2414"/>
      <c r="Q230" s="2414"/>
      <c r="R230" s="2414"/>
      <c r="T230" s="2413"/>
      <c r="U230" s="2413"/>
      <c r="V230" s="2413"/>
      <c r="W230" s="2413"/>
      <c r="X230" s="2413"/>
      <c r="Y230" s="2413"/>
      <c r="Z230" s="851"/>
      <c r="AA230" s="851"/>
      <c r="AB230" s="2411">
        <f t="shared" si="0"/>
        <v>0</v>
      </c>
      <c r="AC230" s="2411"/>
      <c r="AD230" s="2411"/>
      <c r="AE230" s="2411"/>
      <c r="AF230" s="2411"/>
      <c r="AG230" s="2411"/>
      <c r="AH230" s="827"/>
      <c r="AI230" s="827"/>
      <c r="AJ230" s="827"/>
      <c r="AK230" s="610"/>
    </row>
    <row r="231" spans="1:37">
      <c r="A231" s="605"/>
      <c r="B231" s="2463" t="s">
        <v>1185</v>
      </c>
      <c r="C231" s="2463"/>
      <c r="D231" s="2463"/>
      <c r="E231" s="2463"/>
      <c r="F231" s="2463"/>
      <c r="G231" s="2463"/>
      <c r="I231" s="2416"/>
      <c r="J231" s="2416"/>
      <c r="K231" s="2416"/>
      <c r="L231" s="1015"/>
      <c r="N231" s="2414"/>
      <c r="O231" s="2414"/>
      <c r="P231" s="2414"/>
      <c r="Q231" s="2414"/>
      <c r="R231" s="2414"/>
      <c r="T231" s="2413"/>
      <c r="U231" s="2413"/>
      <c r="V231" s="2413"/>
      <c r="W231" s="2413"/>
      <c r="X231" s="2413"/>
      <c r="Y231" s="2413"/>
      <c r="Z231" s="851"/>
      <c r="AA231" s="851"/>
      <c r="AB231" s="2411">
        <f t="shared" si="0"/>
        <v>0</v>
      </c>
      <c r="AC231" s="2411"/>
      <c r="AD231" s="2411"/>
      <c r="AE231" s="2411"/>
      <c r="AF231" s="2411"/>
      <c r="AG231" s="2411"/>
      <c r="AH231" s="827"/>
      <c r="AI231" s="827"/>
      <c r="AJ231" s="827"/>
      <c r="AK231" s="610"/>
    </row>
    <row r="232" spans="1:37">
      <c r="A232" s="605"/>
      <c r="B232" s="2463" t="s">
        <v>1185</v>
      </c>
      <c r="C232" s="2463"/>
      <c r="D232" s="2463"/>
      <c r="E232" s="2463"/>
      <c r="F232" s="2463"/>
      <c r="G232" s="2463"/>
      <c r="I232" s="2416"/>
      <c r="J232" s="2416"/>
      <c r="K232" s="2416"/>
      <c r="L232" s="1015"/>
      <c r="N232" s="2414"/>
      <c r="O232" s="2414"/>
      <c r="P232" s="2414"/>
      <c r="Q232" s="2414"/>
      <c r="R232" s="2414"/>
      <c r="T232" s="2413"/>
      <c r="U232" s="2413"/>
      <c r="V232" s="2413"/>
      <c r="W232" s="2413"/>
      <c r="X232" s="2413"/>
      <c r="Y232" s="2413"/>
      <c r="Z232" s="851"/>
      <c r="AA232" s="851"/>
      <c r="AB232" s="2411">
        <f t="shared" si="0"/>
        <v>0</v>
      </c>
      <c r="AC232" s="2411"/>
      <c r="AD232" s="2411"/>
      <c r="AE232" s="2411"/>
      <c r="AF232" s="2411"/>
      <c r="AG232" s="2411"/>
      <c r="AH232" s="827"/>
      <c r="AI232" s="827"/>
      <c r="AJ232" s="827"/>
      <c r="AK232" s="610"/>
    </row>
    <row r="233" spans="1:37">
      <c r="A233" s="605"/>
      <c r="B233" s="2463" t="s">
        <v>1185</v>
      </c>
      <c r="C233" s="2463"/>
      <c r="D233" s="2463"/>
      <c r="E233" s="2463"/>
      <c r="F233" s="2463"/>
      <c r="G233" s="2463"/>
      <c r="I233" s="2598"/>
      <c r="J233" s="2598"/>
      <c r="K233" s="2598"/>
      <c r="L233" s="1015"/>
      <c r="N233" s="2414"/>
      <c r="O233" s="2414"/>
      <c r="P233" s="2414"/>
      <c r="Q233" s="2414"/>
      <c r="R233" s="2414"/>
      <c r="T233" s="2413"/>
      <c r="U233" s="2413"/>
      <c r="V233" s="2413"/>
      <c r="W233" s="2413"/>
      <c r="X233" s="2413"/>
      <c r="Y233" s="2413"/>
      <c r="Z233" s="851"/>
      <c r="AA233" s="851"/>
      <c r="AB233" s="2417">
        <f t="shared" si="0"/>
        <v>0</v>
      </c>
      <c r="AC233" s="2417"/>
      <c r="AD233" s="2417"/>
      <c r="AE233" s="2417"/>
      <c r="AF233" s="2417"/>
      <c r="AG233" s="2417"/>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11">
        <f>SUM(AB224:AB233)</f>
        <v>0</v>
      </c>
      <c r="AC234" s="2411"/>
      <c r="AD234" s="2411"/>
      <c r="AE234" s="2411"/>
      <c r="AF234" s="2411"/>
      <c r="AG234" s="2411"/>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8"/>
      <c r="AC240" s="2448"/>
      <c r="AD240" s="2448"/>
      <c r="AE240" s="2448"/>
      <c r="AF240" s="2448"/>
      <c r="AG240" s="2448"/>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8"/>
      <c r="AC243" s="2448"/>
      <c r="AD243" s="2448"/>
      <c r="AE243" s="2448"/>
      <c r="AF243" s="2448"/>
      <c r="AG243" s="2448"/>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0"/>
      <c r="AC244" s="2410"/>
      <c r="AD244" s="2410"/>
      <c r="AE244" s="2410"/>
      <c r="AF244" s="2410"/>
      <c r="AG244" s="2410"/>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8">
        <f>IFERROR(AB243/AB244,0)</f>
        <v>0</v>
      </c>
      <c r="AC245" s="2418"/>
      <c r="AD245" s="2418"/>
      <c r="AE245" s="2418"/>
      <c r="AF245" s="2418"/>
      <c r="AG245" s="2418"/>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7">
        <f>MAX(AB240,AB245)</f>
        <v>0</v>
      </c>
      <c r="AC247" s="2417"/>
      <c r="AD247" s="2417"/>
      <c r="AE247" s="2417"/>
      <c r="AF247" s="2417"/>
      <c r="AG247" s="2417"/>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1">
        <f>AB234+AB247</f>
        <v>0</v>
      </c>
      <c r="AC250" s="2411"/>
      <c r="AD250" s="2411"/>
      <c r="AE250" s="2411"/>
      <c r="AF250" s="2411"/>
      <c r="AG250" s="2411"/>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2">
        <v>0.05</v>
      </c>
      <c r="AC251" s="2582"/>
      <c r="AD251" s="2582"/>
      <c r="AE251" s="2582"/>
      <c r="AF251" s="2582"/>
      <c r="AG251" s="2582"/>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3">
        <f>AB250-(AB250*AB251)</f>
        <v>0</v>
      </c>
      <c r="AC252" s="2583"/>
      <c r="AD252" s="2583"/>
      <c r="AE252" s="2583"/>
      <c r="AF252" s="2583"/>
      <c r="AG252" s="2583"/>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1">
        <f>AB252/AB258</f>
        <v>0</v>
      </c>
      <c r="AC254" s="2411"/>
      <c r="AD254" s="2411"/>
      <c r="AE254" s="2411"/>
      <c r="AF254" s="2411"/>
      <c r="AG254" s="2411"/>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4">
        <v>15</v>
      </c>
      <c r="AC256" s="2594"/>
      <c r="AD256" s="2594"/>
      <c r="AE256" s="2594"/>
      <c r="AF256" s="2594"/>
      <c r="AG256" s="2594"/>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5">
        <v>0.04</v>
      </c>
      <c r="AC257" s="2585"/>
      <c r="AD257" s="2585"/>
      <c r="AE257" s="2585"/>
      <c r="AF257" s="2585"/>
      <c r="AG257" s="2585"/>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6">
        <v>1.1499999999999999</v>
      </c>
      <c r="AC258" s="2586"/>
      <c r="AD258" s="2586"/>
      <c r="AE258" s="2586"/>
      <c r="AF258" s="2586"/>
      <c r="AG258" s="2586"/>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5">
        <f>PV(AB257/12,AB256*12,-AB254/12, ,0)</f>
        <v>0</v>
      </c>
      <c r="AC260" s="2576"/>
      <c r="AD260" s="2576"/>
      <c r="AE260" s="2576"/>
      <c r="AF260" s="2576"/>
      <c r="AG260" s="2577"/>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79">
        <f>IFERROR(('Sources and Uses Budget'!D105/'Sources and Uses Budget'!B105),0)</f>
        <v>0</v>
      </c>
      <c r="AC266" s="2580"/>
      <c r="AD266" s="2580"/>
      <c r="AE266" s="2580"/>
      <c r="AF266" s="2580"/>
      <c r="AG266" s="2581"/>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5">
        <f>AD211*(1-AB266)</f>
        <v>15900000</v>
      </c>
      <c r="AH268" s="2425"/>
      <c r="AI268" s="2425"/>
      <c r="AJ268" s="2425"/>
      <c r="AK268" s="2425"/>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5">
        <f>'Sources and Uses Budget'!C105</f>
        <v>82956517</v>
      </c>
      <c r="AH269" s="2425"/>
      <c r="AI269" s="2425"/>
      <c r="AJ269" s="2425"/>
      <c r="AK269" s="2425"/>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1">
        <f>ROUNDDOWN(IF(AND(C292="Yes",AK84=10),((AG268*2)/AG269),AG268/AG269),2)</f>
        <v>0.38</v>
      </c>
      <c r="AH270" s="2571"/>
      <c r="AI270" s="2571"/>
      <c r="AJ270" s="2571"/>
      <c r="AK270" s="2571"/>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560">
        <f>IFERROR(IF(AG270=0,0,IF((AG270*100)&gt;8,8,(AG270*100))),0)</f>
        <v>8</v>
      </c>
      <c r="AL273" s="2560"/>
      <c r="AM273" s="2561"/>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42" t="s">
        <v>546</v>
      </c>
      <c r="D278" s="2442"/>
      <c r="E278" s="547"/>
      <c r="F278" s="2394" t="s">
        <v>2025</v>
      </c>
      <c r="G278" s="2395"/>
      <c r="H278" s="2395"/>
      <c r="I278" s="2395"/>
      <c r="J278" s="2395"/>
      <c r="K278" s="2395"/>
      <c r="L278" s="2395"/>
      <c r="M278" s="2395"/>
      <c r="N278" s="2395"/>
      <c r="O278" s="2395"/>
      <c r="P278" s="2395"/>
      <c r="Q278" s="2395"/>
      <c r="R278" s="2395"/>
      <c r="S278" s="2395"/>
      <c r="T278" s="2395"/>
      <c r="U278" s="2395"/>
      <c r="V278" s="2395"/>
      <c r="W278" s="2395"/>
      <c r="X278" s="2395"/>
      <c r="Y278" s="2395"/>
      <c r="Z278" s="2395"/>
      <c r="AA278" s="2395"/>
      <c r="AB278" s="2395"/>
      <c r="AC278" s="2395"/>
      <c r="AD278" s="2396"/>
      <c r="AE278" s="550"/>
      <c r="AF278" s="635"/>
      <c r="AG278" s="2569" t="s">
        <v>1364</v>
      </c>
      <c r="AH278" s="2569"/>
      <c r="AI278" s="2569"/>
      <c r="AJ278" s="2569"/>
      <c r="AK278" s="550"/>
      <c r="AL278" s="550"/>
      <c r="AM278" s="550"/>
      <c r="AO278" s="550"/>
    </row>
    <row r="279" spans="1:52" ht="13.7" customHeight="1">
      <c r="A279" s="550"/>
      <c r="B279" s="596"/>
      <c r="C279" s="636"/>
      <c r="D279" s="550"/>
      <c r="E279" s="547"/>
      <c r="F279" s="2397"/>
      <c r="G279" s="2398"/>
      <c r="H279" s="2398"/>
      <c r="I279" s="2398"/>
      <c r="J279" s="2398"/>
      <c r="K279" s="2398"/>
      <c r="L279" s="2398"/>
      <c r="M279" s="2398"/>
      <c r="N279" s="2398"/>
      <c r="O279" s="2398"/>
      <c r="P279" s="2398"/>
      <c r="Q279" s="2398"/>
      <c r="R279" s="2398"/>
      <c r="S279" s="2398"/>
      <c r="T279" s="2398"/>
      <c r="U279" s="2398"/>
      <c r="V279" s="2398"/>
      <c r="W279" s="2398"/>
      <c r="X279" s="2398"/>
      <c r="Y279" s="2398"/>
      <c r="Z279" s="2398"/>
      <c r="AA279" s="2398"/>
      <c r="AB279" s="2398"/>
      <c r="AC279" s="2398"/>
      <c r="AD279" s="2399"/>
      <c r="AE279" s="550"/>
      <c r="AF279" s="635"/>
      <c r="AG279" s="635"/>
      <c r="AH279" s="635"/>
      <c r="AI279" s="635"/>
      <c r="AJ279" s="550"/>
      <c r="AK279" s="550"/>
      <c r="AL279" s="550"/>
      <c r="AM279" s="550"/>
      <c r="AO279" s="550"/>
    </row>
    <row r="280" spans="1:52">
      <c r="A280" s="550"/>
      <c r="B280" s="596"/>
      <c r="C280" s="636"/>
      <c r="D280" s="550"/>
      <c r="E280" s="547"/>
      <c r="F280" s="2397"/>
      <c r="G280" s="2398"/>
      <c r="H280" s="2398"/>
      <c r="I280" s="2398"/>
      <c r="J280" s="2398"/>
      <c r="K280" s="2398"/>
      <c r="L280" s="2398"/>
      <c r="M280" s="2398"/>
      <c r="N280" s="2398"/>
      <c r="O280" s="2398"/>
      <c r="P280" s="2398"/>
      <c r="Q280" s="2398"/>
      <c r="R280" s="2398"/>
      <c r="S280" s="2398"/>
      <c r="T280" s="2398"/>
      <c r="U280" s="2398"/>
      <c r="V280" s="2398"/>
      <c r="W280" s="2398"/>
      <c r="X280" s="2398"/>
      <c r="Y280" s="2398"/>
      <c r="Z280" s="2398"/>
      <c r="AA280" s="2398"/>
      <c r="AB280" s="2398"/>
      <c r="AC280" s="2398"/>
      <c r="AD280" s="2399"/>
      <c r="AE280" s="550"/>
      <c r="AF280" s="635"/>
      <c r="AG280" s="635"/>
      <c r="AH280" s="635"/>
      <c r="AI280" s="635"/>
      <c r="AJ280" s="550"/>
      <c r="AK280" s="550"/>
      <c r="AL280" s="550"/>
      <c r="AM280" s="550"/>
      <c r="AO280" s="550"/>
      <c r="AP280" s="637"/>
    </row>
    <row r="281" spans="1:52">
      <c r="A281" s="550"/>
      <c r="B281" s="596"/>
      <c r="C281" s="636"/>
      <c r="D281" s="550"/>
      <c r="E281" s="547"/>
      <c r="F281" s="2397"/>
      <c r="G281" s="2398"/>
      <c r="H281" s="2398"/>
      <c r="I281" s="2398"/>
      <c r="J281" s="2398"/>
      <c r="K281" s="2398"/>
      <c r="L281" s="2398"/>
      <c r="M281" s="2398"/>
      <c r="N281" s="2398"/>
      <c r="O281" s="2398"/>
      <c r="P281" s="2398"/>
      <c r="Q281" s="2398"/>
      <c r="R281" s="2398"/>
      <c r="S281" s="2398"/>
      <c r="T281" s="2398"/>
      <c r="U281" s="2398"/>
      <c r="V281" s="2398"/>
      <c r="W281" s="2398"/>
      <c r="X281" s="2398"/>
      <c r="Y281" s="2398"/>
      <c r="Z281" s="2398"/>
      <c r="AA281" s="2398"/>
      <c r="AB281" s="2398"/>
      <c r="AC281" s="2398"/>
      <c r="AD281" s="2399"/>
      <c r="AE281" s="550"/>
      <c r="AF281" s="635"/>
      <c r="AG281" s="635"/>
      <c r="AH281" s="635"/>
      <c r="AI281" s="635"/>
      <c r="AJ281" s="550"/>
      <c r="AK281" s="550"/>
      <c r="AL281" s="550"/>
      <c r="AM281" s="550"/>
      <c r="AO281" s="550"/>
      <c r="AP281" s="637"/>
    </row>
    <row r="282" spans="1:52" ht="13.7" customHeight="1">
      <c r="A282" s="550"/>
      <c r="B282" s="596"/>
      <c r="C282" s="2570"/>
      <c r="D282" s="2570"/>
      <c r="E282" s="547"/>
      <c r="F282" s="2400"/>
      <c r="G282" s="2401"/>
      <c r="H282" s="2401"/>
      <c r="I282" s="2401"/>
      <c r="J282" s="2401"/>
      <c r="K282" s="2401"/>
      <c r="L282" s="2401"/>
      <c r="M282" s="2401"/>
      <c r="N282" s="2401"/>
      <c r="O282" s="2401"/>
      <c r="P282" s="2401"/>
      <c r="Q282" s="2401"/>
      <c r="R282" s="2401"/>
      <c r="S282" s="2401"/>
      <c r="T282" s="2401"/>
      <c r="U282" s="2401"/>
      <c r="V282" s="2401"/>
      <c r="W282" s="2401"/>
      <c r="X282" s="2401"/>
      <c r="Y282" s="2401"/>
      <c r="Z282" s="2401"/>
      <c r="AA282" s="2401"/>
      <c r="AB282" s="2401"/>
      <c r="AC282" s="2401"/>
      <c r="AD282" s="2402"/>
      <c r="AE282" s="550"/>
      <c r="AF282" s="635"/>
      <c r="AG282" s="2569"/>
      <c r="AH282" s="2569"/>
      <c r="AI282" s="2569"/>
      <c r="AJ282" s="2569"/>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560">
        <f>IF($C$278="yes",10,0)</f>
        <v>10</v>
      </c>
      <c r="AL285" s="2560"/>
      <c r="AM285" s="2561"/>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1854</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4" t="s">
        <v>1383</v>
      </c>
      <c r="B292" s="1624"/>
      <c r="C292" s="2393" t="s">
        <v>546</v>
      </c>
      <c r="D292" s="2442"/>
      <c r="E292" s="547"/>
      <c r="F292" s="2562" t="s">
        <v>1384</v>
      </c>
      <c r="G292" s="2563"/>
      <c r="H292" s="2563"/>
      <c r="I292" s="2563"/>
      <c r="J292" s="2563"/>
      <c r="K292" s="2563"/>
      <c r="L292" s="2563"/>
      <c r="M292" s="2563"/>
      <c r="N292" s="2563"/>
      <c r="O292" s="2563"/>
      <c r="P292" s="2563"/>
      <c r="Q292" s="2563"/>
      <c r="R292" s="2563"/>
      <c r="S292" s="2563"/>
      <c r="T292" s="2563"/>
      <c r="U292" s="2563"/>
      <c r="V292" s="2563"/>
      <c r="W292" s="2563"/>
      <c r="X292" s="2563"/>
      <c r="Y292" s="2563"/>
      <c r="Z292" s="2563"/>
      <c r="AA292" s="2563"/>
      <c r="AB292" s="2563"/>
      <c r="AC292" s="2563"/>
      <c r="AD292" s="2564"/>
      <c r="AE292" s="642"/>
      <c r="AF292" s="550"/>
      <c r="AG292" s="2565" t="s">
        <v>2018</v>
      </c>
      <c r="AH292" s="2565"/>
      <c r="AI292" s="2565"/>
      <c r="AJ292" s="2565"/>
      <c r="AK292" s="2565"/>
      <c r="AL292" s="550"/>
      <c r="AM292" s="550"/>
      <c r="AN292" s="73"/>
      <c r="AO292" s="14"/>
      <c r="AP292" s="30"/>
      <c r="AS292" s="570"/>
      <c r="AT292" s="570"/>
      <c r="AU292" s="570"/>
      <c r="AV292" s="32"/>
      <c r="AW292" s="32"/>
    </row>
    <row r="293" spans="1:49">
      <c r="A293" s="640"/>
      <c r="B293" s="596"/>
      <c r="F293" s="2420"/>
      <c r="G293" s="2421"/>
      <c r="H293" s="2421"/>
      <c r="I293" s="2421"/>
      <c r="J293" s="2421"/>
      <c r="K293" s="2421"/>
      <c r="L293" s="2421"/>
      <c r="M293" s="2421"/>
      <c r="N293" s="2421"/>
      <c r="O293" s="2421"/>
      <c r="P293" s="2421"/>
      <c r="Q293" s="2421"/>
      <c r="R293" s="2421"/>
      <c r="S293" s="2421"/>
      <c r="T293" s="2421"/>
      <c r="U293" s="2421"/>
      <c r="V293" s="2421"/>
      <c r="W293" s="2421"/>
      <c r="X293" s="2421"/>
      <c r="Y293" s="2421"/>
      <c r="Z293" s="2421"/>
      <c r="AA293" s="2421"/>
      <c r="AB293" s="2421"/>
      <c r="AC293" s="2421"/>
      <c r="AD293" s="2422"/>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20"/>
      <c r="G294" s="2421"/>
      <c r="H294" s="2421"/>
      <c r="I294" s="2421"/>
      <c r="J294" s="2421"/>
      <c r="K294" s="2421"/>
      <c r="L294" s="2421"/>
      <c r="M294" s="2421"/>
      <c r="N294" s="2421"/>
      <c r="O294" s="2421"/>
      <c r="P294" s="2421"/>
      <c r="Q294" s="2421"/>
      <c r="R294" s="2421"/>
      <c r="S294" s="2421"/>
      <c r="T294" s="2421"/>
      <c r="U294" s="2421"/>
      <c r="V294" s="2421"/>
      <c r="W294" s="2421"/>
      <c r="X294" s="2421"/>
      <c r="Y294" s="2421"/>
      <c r="Z294" s="2421"/>
      <c r="AA294" s="2421"/>
      <c r="AB294" s="2421"/>
      <c r="AC294" s="2421"/>
      <c r="AD294" s="2422"/>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20" t="s">
        <v>2026</v>
      </c>
      <c r="G295" s="2421"/>
      <c r="H295" s="2421"/>
      <c r="I295" s="2421"/>
      <c r="J295" s="2421"/>
      <c r="K295" s="2421"/>
      <c r="L295" s="2421"/>
      <c r="M295" s="2421"/>
      <c r="N295" s="2421"/>
      <c r="O295" s="2421"/>
      <c r="P295" s="2421"/>
      <c r="Q295" s="2421"/>
      <c r="R295" s="2421"/>
      <c r="S295" s="2421"/>
      <c r="T295" s="2421"/>
      <c r="U295" s="2421"/>
      <c r="V295" s="2421"/>
      <c r="W295" s="2421"/>
      <c r="X295" s="2421"/>
      <c r="Y295" s="2421"/>
      <c r="Z295" s="2421"/>
      <c r="AA295" s="2421"/>
      <c r="AB295" s="2421"/>
      <c r="AC295" s="2421"/>
      <c r="AD295" s="2422"/>
      <c r="AE295" s="642"/>
      <c r="AF295" s="551"/>
      <c r="AH295" s="551"/>
      <c r="AI295" s="551"/>
      <c r="AJ295" s="550"/>
      <c r="AK295" s="550"/>
      <c r="AL295" s="550"/>
      <c r="AM295" s="550"/>
      <c r="AN295" s="73"/>
      <c r="AO295" s="14"/>
      <c r="AP295" s="611">
        <f>MAX(AP293,AP294)</f>
        <v>10</v>
      </c>
      <c r="AQ295" s="574" t="s">
        <v>1317</v>
      </c>
      <c r="AS295" s="570"/>
      <c r="AT295" s="570"/>
      <c r="AU295" s="570"/>
      <c r="AV295" s="32"/>
      <c r="AW295" s="32"/>
    </row>
    <row r="296" spans="1:49">
      <c r="A296" s="640"/>
      <c r="B296" s="596"/>
      <c r="F296" s="2420"/>
      <c r="G296" s="2421"/>
      <c r="H296" s="2421"/>
      <c r="I296" s="2421"/>
      <c r="J296" s="2421"/>
      <c r="K296" s="2421"/>
      <c r="L296" s="2421"/>
      <c r="M296" s="2421"/>
      <c r="N296" s="2421"/>
      <c r="O296" s="2421"/>
      <c r="P296" s="2421"/>
      <c r="Q296" s="2421"/>
      <c r="R296" s="2421"/>
      <c r="S296" s="2421"/>
      <c r="T296" s="2421"/>
      <c r="U296" s="2421"/>
      <c r="V296" s="2421"/>
      <c r="W296" s="2421"/>
      <c r="X296" s="2421"/>
      <c r="Y296" s="2421"/>
      <c r="Z296" s="2421"/>
      <c r="AA296" s="2421"/>
      <c r="AB296" s="2421"/>
      <c r="AC296" s="2421"/>
      <c r="AD296" s="2422"/>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0" t="s">
        <v>1385</v>
      </c>
      <c r="G297" s="2421"/>
      <c r="H297" s="2421"/>
      <c r="I297" s="2421"/>
      <c r="J297" s="2421"/>
      <c r="K297" s="2421"/>
      <c r="L297" s="2421"/>
      <c r="M297" s="2421"/>
      <c r="N297" s="2421"/>
      <c r="O297" s="2421"/>
      <c r="P297" s="2421"/>
      <c r="Q297" s="2421"/>
      <c r="R297" s="2421"/>
      <c r="S297" s="2421"/>
      <c r="T297" s="2421"/>
      <c r="U297" s="2421"/>
      <c r="V297" s="2421"/>
      <c r="W297" s="2421"/>
      <c r="X297" s="2421"/>
      <c r="Y297" s="2421"/>
      <c r="Z297" s="2421"/>
      <c r="AA297" s="2421"/>
      <c r="AB297" s="2421"/>
      <c r="AC297" s="2421"/>
      <c r="AD297" s="2422"/>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0"/>
      <c r="G298" s="2421"/>
      <c r="H298" s="2421"/>
      <c r="I298" s="2421"/>
      <c r="J298" s="2421"/>
      <c r="K298" s="2421"/>
      <c r="L298" s="2421"/>
      <c r="M298" s="2421"/>
      <c r="N298" s="2421"/>
      <c r="O298" s="2421"/>
      <c r="P298" s="2421"/>
      <c r="Q298" s="2421"/>
      <c r="R298" s="2421"/>
      <c r="S298" s="2421"/>
      <c r="T298" s="2421"/>
      <c r="U298" s="2421"/>
      <c r="V298" s="2421"/>
      <c r="W298" s="2421"/>
      <c r="X298" s="2421"/>
      <c r="Y298" s="2421"/>
      <c r="Z298" s="2421"/>
      <c r="AA298" s="2421"/>
      <c r="AB298" s="2421"/>
      <c r="AC298" s="2421"/>
      <c r="AD298" s="2422"/>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0" t="s">
        <v>1386</v>
      </c>
      <c r="G299" s="2421"/>
      <c r="H299" s="2421"/>
      <c r="I299" s="2421"/>
      <c r="J299" s="2421"/>
      <c r="K299" s="2421"/>
      <c r="L299" s="2421"/>
      <c r="M299" s="2421"/>
      <c r="N299" s="2421"/>
      <c r="O299" s="2421"/>
      <c r="P299" s="2421"/>
      <c r="Q299" s="2421"/>
      <c r="R299" s="2421"/>
      <c r="S299" s="2421"/>
      <c r="T299" s="2421"/>
      <c r="U299" s="2421"/>
      <c r="V299" s="2421"/>
      <c r="W299" s="2421"/>
      <c r="X299" s="2421"/>
      <c r="Y299" s="2421"/>
      <c r="Z299" s="2421"/>
      <c r="AA299" s="2421"/>
      <c r="AB299" s="2421"/>
      <c r="AC299" s="2421"/>
      <c r="AD299" s="2422"/>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3"/>
      <c r="G300" s="2424"/>
      <c r="H300" s="2424"/>
      <c r="I300" s="2424"/>
      <c r="J300" s="2424"/>
      <c r="K300" s="2424"/>
      <c r="L300" s="2424"/>
      <c r="M300" s="2424"/>
      <c r="N300" s="2424"/>
      <c r="O300" s="2424"/>
      <c r="P300" s="2424"/>
      <c r="Q300" s="2424"/>
      <c r="R300" s="2424"/>
      <c r="S300" s="2424"/>
      <c r="T300" s="2424"/>
      <c r="U300" s="2424"/>
      <c r="V300" s="2424"/>
      <c r="W300" s="2424"/>
      <c r="X300" s="2424"/>
      <c r="Y300" s="2424"/>
      <c r="Z300" s="2424"/>
      <c r="AA300" s="2424"/>
      <c r="AB300" s="2424"/>
      <c r="AC300" s="2424"/>
      <c r="AD300" s="2559"/>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4" t="s">
        <v>1387</v>
      </c>
      <c r="B302" s="1624"/>
      <c r="C302" s="2442" t="s">
        <v>592</v>
      </c>
      <c r="D302" s="2442"/>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544" t="s">
        <v>2020</v>
      </c>
      <c r="G303" s="2545"/>
      <c r="H303" s="2545"/>
      <c r="I303" s="2545"/>
      <c r="J303" s="2545"/>
      <c r="K303" s="2545"/>
      <c r="L303" s="2545"/>
      <c r="M303" s="2545"/>
      <c r="N303" s="2545"/>
      <c r="O303" s="2545"/>
      <c r="P303" s="2545"/>
      <c r="Q303" s="2545"/>
      <c r="R303" s="2545"/>
      <c r="S303" s="2545"/>
      <c r="T303" s="2545"/>
      <c r="U303" s="2545"/>
      <c r="V303" s="2545"/>
      <c r="W303" s="2545"/>
      <c r="X303" s="2545"/>
      <c r="Y303" s="2545"/>
      <c r="Z303" s="2545"/>
      <c r="AA303" s="2545"/>
      <c r="AB303" s="2545"/>
      <c r="AC303" s="2545"/>
      <c r="AD303" s="2546"/>
      <c r="AE303" s="551"/>
      <c r="AF303" s="551"/>
      <c r="AG303" s="551"/>
      <c r="AH303" s="551"/>
      <c r="AI303" s="551"/>
      <c r="AJ303" s="550"/>
      <c r="AK303" s="550"/>
      <c r="AL303" s="550"/>
      <c r="AM303" s="550"/>
      <c r="AR303" s="648"/>
    </row>
    <row r="304" spans="1:49" ht="15" customHeight="1">
      <c r="A304" s="550"/>
      <c r="B304" s="551"/>
      <c r="C304" s="550"/>
      <c r="D304" s="551"/>
      <c r="E304" s="550"/>
      <c r="F304" s="2544"/>
      <c r="G304" s="2545"/>
      <c r="H304" s="2545"/>
      <c r="I304" s="2545"/>
      <c r="J304" s="2545"/>
      <c r="K304" s="2545"/>
      <c r="L304" s="2545"/>
      <c r="M304" s="2545"/>
      <c r="N304" s="2545"/>
      <c r="O304" s="2545"/>
      <c r="P304" s="2545"/>
      <c r="Q304" s="2545"/>
      <c r="R304" s="2545"/>
      <c r="S304" s="2545"/>
      <c r="T304" s="2545"/>
      <c r="U304" s="2545"/>
      <c r="V304" s="2545"/>
      <c r="W304" s="2545"/>
      <c r="X304" s="2545"/>
      <c r="Y304" s="2545"/>
      <c r="Z304" s="2545"/>
      <c r="AA304" s="2545"/>
      <c r="AB304" s="2545"/>
      <c r="AC304" s="2545"/>
      <c r="AD304" s="2546"/>
      <c r="AE304" s="551"/>
      <c r="AF304" s="551"/>
      <c r="AG304" s="551"/>
      <c r="AH304" s="551"/>
      <c r="AI304" s="551"/>
      <c r="AJ304" s="550"/>
      <c r="AK304" s="550"/>
      <c r="AL304" s="550"/>
      <c r="AM304" s="550"/>
      <c r="AR304" s="648"/>
    </row>
    <row r="305" spans="1:44">
      <c r="A305" s="550"/>
      <c r="B305" s="551"/>
      <c r="C305" s="550"/>
      <c r="D305" s="551"/>
      <c r="E305" s="550"/>
      <c r="F305" s="2544"/>
      <c r="G305" s="2545"/>
      <c r="H305" s="2545"/>
      <c r="I305" s="2545"/>
      <c r="J305" s="2545"/>
      <c r="K305" s="2545"/>
      <c r="L305" s="2545"/>
      <c r="M305" s="2545"/>
      <c r="N305" s="2545"/>
      <c r="O305" s="2545"/>
      <c r="P305" s="2545"/>
      <c r="Q305" s="2545"/>
      <c r="R305" s="2545"/>
      <c r="S305" s="2545"/>
      <c r="T305" s="2545"/>
      <c r="U305" s="2545"/>
      <c r="V305" s="2545"/>
      <c r="W305" s="2545"/>
      <c r="X305" s="2545"/>
      <c r="Y305" s="2545"/>
      <c r="Z305" s="2545"/>
      <c r="AA305" s="2545"/>
      <c r="AB305" s="2545"/>
      <c r="AC305" s="2545"/>
      <c r="AD305" s="2546"/>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6"/>
      <c r="G306" s="2567"/>
      <c r="H306" s="2567"/>
      <c r="I306" s="2567"/>
      <c r="J306" s="2567"/>
      <c r="K306" s="2567"/>
      <c r="L306" s="2567"/>
      <c r="M306" s="2567"/>
      <c r="N306" s="2567"/>
      <c r="O306" s="2567"/>
      <c r="P306" s="2567"/>
      <c r="Q306" s="2567"/>
      <c r="R306" s="2567"/>
      <c r="S306" s="2567"/>
      <c r="T306" s="2567"/>
      <c r="U306" s="2567"/>
      <c r="V306" s="2567"/>
      <c r="W306" s="2567"/>
      <c r="X306" s="2567"/>
      <c r="Y306" s="2567"/>
      <c r="Z306" s="2567"/>
      <c r="AA306" s="2567"/>
      <c r="AB306" s="2567"/>
      <c r="AC306" s="2567"/>
      <c r="AD306" s="2568"/>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4" t="s">
        <v>1390</v>
      </c>
      <c r="B310" s="1624"/>
      <c r="C310" s="2442" t="s">
        <v>592</v>
      </c>
      <c r="D310" s="2442"/>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20" t="s">
        <v>2027</v>
      </c>
      <c r="G311" s="2421"/>
      <c r="H311" s="2421"/>
      <c r="I311" s="2421"/>
      <c r="J311" s="2421"/>
      <c r="K311" s="2421"/>
      <c r="L311" s="2421"/>
      <c r="M311" s="2421"/>
      <c r="N311" s="2421"/>
      <c r="O311" s="2421"/>
      <c r="P311" s="2421"/>
      <c r="Q311" s="2421"/>
      <c r="R311" s="2421"/>
      <c r="S311" s="2421"/>
      <c r="T311" s="2421"/>
      <c r="U311" s="2421"/>
      <c r="V311" s="2421"/>
      <c r="W311" s="2421"/>
      <c r="X311" s="2421"/>
      <c r="Y311" s="2421"/>
      <c r="Z311" s="2421"/>
      <c r="AA311" s="2421"/>
      <c r="AB311" s="2421"/>
      <c r="AC311" s="2421"/>
      <c r="AD311" s="2422"/>
      <c r="AE311" s="551"/>
      <c r="AF311" s="551"/>
      <c r="AG311" s="539"/>
      <c r="AH311" s="551"/>
      <c r="AI311" s="551"/>
      <c r="AJ311" s="550"/>
      <c r="AK311" s="550"/>
      <c r="AL311" s="550"/>
      <c r="AM311" s="550"/>
      <c r="AN311" s="73"/>
      <c r="AO311" s="14"/>
      <c r="AP311" s="557" t="s">
        <v>1185</v>
      </c>
    </row>
    <row r="312" spans="1:44" hidden="1">
      <c r="F312" s="2420"/>
      <c r="G312" s="2421"/>
      <c r="H312" s="2421"/>
      <c r="I312" s="2421"/>
      <c r="J312" s="2421"/>
      <c r="K312" s="2421"/>
      <c r="L312" s="2421"/>
      <c r="M312" s="2421"/>
      <c r="N312" s="2421"/>
      <c r="O312" s="2421"/>
      <c r="P312" s="2421"/>
      <c r="Q312" s="2421"/>
      <c r="R312" s="2421"/>
      <c r="S312" s="2421"/>
      <c r="T312" s="2421"/>
      <c r="U312" s="2421"/>
      <c r="V312" s="2421"/>
      <c r="W312" s="2421"/>
      <c r="X312" s="2421"/>
      <c r="Y312" s="2421"/>
      <c r="Z312" s="2421"/>
      <c r="AA312" s="2421"/>
      <c r="AB312" s="2421"/>
      <c r="AC312" s="2421"/>
      <c r="AD312" s="2422"/>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7" t="s">
        <v>1185</v>
      </c>
      <c r="G316" s="2548"/>
      <c r="H316" s="2548"/>
      <c r="I316" s="2548"/>
      <c r="J316" s="2548"/>
      <c r="K316" s="2548"/>
      <c r="L316" s="2548"/>
      <c r="M316" s="2548"/>
      <c r="N316" s="2548"/>
      <c r="O316" s="2548"/>
      <c r="P316" s="2548"/>
      <c r="Q316" s="2548"/>
      <c r="R316" s="2548"/>
      <c r="S316" s="2548"/>
      <c r="T316" s="2548"/>
      <c r="U316" s="2548"/>
      <c r="V316" s="2548"/>
      <c r="W316" s="2548"/>
      <c r="X316" s="2548"/>
      <c r="Y316" s="2548"/>
      <c r="Z316" s="2548"/>
      <c r="AA316" s="2548"/>
      <c r="AB316" s="2548"/>
      <c r="AC316" s="2548"/>
      <c r="AD316" s="2549"/>
      <c r="AE316" s="642"/>
      <c r="AF316" s="642"/>
      <c r="AG316" s="642"/>
      <c r="AH316" s="642"/>
      <c r="AI316" s="642"/>
      <c r="AJ316" s="642"/>
      <c r="AK316" s="642"/>
      <c r="AL316" s="550"/>
      <c r="AM316" s="550"/>
      <c r="AN316" s="73"/>
      <c r="AO316" s="14"/>
      <c r="AP316" s="30"/>
    </row>
    <row r="317" spans="1:44" hidden="1">
      <c r="A317" s="550"/>
      <c r="B317" s="551"/>
      <c r="C317" s="730"/>
      <c r="D317" s="730"/>
      <c r="E317" s="547"/>
      <c r="F317" s="2547"/>
      <c r="G317" s="2548"/>
      <c r="H317" s="2548"/>
      <c r="I317" s="2548"/>
      <c r="J317" s="2548"/>
      <c r="K317" s="2548"/>
      <c r="L317" s="2548"/>
      <c r="M317" s="2548"/>
      <c r="N317" s="2548"/>
      <c r="O317" s="2548"/>
      <c r="P317" s="2548"/>
      <c r="Q317" s="2548"/>
      <c r="R317" s="2548"/>
      <c r="S317" s="2548"/>
      <c r="T317" s="2548"/>
      <c r="U317" s="2548"/>
      <c r="V317" s="2548"/>
      <c r="W317" s="2548"/>
      <c r="X317" s="2548"/>
      <c r="Y317" s="2548"/>
      <c r="Z317" s="2548"/>
      <c r="AA317" s="2548"/>
      <c r="AB317" s="2548"/>
      <c r="AC317" s="2548"/>
      <c r="AD317" s="2549"/>
      <c r="AE317" s="551"/>
      <c r="AF317" s="551"/>
      <c r="AG317" s="539"/>
      <c r="AH317" s="551"/>
      <c r="AI317" s="551"/>
      <c r="AJ317" s="550"/>
      <c r="AK317" s="550"/>
      <c r="AL317" s="550"/>
      <c r="AM317" s="550"/>
      <c r="AN317" s="73"/>
      <c r="AO317" s="14"/>
      <c r="AP317" s="30"/>
    </row>
    <row r="318" spans="1:44" hidden="1">
      <c r="A318" s="550"/>
      <c r="B318" s="551"/>
      <c r="C318" s="730"/>
      <c r="D318" s="730"/>
      <c r="E318" s="547"/>
      <c r="F318" s="2547"/>
      <c r="G318" s="2548"/>
      <c r="H318" s="2548"/>
      <c r="I318" s="2548"/>
      <c r="J318" s="2548"/>
      <c r="K318" s="2548"/>
      <c r="L318" s="2548"/>
      <c r="M318" s="2548"/>
      <c r="N318" s="2548"/>
      <c r="O318" s="2548"/>
      <c r="P318" s="2548"/>
      <c r="Q318" s="2548"/>
      <c r="R318" s="2548"/>
      <c r="S318" s="2548"/>
      <c r="T318" s="2548"/>
      <c r="U318" s="2548"/>
      <c r="V318" s="2548"/>
      <c r="W318" s="2548"/>
      <c r="X318" s="2548"/>
      <c r="Y318" s="2548"/>
      <c r="Z318" s="2548"/>
      <c r="AA318" s="2548"/>
      <c r="AB318" s="2548"/>
      <c r="AC318" s="2548"/>
      <c r="AD318" s="2549"/>
      <c r="AE318" s="551"/>
      <c r="AF318" s="551"/>
      <c r="AG318" s="539"/>
      <c r="AH318" s="551"/>
      <c r="AI318" s="551"/>
      <c r="AJ318" s="550"/>
      <c r="AK318" s="550"/>
      <c r="AL318" s="550"/>
      <c r="AM318" s="550"/>
      <c r="AN318" s="73"/>
      <c r="AO318" s="14"/>
      <c r="AP318" s="30"/>
    </row>
    <row r="319" spans="1:44" hidden="1">
      <c r="A319" s="550"/>
      <c r="B319" s="551"/>
      <c r="C319" s="730"/>
      <c r="D319" s="730"/>
      <c r="E319" s="547"/>
      <c r="F319" s="2547"/>
      <c r="G319" s="2548"/>
      <c r="H319" s="2548"/>
      <c r="I319" s="2548"/>
      <c r="J319" s="2548"/>
      <c r="K319" s="2548"/>
      <c r="L319" s="2548"/>
      <c r="M319" s="2548"/>
      <c r="N319" s="2548"/>
      <c r="O319" s="2548"/>
      <c r="P319" s="2548"/>
      <c r="Q319" s="2548"/>
      <c r="R319" s="2548"/>
      <c r="S319" s="2548"/>
      <c r="T319" s="2548"/>
      <c r="U319" s="2548"/>
      <c r="V319" s="2548"/>
      <c r="W319" s="2548"/>
      <c r="X319" s="2548"/>
      <c r="Y319" s="2548"/>
      <c r="Z319" s="2548"/>
      <c r="AA319" s="2548"/>
      <c r="AB319" s="2548"/>
      <c r="AC319" s="2548"/>
      <c r="AD319" s="2549"/>
      <c r="AE319" s="551"/>
      <c r="AF319" s="551"/>
      <c r="AG319" s="539"/>
      <c r="AH319" s="551"/>
      <c r="AI319" s="551"/>
      <c r="AJ319" s="550"/>
      <c r="AK319" s="550"/>
      <c r="AL319" s="550"/>
      <c r="AM319" s="550"/>
      <c r="AN319" s="73"/>
      <c r="AO319" s="14"/>
      <c r="AP319" s="30"/>
    </row>
    <row r="320" spans="1:44" hidden="1">
      <c r="A320" s="550"/>
      <c r="B320" s="551"/>
      <c r="C320" s="730"/>
      <c r="D320" s="730"/>
      <c r="E320" s="547"/>
      <c r="F320" s="2550"/>
      <c r="G320" s="2551"/>
      <c r="H320" s="2551"/>
      <c r="I320" s="2551"/>
      <c r="J320" s="2551"/>
      <c r="K320" s="2551"/>
      <c r="L320" s="2551"/>
      <c r="M320" s="2551"/>
      <c r="N320" s="2551"/>
      <c r="O320" s="2551"/>
      <c r="P320" s="2551"/>
      <c r="Q320" s="2551"/>
      <c r="R320" s="2551"/>
      <c r="S320" s="2551"/>
      <c r="T320" s="2551"/>
      <c r="U320" s="2551"/>
      <c r="V320" s="2551"/>
      <c r="W320" s="2551"/>
      <c r="X320" s="2551"/>
      <c r="Y320" s="2551"/>
      <c r="Z320" s="2551"/>
      <c r="AA320" s="2551"/>
      <c r="AB320" s="2551"/>
      <c r="AC320" s="2551"/>
      <c r="AD320" s="2552"/>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53" t="s">
        <v>1185</v>
      </c>
      <c r="J324" s="2553"/>
      <c r="K324" s="2553"/>
      <c r="L324" s="2553"/>
      <c r="M324" s="2553"/>
      <c r="N324" s="2553"/>
      <c r="O324" s="2553"/>
      <c r="P324" s="2553"/>
      <c r="Q324" s="2553"/>
      <c r="R324" s="2553"/>
      <c r="S324" s="2553"/>
      <c r="T324" s="2553"/>
      <c r="U324" s="2553"/>
      <c r="V324" s="2553"/>
      <c r="W324" s="2553"/>
      <c r="X324" s="2553"/>
      <c r="Y324" s="2553"/>
      <c r="Z324" s="2553"/>
      <c r="AA324" s="2553"/>
      <c r="AB324" s="2553"/>
      <c r="AC324" s="2553"/>
      <c r="AD324" s="2554"/>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53"/>
      <c r="J325" s="2553"/>
      <c r="K325" s="2553"/>
      <c r="L325" s="2553"/>
      <c r="M325" s="2553"/>
      <c r="N325" s="2553"/>
      <c r="O325" s="2553"/>
      <c r="P325" s="2553"/>
      <c r="Q325" s="2553"/>
      <c r="R325" s="2553"/>
      <c r="S325" s="2553"/>
      <c r="T325" s="2553"/>
      <c r="U325" s="2553"/>
      <c r="V325" s="2553"/>
      <c r="W325" s="2553"/>
      <c r="X325" s="2553"/>
      <c r="Y325" s="2553"/>
      <c r="Z325" s="2553"/>
      <c r="AA325" s="2553"/>
      <c r="AB325" s="2553"/>
      <c r="AC325" s="2553"/>
      <c r="AD325" s="2554"/>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53"/>
      <c r="J326" s="2553"/>
      <c r="K326" s="2553"/>
      <c r="L326" s="2553"/>
      <c r="M326" s="2553"/>
      <c r="N326" s="2553"/>
      <c r="O326" s="2553"/>
      <c r="P326" s="2553"/>
      <c r="Q326" s="2553"/>
      <c r="R326" s="2553"/>
      <c r="S326" s="2553"/>
      <c r="T326" s="2553"/>
      <c r="U326" s="2553"/>
      <c r="V326" s="2553"/>
      <c r="W326" s="2553"/>
      <c r="X326" s="2553"/>
      <c r="Y326" s="2553"/>
      <c r="Z326" s="2553"/>
      <c r="AA326" s="2553"/>
      <c r="AB326" s="2553"/>
      <c r="AC326" s="2553"/>
      <c r="AD326" s="2554"/>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55"/>
      <c r="J327" s="2555"/>
      <c r="K327" s="2555"/>
      <c r="L327" s="2555"/>
      <c r="M327" s="2555"/>
      <c r="N327" s="2555"/>
      <c r="O327" s="2555"/>
      <c r="P327" s="2555"/>
      <c r="Q327" s="2555"/>
      <c r="R327" s="2555"/>
      <c r="S327" s="2555"/>
      <c r="T327" s="2555"/>
      <c r="U327" s="2555"/>
      <c r="V327" s="2555"/>
      <c r="W327" s="2555"/>
      <c r="X327" s="2555"/>
      <c r="Y327" s="2555"/>
      <c r="Z327" s="2555"/>
      <c r="AA327" s="2555"/>
      <c r="AB327" s="2555"/>
      <c r="AC327" s="2555"/>
      <c r="AD327" s="2556"/>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53" t="s">
        <v>1185</v>
      </c>
      <c r="J329" s="2553"/>
      <c r="K329" s="2553"/>
      <c r="L329" s="2553"/>
      <c r="M329" s="2553"/>
      <c r="N329" s="2553"/>
      <c r="O329" s="2553"/>
      <c r="P329" s="2553"/>
      <c r="Q329" s="2553"/>
      <c r="R329" s="2553"/>
      <c r="S329" s="2553"/>
      <c r="T329" s="2553"/>
      <c r="U329" s="2553"/>
      <c r="V329" s="2553"/>
      <c r="W329" s="2553"/>
      <c r="X329" s="2553"/>
      <c r="Y329" s="2553"/>
      <c r="Z329" s="2553"/>
      <c r="AA329" s="2553"/>
      <c r="AB329" s="2553"/>
      <c r="AC329" s="2553"/>
      <c r="AD329" s="2554"/>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3"/>
      <c r="J330" s="2553"/>
      <c r="K330" s="2553"/>
      <c r="L330" s="2553"/>
      <c r="M330" s="2553"/>
      <c r="N330" s="2553"/>
      <c r="O330" s="2553"/>
      <c r="P330" s="2553"/>
      <c r="Q330" s="2553"/>
      <c r="R330" s="2553"/>
      <c r="S330" s="2553"/>
      <c r="T330" s="2553"/>
      <c r="U330" s="2553"/>
      <c r="V330" s="2553"/>
      <c r="W330" s="2553"/>
      <c r="X330" s="2553"/>
      <c r="Y330" s="2553"/>
      <c r="Z330" s="2553"/>
      <c r="AA330" s="2553"/>
      <c r="AB330" s="2553"/>
      <c r="AC330" s="2553"/>
      <c r="AD330" s="2554"/>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55"/>
      <c r="J331" s="2555"/>
      <c r="K331" s="2555"/>
      <c r="L331" s="2555"/>
      <c r="M331" s="2555"/>
      <c r="N331" s="2555"/>
      <c r="O331" s="2555"/>
      <c r="P331" s="2555"/>
      <c r="Q331" s="2555"/>
      <c r="R331" s="2555"/>
      <c r="S331" s="2555"/>
      <c r="T331" s="2555"/>
      <c r="U331" s="2555"/>
      <c r="V331" s="2555"/>
      <c r="W331" s="2555"/>
      <c r="X331" s="2555"/>
      <c r="Y331" s="2555"/>
      <c r="Z331" s="2555"/>
      <c r="AA331" s="2555"/>
      <c r="AB331" s="2555"/>
      <c r="AC331" s="2555"/>
      <c r="AD331" s="2556"/>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24" t="s">
        <v>1393</v>
      </c>
      <c r="B333" s="1624"/>
      <c r="C333" s="2442" t="s">
        <v>592</v>
      </c>
      <c r="D333" s="2442"/>
      <c r="E333" s="547"/>
      <c r="F333" s="2541" t="s">
        <v>2028</v>
      </c>
      <c r="G333" s="2542"/>
      <c r="H333" s="2542"/>
      <c r="I333" s="2542"/>
      <c r="J333" s="2542"/>
      <c r="K333" s="2542"/>
      <c r="L333" s="2542"/>
      <c r="M333" s="2542"/>
      <c r="N333" s="2542"/>
      <c r="O333" s="2542"/>
      <c r="P333" s="2542"/>
      <c r="Q333" s="2542"/>
      <c r="R333" s="2542"/>
      <c r="S333" s="2542"/>
      <c r="T333" s="2542"/>
      <c r="U333" s="2542"/>
      <c r="V333" s="2542"/>
      <c r="W333" s="2542"/>
      <c r="X333" s="2542"/>
      <c r="Y333" s="2542"/>
      <c r="Z333" s="2542"/>
      <c r="AA333" s="2542"/>
      <c r="AB333" s="2542"/>
      <c r="AC333" s="2542"/>
      <c r="AD333" s="2543"/>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544"/>
      <c r="G334" s="2545"/>
      <c r="H334" s="2545"/>
      <c r="I334" s="2545"/>
      <c r="J334" s="2545"/>
      <c r="K334" s="2545"/>
      <c r="L334" s="2545"/>
      <c r="M334" s="2545"/>
      <c r="N334" s="2545"/>
      <c r="O334" s="2545"/>
      <c r="P334" s="2545"/>
      <c r="Q334" s="2545"/>
      <c r="R334" s="2545"/>
      <c r="S334" s="2545"/>
      <c r="T334" s="2545"/>
      <c r="U334" s="2545"/>
      <c r="V334" s="2545"/>
      <c r="W334" s="2545"/>
      <c r="X334" s="2545"/>
      <c r="Y334" s="2545"/>
      <c r="Z334" s="2545"/>
      <c r="AA334" s="2545"/>
      <c r="AB334" s="2545"/>
      <c r="AC334" s="2545"/>
      <c r="AD334" s="2546"/>
      <c r="AE334" s="551"/>
      <c r="AF334" s="551"/>
      <c r="AG334" s="551"/>
      <c r="AH334" s="551"/>
      <c r="AI334" s="551"/>
      <c r="AJ334" s="550"/>
      <c r="AK334" s="550"/>
      <c r="AL334" s="550"/>
      <c r="AM334" s="550"/>
      <c r="AN334" s="73"/>
      <c r="AO334" s="14"/>
    </row>
    <row r="335" spans="1:42" ht="15" hidden="1" customHeight="1">
      <c r="A335" s="550"/>
      <c r="B335" s="551"/>
      <c r="C335" s="551"/>
      <c r="D335" s="551"/>
      <c r="E335" s="551"/>
      <c r="F335" s="2544"/>
      <c r="G335" s="2545"/>
      <c r="H335" s="2545"/>
      <c r="I335" s="2545"/>
      <c r="J335" s="2545"/>
      <c r="K335" s="2545"/>
      <c r="L335" s="2545"/>
      <c r="M335" s="2545"/>
      <c r="N335" s="2545"/>
      <c r="O335" s="2545"/>
      <c r="P335" s="2545"/>
      <c r="Q335" s="2545"/>
      <c r="R335" s="2545"/>
      <c r="S335" s="2545"/>
      <c r="T335" s="2545"/>
      <c r="U335" s="2545"/>
      <c r="V335" s="2545"/>
      <c r="W335" s="2545"/>
      <c r="X335" s="2545"/>
      <c r="Y335" s="2545"/>
      <c r="Z335" s="2545"/>
      <c r="AA335" s="2545"/>
      <c r="AB335" s="2545"/>
      <c r="AC335" s="2545"/>
      <c r="AD335" s="2546"/>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28">
        <f>IF(NOT(OR(Application!M355="Yes",Application!M356="Yes")),0,AP295)</f>
        <v>10</v>
      </c>
      <c r="AL338" s="2429"/>
      <c r="AM338" s="2430"/>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61" t="s">
        <v>1315</v>
      </c>
      <c r="AF341" s="2461"/>
      <c r="AG341" s="2461"/>
      <c r="AH341" s="2461"/>
      <c r="AI341" s="2461"/>
      <c r="AJ341" s="2461"/>
      <c r="AK341" s="2461"/>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7" t="s">
        <v>1455</v>
      </c>
      <c r="D343" s="2437"/>
      <c r="E343" s="2437"/>
      <c r="F343" s="2437"/>
      <c r="G343" s="2437"/>
      <c r="H343" s="2437"/>
      <c r="I343" s="2437"/>
      <c r="J343" s="2437"/>
      <c r="K343" s="2437"/>
      <c r="L343" s="2437"/>
      <c r="M343" s="2437"/>
      <c r="N343" s="2437"/>
      <c r="O343" s="2437"/>
      <c r="P343" s="2437"/>
      <c r="Q343" s="2437"/>
      <c r="R343" s="2437"/>
      <c r="S343" s="2437"/>
      <c r="T343" s="2437"/>
      <c r="U343" s="2437"/>
      <c r="V343" s="2437"/>
      <c r="W343" s="2437"/>
      <c r="X343" s="2437"/>
      <c r="Y343" s="2437"/>
      <c r="Z343" s="2437"/>
      <c r="AA343" s="2437"/>
      <c r="AB343" s="2437"/>
      <c r="AC343" s="2437"/>
      <c r="AD343" s="2437"/>
      <c r="AE343" s="2437"/>
      <c r="AF343" s="2437"/>
      <c r="AG343" s="2437"/>
      <c r="AH343" s="2437"/>
      <c r="AI343" s="2437"/>
      <c r="AJ343" s="2437"/>
      <c r="AK343" s="603"/>
      <c r="AL343" s="603"/>
      <c r="AM343" s="603"/>
      <c r="AN343" s="597"/>
    </row>
    <row r="344" spans="1:44" s="550" customFormat="1" ht="12.75" customHeight="1">
      <c r="A344" s="603"/>
      <c r="B344" s="611"/>
      <c r="C344" s="2437"/>
      <c r="D344" s="2437"/>
      <c r="E344" s="2437"/>
      <c r="F344" s="2437"/>
      <c r="G344" s="2437"/>
      <c r="H344" s="2437"/>
      <c r="I344" s="2437"/>
      <c r="J344" s="2437"/>
      <c r="K344" s="2437"/>
      <c r="L344" s="2437"/>
      <c r="M344" s="2437"/>
      <c r="N344" s="2437"/>
      <c r="O344" s="2437"/>
      <c r="P344" s="2437"/>
      <c r="Q344" s="2437"/>
      <c r="R344" s="2437"/>
      <c r="S344" s="2437"/>
      <c r="T344" s="2437"/>
      <c r="U344" s="2437"/>
      <c r="V344" s="2437"/>
      <c r="W344" s="2437"/>
      <c r="X344" s="2437"/>
      <c r="Y344" s="2437"/>
      <c r="Z344" s="2437"/>
      <c r="AA344" s="2437"/>
      <c r="AB344" s="2437"/>
      <c r="AC344" s="2437"/>
      <c r="AD344" s="2437"/>
      <c r="AE344" s="2437"/>
      <c r="AF344" s="2437"/>
      <c r="AG344" s="2437"/>
      <c r="AH344" s="2437"/>
      <c r="AI344" s="2437"/>
      <c r="AJ344" s="2437"/>
      <c r="AK344" s="603"/>
      <c r="AL344" s="603"/>
      <c r="AM344" s="603"/>
      <c r="AN344" s="597"/>
    </row>
    <row r="345" spans="1:44" s="550" customFormat="1" ht="12.75" customHeight="1">
      <c r="A345" s="603"/>
      <c r="B345" s="611"/>
      <c r="C345" s="2437"/>
      <c r="D345" s="2437"/>
      <c r="E345" s="2437"/>
      <c r="F345" s="2437"/>
      <c r="G345" s="2437"/>
      <c r="H345" s="2437"/>
      <c r="I345" s="2437"/>
      <c r="J345" s="2437"/>
      <c r="K345" s="2437"/>
      <c r="L345" s="2437"/>
      <c r="M345" s="2437"/>
      <c r="N345" s="2437"/>
      <c r="O345" s="2437"/>
      <c r="P345" s="2437"/>
      <c r="Q345" s="2437"/>
      <c r="R345" s="2437"/>
      <c r="S345" s="2437"/>
      <c r="T345" s="2437"/>
      <c r="U345" s="2437"/>
      <c r="V345" s="2437"/>
      <c r="W345" s="2437"/>
      <c r="X345" s="2437"/>
      <c r="Y345" s="2437"/>
      <c r="Z345" s="2437"/>
      <c r="AA345" s="2437"/>
      <c r="AB345" s="2437"/>
      <c r="AC345" s="2437"/>
      <c r="AD345" s="2437"/>
      <c r="AE345" s="2437"/>
      <c r="AF345" s="2437"/>
      <c r="AG345" s="2437"/>
      <c r="AH345" s="2437"/>
      <c r="AI345" s="2437"/>
      <c r="AJ345" s="2437"/>
      <c r="AK345" s="603"/>
      <c r="AL345" s="603"/>
      <c r="AM345" s="603"/>
      <c r="AN345" s="597"/>
      <c r="AQ345" s="570"/>
    </row>
    <row r="346" spans="1:44" s="550" customFormat="1" ht="12.75" customHeight="1">
      <c r="A346" s="603"/>
      <c r="B346" s="611"/>
      <c r="C346" s="2437"/>
      <c r="D346" s="2437"/>
      <c r="E346" s="2437"/>
      <c r="F346" s="2437"/>
      <c r="G346" s="2437"/>
      <c r="H346" s="2437"/>
      <c r="I346" s="2437"/>
      <c r="J346" s="2437"/>
      <c r="K346" s="2437"/>
      <c r="L346" s="2437"/>
      <c r="M346" s="2437"/>
      <c r="N346" s="2437"/>
      <c r="O346" s="2437"/>
      <c r="P346" s="2437"/>
      <c r="Q346" s="2437"/>
      <c r="R346" s="2437"/>
      <c r="S346" s="2437"/>
      <c r="T346" s="2437"/>
      <c r="U346" s="2437"/>
      <c r="V346" s="2437"/>
      <c r="W346" s="2437"/>
      <c r="X346" s="2437"/>
      <c r="Y346" s="2437"/>
      <c r="Z346" s="2437"/>
      <c r="AA346" s="2437"/>
      <c r="AB346" s="2437"/>
      <c r="AC346" s="2437"/>
      <c r="AD346" s="2437"/>
      <c r="AE346" s="2437"/>
      <c r="AF346" s="2437"/>
      <c r="AG346" s="2437"/>
      <c r="AH346" s="2437"/>
      <c r="AI346" s="2437"/>
      <c r="AJ346" s="2437"/>
      <c r="AK346" s="603"/>
      <c r="AL346" s="603"/>
      <c r="AM346" s="603"/>
      <c r="AN346" s="597"/>
      <c r="AQ346" s="570"/>
    </row>
    <row r="347" spans="1:44" s="550" customFormat="1" ht="12.4" customHeight="1">
      <c r="A347" s="603"/>
      <c r="B347" s="611"/>
      <c r="C347" s="2437"/>
      <c r="D347" s="2437"/>
      <c r="E347" s="2437"/>
      <c r="F347" s="2437"/>
      <c r="G347" s="2437"/>
      <c r="H347" s="2437"/>
      <c r="I347" s="2437"/>
      <c r="J347" s="2437"/>
      <c r="K347" s="2437"/>
      <c r="L347" s="2437"/>
      <c r="M347" s="2437"/>
      <c r="N347" s="2437"/>
      <c r="O347" s="2437"/>
      <c r="P347" s="2437"/>
      <c r="Q347" s="2437"/>
      <c r="R347" s="2437"/>
      <c r="S347" s="2437"/>
      <c r="T347" s="2437"/>
      <c r="U347" s="2437"/>
      <c r="V347" s="2437"/>
      <c r="W347" s="2437"/>
      <c r="X347" s="2437"/>
      <c r="Y347" s="2437"/>
      <c r="Z347" s="2437"/>
      <c r="AA347" s="2437"/>
      <c r="AB347" s="2437"/>
      <c r="AC347" s="2437"/>
      <c r="AD347" s="2437"/>
      <c r="AE347" s="2437"/>
      <c r="AF347" s="2437"/>
      <c r="AG347" s="2437"/>
      <c r="AH347" s="2437"/>
      <c r="AI347" s="2437"/>
      <c r="AJ347" s="2437"/>
      <c r="AK347" s="603"/>
      <c r="AL347" s="603"/>
      <c r="AM347" s="603"/>
      <c r="AN347" s="597"/>
      <c r="AQ347" s="570"/>
      <c r="AR347" s="570"/>
    </row>
    <row r="348" spans="1:44" s="550" customFormat="1" ht="45.75" customHeight="1">
      <c r="A348" s="603"/>
      <c r="B348" s="611"/>
      <c r="C348" s="2437" t="s">
        <v>2093</v>
      </c>
      <c r="D348" s="2437"/>
      <c r="E348" s="2437"/>
      <c r="F348" s="2437"/>
      <c r="G348" s="2437"/>
      <c r="H348" s="2437"/>
      <c r="I348" s="2437"/>
      <c r="J348" s="2437"/>
      <c r="K348" s="2437"/>
      <c r="L348" s="2437"/>
      <c r="M348" s="2437"/>
      <c r="N348" s="2437"/>
      <c r="O348" s="2437"/>
      <c r="P348" s="2437"/>
      <c r="Q348" s="2437"/>
      <c r="R348" s="2437"/>
      <c r="S348" s="2437"/>
      <c r="T348" s="2437"/>
      <c r="U348" s="2437"/>
      <c r="V348" s="2437"/>
      <c r="W348" s="2437"/>
      <c r="X348" s="2437"/>
      <c r="Y348" s="2437"/>
      <c r="Z348" s="2437"/>
      <c r="AA348" s="2437"/>
      <c r="AB348" s="2437"/>
      <c r="AC348" s="2437"/>
      <c r="AD348" s="2437"/>
      <c r="AE348" s="2437"/>
      <c r="AF348" s="2437"/>
      <c r="AG348" s="2437"/>
      <c r="AH348" s="2437"/>
      <c r="AI348" s="2437"/>
      <c r="AJ348" s="2437"/>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7" t="s">
        <v>2208</v>
      </c>
      <c r="D350" s="2437"/>
      <c r="E350" s="2437"/>
      <c r="F350" s="2437"/>
      <c r="G350" s="2437"/>
      <c r="H350" s="2437"/>
      <c r="I350" s="2437"/>
      <c r="J350" s="2437"/>
      <c r="K350" s="2437"/>
      <c r="L350" s="2437"/>
      <c r="M350" s="2437"/>
      <c r="N350" s="2437"/>
      <c r="O350" s="2437"/>
      <c r="P350" s="2437"/>
      <c r="Q350" s="2437"/>
      <c r="R350" s="2437"/>
      <c r="S350" s="2437"/>
      <c r="T350" s="2437"/>
      <c r="U350" s="2437"/>
      <c r="V350" s="2437"/>
      <c r="W350" s="2437"/>
      <c r="X350" s="2437"/>
      <c r="Y350" s="2437"/>
      <c r="Z350" s="2437"/>
      <c r="AA350" s="2437"/>
      <c r="AB350" s="2437"/>
      <c r="AC350" s="2437"/>
      <c r="AD350" s="2437"/>
      <c r="AE350" s="2437"/>
      <c r="AF350" s="2437"/>
      <c r="AG350" s="2437"/>
      <c r="AH350" s="2437"/>
      <c r="AI350" s="2437"/>
      <c r="AJ350" s="2437"/>
      <c r="AK350" s="603"/>
      <c r="AL350" s="603"/>
      <c r="AM350" s="603"/>
      <c r="AN350" s="597"/>
      <c r="AQ350" s="570"/>
      <c r="AR350" s="570"/>
    </row>
    <row r="351" spans="1:44" s="550" customFormat="1" ht="30" customHeight="1">
      <c r="A351" s="603"/>
      <c r="B351" s="611"/>
      <c r="C351" s="2437"/>
      <c r="D351" s="2437"/>
      <c r="E351" s="2437"/>
      <c r="F351" s="2437"/>
      <c r="G351" s="2437"/>
      <c r="H351" s="2437"/>
      <c r="I351" s="2437"/>
      <c r="J351" s="2437"/>
      <c r="K351" s="2437"/>
      <c r="L351" s="2437"/>
      <c r="M351" s="2437"/>
      <c r="N351" s="2437"/>
      <c r="O351" s="2437"/>
      <c r="P351" s="2437"/>
      <c r="Q351" s="2437"/>
      <c r="R351" s="2437"/>
      <c r="S351" s="2437"/>
      <c r="T351" s="2437"/>
      <c r="U351" s="2437"/>
      <c r="V351" s="2437"/>
      <c r="W351" s="2437"/>
      <c r="X351" s="2437"/>
      <c r="Y351" s="2437"/>
      <c r="Z351" s="2437"/>
      <c r="AA351" s="2437"/>
      <c r="AB351" s="2437"/>
      <c r="AC351" s="2437"/>
      <c r="AD351" s="2437"/>
      <c r="AE351" s="2437"/>
      <c r="AF351" s="2437"/>
      <c r="AG351" s="2437"/>
      <c r="AH351" s="2437"/>
      <c r="AI351" s="2437"/>
      <c r="AJ351" s="2437"/>
      <c r="AK351" s="603"/>
      <c r="AL351" s="603"/>
      <c r="AM351" s="603"/>
      <c r="AN351" s="597"/>
      <c r="AR351" s="570"/>
    </row>
    <row r="352" spans="1:44" s="550" customFormat="1" ht="12.75" customHeight="1">
      <c r="A352" s="603"/>
      <c r="B352" s="611"/>
      <c r="C352" s="2437"/>
      <c r="D352" s="2437"/>
      <c r="E352" s="2437"/>
      <c r="F352" s="2437"/>
      <c r="G352" s="2437"/>
      <c r="H352" s="2437"/>
      <c r="I352" s="2437"/>
      <c r="J352" s="2437"/>
      <c r="K352" s="2437"/>
      <c r="L352" s="2437"/>
      <c r="M352" s="2437"/>
      <c r="N352" s="2437"/>
      <c r="O352" s="2437"/>
      <c r="P352" s="2437"/>
      <c r="Q352" s="2437"/>
      <c r="R352" s="2437"/>
      <c r="S352" s="2437"/>
      <c r="T352" s="2437"/>
      <c r="U352" s="2437"/>
      <c r="V352" s="2437"/>
      <c r="W352" s="2437"/>
      <c r="X352" s="2437"/>
      <c r="Y352" s="2437"/>
      <c r="Z352" s="2437"/>
      <c r="AA352" s="2437"/>
      <c r="AB352" s="2437"/>
      <c r="AC352" s="2437"/>
      <c r="AD352" s="2437"/>
      <c r="AE352" s="2437"/>
      <c r="AF352" s="2437"/>
      <c r="AG352" s="2437"/>
      <c r="AH352" s="2437"/>
      <c r="AI352" s="2437"/>
      <c r="AJ352" s="2437"/>
      <c r="AK352" s="603"/>
      <c r="AL352" s="603"/>
      <c r="AM352" s="603"/>
      <c r="AN352" s="597"/>
      <c r="AR352" s="570"/>
    </row>
    <row r="353" spans="1:46" s="550" customFormat="1" ht="12.75" customHeight="1">
      <c r="A353" s="603"/>
      <c r="B353" s="611"/>
      <c r="C353" s="2437" t="s">
        <v>1456</v>
      </c>
      <c r="D353" s="2437"/>
      <c r="E353" s="2437"/>
      <c r="F353" s="2437"/>
      <c r="G353" s="2437"/>
      <c r="H353" s="2437"/>
      <c r="I353" s="2437"/>
      <c r="J353" s="2437"/>
      <c r="K353" s="2437"/>
      <c r="L353" s="2437"/>
      <c r="M353" s="2437"/>
      <c r="N353" s="2437"/>
      <c r="O353" s="2437"/>
      <c r="P353" s="2437"/>
      <c r="Q353" s="2437"/>
      <c r="R353" s="2437"/>
      <c r="S353" s="2437"/>
      <c r="T353" s="2437"/>
      <c r="U353" s="2437"/>
      <c r="V353" s="2437"/>
      <c r="W353" s="2437"/>
      <c r="X353" s="2437"/>
      <c r="Y353" s="2437"/>
      <c r="Z353" s="2437"/>
      <c r="AA353" s="2437"/>
      <c r="AB353" s="2437"/>
      <c r="AC353" s="2437"/>
      <c r="AD353" s="2437"/>
      <c r="AE353" s="2437"/>
      <c r="AF353" s="2437"/>
      <c r="AG353" s="2437"/>
      <c r="AH353" s="2437"/>
      <c r="AI353" s="2437"/>
      <c r="AJ353" s="2437"/>
      <c r="AK353" s="603"/>
      <c r="AL353" s="603"/>
      <c r="AM353" s="603"/>
      <c r="AN353" s="597"/>
      <c r="AQ353" s="570"/>
      <c r="AR353" s="570"/>
    </row>
    <row r="354" spans="1:46" s="550" customFormat="1" ht="12.75" customHeight="1">
      <c r="A354" s="603"/>
      <c r="B354" s="611"/>
      <c r="C354" s="2437"/>
      <c r="D354" s="2437"/>
      <c r="E354" s="2437"/>
      <c r="F354" s="2437"/>
      <c r="G354" s="2437"/>
      <c r="H354" s="2437"/>
      <c r="I354" s="2437"/>
      <c r="J354" s="2437"/>
      <c r="K354" s="2437"/>
      <c r="L354" s="2437"/>
      <c r="M354" s="2437"/>
      <c r="N354" s="2437"/>
      <c r="O354" s="2437"/>
      <c r="P354" s="2437"/>
      <c r="Q354" s="2437"/>
      <c r="R354" s="2437"/>
      <c r="S354" s="2437"/>
      <c r="T354" s="2437"/>
      <c r="U354" s="2437"/>
      <c r="V354" s="2437"/>
      <c r="W354" s="2437"/>
      <c r="X354" s="2437"/>
      <c r="Y354" s="2437"/>
      <c r="Z354" s="2437"/>
      <c r="AA354" s="2437"/>
      <c r="AB354" s="2437"/>
      <c r="AC354" s="2437"/>
      <c r="AD354" s="2437"/>
      <c r="AE354" s="2437"/>
      <c r="AF354" s="2437"/>
      <c r="AG354" s="2437"/>
      <c r="AH354" s="2437"/>
      <c r="AI354" s="2437"/>
      <c r="AJ354" s="2437"/>
      <c r="AK354" s="603"/>
      <c r="AL354" s="603"/>
      <c r="AM354" s="603"/>
      <c r="AN354" s="597"/>
      <c r="AQ354" s="570"/>
      <c r="AR354" s="570"/>
    </row>
    <row r="355" spans="1:46" s="550" customFormat="1" ht="13.15" customHeight="1">
      <c r="A355" s="603"/>
      <c r="B355" s="611"/>
      <c r="C355" s="2437"/>
      <c r="D355" s="2437"/>
      <c r="E355" s="2437"/>
      <c r="F355" s="2437"/>
      <c r="G355" s="2437"/>
      <c r="H355" s="2437"/>
      <c r="I355" s="2437"/>
      <c r="J355" s="2437"/>
      <c r="K355" s="2437"/>
      <c r="L355" s="2437"/>
      <c r="M355" s="2437"/>
      <c r="N355" s="2437"/>
      <c r="O355" s="2437"/>
      <c r="P355" s="2437"/>
      <c r="Q355" s="2437"/>
      <c r="R355" s="2437"/>
      <c r="S355" s="2437"/>
      <c r="T355" s="2437"/>
      <c r="U355" s="2437"/>
      <c r="V355" s="2437"/>
      <c r="W355" s="2437"/>
      <c r="X355" s="2437"/>
      <c r="Y355" s="2437"/>
      <c r="Z355" s="2437"/>
      <c r="AA355" s="2437"/>
      <c r="AB355" s="2437"/>
      <c r="AC355" s="2437"/>
      <c r="AD355" s="2437"/>
      <c r="AE355" s="2437"/>
      <c r="AF355" s="2437"/>
      <c r="AG355" s="2437"/>
      <c r="AH355" s="2437"/>
      <c r="AI355" s="2437"/>
      <c r="AJ355" s="2437"/>
      <c r="AK355" s="603"/>
      <c r="AL355" s="603"/>
      <c r="AM355" s="603"/>
      <c r="AN355" s="597"/>
      <c r="AQ355" s="570"/>
      <c r="AR355" s="570"/>
    </row>
    <row r="356" spans="1:46" s="550" customFormat="1" ht="12.75" customHeight="1">
      <c r="A356" s="603"/>
      <c r="B356" s="611"/>
      <c r="C356" s="2437"/>
      <c r="D356" s="2437"/>
      <c r="E356" s="2437"/>
      <c r="F356" s="2437"/>
      <c r="G356" s="2437"/>
      <c r="H356" s="2437"/>
      <c r="I356" s="2437"/>
      <c r="J356" s="2437"/>
      <c r="K356" s="2437"/>
      <c r="L356" s="2437"/>
      <c r="M356" s="2437"/>
      <c r="N356" s="2437"/>
      <c r="O356" s="2437"/>
      <c r="P356" s="2437"/>
      <c r="Q356" s="2437"/>
      <c r="R356" s="2437"/>
      <c r="S356" s="2437"/>
      <c r="T356" s="2437"/>
      <c r="U356" s="2437"/>
      <c r="V356" s="2437"/>
      <c r="W356" s="2437"/>
      <c r="X356" s="2437"/>
      <c r="Y356" s="2437"/>
      <c r="Z356" s="2437"/>
      <c r="AA356" s="2437"/>
      <c r="AB356" s="2437"/>
      <c r="AC356" s="2437"/>
      <c r="AD356" s="2437"/>
      <c r="AE356" s="2437"/>
      <c r="AF356" s="2437"/>
      <c r="AG356" s="2437"/>
      <c r="AH356" s="2437"/>
      <c r="AI356" s="2437"/>
      <c r="AJ356" s="2437"/>
      <c r="AK356" s="603"/>
      <c r="AL356" s="603"/>
      <c r="AM356" s="603"/>
      <c r="AN356" s="597"/>
      <c r="AO356" s="694"/>
      <c r="AP356" s="694"/>
      <c r="AQ356" s="570"/>
    </row>
    <row r="357" spans="1:46" s="550" customFormat="1" ht="11.85" customHeight="1">
      <c r="A357" s="603"/>
      <c r="B357" s="611"/>
      <c r="C357" s="2437"/>
      <c r="D357" s="2437"/>
      <c r="E357" s="2437"/>
      <c r="F357" s="2437"/>
      <c r="G357" s="2437"/>
      <c r="H357" s="2437"/>
      <c r="I357" s="2437"/>
      <c r="J357" s="2437"/>
      <c r="K357" s="2437"/>
      <c r="L357" s="2437"/>
      <c r="M357" s="2437"/>
      <c r="N357" s="2437"/>
      <c r="O357" s="2437"/>
      <c r="P357" s="2437"/>
      <c r="Q357" s="2437"/>
      <c r="R357" s="2437"/>
      <c r="S357" s="2437"/>
      <c r="T357" s="2437"/>
      <c r="U357" s="2437"/>
      <c r="V357" s="2437"/>
      <c r="W357" s="2437"/>
      <c r="X357" s="2437"/>
      <c r="Y357" s="2437"/>
      <c r="Z357" s="2437"/>
      <c r="AA357" s="2437"/>
      <c r="AB357" s="2437"/>
      <c r="AC357" s="2437"/>
      <c r="AD357" s="2437"/>
      <c r="AE357" s="2437"/>
      <c r="AF357" s="2437"/>
      <c r="AG357" s="2437"/>
      <c r="AH357" s="2437"/>
      <c r="AI357" s="2437"/>
      <c r="AJ357" s="2437"/>
      <c r="AK357" s="603"/>
      <c r="AL357" s="603"/>
      <c r="AM357" s="603"/>
      <c r="AN357" s="597"/>
      <c r="AO357" s="695" t="s">
        <v>112</v>
      </c>
      <c r="AP357" s="696">
        <f>IF(C381="Yes",5,0)</f>
        <v>0</v>
      </c>
      <c r="AS357" s="539" t="s">
        <v>1457</v>
      </c>
    </row>
    <row r="358" spans="1:46" s="550" customFormat="1" ht="12.75" customHeight="1">
      <c r="A358" s="603"/>
      <c r="B358" s="611"/>
      <c r="C358" s="2437"/>
      <c r="D358" s="2437"/>
      <c r="E358" s="2437"/>
      <c r="F358" s="2437"/>
      <c r="G358" s="2437"/>
      <c r="H358" s="2437"/>
      <c r="I358" s="2437"/>
      <c r="J358" s="2437"/>
      <c r="K358" s="2437"/>
      <c r="L358" s="2437"/>
      <c r="M358" s="2437"/>
      <c r="N358" s="2437"/>
      <c r="O358" s="2437"/>
      <c r="P358" s="2437"/>
      <c r="Q358" s="2437"/>
      <c r="R358" s="2437"/>
      <c r="S358" s="2437"/>
      <c r="T358" s="2437"/>
      <c r="U358" s="2437"/>
      <c r="V358" s="2437"/>
      <c r="W358" s="2437"/>
      <c r="X358" s="2437"/>
      <c r="Y358" s="2437"/>
      <c r="Z358" s="2437"/>
      <c r="AA358" s="2437"/>
      <c r="AB358" s="2437"/>
      <c r="AC358" s="2437"/>
      <c r="AD358" s="2437"/>
      <c r="AE358" s="2437"/>
      <c r="AF358" s="2437"/>
      <c r="AG358" s="2437"/>
      <c r="AH358" s="2437"/>
      <c r="AI358" s="2437"/>
      <c r="AJ358" s="2437"/>
      <c r="AK358" s="603"/>
      <c r="AL358" s="603"/>
      <c r="AM358" s="603"/>
      <c r="AN358" s="597"/>
      <c r="AO358" s="695" t="s">
        <v>113</v>
      </c>
      <c r="AP358" s="696">
        <f>IF(C389="Yes",5,0)</f>
        <v>0</v>
      </c>
      <c r="AS358" s="2403">
        <f>IF(Application!D211="Non-Targeted",(SUM(AQ366+AQ375)),AS362)</f>
        <v>12</v>
      </c>
      <c r="AT358" s="2403"/>
    </row>
    <row r="359" spans="1:46" s="550" customFormat="1" ht="12.75" customHeight="1">
      <c r="A359" s="603"/>
      <c r="B359" s="611"/>
      <c r="C359" s="2437"/>
      <c r="D359" s="2437"/>
      <c r="E359" s="2437"/>
      <c r="F359" s="2437"/>
      <c r="G359" s="2437"/>
      <c r="H359" s="2437"/>
      <c r="I359" s="2437"/>
      <c r="J359" s="2437"/>
      <c r="K359" s="2437"/>
      <c r="L359" s="2437"/>
      <c r="M359" s="2437"/>
      <c r="N359" s="2437"/>
      <c r="O359" s="2437"/>
      <c r="P359" s="2437"/>
      <c r="Q359" s="2437"/>
      <c r="R359" s="2437"/>
      <c r="S359" s="2437"/>
      <c r="T359" s="2437"/>
      <c r="U359" s="2437"/>
      <c r="V359" s="2437"/>
      <c r="W359" s="2437"/>
      <c r="X359" s="2437"/>
      <c r="Y359" s="2437"/>
      <c r="Z359" s="2437"/>
      <c r="AA359" s="2437"/>
      <c r="AB359" s="2437"/>
      <c r="AC359" s="2437"/>
      <c r="AD359" s="2437"/>
      <c r="AE359" s="2437"/>
      <c r="AF359" s="2437"/>
      <c r="AG359" s="2437"/>
      <c r="AH359" s="2437"/>
      <c r="AI359" s="2437"/>
      <c r="AJ359" s="2437"/>
      <c r="AK359" s="603"/>
      <c r="AL359" s="603"/>
      <c r="AM359" s="603"/>
      <c r="AN359" s="597"/>
      <c r="AO359" s="695" t="s">
        <v>119</v>
      </c>
      <c r="AP359" s="696">
        <f>IF(C397="Yes",7,0)</f>
        <v>7</v>
      </c>
      <c r="AS359" s="539" t="s">
        <v>1458</v>
      </c>
    </row>
    <row r="360" spans="1:46" s="550" customFormat="1" ht="12.75" customHeight="1">
      <c r="A360" s="603"/>
      <c r="B360" s="611"/>
      <c r="C360" s="2437"/>
      <c r="D360" s="2437"/>
      <c r="E360" s="2437"/>
      <c r="F360" s="2437"/>
      <c r="G360" s="2437"/>
      <c r="H360" s="2437"/>
      <c r="I360" s="2437"/>
      <c r="J360" s="2437"/>
      <c r="K360" s="2437"/>
      <c r="L360" s="2437"/>
      <c r="M360" s="2437"/>
      <c r="N360" s="2437"/>
      <c r="O360" s="2437"/>
      <c r="P360" s="2437"/>
      <c r="Q360" s="2437"/>
      <c r="R360" s="2437"/>
      <c r="S360" s="2437"/>
      <c r="T360" s="2437"/>
      <c r="U360" s="2437"/>
      <c r="V360" s="2437"/>
      <c r="W360" s="2437"/>
      <c r="X360" s="2437"/>
      <c r="Y360" s="2437"/>
      <c r="Z360" s="2437"/>
      <c r="AA360" s="2437"/>
      <c r="AB360" s="2437"/>
      <c r="AC360" s="2437"/>
      <c r="AD360" s="2437"/>
      <c r="AE360" s="2437"/>
      <c r="AF360" s="2437"/>
      <c r="AG360" s="2437"/>
      <c r="AH360" s="2437"/>
      <c r="AI360" s="2437"/>
      <c r="AJ360" s="2437"/>
      <c r="AK360" s="603"/>
      <c r="AL360" s="603"/>
      <c r="AM360" s="603"/>
      <c r="AN360" s="597"/>
      <c r="AO360" s="597"/>
      <c r="AP360" s="696">
        <f>IF(C399="Yes",5,0)</f>
        <v>0</v>
      </c>
      <c r="AS360" s="2403">
        <f>IF(AND(AQ366&gt;0,AQ375&gt;0),(AQ366+AQ375)/2,0)</f>
        <v>0</v>
      </c>
      <c r="AT360" s="2403"/>
    </row>
    <row r="361" spans="1:46" s="550" customFormat="1" ht="12.75" customHeight="1">
      <c r="A361" s="603"/>
      <c r="B361" s="611"/>
      <c r="C361" s="2437"/>
      <c r="D361" s="2437"/>
      <c r="E361" s="2437"/>
      <c r="F361" s="2437"/>
      <c r="G361" s="2437"/>
      <c r="H361" s="2437"/>
      <c r="I361" s="2437"/>
      <c r="J361" s="2437"/>
      <c r="K361" s="2437"/>
      <c r="L361" s="2437"/>
      <c r="M361" s="2437"/>
      <c r="N361" s="2437"/>
      <c r="O361" s="2437"/>
      <c r="P361" s="2437"/>
      <c r="Q361" s="2437"/>
      <c r="R361" s="2437"/>
      <c r="S361" s="2437"/>
      <c r="T361" s="2437"/>
      <c r="U361" s="2437"/>
      <c r="V361" s="2437"/>
      <c r="W361" s="2437"/>
      <c r="X361" s="2437"/>
      <c r="Y361" s="2437"/>
      <c r="Z361" s="2437"/>
      <c r="AA361" s="2437"/>
      <c r="AB361" s="2437"/>
      <c r="AC361" s="2437"/>
      <c r="AD361" s="2437"/>
      <c r="AE361" s="2437"/>
      <c r="AF361" s="2437"/>
      <c r="AG361" s="2437"/>
      <c r="AH361" s="2437"/>
      <c r="AI361" s="2437"/>
      <c r="AJ361" s="2437"/>
      <c r="AK361" s="603"/>
      <c r="AL361" s="603"/>
      <c r="AM361" s="603"/>
      <c r="AN361" s="597"/>
      <c r="AO361" s="695" t="s">
        <v>582</v>
      </c>
      <c r="AP361" s="696">
        <f>IF(C407="Yes",5,0)</f>
        <v>5</v>
      </c>
      <c r="AS361" s="539" t="s">
        <v>1879</v>
      </c>
    </row>
    <row r="362" spans="1:46" s="550" customFormat="1" ht="12.75" customHeight="1">
      <c r="A362" s="603"/>
      <c r="B362" s="611"/>
      <c r="C362" s="2531" t="s">
        <v>2232</v>
      </c>
      <c r="D362" s="2531"/>
      <c r="E362" s="2531"/>
      <c r="F362" s="2531"/>
      <c r="G362" s="2531"/>
      <c r="H362" s="2531"/>
      <c r="I362" s="2531"/>
      <c r="J362" s="2531"/>
      <c r="K362" s="2531"/>
      <c r="L362" s="2531"/>
      <c r="M362" s="2531"/>
      <c r="N362" s="2531"/>
      <c r="O362" s="2531"/>
      <c r="P362" s="2531"/>
      <c r="Q362" s="2531"/>
      <c r="R362" s="2531"/>
      <c r="S362" s="2531"/>
      <c r="T362" s="2531"/>
      <c r="U362" s="2531"/>
      <c r="V362" s="2531"/>
      <c r="W362" s="2531"/>
      <c r="X362" s="2531"/>
      <c r="Y362" s="2531"/>
      <c r="Z362" s="2531"/>
      <c r="AA362" s="2531"/>
      <c r="AB362" s="2531"/>
      <c r="AC362" s="2531"/>
      <c r="AD362" s="2531"/>
      <c r="AE362" s="2531"/>
      <c r="AF362" s="2531"/>
      <c r="AG362" s="2531"/>
      <c r="AH362" s="2531"/>
      <c r="AI362" s="2531"/>
      <c r="AJ362" s="2531"/>
      <c r="AK362" s="603"/>
      <c r="AL362" s="603"/>
      <c r="AM362" s="603"/>
      <c r="AN362" s="597"/>
      <c r="AO362" s="597"/>
      <c r="AP362" s="696">
        <f>IF(C409="Yes",3,0)</f>
        <v>0</v>
      </c>
      <c r="AS362" s="2403">
        <f>IF(AQ366=0,AQ375,AQ366)</f>
        <v>12</v>
      </c>
      <c r="AT362" s="2403"/>
    </row>
    <row r="363" spans="1:46" s="550" customFormat="1" ht="12.75" customHeight="1">
      <c r="A363" s="603"/>
      <c r="B363" s="611"/>
      <c r="C363" s="2531"/>
      <c r="D363" s="2531"/>
      <c r="E363" s="2531"/>
      <c r="F363" s="2531"/>
      <c r="G363" s="2531"/>
      <c r="H363" s="2531"/>
      <c r="I363" s="2531"/>
      <c r="J363" s="2531"/>
      <c r="K363" s="2531"/>
      <c r="L363" s="2531"/>
      <c r="M363" s="2531"/>
      <c r="N363" s="2531"/>
      <c r="O363" s="2531"/>
      <c r="P363" s="2531"/>
      <c r="Q363" s="2531"/>
      <c r="R363" s="2531"/>
      <c r="S363" s="2531"/>
      <c r="T363" s="2531"/>
      <c r="U363" s="2531"/>
      <c r="V363" s="2531"/>
      <c r="W363" s="2531"/>
      <c r="X363" s="2531"/>
      <c r="Y363" s="2531"/>
      <c r="Z363" s="2531"/>
      <c r="AA363" s="2531"/>
      <c r="AB363" s="2531"/>
      <c r="AC363" s="2531"/>
      <c r="AD363" s="2531"/>
      <c r="AE363" s="2531"/>
      <c r="AF363" s="2531"/>
      <c r="AG363" s="2531"/>
      <c r="AH363" s="2531"/>
      <c r="AI363" s="2531"/>
      <c r="AJ363" s="2531"/>
      <c r="AK363" s="603"/>
      <c r="AL363" s="603"/>
      <c r="AM363" s="603"/>
      <c r="AN363" s="597"/>
      <c r="AO363" s="695" t="s">
        <v>764</v>
      </c>
      <c r="AP363" s="696">
        <f>IF(C412="Yes",5,0)</f>
        <v>0</v>
      </c>
    </row>
    <row r="364" spans="1:46" s="550" customFormat="1" ht="12.75" customHeight="1">
      <c r="A364" s="603"/>
      <c r="B364" s="611"/>
      <c r="C364" s="2531"/>
      <c r="D364" s="2531"/>
      <c r="E364" s="2531"/>
      <c r="F364" s="2531"/>
      <c r="G364" s="2531"/>
      <c r="H364" s="2531"/>
      <c r="I364" s="2531"/>
      <c r="J364" s="2531"/>
      <c r="K364" s="2531"/>
      <c r="L364" s="2531"/>
      <c r="M364" s="2531"/>
      <c r="N364" s="2531"/>
      <c r="O364" s="2531"/>
      <c r="P364" s="2531"/>
      <c r="Q364" s="2531"/>
      <c r="R364" s="2531"/>
      <c r="S364" s="2531"/>
      <c r="T364" s="2531"/>
      <c r="U364" s="2531"/>
      <c r="V364" s="2531"/>
      <c r="W364" s="2531"/>
      <c r="X364" s="2531"/>
      <c r="Y364" s="2531"/>
      <c r="Z364" s="2531"/>
      <c r="AA364" s="2531"/>
      <c r="AB364" s="2531"/>
      <c r="AC364" s="2531"/>
      <c r="AD364" s="2531"/>
      <c r="AE364" s="2531"/>
      <c r="AF364" s="2531"/>
      <c r="AG364" s="2531"/>
      <c r="AH364" s="2531"/>
      <c r="AI364" s="2531"/>
      <c r="AJ364" s="2531"/>
      <c r="AK364" s="603"/>
      <c r="AL364" s="603"/>
      <c r="AM364" s="603"/>
      <c r="AN364" s="597"/>
      <c r="AO364" s="695" t="s">
        <v>585</v>
      </c>
      <c r="AP364" s="696">
        <f>IF(C421="Yes",5,0)</f>
        <v>0</v>
      </c>
    </row>
    <row r="365" spans="1:46" s="550" customFormat="1" ht="11.85" customHeight="1">
      <c r="A365" s="603"/>
      <c r="B365" s="611"/>
      <c r="C365" s="2531"/>
      <c r="D365" s="2531"/>
      <c r="E365" s="2531"/>
      <c r="F365" s="2531"/>
      <c r="G365" s="2531"/>
      <c r="H365" s="2531"/>
      <c r="I365" s="2531"/>
      <c r="J365" s="2531"/>
      <c r="K365" s="2531"/>
      <c r="L365" s="2531"/>
      <c r="M365" s="2531"/>
      <c r="N365" s="2531"/>
      <c r="O365" s="2531"/>
      <c r="P365" s="2531"/>
      <c r="Q365" s="2531"/>
      <c r="R365" s="2531"/>
      <c r="S365" s="2531"/>
      <c r="T365" s="2531"/>
      <c r="U365" s="2531"/>
      <c r="V365" s="2531"/>
      <c r="W365" s="2531"/>
      <c r="X365" s="2531"/>
      <c r="Y365" s="2531"/>
      <c r="Z365" s="2531"/>
      <c r="AA365" s="2531"/>
      <c r="AB365" s="2531"/>
      <c r="AC365" s="2531"/>
      <c r="AD365" s="2531"/>
      <c r="AE365" s="2531"/>
      <c r="AF365" s="2531"/>
      <c r="AG365" s="2531"/>
      <c r="AH365" s="2531"/>
      <c r="AI365" s="2531"/>
      <c r="AJ365" s="2531"/>
      <c r="AK365" s="603"/>
      <c r="AL365" s="603"/>
      <c r="AM365" s="603"/>
      <c r="AN365" s="597"/>
      <c r="AO365" s="697"/>
      <c r="AP365" s="698">
        <f>IF(C423="Yes",3,0)</f>
        <v>0</v>
      </c>
    </row>
    <row r="366" spans="1:46" s="550" customFormat="1" ht="12.4" customHeight="1">
      <c r="A366" s="603"/>
      <c r="B366" s="611"/>
      <c r="C366" s="2531"/>
      <c r="D366" s="2531"/>
      <c r="E366" s="2531"/>
      <c r="F366" s="2531"/>
      <c r="G366" s="2531"/>
      <c r="H366" s="2531"/>
      <c r="I366" s="2531"/>
      <c r="J366" s="2531"/>
      <c r="K366" s="2531"/>
      <c r="L366" s="2531"/>
      <c r="M366" s="2531"/>
      <c r="N366" s="2531"/>
      <c r="O366" s="2531"/>
      <c r="P366" s="2531"/>
      <c r="Q366" s="2531"/>
      <c r="R366" s="2531"/>
      <c r="S366" s="2531"/>
      <c r="T366" s="2531"/>
      <c r="U366" s="2531"/>
      <c r="V366" s="2531"/>
      <c r="W366" s="2531"/>
      <c r="X366" s="2531"/>
      <c r="Y366" s="2531"/>
      <c r="Z366" s="2531"/>
      <c r="AA366" s="2531"/>
      <c r="AB366" s="2531"/>
      <c r="AC366" s="2531"/>
      <c r="AD366" s="2531"/>
      <c r="AE366" s="2531"/>
      <c r="AF366" s="2531"/>
      <c r="AG366" s="2531"/>
      <c r="AH366" s="2531"/>
      <c r="AI366" s="2531"/>
      <c r="AJ366" s="2531"/>
      <c r="AK366" s="603"/>
      <c r="AL366" s="603"/>
      <c r="AM366" s="603"/>
      <c r="AN366" s="597"/>
      <c r="AO366" s="699" t="s">
        <v>227</v>
      </c>
      <c r="AP366" s="700">
        <f>SUM(AP357:AP365)</f>
        <v>12</v>
      </c>
      <c r="AQ366" s="2440">
        <f>IF(AP366&gt;0,AP366,0)</f>
        <v>12</v>
      </c>
      <c r="AR366" s="2440"/>
    </row>
    <row r="367" spans="1:46" s="550" customFormat="1" ht="12.75" customHeight="1">
      <c r="A367" s="603"/>
      <c r="B367" s="611"/>
      <c r="C367" s="2531"/>
      <c r="D367" s="2531"/>
      <c r="E367" s="2531"/>
      <c r="F367" s="2531"/>
      <c r="G367" s="2531"/>
      <c r="H367" s="2531"/>
      <c r="I367" s="2531"/>
      <c r="J367" s="2531"/>
      <c r="K367" s="2531"/>
      <c r="L367" s="2531"/>
      <c r="M367" s="2531"/>
      <c r="N367" s="2531"/>
      <c r="O367" s="2531"/>
      <c r="P367" s="2531"/>
      <c r="Q367" s="2531"/>
      <c r="R367" s="2531"/>
      <c r="S367" s="2531"/>
      <c r="T367" s="2531"/>
      <c r="U367" s="2531"/>
      <c r="V367" s="2531"/>
      <c r="W367" s="2531"/>
      <c r="X367" s="2531"/>
      <c r="Y367" s="2531"/>
      <c r="Z367" s="2531"/>
      <c r="AA367" s="2531"/>
      <c r="AB367" s="2531"/>
      <c r="AC367" s="2531"/>
      <c r="AD367" s="2531"/>
      <c r="AE367" s="2531"/>
      <c r="AF367" s="2531"/>
      <c r="AG367" s="2531"/>
      <c r="AH367" s="2531"/>
      <c r="AI367" s="2531"/>
      <c r="AJ367" s="2531"/>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437" t="s">
        <v>1459</v>
      </c>
      <c r="D369" s="2437"/>
      <c r="E369" s="2437"/>
      <c r="F369" s="2437"/>
      <c r="G369" s="2437"/>
      <c r="H369" s="2437"/>
      <c r="I369" s="2437"/>
      <c r="J369" s="2437"/>
      <c r="K369" s="2437"/>
      <c r="L369" s="2437"/>
      <c r="M369" s="2437"/>
      <c r="N369" s="2437"/>
      <c r="O369" s="2437"/>
      <c r="P369" s="2437"/>
      <c r="Q369" s="2437"/>
      <c r="R369" s="2437"/>
      <c r="S369" s="2437"/>
      <c r="T369" s="2437"/>
      <c r="U369" s="2437"/>
      <c r="V369" s="2437"/>
      <c r="W369" s="2437"/>
      <c r="X369" s="2437"/>
      <c r="Y369" s="2437"/>
      <c r="Z369" s="2437"/>
      <c r="AA369" s="2437"/>
      <c r="AB369" s="2437"/>
      <c r="AC369" s="2437"/>
      <c r="AD369" s="2437"/>
      <c r="AE369" s="2437"/>
      <c r="AF369" s="2437"/>
      <c r="AG369" s="2437"/>
      <c r="AH369" s="2437"/>
      <c r="AI369" s="2437"/>
      <c r="AJ369" s="2437"/>
      <c r="AK369" s="603"/>
      <c r="AL369" s="603"/>
      <c r="AM369" s="603"/>
      <c r="AN369" s="597"/>
      <c r="AO369" s="695" t="s">
        <v>457</v>
      </c>
      <c r="AP369" s="696">
        <f>IF(C442="Yes",5,0)</f>
        <v>0</v>
      </c>
    </row>
    <row r="370" spans="1:81" s="550" customFormat="1" ht="12.75" customHeight="1">
      <c r="A370" s="603"/>
      <c r="B370" s="611"/>
      <c r="C370" s="2437"/>
      <c r="D370" s="2437"/>
      <c r="E370" s="2437"/>
      <c r="F370" s="2437"/>
      <c r="G370" s="2437"/>
      <c r="H370" s="2437"/>
      <c r="I370" s="2437"/>
      <c r="J370" s="2437"/>
      <c r="K370" s="2437"/>
      <c r="L370" s="2437"/>
      <c r="M370" s="2437"/>
      <c r="N370" s="2437"/>
      <c r="O370" s="2437"/>
      <c r="P370" s="2437"/>
      <c r="Q370" s="2437"/>
      <c r="R370" s="2437"/>
      <c r="S370" s="2437"/>
      <c r="T370" s="2437"/>
      <c r="U370" s="2437"/>
      <c r="V370" s="2437"/>
      <c r="W370" s="2437"/>
      <c r="X370" s="2437"/>
      <c r="Y370" s="2437"/>
      <c r="Z370" s="2437"/>
      <c r="AA370" s="2437"/>
      <c r="AB370" s="2437"/>
      <c r="AC370" s="2437"/>
      <c r="AD370" s="2437"/>
      <c r="AE370" s="2437"/>
      <c r="AF370" s="2437"/>
      <c r="AG370" s="2437"/>
      <c r="AH370" s="2437"/>
      <c r="AI370" s="2437"/>
      <c r="AJ370" s="2437"/>
      <c r="AK370" s="603"/>
      <c r="AL370" s="603"/>
      <c r="AM370" s="603"/>
      <c r="AN370" s="597"/>
      <c r="AO370" s="695" t="s">
        <v>462</v>
      </c>
      <c r="AP370" s="696">
        <f>IF(C449="Yes",5,0)</f>
        <v>0</v>
      </c>
    </row>
    <row r="371" spans="1:81" s="550" customFormat="1" ht="68.099999999999994" customHeight="1">
      <c r="A371" s="603"/>
      <c r="B371" s="611"/>
      <c r="C371" s="2437"/>
      <c r="D371" s="2437"/>
      <c r="E371" s="2437"/>
      <c r="F371" s="2437"/>
      <c r="G371" s="2437"/>
      <c r="H371" s="2437"/>
      <c r="I371" s="2437"/>
      <c r="J371" s="2437"/>
      <c r="K371" s="2437"/>
      <c r="L371" s="2437"/>
      <c r="M371" s="2437"/>
      <c r="N371" s="2437"/>
      <c r="O371" s="2437"/>
      <c r="P371" s="2437"/>
      <c r="Q371" s="2437"/>
      <c r="R371" s="2437"/>
      <c r="S371" s="2437"/>
      <c r="T371" s="2437"/>
      <c r="U371" s="2437"/>
      <c r="V371" s="2437"/>
      <c r="W371" s="2437"/>
      <c r="X371" s="2437"/>
      <c r="Y371" s="2437"/>
      <c r="Z371" s="2437"/>
      <c r="AA371" s="2437"/>
      <c r="AB371" s="2437"/>
      <c r="AC371" s="2437"/>
      <c r="AD371" s="2437"/>
      <c r="AE371" s="2437"/>
      <c r="AF371" s="2437"/>
      <c r="AG371" s="2437"/>
      <c r="AH371" s="2437"/>
      <c r="AI371" s="2437"/>
      <c r="AJ371" s="2437"/>
      <c r="AK371" s="603"/>
      <c r="AL371" s="603"/>
      <c r="AM371" s="603"/>
      <c r="AN371" s="597"/>
      <c r="AO371" s="695" t="s">
        <v>647</v>
      </c>
      <c r="AP371" s="701">
        <f>IF(C453="Yes",5,0)</f>
        <v>0</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438">
        <f>Application!DU802-U374</f>
        <v>115</v>
      </c>
      <c r="V373" s="2438"/>
      <c r="W373" s="2438"/>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439">
        <f>IF(Application!D211="SRO",Application!DU755,Application!AG756)</f>
        <v>24</v>
      </c>
      <c r="V374" s="2439"/>
      <c r="W374" s="2439"/>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40">
        <f>IF(AP375&gt;0,AP375,0)</f>
        <v>0</v>
      </c>
      <c r="AR375" s="2440"/>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431" t="s">
        <v>1461</v>
      </c>
      <c r="G377" s="2431"/>
      <c r="H377" s="2431"/>
      <c r="I377" s="2431"/>
      <c r="J377" s="2431"/>
      <c r="K377" s="2431"/>
      <c r="L377" s="2431"/>
      <c r="M377" s="2431"/>
      <c r="N377" s="2431"/>
      <c r="O377" s="2431"/>
      <c r="P377" s="2431"/>
      <c r="Q377" s="2431"/>
      <c r="R377" s="2431"/>
      <c r="S377" s="2431"/>
      <c r="T377" s="2431"/>
      <c r="U377" s="2431"/>
      <c r="V377" s="2431"/>
      <c r="W377" s="2431"/>
      <c r="X377" s="2431"/>
      <c r="Y377" s="2431"/>
      <c r="Z377" s="2431"/>
      <c r="AA377" s="2431"/>
      <c r="AB377" s="2431"/>
      <c r="AC377" s="2431"/>
      <c r="AD377" s="2431"/>
      <c r="AE377" s="2431"/>
      <c r="AF377" s="2431"/>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2"/>
      <c r="G378" s="2432"/>
      <c r="H378" s="2432"/>
      <c r="I378" s="2432"/>
      <c r="J378" s="2432"/>
      <c r="K378" s="2432"/>
      <c r="L378" s="2432"/>
      <c r="M378" s="2432"/>
      <c r="N378" s="2432"/>
      <c r="O378" s="2432"/>
      <c r="P378" s="2432"/>
      <c r="Q378" s="2432"/>
      <c r="R378" s="2432"/>
      <c r="S378" s="2432"/>
      <c r="T378" s="2432"/>
      <c r="U378" s="2432"/>
      <c r="V378" s="2432"/>
      <c r="W378" s="2432"/>
      <c r="X378" s="2432"/>
      <c r="Y378" s="2432"/>
      <c r="Z378" s="2432"/>
      <c r="AA378" s="2432"/>
      <c r="AB378" s="2432"/>
      <c r="AC378" s="2432"/>
      <c r="AD378" s="2432"/>
      <c r="AE378" s="2432"/>
      <c r="AF378" s="2432"/>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2"/>
      <c r="G379" s="2432"/>
      <c r="H379" s="2432"/>
      <c r="I379" s="2432"/>
      <c r="J379" s="2432"/>
      <c r="K379" s="2432"/>
      <c r="L379" s="2432"/>
      <c r="M379" s="2432"/>
      <c r="N379" s="2432"/>
      <c r="O379" s="2432"/>
      <c r="P379" s="2432"/>
      <c r="Q379" s="2432"/>
      <c r="R379" s="2432"/>
      <c r="S379" s="2432"/>
      <c r="T379" s="2432"/>
      <c r="U379" s="2432"/>
      <c r="V379" s="2432"/>
      <c r="W379" s="2432"/>
      <c r="X379" s="2432"/>
      <c r="Y379" s="2432"/>
      <c r="Z379" s="2432"/>
      <c r="AA379" s="2432"/>
      <c r="AB379" s="2432"/>
      <c r="AC379" s="2432"/>
      <c r="AD379" s="2432"/>
      <c r="AE379" s="2432"/>
      <c r="AF379" s="2432"/>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2"/>
      <c r="G380" s="2432"/>
      <c r="H380" s="2432"/>
      <c r="I380" s="2432"/>
      <c r="J380" s="2432"/>
      <c r="K380" s="2432"/>
      <c r="L380" s="2432"/>
      <c r="M380" s="2432"/>
      <c r="N380" s="2432"/>
      <c r="O380" s="2432"/>
      <c r="P380" s="2432"/>
      <c r="Q380" s="2432"/>
      <c r="R380" s="2432"/>
      <c r="S380" s="2432"/>
      <c r="T380" s="2432"/>
      <c r="U380" s="2432"/>
      <c r="V380" s="2432"/>
      <c r="W380" s="2432"/>
      <c r="X380" s="2432"/>
      <c r="Y380" s="2432"/>
      <c r="Z380" s="2432"/>
      <c r="AA380" s="2432"/>
      <c r="AB380" s="2432"/>
      <c r="AC380" s="2432"/>
      <c r="AD380" s="2432"/>
      <c r="AE380" s="2432"/>
      <c r="AF380" s="2432"/>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1" t="s">
        <v>592</v>
      </c>
      <c r="D381" s="2442"/>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3" t="s">
        <v>1463</v>
      </c>
      <c r="AG381" s="2443"/>
      <c r="AH381" s="2443"/>
      <c r="AI381" s="2443"/>
      <c r="AJ381" s="2443"/>
      <c r="AK381" s="2443"/>
      <c r="AL381" s="2444"/>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431" t="s">
        <v>1464</v>
      </c>
      <c r="G384" s="2431"/>
      <c r="H384" s="2431"/>
      <c r="I384" s="2431"/>
      <c r="J384" s="2431"/>
      <c r="K384" s="2431"/>
      <c r="L384" s="2431"/>
      <c r="M384" s="2431"/>
      <c r="N384" s="2431"/>
      <c r="O384" s="2431"/>
      <c r="P384" s="2431"/>
      <c r="Q384" s="2431"/>
      <c r="R384" s="2431"/>
      <c r="S384" s="2431"/>
      <c r="T384" s="2431"/>
      <c r="U384" s="2431"/>
      <c r="V384" s="2431"/>
      <c r="W384" s="2431"/>
      <c r="X384" s="2431"/>
      <c r="Y384" s="2431"/>
      <c r="Z384" s="2431"/>
      <c r="AA384" s="2431"/>
      <c r="AB384" s="2431"/>
      <c r="AC384" s="2431"/>
      <c r="AD384" s="2431"/>
      <c r="AE384" s="2431"/>
      <c r="AF384" s="2431"/>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2"/>
      <c r="G385" s="2432"/>
      <c r="H385" s="2432"/>
      <c r="I385" s="2432"/>
      <c r="J385" s="2432"/>
      <c r="K385" s="2432"/>
      <c r="L385" s="2432"/>
      <c r="M385" s="2432"/>
      <c r="N385" s="2432"/>
      <c r="O385" s="2432"/>
      <c r="P385" s="2432"/>
      <c r="Q385" s="2432"/>
      <c r="R385" s="2432"/>
      <c r="S385" s="2432"/>
      <c r="T385" s="2432"/>
      <c r="U385" s="2432"/>
      <c r="V385" s="2432"/>
      <c r="W385" s="2432"/>
      <c r="X385" s="2432"/>
      <c r="Y385" s="2432"/>
      <c r="Z385" s="2432"/>
      <c r="AA385" s="2432"/>
      <c r="AB385" s="2432"/>
      <c r="AC385" s="2432"/>
      <c r="AD385" s="2432"/>
      <c r="AE385" s="2432"/>
      <c r="AF385" s="2432"/>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2"/>
      <c r="G386" s="2432"/>
      <c r="H386" s="2432"/>
      <c r="I386" s="2432"/>
      <c r="J386" s="2432"/>
      <c r="K386" s="2432"/>
      <c r="L386" s="2432"/>
      <c r="M386" s="2432"/>
      <c r="N386" s="2432"/>
      <c r="O386" s="2432"/>
      <c r="P386" s="2432"/>
      <c r="Q386" s="2432"/>
      <c r="R386" s="2432"/>
      <c r="S386" s="2432"/>
      <c r="T386" s="2432"/>
      <c r="U386" s="2432"/>
      <c r="V386" s="2432"/>
      <c r="W386" s="2432"/>
      <c r="X386" s="2432"/>
      <c r="Y386" s="2432"/>
      <c r="Z386" s="2432"/>
      <c r="AA386" s="2432"/>
      <c r="AB386" s="2432"/>
      <c r="AC386" s="2432"/>
      <c r="AD386" s="2432"/>
      <c r="AE386" s="2432"/>
      <c r="AF386" s="2432"/>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2"/>
      <c r="G387" s="2432"/>
      <c r="H387" s="2432"/>
      <c r="I387" s="2432"/>
      <c r="J387" s="2432"/>
      <c r="K387" s="2432"/>
      <c r="L387" s="2432"/>
      <c r="M387" s="2432"/>
      <c r="N387" s="2432"/>
      <c r="O387" s="2432"/>
      <c r="P387" s="2432"/>
      <c r="Q387" s="2432"/>
      <c r="R387" s="2432"/>
      <c r="S387" s="2432"/>
      <c r="T387" s="2432"/>
      <c r="U387" s="2432"/>
      <c r="V387" s="2432"/>
      <c r="W387" s="2432"/>
      <c r="X387" s="2432"/>
      <c r="Y387" s="2432"/>
      <c r="Z387" s="2432"/>
      <c r="AA387" s="2432"/>
      <c r="AB387" s="2432"/>
      <c r="AC387" s="2432"/>
      <c r="AD387" s="2432"/>
      <c r="AE387" s="2432"/>
      <c r="AF387" s="2432"/>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2"/>
      <c r="G388" s="2432"/>
      <c r="H388" s="2432"/>
      <c r="I388" s="2432"/>
      <c r="J388" s="2432"/>
      <c r="K388" s="2432"/>
      <c r="L388" s="2432"/>
      <c r="M388" s="2432"/>
      <c r="N388" s="2432"/>
      <c r="O388" s="2432"/>
      <c r="P388" s="2432"/>
      <c r="Q388" s="2432"/>
      <c r="R388" s="2432"/>
      <c r="S388" s="2432"/>
      <c r="T388" s="2432"/>
      <c r="U388" s="2432"/>
      <c r="V388" s="2432"/>
      <c r="W388" s="2432"/>
      <c r="X388" s="2432"/>
      <c r="Y388" s="2432"/>
      <c r="Z388" s="2432"/>
      <c r="AA388" s="2432"/>
      <c r="AB388" s="2432"/>
      <c r="AC388" s="2432"/>
      <c r="AD388" s="2432"/>
      <c r="AE388" s="2432"/>
      <c r="AF388" s="2432"/>
      <c r="AL388" s="732"/>
      <c r="AN388" s="597"/>
      <c r="BS388" s="30"/>
      <c r="BT388" s="30"/>
      <c r="BU388" s="14"/>
      <c r="BV388" s="14"/>
      <c r="BW388" s="14"/>
      <c r="BX388" s="14"/>
      <c r="BY388" s="14"/>
      <c r="BZ388" s="14"/>
      <c r="CA388" s="14"/>
      <c r="CB388" s="14"/>
      <c r="CC388" s="14"/>
    </row>
    <row r="389" spans="1:81" s="550" customFormat="1" ht="12.75" customHeight="1">
      <c r="A389" s="536"/>
      <c r="B389" s="14"/>
      <c r="C389" s="2441" t="s">
        <v>592</v>
      </c>
      <c r="D389" s="2442"/>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3" t="s">
        <v>1463</v>
      </c>
      <c r="AG389" s="2443"/>
      <c r="AH389" s="2443"/>
      <c r="AI389" s="2443"/>
      <c r="AJ389" s="2443"/>
      <c r="AK389" s="2443"/>
      <c r="AL389" s="2444"/>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431" t="s">
        <v>1466</v>
      </c>
      <c r="G392" s="2431"/>
      <c r="H392" s="2431"/>
      <c r="I392" s="2431"/>
      <c r="J392" s="2431"/>
      <c r="K392" s="2431"/>
      <c r="L392" s="2431"/>
      <c r="M392" s="2431"/>
      <c r="N392" s="2431"/>
      <c r="O392" s="2431"/>
      <c r="P392" s="2431"/>
      <c r="Q392" s="2431"/>
      <c r="R392" s="2431"/>
      <c r="S392" s="2431"/>
      <c r="T392" s="2431"/>
      <c r="U392" s="2431"/>
      <c r="V392" s="2431"/>
      <c r="W392" s="2431"/>
      <c r="X392" s="2431"/>
      <c r="Y392" s="2431"/>
      <c r="Z392" s="2431"/>
      <c r="AA392" s="2431"/>
      <c r="AB392" s="2431"/>
      <c r="AC392" s="2431"/>
      <c r="AD392" s="2431"/>
      <c r="AE392" s="2431"/>
      <c r="AF392" s="2431"/>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2"/>
      <c r="G393" s="2432"/>
      <c r="H393" s="2432"/>
      <c r="I393" s="2432"/>
      <c r="J393" s="2432"/>
      <c r="K393" s="2432"/>
      <c r="L393" s="2432"/>
      <c r="M393" s="2432"/>
      <c r="N393" s="2432"/>
      <c r="O393" s="2432"/>
      <c r="P393" s="2432"/>
      <c r="Q393" s="2432"/>
      <c r="R393" s="2432"/>
      <c r="S393" s="2432"/>
      <c r="T393" s="2432"/>
      <c r="U393" s="2432"/>
      <c r="V393" s="2432"/>
      <c r="W393" s="2432"/>
      <c r="X393" s="2432"/>
      <c r="Y393" s="2432"/>
      <c r="Z393" s="2432"/>
      <c r="AA393" s="2432"/>
      <c r="AB393" s="2432"/>
      <c r="AC393" s="2432"/>
      <c r="AD393" s="2432"/>
      <c r="AE393" s="2432"/>
      <c r="AF393" s="2432"/>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2"/>
      <c r="G394" s="2432"/>
      <c r="H394" s="2432"/>
      <c r="I394" s="2432"/>
      <c r="J394" s="2432"/>
      <c r="K394" s="2432"/>
      <c r="L394" s="2432"/>
      <c r="M394" s="2432"/>
      <c r="N394" s="2432"/>
      <c r="O394" s="2432"/>
      <c r="P394" s="2432"/>
      <c r="Q394" s="2432"/>
      <c r="R394" s="2432"/>
      <c r="S394" s="2432"/>
      <c r="T394" s="2432"/>
      <c r="U394" s="2432"/>
      <c r="V394" s="2432"/>
      <c r="W394" s="2432"/>
      <c r="X394" s="2432"/>
      <c r="Y394" s="2432"/>
      <c r="Z394" s="2432"/>
      <c r="AA394" s="2432"/>
      <c r="AB394" s="2432"/>
      <c r="AC394" s="2432"/>
      <c r="AD394" s="2432"/>
      <c r="AE394" s="2432"/>
      <c r="AF394" s="2432"/>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2"/>
      <c r="G395" s="2432"/>
      <c r="H395" s="2432"/>
      <c r="I395" s="2432"/>
      <c r="J395" s="2432"/>
      <c r="K395" s="2432"/>
      <c r="L395" s="2432"/>
      <c r="M395" s="2432"/>
      <c r="N395" s="2432"/>
      <c r="O395" s="2432"/>
      <c r="P395" s="2432"/>
      <c r="Q395" s="2432"/>
      <c r="R395" s="2432"/>
      <c r="S395" s="2432"/>
      <c r="T395" s="2432"/>
      <c r="U395" s="2432"/>
      <c r="V395" s="2432"/>
      <c r="W395" s="2432"/>
      <c r="X395" s="2432"/>
      <c r="Y395" s="2432"/>
      <c r="Z395" s="2432"/>
      <c r="AA395" s="2432"/>
      <c r="AB395" s="2432"/>
      <c r="AC395" s="2432"/>
      <c r="AD395" s="2432"/>
      <c r="AE395" s="2432"/>
      <c r="AF395" s="2432"/>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2"/>
      <c r="G396" s="2432"/>
      <c r="H396" s="2432"/>
      <c r="I396" s="2432"/>
      <c r="J396" s="2432"/>
      <c r="K396" s="2432"/>
      <c r="L396" s="2432"/>
      <c r="M396" s="2432"/>
      <c r="N396" s="2432"/>
      <c r="O396" s="2432"/>
      <c r="P396" s="2432"/>
      <c r="Q396" s="2432"/>
      <c r="R396" s="2432"/>
      <c r="S396" s="2432"/>
      <c r="T396" s="2432"/>
      <c r="U396" s="2432"/>
      <c r="V396" s="2432"/>
      <c r="W396" s="2432"/>
      <c r="X396" s="2432"/>
      <c r="Y396" s="2432"/>
      <c r="Z396" s="2432"/>
      <c r="AA396" s="2432"/>
      <c r="AB396" s="2432"/>
      <c r="AC396" s="2432"/>
      <c r="AD396" s="2432"/>
      <c r="AE396" s="2432"/>
      <c r="AF396" s="2432"/>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1" t="s">
        <v>546</v>
      </c>
      <c r="D397" s="2442"/>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3" t="s">
        <v>1468</v>
      </c>
      <c r="AG397" s="2443"/>
      <c r="AH397" s="2443"/>
      <c r="AI397" s="2443"/>
      <c r="AJ397" s="2443"/>
      <c r="AK397" s="2443"/>
      <c r="AL397" s="2444"/>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1" t="s">
        <v>592</v>
      </c>
      <c r="D399" s="2442"/>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3" t="s">
        <v>1463</v>
      </c>
      <c r="AG399" s="2443"/>
      <c r="AH399" s="2443"/>
      <c r="AI399" s="2443"/>
      <c r="AJ399" s="2443"/>
      <c r="AK399" s="2443"/>
      <c r="AL399" s="2444"/>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431" t="s">
        <v>1472</v>
      </c>
      <c r="G403" s="2431"/>
      <c r="H403" s="2431"/>
      <c r="I403" s="2431"/>
      <c r="J403" s="2431"/>
      <c r="K403" s="2431"/>
      <c r="L403" s="2431"/>
      <c r="M403" s="2431"/>
      <c r="N403" s="2431"/>
      <c r="O403" s="2431"/>
      <c r="P403" s="2431"/>
      <c r="Q403" s="2431"/>
      <c r="R403" s="2431"/>
      <c r="S403" s="2431"/>
      <c r="T403" s="2431"/>
      <c r="U403" s="2431"/>
      <c r="V403" s="2431"/>
      <c r="W403" s="2431"/>
      <c r="X403" s="2431"/>
      <c r="Y403" s="2431"/>
      <c r="Z403" s="2431"/>
      <c r="AA403" s="2431"/>
      <c r="AB403" s="2431"/>
      <c r="AC403" s="2431"/>
      <c r="AD403" s="2431"/>
      <c r="AE403" s="2431"/>
      <c r="AF403" s="2431"/>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2"/>
      <c r="G404" s="2432"/>
      <c r="H404" s="2432"/>
      <c r="I404" s="2432"/>
      <c r="J404" s="2432"/>
      <c r="K404" s="2432"/>
      <c r="L404" s="2432"/>
      <c r="M404" s="2432"/>
      <c r="N404" s="2432"/>
      <c r="O404" s="2432"/>
      <c r="P404" s="2432"/>
      <c r="Q404" s="2432"/>
      <c r="R404" s="2432"/>
      <c r="S404" s="2432"/>
      <c r="T404" s="2432"/>
      <c r="U404" s="2432"/>
      <c r="V404" s="2432"/>
      <c r="W404" s="2432"/>
      <c r="X404" s="2432"/>
      <c r="Y404" s="2432"/>
      <c r="Z404" s="2432"/>
      <c r="AA404" s="2432"/>
      <c r="AB404" s="2432"/>
      <c r="AC404" s="2432"/>
      <c r="AD404" s="2432"/>
      <c r="AE404" s="2432"/>
      <c r="AF404" s="2432"/>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2"/>
      <c r="G405" s="2432"/>
      <c r="H405" s="2432"/>
      <c r="I405" s="2432"/>
      <c r="J405" s="2432"/>
      <c r="K405" s="2432"/>
      <c r="L405" s="2432"/>
      <c r="M405" s="2432"/>
      <c r="N405" s="2432"/>
      <c r="O405" s="2432"/>
      <c r="P405" s="2432"/>
      <c r="Q405" s="2432"/>
      <c r="R405" s="2432"/>
      <c r="S405" s="2432"/>
      <c r="T405" s="2432"/>
      <c r="U405" s="2432"/>
      <c r="V405" s="2432"/>
      <c r="W405" s="2432"/>
      <c r="X405" s="2432"/>
      <c r="Y405" s="2432"/>
      <c r="Z405" s="2432"/>
      <c r="AA405" s="2432"/>
      <c r="AB405" s="2432"/>
      <c r="AC405" s="2432"/>
      <c r="AD405" s="2432"/>
      <c r="AE405" s="2432"/>
      <c r="AF405" s="2432"/>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2"/>
      <c r="G406" s="2432"/>
      <c r="H406" s="2432"/>
      <c r="I406" s="2432"/>
      <c r="J406" s="2432"/>
      <c r="K406" s="2432"/>
      <c r="L406" s="2432"/>
      <c r="M406" s="2432"/>
      <c r="N406" s="2432"/>
      <c r="O406" s="2432"/>
      <c r="P406" s="2432"/>
      <c r="Q406" s="2432"/>
      <c r="R406" s="2432"/>
      <c r="S406" s="2432"/>
      <c r="T406" s="2432"/>
      <c r="U406" s="2432"/>
      <c r="V406" s="2432"/>
      <c r="W406" s="2432"/>
      <c r="X406" s="2432"/>
      <c r="Y406" s="2432"/>
      <c r="Z406" s="2432"/>
      <c r="AA406" s="2432"/>
      <c r="AB406" s="2432"/>
      <c r="AC406" s="2432"/>
      <c r="AD406" s="2432"/>
      <c r="AE406" s="2432"/>
      <c r="AF406" s="2432"/>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1" t="s">
        <v>546</v>
      </c>
      <c r="D407" s="2442"/>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3" t="s">
        <v>1463</v>
      </c>
      <c r="AG407" s="2443"/>
      <c r="AH407" s="2443"/>
      <c r="AI407" s="2443"/>
      <c r="AJ407" s="2443"/>
      <c r="AK407" s="2443"/>
      <c r="AL407" s="2444"/>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1" t="s">
        <v>592</v>
      </c>
      <c r="D409" s="2442"/>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3" t="s">
        <v>1475</v>
      </c>
      <c r="AG409" s="2443"/>
      <c r="AH409" s="2443"/>
      <c r="AI409" s="2443"/>
      <c r="AJ409" s="2443"/>
      <c r="AK409" s="2443"/>
      <c r="AL409" s="2444"/>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1" t="s">
        <v>592</v>
      </c>
      <c r="D412" s="2442"/>
      <c r="E412" s="715" t="s">
        <v>1476</v>
      </c>
      <c r="F412" s="2431" t="s">
        <v>1477</v>
      </c>
      <c r="G412" s="2431"/>
      <c r="H412" s="2431"/>
      <c r="I412" s="2431"/>
      <c r="J412" s="2431"/>
      <c r="K412" s="2431"/>
      <c r="L412" s="2431"/>
      <c r="M412" s="2431"/>
      <c r="N412" s="2431"/>
      <c r="O412" s="2431"/>
      <c r="P412" s="2431"/>
      <c r="Q412" s="2431"/>
      <c r="R412" s="2431"/>
      <c r="S412" s="2431"/>
      <c r="T412" s="2431"/>
      <c r="U412" s="2431"/>
      <c r="V412" s="2431"/>
      <c r="W412" s="2431"/>
      <c r="X412" s="2431"/>
      <c r="Y412" s="2431"/>
      <c r="Z412" s="2431"/>
      <c r="AA412" s="2431"/>
      <c r="AB412" s="2431"/>
      <c r="AC412" s="2431"/>
      <c r="AD412" s="2431"/>
      <c r="AE412" s="2431"/>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2"/>
      <c r="G413" s="2432"/>
      <c r="H413" s="2432"/>
      <c r="I413" s="2432"/>
      <c r="J413" s="2432"/>
      <c r="K413" s="2432"/>
      <c r="L413" s="2432"/>
      <c r="M413" s="2432"/>
      <c r="N413" s="2432"/>
      <c r="O413" s="2432"/>
      <c r="P413" s="2432"/>
      <c r="Q413" s="2432"/>
      <c r="R413" s="2432"/>
      <c r="S413" s="2432"/>
      <c r="T413" s="2432"/>
      <c r="U413" s="2432"/>
      <c r="V413" s="2432"/>
      <c r="W413" s="2432"/>
      <c r="X413" s="2432"/>
      <c r="Y413" s="2432"/>
      <c r="Z413" s="2432"/>
      <c r="AA413" s="2432"/>
      <c r="AB413" s="2432"/>
      <c r="AC413" s="2432"/>
      <c r="AD413" s="2432"/>
      <c r="AE413" s="2432"/>
      <c r="AF413" s="2521" t="s">
        <v>1463</v>
      </c>
      <c r="AG413" s="2521"/>
      <c r="AH413" s="2521"/>
      <c r="AI413" s="2521"/>
      <c r="AJ413" s="2521"/>
      <c r="AK413" s="2521"/>
      <c r="AL413" s="2530"/>
      <c r="AM413" s="570"/>
      <c r="AN413" s="597"/>
      <c r="BS413" s="570"/>
      <c r="BT413" s="570"/>
      <c r="BY413" s="570"/>
      <c r="BZ413" s="570"/>
      <c r="CA413" s="570"/>
      <c r="CB413" s="570"/>
      <c r="CC413" s="570"/>
    </row>
    <row r="414" spans="1:81" s="550" customFormat="1" ht="12.75" customHeight="1">
      <c r="A414" s="536"/>
      <c r="B414" s="14"/>
      <c r="C414" s="731"/>
      <c r="D414" s="14"/>
      <c r="E414" s="691"/>
      <c r="F414" s="2432"/>
      <c r="G414" s="2432"/>
      <c r="H414" s="2432"/>
      <c r="I414" s="2432"/>
      <c r="J414" s="2432"/>
      <c r="K414" s="2432"/>
      <c r="L414" s="2432"/>
      <c r="M414" s="2432"/>
      <c r="N414" s="2432"/>
      <c r="O414" s="2432"/>
      <c r="P414" s="2432"/>
      <c r="Q414" s="2432"/>
      <c r="R414" s="2432"/>
      <c r="S414" s="2432"/>
      <c r="T414" s="2432"/>
      <c r="U414" s="2432"/>
      <c r="V414" s="2432"/>
      <c r="W414" s="2432"/>
      <c r="X414" s="2432"/>
      <c r="Y414" s="2432"/>
      <c r="Z414" s="2432"/>
      <c r="AA414" s="2432"/>
      <c r="AB414" s="2432"/>
      <c r="AC414" s="2432"/>
      <c r="AD414" s="2432"/>
      <c r="AE414" s="2432"/>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3"/>
      <c r="G415" s="2433"/>
      <c r="H415" s="2433"/>
      <c r="I415" s="2433"/>
      <c r="J415" s="2433"/>
      <c r="K415" s="2433"/>
      <c r="L415" s="2433"/>
      <c r="M415" s="2433"/>
      <c r="N415" s="2433"/>
      <c r="O415" s="2433"/>
      <c r="P415" s="2433"/>
      <c r="Q415" s="2433"/>
      <c r="R415" s="2433"/>
      <c r="S415" s="2433"/>
      <c r="T415" s="2433"/>
      <c r="U415" s="2433"/>
      <c r="V415" s="2433"/>
      <c r="W415" s="2433"/>
      <c r="X415" s="2433"/>
      <c r="Y415" s="2433"/>
      <c r="Z415" s="2433"/>
      <c r="AA415" s="2433"/>
      <c r="AB415" s="2433"/>
      <c r="AC415" s="2433"/>
      <c r="AD415" s="2433"/>
      <c r="AE415" s="2433"/>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431" t="s">
        <v>1479</v>
      </c>
      <c r="G417" s="2431"/>
      <c r="H417" s="2431"/>
      <c r="I417" s="2431"/>
      <c r="J417" s="2431"/>
      <c r="K417" s="2431"/>
      <c r="L417" s="2431"/>
      <c r="M417" s="2431"/>
      <c r="N417" s="2431"/>
      <c r="O417" s="2431"/>
      <c r="P417" s="2431"/>
      <c r="Q417" s="2431"/>
      <c r="R417" s="2431"/>
      <c r="S417" s="2431"/>
      <c r="T417" s="2431"/>
      <c r="U417" s="2431"/>
      <c r="V417" s="2431"/>
      <c r="W417" s="2431"/>
      <c r="X417" s="2431"/>
      <c r="Y417" s="2431"/>
      <c r="Z417" s="2431"/>
      <c r="AA417" s="2431"/>
      <c r="AB417" s="2431"/>
      <c r="AC417" s="2431"/>
      <c r="AD417" s="2431"/>
      <c r="AE417" s="2431"/>
      <c r="AF417" s="747"/>
      <c r="AG417" s="747"/>
      <c r="AH417" s="747"/>
      <c r="AI417" s="747"/>
      <c r="AJ417" s="747"/>
      <c r="AK417" s="747"/>
      <c r="AL417" s="748"/>
      <c r="AM417" s="570"/>
    </row>
    <row r="418" spans="1:55">
      <c r="A418" s="536"/>
      <c r="C418" s="731"/>
      <c r="E418" s="691"/>
      <c r="F418" s="2432"/>
      <c r="G418" s="2432"/>
      <c r="H418" s="2432"/>
      <c r="I418" s="2432"/>
      <c r="J418" s="2432"/>
      <c r="K418" s="2432"/>
      <c r="L418" s="2432"/>
      <c r="M418" s="2432"/>
      <c r="N418" s="2432"/>
      <c r="O418" s="2432"/>
      <c r="P418" s="2432"/>
      <c r="Q418" s="2432"/>
      <c r="R418" s="2432"/>
      <c r="S418" s="2432"/>
      <c r="T418" s="2432"/>
      <c r="U418" s="2432"/>
      <c r="V418" s="2432"/>
      <c r="W418" s="2432"/>
      <c r="X418" s="2432"/>
      <c r="Y418" s="2432"/>
      <c r="Z418" s="2432"/>
      <c r="AA418" s="2432"/>
      <c r="AB418" s="2432"/>
      <c r="AC418" s="2432"/>
      <c r="AD418" s="2432"/>
      <c r="AE418" s="2432"/>
      <c r="AF418" s="539"/>
      <c r="AG418" s="536"/>
      <c r="AH418" s="550"/>
      <c r="AI418" s="550"/>
      <c r="AJ418" s="550"/>
      <c r="AK418" s="550"/>
      <c r="AL418" s="732"/>
      <c r="AM418" s="570"/>
    </row>
    <row r="419" spans="1:55" s="550" customFormat="1" ht="12.75" customHeight="1">
      <c r="A419" s="536"/>
      <c r="B419" s="14"/>
      <c r="C419" s="731"/>
      <c r="D419" s="14"/>
      <c r="E419" s="691"/>
      <c r="F419" s="2432"/>
      <c r="G419" s="2432"/>
      <c r="H419" s="2432"/>
      <c r="I419" s="2432"/>
      <c r="J419" s="2432"/>
      <c r="K419" s="2432"/>
      <c r="L419" s="2432"/>
      <c r="M419" s="2432"/>
      <c r="N419" s="2432"/>
      <c r="O419" s="2432"/>
      <c r="P419" s="2432"/>
      <c r="Q419" s="2432"/>
      <c r="R419" s="2432"/>
      <c r="S419" s="2432"/>
      <c r="T419" s="2432"/>
      <c r="U419" s="2432"/>
      <c r="V419" s="2432"/>
      <c r="W419" s="2432"/>
      <c r="X419" s="2432"/>
      <c r="Y419" s="2432"/>
      <c r="Z419" s="2432"/>
      <c r="AA419" s="2432"/>
      <c r="AB419" s="2432"/>
      <c r="AC419" s="2432"/>
      <c r="AD419" s="2432"/>
      <c r="AE419" s="2432"/>
      <c r="AL419" s="732"/>
      <c r="AM419" s="570"/>
      <c r="AN419" s="597"/>
    </row>
    <row r="420" spans="1:55" s="550" customFormat="1" ht="12.75" customHeight="1">
      <c r="A420" s="536"/>
      <c r="B420" s="14"/>
      <c r="C420" s="739"/>
      <c r="F420" s="2432"/>
      <c r="G420" s="2432"/>
      <c r="H420" s="2432"/>
      <c r="I420" s="2432"/>
      <c r="J420" s="2432"/>
      <c r="K420" s="2432"/>
      <c r="L420" s="2432"/>
      <c r="M420" s="2432"/>
      <c r="N420" s="2432"/>
      <c r="O420" s="2432"/>
      <c r="P420" s="2432"/>
      <c r="Q420" s="2432"/>
      <c r="R420" s="2432"/>
      <c r="S420" s="2432"/>
      <c r="T420" s="2432"/>
      <c r="U420" s="2432"/>
      <c r="V420" s="2432"/>
      <c r="W420" s="2432"/>
      <c r="X420" s="2432"/>
      <c r="Y420" s="2432"/>
      <c r="Z420" s="2432"/>
      <c r="AA420" s="2432"/>
      <c r="AB420" s="2432"/>
      <c r="AC420" s="2432"/>
      <c r="AD420" s="2432"/>
      <c r="AE420" s="2432"/>
      <c r="AL420" s="732"/>
      <c r="AM420" s="570"/>
      <c r="AN420" s="597"/>
    </row>
    <row r="421" spans="1:55" s="550" customFormat="1" ht="12.75" customHeight="1">
      <c r="A421" s="536"/>
      <c r="B421" s="14"/>
      <c r="C421" s="2441" t="s">
        <v>592</v>
      </c>
      <c r="D421" s="2442"/>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1" t="s">
        <v>1463</v>
      </c>
      <c r="AG421" s="2521"/>
      <c r="AH421" s="2521"/>
      <c r="AI421" s="2521"/>
      <c r="AJ421" s="2521"/>
      <c r="AK421" s="2521"/>
      <c r="AL421" s="2530"/>
      <c r="AM421" s="570"/>
      <c r="AN421" s="597"/>
    </row>
    <row r="422" spans="1:55" s="550" customFormat="1" ht="12.75" customHeight="1">
      <c r="A422" s="536"/>
      <c r="B422" s="14"/>
      <c r="C422" s="739"/>
      <c r="AL422" s="732"/>
      <c r="AM422" s="570"/>
      <c r="AN422" s="597"/>
    </row>
    <row r="423" spans="1:55" s="550" customFormat="1" ht="12.75" customHeight="1">
      <c r="A423" s="536"/>
      <c r="B423" s="14"/>
      <c r="C423" s="2441" t="s">
        <v>592</v>
      </c>
      <c r="D423" s="2442"/>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1" t="s">
        <v>1475</v>
      </c>
      <c r="AG423" s="2521"/>
      <c r="AH423" s="2521"/>
      <c r="AI423" s="2521"/>
      <c r="AJ423" s="2521"/>
      <c r="AK423" s="2521"/>
      <c r="AL423" s="2530"/>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431" t="s">
        <v>1483</v>
      </c>
      <c r="G427" s="2431"/>
      <c r="H427" s="2431"/>
      <c r="I427" s="2431"/>
      <c r="J427" s="2431"/>
      <c r="K427" s="2431"/>
      <c r="L427" s="2431"/>
      <c r="M427" s="2431"/>
      <c r="N427" s="2431"/>
      <c r="O427" s="2431"/>
      <c r="P427" s="2431"/>
      <c r="Q427" s="2431"/>
      <c r="R427" s="2431"/>
      <c r="S427" s="2431"/>
      <c r="T427" s="2431"/>
      <c r="U427" s="2431"/>
      <c r="V427" s="2431"/>
      <c r="W427" s="2431"/>
      <c r="X427" s="2431"/>
      <c r="Y427" s="2431"/>
      <c r="Z427" s="2431"/>
      <c r="AA427" s="2431"/>
      <c r="AB427" s="2431"/>
      <c r="AC427" s="2431"/>
      <c r="AD427" s="2431"/>
      <c r="AE427" s="2431"/>
      <c r="AF427" s="714"/>
      <c r="AG427" s="714"/>
      <c r="AH427" s="714"/>
      <c r="AI427" s="714"/>
      <c r="AJ427" s="714"/>
      <c r="AK427" s="714"/>
      <c r="AL427" s="745"/>
      <c r="AM427" s="570"/>
      <c r="AN427" s="597"/>
    </row>
    <row r="428" spans="1:55" s="550" customFormat="1" ht="12.75" customHeight="1">
      <c r="A428" s="536"/>
      <c r="B428" s="14"/>
      <c r="C428" s="731"/>
      <c r="D428" s="14"/>
      <c r="E428" s="691"/>
      <c r="F428" s="2432"/>
      <c r="G428" s="2432"/>
      <c r="H428" s="2432"/>
      <c r="I428" s="2432"/>
      <c r="J428" s="2432"/>
      <c r="K428" s="2432"/>
      <c r="L428" s="2432"/>
      <c r="M428" s="2432"/>
      <c r="N428" s="2432"/>
      <c r="O428" s="2432"/>
      <c r="P428" s="2432"/>
      <c r="Q428" s="2432"/>
      <c r="R428" s="2432"/>
      <c r="S428" s="2432"/>
      <c r="T428" s="2432"/>
      <c r="U428" s="2432"/>
      <c r="V428" s="2432"/>
      <c r="W428" s="2432"/>
      <c r="X428" s="2432"/>
      <c r="Y428" s="2432"/>
      <c r="Z428" s="2432"/>
      <c r="AA428" s="2432"/>
      <c r="AB428" s="2432"/>
      <c r="AC428" s="2432"/>
      <c r="AD428" s="2432"/>
      <c r="AE428" s="2432"/>
      <c r="AF428" s="539"/>
      <c r="AG428" s="536"/>
      <c r="AL428" s="732"/>
      <c r="AM428" s="570"/>
      <c r="AN428" s="597"/>
    </row>
    <row r="429" spans="1:55" s="550" customFormat="1" ht="12.4" customHeight="1">
      <c r="A429" s="536"/>
      <c r="B429" s="14"/>
      <c r="C429" s="731"/>
      <c r="D429" s="14"/>
      <c r="E429" s="691"/>
      <c r="F429" s="2432"/>
      <c r="G429" s="2432"/>
      <c r="H429" s="2432"/>
      <c r="I429" s="2432"/>
      <c r="J429" s="2432"/>
      <c r="K429" s="2432"/>
      <c r="L429" s="2432"/>
      <c r="M429" s="2432"/>
      <c r="N429" s="2432"/>
      <c r="O429" s="2432"/>
      <c r="P429" s="2432"/>
      <c r="Q429" s="2432"/>
      <c r="R429" s="2432"/>
      <c r="S429" s="2432"/>
      <c r="T429" s="2432"/>
      <c r="U429" s="2432"/>
      <c r="V429" s="2432"/>
      <c r="W429" s="2432"/>
      <c r="X429" s="2432"/>
      <c r="Y429" s="2432"/>
      <c r="Z429" s="2432"/>
      <c r="AA429" s="2432"/>
      <c r="AB429" s="2432"/>
      <c r="AC429" s="2432"/>
      <c r="AD429" s="2432"/>
      <c r="AE429" s="2432"/>
      <c r="AL429" s="732"/>
      <c r="AM429" s="570"/>
      <c r="AN429" s="597"/>
    </row>
    <row r="430" spans="1:55" s="550" customFormat="1" ht="12.75" customHeight="1">
      <c r="A430" s="536"/>
      <c r="B430" s="14"/>
      <c r="C430" s="2441" t="s">
        <v>592</v>
      </c>
      <c r="D430" s="2442"/>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1" t="s">
        <v>1463</v>
      </c>
      <c r="AG430" s="2521"/>
      <c r="AH430" s="2521"/>
      <c r="AI430" s="2521"/>
      <c r="AJ430" s="2521"/>
      <c r="AK430" s="2521"/>
      <c r="AL430" s="2530"/>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431" t="s">
        <v>1486</v>
      </c>
      <c r="G433" s="2431"/>
      <c r="H433" s="2431"/>
      <c r="I433" s="2431"/>
      <c r="J433" s="2431"/>
      <c r="K433" s="2431"/>
      <c r="L433" s="2431"/>
      <c r="M433" s="2431"/>
      <c r="N433" s="2431"/>
      <c r="O433" s="2431"/>
      <c r="P433" s="2431"/>
      <c r="Q433" s="2431"/>
      <c r="R433" s="2431"/>
      <c r="S433" s="2431"/>
      <c r="T433" s="2431"/>
      <c r="U433" s="2431"/>
      <c r="V433" s="2431"/>
      <c r="W433" s="2431"/>
      <c r="X433" s="2431"/>
      <c r="Y433" s="2431"/>
      <c r="Z433" s="2431"/>
      <c r="AA433" s="2431"/>
      <c r="AB433" s="2431"/>
      <c r="AC433" s="2431"/>
      <c r="AD433" s="2431"/>
      <c r="AE433" s="2431"/>
      <c r="AF433" s="747"/>
      <c r="AG433" s="747"/>
      <c r="AH433" s="747"/>
      <c r="AI433" s="747"/>
      <c r="AJ433" s="747"/>
      <c r="AK433" s="747"/>
      <c r="AL433" s="748"/>
      <c r="AM433" s="570"/>
      <c r="AO433" s="550"/>
      <c r="AP433" s="550"/>
      <c r="BD433" s="14"/>
      <c r="BE433" s="14"/>
      <c r="BF433" s="14"/>
      <c r="BG433" s="14"/>
      <c r="BH433" s="14"/>
    </row>
    <row r="434" spans="1:60">
      <c r="A434" s="536"/>
      <c r="C434" s="731"/>
      <c r="E434" s="691"/>
      <c r="F434" s="2432"/>
      <c r="G434" s="2432"/>
      <c r="H434" s="2432"/>
      <c r="I434" s="2432"/>
      <c r="J434" s="2432"/>
      <c r="K434" s="2432"/>
      <c r="L434" s="2432"/>
      <c r="M434" s="2432"/>
      <c r="N434" s="2432"/>
      <c r="O434" s="2432"/>
      <c r="P434" s="2432"/>
      <c r="Q434" s="2432"/>
      <c r="R434" s="2432"/>
      <c r="S434" s="2432"/>
      <c r="T434" s="2432"/>
      <c r="U434" s="2432"/>
      <c r="V434" s="2432"/>
      <c r="W434" s="2432"/>
      <c r="X434" s="2432"/>
      <c r="Y434" s="2432"/>
      <c r="Z434" s="2432"/>
      <c r="AA434" s="2432"/>
      <c r="AB434" s="2432"/>
      <c r="AC434" s="2432"/>
      <c r="AD434" s="2432"/>
      <c r="AE434" s="2432"/>
      <c r="AF434" s="594"/>
      <c r="AG434" s="594"/>
      <c r="AH434" s="594"/>
      <c r="AI434" s="594"/>
      <c r="AJ434" s="594"/>
      <c r="AK434" s="594"/>
      <c r="AL434" s="750"/>
      <c r="AM434" s="570"/>
      <c r="AO434" s="550"/>
      <c r="AP434" s="550"/>
    </row>
    <row r="435" spans="1:60" s="550" customFormat="1" ht="12.75" customHeight="1">
      <c r="A435" s="536"/>
      <c r="B435" s="14"/>
      <c r="C435" s="731"/>
      <c r="D435" s="14"/>
      <c r="E435" s="691"/>
      <c r="F435" s="2432"/>
      <c r="G435" s="2432"/>
      <c r="H435" s="2432"/>
      <c r="I435" s="2432"/>
      <c r="J435" s="2432"/>
      <c r="K435" s="2432"/>
      <c r="L435" s="2432"/>
      <c r="M435" s="2432"/>
      <c r="N435" s="2432"/>
      <c r="O435" s="2432"/>
      <c r="P435" s="2432"/>
      <c r="Q435" s="2432"/>
      <c r="R435" s="2432"/>
      <c r="S435" s="2432"/>
      <c r="T435" s="2432"/>
      <c r="U435" s="2432"/>
      <c r="V435" s="2432"/>
      <c r="W435" s="2432"/>
      <c r="X435" s="2432"/>
      <c r="Y435" s="2432"/>
      <c r="Z435" s="2432"/>
      <c r="AA435" s="2432"/>
      <c r="AB435" s="2432"/>
      <c r="AC435" s="2432"/>
      <c r="AD435" s="2432"/>
      <c r="AE435" s="2432"/>
      <c r="AF435" s="594"/>
      <c r="AG435" s="594"/>
      <c r="AH435" s="594"/>
      <c r="AI435" s="594"/>
      <c r="AJ435" s="594"/>
      <c r="AK435" s="594"/>
      <c r="AL435" s="750"/>
      <c r="AM435" s="570"/>
      <c r="AN435" s="597"/>
    </row>
    <row r="436" spans="1:60" s="550" customFormat="1" ht="12.75" customHeight="1">
      <c r="A436" s="536"/>
      <c r="B436" s="14"/>
      <c r="C436" s="751"/>
      <c r="D436" s="730"/>
      <c r="E436" s="719"/>
      <c r="F436" s="2432"/>
      <c r="G436" s="2432"/>
      <c r="H436" s="2432"/>
      <c r="I436" s="2432"/>
      <c r="J436" s="2432"/>
      <c r="K436" s="2432"/>
      <c r="L436" s="2432"/>
      <c r="M436" s="2432"/>
      <c r="N436" s="2432"/>
      <c r="O436" s="2432"/>
      <c r="P436" s="2432"/>
      <c r="Q436" s="2432"/>
      <c r="R436" s="2432"/>
      <c r="S436" s="2432"/>
      <c r="T436" s="2432"/>
      <c r="U436" s="2432"/>
      <c r="V436" s="2432"/>
      <c r="W436" s="2432"/>
      <c r="X436" s="2432"/>
      <c r="Y436" s="2432"/>
      <c r="Z436" s="2432"/>
      <c r="AA436" s="2432"/>
      <c r="AB436" s="2432"/>
      <c r="AC436" s="2432"/>
      <c r="AD436" s="2432"/>
      <c r="AE436" s="2432"/>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2"/>
      <c r="G437" s="2432"/>
      <c r="H437" s="2432"/>
      <c r="I437" s="2432"/>
      <c r="J437" s="2432"/>
      <c r="K437" s="2432"/>
      <c r="L437" s="2432"/>
      <c r="M437" s="2432"/>
      <c r="N437" s="2432"/>
      <c r="O437" s="2432"/>
      <c r="P437" s="2432"/>
      <c r="Q437" s="2432"/>
      <c r="R437" s="2432"/>
      <c r="S437" s="2432"/>
      <c r="T437" s="2432"/>
      <c r="U437" s="2432"/>
      <c r="V437" s="2432"/>
      <c r="W437" s="2432"/>
      <c r="X437" s="2432"/>
      <c r="Y437" s="2432"/>
      <c r="Z437" s="2432"/>
      <c r="AA437" s="2432"/>
      <c r="AB437" s="2432"/>
      <c r="AC437" s="2432"/>
      <c r="AD437" s="2432"/>
      <c r="AE437" s="2432"/>
      <c r="AF437" s="594"/>
      <c r="AG437" s="594"/>
      <c r="AH437" s="594"/>
      <c r="AI437" s="594"/>
      <c r="AJ437" s="594"/>
      <c r="AK437" s="594"/>
      <c r="AL437" s="750"/>
      <c r="AM437" s="570"/>
      <c r="AN437" s="597"/>
    </row>
    <row r="438" spans="1:60" s="550" customFormat="1" ht="12.75" customHeight="1">
      <c r="A438" s="536"/>
      <c r="B438" s="14"/>
      <c r="C438" s="751"/>
      <c r="D438" s="730"/>
      <c r="E438" s="719"/>
      <c r="F438" s="2432"/>
      <c r="G438" s="2432"/>
      <c r="H438" s="2432"/>
      <c r="I438" s="2432"/>
      <c r="J438" s="2432"/>
      <c r="K438" s="2432"/>
      <c r="L438" s="2432"/>
      <c r="M438" s="2432"/>
      <c r="N438" s="2432"/>
      <c r="O438" s="2432"/>
      <c r="P438" s="2432"/>
      <c r="Q438" s="2432"/>
      <c r="R438" s="2432"/>
      <c r="S438" s="2432"/>
      <c r="T438" s="2432"/>
      <c r="U438" s="2432"/>
      <c r="V438" s="2432"/>
      <c r="W438" s="2432"/>
      <c r="X438" s="2432"/>
      <c r="Y438" s="2432"/>
      <c r="Z438" s="2432"/>
      <c r="AA438" s="2432"/>
      <c r="AB438" s="2432"/>
      <c r="AC438" s="2432"/>
      <c r="AD438" s="2432"/>
      <c r="AE438" s="2432"/>
      <c r="AF438" s="594"/>
      <c r="AG438" s="594"/>
      <c r="AH438" s="594"/>
      <c r="AI438" s="594"/>
      <c r="AJ438" s="594"/>
      <c r="AK438" s="594"/>
      <c r="AL438" s="750"/>
      <c r="AM438" s="570"/>
      <c r="AN438" s="597"/>
    </row>
    <row r="439" spans="1:60" s="550" customFormat="1" ht="12.75" customHeight="1">
      <c r="A439" s="536"/>
      <c r="B439" s="14"/>
      <c r="C439" s="751"/>
      <c r="D439" s="730"/>
      <c r="E439" s="719"/>
      <c r="F439" s="2432"/>
      <c r="G439" s="2432"/>
      <c r="H439" s="2432"/>
      <c r="I439" s="2432"/>
      <c r="J439" s="2432"/>
      <c r="K439" s="2432"/>
      <c r="L439" s="2432"/>
      <c r="M439" s="2432"/>
      <c r="N439" s="2432"/>
      <c r="O439" s="2432"/>
      <c r="P439" s="2432"/>
      <c r="Q439" s="2432"/>
      <c r="R439" s="2432"/>
      <c r="S439" s="2432"/>
      <c r="T439" s="2432"/>
      <c r="U439" s="2432"/>
      <c r="V439" s="2432"/>
      <c r="W439" s="2432"/>
      <c r="X439" s="2432"/>
      <c r="Y439" s="2432"/>
      <c r="Z439" s="2432"/>
      <c r="AA439" s="2432"/>
      <c r="AB439" s="2432"/>
      <c r="AC439" s="2432"/>
      <c r="AD439" s="2432"/>
      <c r="AE439" s="2432"/>
      <c r="AF439" s="594"/>
      <c r="AG439" s="594"/>
      <c r="AH439" s="594"/>
      <c r="AI439" s="594"/>
      <c r="AJ439" s="594"/>
      <c r="AK439" s="594"/>
      <c r="AL439" s="750"/>
      <c r="AM439" s="570"/>
      <c r="AN439" s="597"/>
    </row>
    <row r="440" spans="1:60" s="550" customFormat="1" ht="12.75" customHeight="1">
      <c r="A440" s="536"/>
      <c r="B440" s="14"/>
      <c r="C440" s="751"/>
      <c r="D440" s="730"/>
      <c r="E440" s="719"/>
      <c r="F440" s="2432"/>
      <c r="G440" s="2432"/>
      <c r="H440" s="2432"/>
      <c r="I440" s="2432"/>
      <c r="J440" s="2432"/>
      <c r="K440" s="2432"/>
      <c r="L440" s="2432"/>
      <c r="M440" s="2432"/>
      <c r="N440" s="2432"/>
      <c r="O440" s="2432"/>
      <c r="P440" s="2432"/>
      <c r="Q440" s="2432"/>
      <c r="R440" s="2432"/>
      <c r="S440" s="2432"/>
      <c r="T440" s="2432"/>
      <c r="U440" s="2432"/>
      <c r="V440" s="2432"/>
      <c r="W440" s="2432"/>
      <c r="X440" s="2432"/>
      <c r="Y440" s="2432"/>
      <c r="Z440" s="2432"/>
      <c r="AA440" s="2432"/>
      <c r="AB440" s="2432"/>
      <c r="AC440" s="2432"/>
      <c r="AD440" s="2432"/>
      <c r="AE440" s="2432"/>
      <c r="AF440" s="594"/>
      <c r="AG440" s="594"/>
      <c r="AH440" s="594"/>
      <c r="AI440" s="594"/>
      <c r="AJ440" s="594"/>
      <c r="AK440" s="594"/>
      <c r="AL440" s="750"/>
      <c r="AM440" s="570"/>
      <c r="AN440" s="597"/>
    </row>
    <row r="441" spans="1:60" s="550" customFormat="1" ht="17.25" customHeight="1">
      <c r="A441" s="536"/>
      <c r="B441" s="14"/>
      <c r="C441" s="751"/>
      <c r="D441" s="730"/>
      <c r="E441" s="719"/>
      <c r="F441" s="2432"/>
      <c r="G441" s="2432"/>
      <c r="H441" s="2432"/>
      <c r="I441" s="2432"/>
      <c r="J441" s="2432"/>
      <c r="K441" s="2432"/>
      <c r="L441" s="2432"/>
      <c r="M441" s="2432"/>
      <c r="N441" s="2432"/>
      <c r="O441" s="2432"/>
      <c r="P441" s="2432"/>
      <c r="Q441" s="2432"/>
      <c r="R441" s="2432"/>
      <c r="S441" s="2432"/>
      <c r="T441" s="2432"/>
      <c r="U441" s="2432"/>
      <c r="V441" s="2432"/>
      <c r="W441" s="2432"/>
      <c r="X441" s="2432"/>
      <c r="Y441" s="2432"/>
      <c r="Z441" s="2432"/>
      <c r="AA441" s="2432"/>
      <c r="AB441" s="2432"/>
      <c r="AC441" s="2432"/>
      <c r="AD441" s="2432"/>
      <c r="AE441" s="2432"/>
      <c r="AL441" s="732"/>
      <c r="AM441" s="570"/>
      <c r="AN441" s="597"/>
    </row>
    <row r="442" spans="1:60" s="550" customFormat="1" ht="12.75" customHeight="1">
      <c r="A442" s="536"/>
      <c r="B442" s="14"/>
      <c r="C442" s="2441" t="s">
        <v>592</v>
      </c>
      <c r="D442" s="2442"/>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1" t="s">
        <v>1463</v>
      </c>
      <c r="AG442" s="2521"/>
      <c r="AH442" s="2521"/>
      <c r="AI442" s="2521"/>
      <c r="AJ442" s="2521"/>
      <c r="AK442" s="2521"/>
      <c r="AL442" s="2530"/>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431" t="s">
        <v>1489</v>
      </c>
      <c r="G445" s="2431"/>
      <c r="H445" s="2431"/>
      <c r="I445" s="2431"/>
      <c r="J445" s="2431"/>
      <c r="K445" s="2431"/>
      <c r="L445" s="2431"/>
      <c r="M445" s="2431"/>
      <c r="N445" s="2431"/>
      <c r="O445" s="2431"/>
      <c r="P445" s="2431"/>
      <c r="Q445" s="2431"/>
      <c r="R445" s="2431"/>
      <c r="S445" s="2431"/>
      <c r="T445" s="2431"/>
      <c r="U445" s="2431"/>
      <c r="V445" s="2431"/>
      <c r="W445" s="2431"/>
      <c r="X445" s="2431"/>
      <c r="Y445" s="2431"/>
      <c r="Z445" s="2431"/>
      <c r="AA445" s="2431"/>
      <c r="AB445" s="2431"/>
      <c r="AC445" s="2431"/>
      <c r="AD445" s="2431"/>
      <c r="AE445" s="2431"/>
      <c r="AF445" s="714"/>
      <c r="AG445" s="714"/>
      <c r="AH445" s="714"/>
      <c r="AI445" s="714"/>
      <c r="AJ445" s="714"/>
      <c r="AK445" s="714"/>
      <c r="AL445" s="745"/>
      <c r="AM445" s="570"/>
      <c r="AN445" s="597"/>
    </row>
    <row r="446" spans="1:60" s="550" customFormat="1" ht="12.75" customHeight="1">
      <c r="A446" s="536"/>
      <c r="B446" s="14"/>
      <c r="C446" s="751"/>
      <c r="D446" s="730"/>
      <c r="E446" s="719"/>
      <c r="F446" s="2432"/>
      <c r="G446" s="2432"/>
      <c r="H446" s="2432"/>
      <c r="I446" s="2432"/>
      <c r="J446" s="2432"/>
      <c r="K446" s="2432"/>
      <c r="L446" s="2432"/>
      <c r="M446" s="2432"/>
      <c r="N446" s="2432"/>
      <c r="O446" s="2432"/>
      <c r="P446" s="2432"/>
      <c r="Q446" s="2432"/>
      <c r="R446" s="2432"/>
      <c r="S446" s="2432"/>
      <c r="T446" s="2432"/>
      <c r="U446" s="2432"/>
      <c r="V446" s="2432"/>
      <c r="W446" s="2432"/>
      <c r="X446" s="2432"/>
      <c r="Y446" s="2432"/>
      <c r="Z446" s="2432"/>
      <c r="AA446" s="2432"/>
      <c r="AB446" s="2432"/>
      <c r="AC446" s="2432"/>
      <c r="AD446" s="2432"/>
      <c r="AE446" s="2432"/>
      <c r="AF446" s="591"/>
      <c r="AG446" s="591"/>
      <c r="AH446" s="591"/>
      <c r="AI446" s="591"/>
      <c r="AJ446" s="591"/>
      <c r="AK446" s="591"/>
      <c r="AL446" s="720"/>
      <c r="AM446" s="570"/>
      <c r="AN446" s="597"/>
    </row>
    <row r="447" spans="1:60" s="550" customFormat="1" ht="12.75" customHeight="1">
      <c r="A447" s="536"/>
      <c r="B447" s="14"/>
      <c r="C447" s="751"/>
      <c r="D447" s="730"/>
      <c r="E447" s="719"/>
      <c r="F447" s="2432"/>
      <c r="G447" s="2432"/>
      <c r="H447" s="2432"/>
      <c r="I447" s="2432"/>
      <c r="J447" s="2432"/>
      <c r="K447" s="2432"/>
      <c r="L447" s="2432"/>
      <c r="M447" s="2432"/>
      <c r="N447" s="2432"/>
      <c r="O447" s="2432"/>
      <c r="P447" s="2432"/>
      <c r="Q447" s="2432"/>
      <c r="R447" s="2432"/>
      <c r="S447" s="2432"/>
      <c r="T447" s="2432"/>
      <c r="U447" s="2432"/>
      <c r="V447" s="2432"/>
      <c r="W447" s="2432"/>
      <c r="X447" s="2432"/>
      <c r="Y447" s="2432"/>
      <c r="Z447" s="2432"/>
      <c r="AA447" s="2432"/>
      <c r="AB447" s="2432"/>
      <c r="AC447" s="2432"/>
      <c r="AD447" s="2432"/>
      <c r="AE447" s="2432"/>
      <c r="AF447" s="591"/>
      <c r="AG447" s="591"/>
      <c r="AH447" s="591"/>
      <c r="AI447" s="591"/>
      <c r="AJ447" s="591"/>
      <c r="AK447" s="591"/>
      <c r="AL447" s="720"/>
      <c r="AM447" s="570"/>
      <c r="AN447" s="597"/>
    </row>
    <row r="448" spans="1:60" s="550" customFormat="1" ht="12.75" customHeight="1">
      <c r="A448" s="536"/>
      <c r="B448" s="14"/>
      <c r="C448" s="751"/>
      <c r="D448" s="730"/>
      <c r="E448" s="719"/>
      <c r="F448" s="2432"/>
      <c r="G448" s="2432"/>
      <c r="H448" s="2432"/>
      <c r="I448" s="2432"/>
      <c r="J448" s="2432"/>
      <c r="K448" s="2432"/>
      <c r="L448" s="2432"/>
      <c r="M448" s="2432"/>
      <c r="N448" s="2432"/>
      <c r="O448" s="2432"/>
      <c r="P448" s="2432"/>
      <c r="Q448" s="2432"/>
      <c r="R448" s="2432"/>
      <c r="S448" s="2432"/>
      <c r="T448" s="2432"/>
      <c r="U448" s="2432"/>
      <c r="V448" s="2432"/>
      <c r="W448" s="2432"/>
      <c r="X448" s="2432"/>
      <c r="Y448" s="2432"/>
      <c r="Z448" s="2432"/>
      <c r="AA448" s="2432"/>
      <c r="AB448" s="2432"/>
      <c r="AC448" s="2432"/>
      <c r="AD448" s="2432"/>
      <c r="AE448" s="2432"/>
      <c r="AL448" s="732"/>
      <c r="AM448" s="570"/>
      <c r="AN448" s="597"/>
    </row>
    <row r="449" spans="1:40" s="550" customFormat="1" ht="12.75" customHeight="1">
      <c r="A449" s="536"/>
      <c r="B449" s="14"/>
      <c r="C449" s="2441" t="s">
        <v>592</v>
      </c>
      <c r="D449" s="2442"/>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1" t="s">
        <v>1463</v>
      </c>
      <c r="AG449" s="2521"/>
      <c r="AH449" s="2521"/>
      <c r="AI449" s="2521"/>
      <c r="AJ449" s="2521"/>
      <c r="AK449" s="2521"/>
      <c r="AL449" s="2530"/>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7" t="s">
        <v>592</v>
      </c>
      <c r="D453" s="2558"/>
      <c r="E453" s="715" t="s">
        <v>1498</v>
      </c>
      <c r="F453" s="2431" t="s">
        <v>1499</v>
      </c>
      <c r="G453" s="2431"/>
      <c r="H453" s="2431"/>
      <c r="I453" s="2431"/>
      <c r="J453" s="2431"/>
      <c r="K453" s="2431"/>
      <c r="L453" s="2431"/>
      <c r="M453" s="2431"/>
      <c r="N453" s="2431"/>
      <c r="O453" s="2431"/>
      <c r="P453" s="2431"/>
      <c r="Q453" s="2431"/>
      <c r="R453" s="2431"/>
      <c r="S453" s="2431"/>
      <c r="T453" s="2431"/>
      <c r="U453" s="2431"/>
      <c r="V453" s="2431"/>
      <c r="W453" s="2431"/>
      <c r="X453" s="2431"/>
      <c r="Y453" s="2431"/>
      <c r="Z453" s="2431"/>
      <c r="AA453" s="2431"/>
      <c r="AB453" s="2431"/>
      <c r="AC453" s="2431"/>
      <c r="AD453" s="2431"/>
      <c r="AE453" s="2431"/>
      <c r="AF453" s="2459" t="s">
        <v>1463</v>
      </c>
      <c r="AG453" s="2459"/>
      <c r="AH453" s="2459"/>
      <c r="AI453" s="2459"/>
      <c r="AJ453" s="2459"/>
      <c r="AK453" s="2459"/>
      <c r="AL453" s="2460"/>
      <c r="AM453" s="570"/>
      <c r="AN453" s="753"/>
    </row>
    <row r="454" spans="1:40" s="550" customFormat="1" ht="12.75" customHeight="1">
      <c r="A454" s="536"/>
      <c r="B454" s="14"/>
      <c r="C454" s="751"/>
      <c r="D454" s="730"/>
      <c r="E454" s="719"/>
      <c r="F454" s="2432"/>
      <c r="G454" s="2432"/>
      <c r="H454" s="2432"/>
      <c r="I454" s="2432"/>
      <c r="J454" s="2432"/>
      <c r="K454" s="2432"/>
      <c r="L454" s="2432"/>
      <c r="M454" s="2432"/>
      <c r="N454" s="2432"/>
      <c r="O454" s="2432"/>
      <c r="P454" s="2432"/>
      <c r="Q454" s="2432"/>
      <c r="R454" s="2432"/>
      <c r="S454" s="2432"/>
      <c r="T454" s="2432"/>
      <c r="U454" s="2432"/>
      <c r="V454" s="2432"/>
      <c r="W454" s="2432"/>
      <c r="X454" s="2432"/>
      <c r="Y454" s="2432"/>
      <c r="Z454" s="2432"/>
      <c r="AA454" s="2432"/>
      <c r="AB454" s="2432"/>
      <c r="AC454" s="2432"/>
      <c r="AD454" s="2432"/>
      <c r="AE454" s="2432"/>
      <c r="AF454" s="591"/>
      <c r="AG454" s="591"/>
      <c r="AH454" s="591"/>
      <c r="AI454" s="591"/>
      <c r="AJ454" s="591"/>
      <c r="AK454" s="591"/>
      <c r="AL454" s="720"/>
      <c r="AM454" s="570"/>
      <c r="AN454" s="754"/>
    </row>
    <row r="455" spans="1:40" s="550" customFormat="1" ht="17.649999999999999" customHeight="1">
      <c r="A455" s="536"/>
      <c r="B455" s="14"/>
      <c r="C455" s="756"/>
      <c r="D455" s="723"/>
      <c r="E455" s="724"/>
      <c r="F455" s="2433"/>
      <c r="G455" s="2433"/>
      <c r="H455" s="2433"/>
      <c r="I455" s="2433"/>
      <c r="J455" s="2433"/>
      <c r="K455" s="2433"/>
      <c r="L455" s="2433"/>
      <c r="M455" s="2433"/>
      <c r="N455" s="2433"/>
      <c r="O455" s="2433"/>
      <c r="P455" s="2433"/>
      <c r="Q455" s="2433"/>
      <c r="R455" s="2433"/>
      <c r="S455" s="2433"/>
      <c r="T455" s="2433"/>
      <c r="U455" s="2433"/>
      <c r="V455" s="2433"/>
      <c r="W455" s="2433"/>
      <c r="X455" s="2433"/>
      <c r="Y455" s="2433"/>
      <c r="Z455" s="2433"/>
      <c r="AA455" s="2433"/>
      <c r="AB455" s="2433"/>
      <c r="AC455" s="2433"/>
      <c r="AD455" s="2433"/>
      <c r="AE455" s="2433"/>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1" t="s">
        <v>592</v>
      </c>
      <c r="D457" s="2442"/>
      <c r="E457" s="715" t="s">
        <v>1504</v>
      </c>
      <c r="F457" s="2431" t="s">
        <v>1505</v>
      </c>
      <c r="G457" s="2431"/>
      <c r="H457" s="2431"/>
      <c r="I457" s="2431"/>
      <c r="J457" s="2431"/>
      <c r="K457" s="2431"/>
      <c r="L457" s="2431"/>
      <c r="M457" s="2431"/>
      <c r="N457" s="2431"/>
      <c r="O457" s="2431"/>
      <c r="P457" s="2431"/>
      <c r="Q457" s="2431"/>
      <c r="R457" s="2431"/>
      <c r="S457" s="2431"/>
      <c r="T457" s="2431"/>
      <c r="U457" s="2431"/>
      <c r="V457" s="2431"/>
      <c r="W457" s="2431"/>
      <c r="X457" s="2431"/>
      <c r="Y457" s="2431"/>
      <c r="Z457" s="2431"/>
      <c r="AA457" s="2431"/>
      <c r="AB457" s="2431"/>
      <c r="AC457" s="2431"/>
      <c r="AD457" s="2431"/>
      <c r="AE457" s="2431"/>
      <c r="AF457" s="2459" t="s">
        <v>1463</v>
      </c>
      <c r="AG457" s="2459"/>
      <c r="AH457" s="2459"/>
      <c r="AI457" s="2459"/>
      <c r="AJ457" s="2459"/>
      <c r="AK457" s="2459"/>
      <c r="AL457" s="2460"/>
      <c r="AM457" s="570"/>
      <c r="AN457" s="535"/>
    </row>
    <row r="458" spans="1:40" s="550" customFormat="1" ht="12.75" customHeight="1">
      <c r="A458" s="536"/>
      <c r="B458" s="14"/>
      <c r="C458" s="731"/>
      <c r="D458" s="14"/>
      <c r="E458" s="691"/>
      <c r="F458" s="2432"/>
      <c r="G458" s="2432"/>
      <c r="H458" s="2432"/>
      <c r="I458" s="2432"/>
      <c r="J458" s="2432"/>
      <c r="K458" s="2432"/>
      <c r="L458" s="2432"/>
      <c r="M458" s="2432"/>
      <c r="N458" s="2432"/>
      <c r="O458" s="2432"/>
      <c r="P458" s="2432"/>
      <c r="Q458" s="2432"/>
      <c r="R458" s="2432"/>
      <c r="S458" s="2432"/>
      <c r="T458" s="2432"/>
      <c r="U458" s="2432"/>
      <c r="V458" s="2432"/>
      <c r="W458" s="2432"/>
      <c r="X458" s="2432"/>
      <c r="Y458" s="2432"/>
      <c r="Z458" s="2432"/>
      <c r="AA458" s="2432"/>
      <c r="AB458" s="2432"/>
      <c r="AC458" s="2432"/>
      <c r="AD458" s="2432"/>
      <c r="AE458" s="2432"/>
      <c r="AF458" s="539"/>
      <c r="AG458" s="536"/>
      <c r="AL458" s="732"/>
      <c r="AM458" s="570"/>
      <c r="AN458" s="535"/>
    </row>
    <row r="459" spans="1:40" s="550" customFormat="1" ht="12.75" customHeight="1">
      <c r="A459" s="536"/>
      <c r="B459" s="14"/>
      <c r="C459" s="731"/>
      <c r="D459" s="14"/>
      <c r="E459" s="691"/>
      <c r="F459" s="2432"/>
      <c r="G459" s="2432"/>
      <c r="H459" s="2432"/>
      <c r="I459" s="2432"/>
      <c r="J459" s="2432"/>
      <c r="K459" s="2432"/>
      <c r="L459" s="2432"/>
      <c r="M459" s="2432"/>
      <c r="N459" s="2432"/>
      <c r="O459" s="2432"/>
      <c r="P459" s="2432"/>
      <c r="Q459" s="2432"/>
      <c r="R459" s="2432"/>
      <c r="S459" s="2432"/>
      <c r="T459" s="2432"/>
      <c r="U459" s="2432"/>
      <c r="V459" s="2432"/>
      <c r="W459" s="2432"/>
      <c r="X459" s="2432"/>
      <c r="Y459" s="2432"/>
      <c r="Z459" s="2432"/>
      <c r="AA459" s="2432"/>
      <c r="AB459" s="2432"/>
      <c r="AC459" s="2432"/>
      <c r="AD459" s="2432"/>
      <c r="AE459" s="2432"/>
      <c r="AF459" s="539"/>
      <c r="AG459" s="536"/>
      <c r="AL459" s="732"/>
      <c r="AM459" s="570"/>
      <c r="AN459" s="535"/>
    </row>
    <row r="460" spans="1:40" s="550" customFormat="1" ht="12.75" customHeight="1">
      <c r="A460" s="536"/>
      <c r="B460" s="14"/>
      <c r="C460" s="756"/>
      <c r="D460" s="723"/>
      <c r="E460" s="724"/>
      <c r="F460" s="2433"/>
      <c r="G460" s="2433"/>
      <c r="H460" s="2433"/>
      <c r="I460" s="2433"/>
      <c r="J460" s="2433"/>
      <c r="K460" s="2433"/>
      <c r="L460" s="2433"/>
      <c r="M460" s="2433"/>
      <c r="N460" s="2433"/>
      <c r="O460" s="2433"/>
      <c r="P460" s="2433"/>
      <c r="Q460" s="2433"/>
      <c r="R460" s="2433"/>
      <c r="S460" s="2433"/>
      <c r="T460" s="2433"/>
      <c r="U460" s="2433"/>
      <c r="V460" s="2433"/>
      <c r="W460" s="2433"/>
      <c r="X460" s="2433"/>
      <c r="Y460" s="2433"/>
      <c r="Z460" s="2433"/>
      <c r="AA460" s="2433"/>
      <c r="AB460" s="2433"/>
      <c r="AC460" s="2433"/>
      <c r="AD460" s="2433"/>
      <c r="AE460" s="2433"/>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431" t="s">
        <v>1508</v>
      </c>
      <c r="G462" s="2431"/>
      <c r="H462" s="2431"/>
      <c r="I462" s="2431"/>
      <c r="J462" s="2431"/>
      <c r="K462" s="2431"/>
      <c r="L462" s="2431"/>
      <c r="M462" s="2431"/>
      <c r="N462" s="2431"/>
      <c r="O462" s="2431"/>
      <c r="P462" s="2431"/>
      <c r="Q462" s="2431"/>
      <c r="R462" s="2431"/>
      <c r="S462" s="2431"/>
      <c r="T462" s="2431"/>
      <c r="U462" s="2431"/>
      <c r="V462" s="2431"/>
      <c r="W462" s="2431"/>
      <c r="X462" s="2431"/>
      <c r="Y462" s="2431"/>
      <c r="Z462" s="2431"/>
      <c r="AA462" s="2431"/>
      <c r="AB462" s="2431"/>
      <c r="AC462" s="2431"/>
      <c r="AD462" s="2431"/>
      <c r="AE462" s="2431"/>
      <c r="AF462" s="2431"/>
      <c r="AG462" s="744"/>
      <c r="AH462" s="714"/>
      <c r="AI462" s="714"/>
      <c r="AJ462" s="714"/>
      <c r="AK462" s="714"/>
      <c r="AL462" s="745"/>
      <c r="AM462" s="570"/>
      <c r="AN462" s="597"/>
    </row>
    <row r="463" spans="1:40" s="550" customFormat="1" ht="12.75" customHeight="1">
      <c r="A463" s="536"/>
      <c r="B463" s="14"/>
      <c r="C463" s="731"/>
      <c r="D463" s="14"/>
      <c r="E463" s="691"/>
      <c r="F463" s="2432"/>
      <c r="G463" s="2432"/>
      <c r="H463" s="2432"/>
      <c r="I463" s="2432"/>
      <c r="J463" s="2432"/>
      <c r="K463" s="2432"/>
      <c r="L463" s="2432"/>
      <c r="M463" s="2432"/>
      <c r="N463" s="2432"/>
      <c r="O463" s="2432"/>
      <c r="P463" s="2432"/>
      <c r="Q463" s="2432"/>
      <c r="R463" s="2432"/>
      <c r="S463" s="2432"/>
      <c r="T463" s="2432"/>
      <c r="U463" s="2432"/>
      <c r="V463" s="2432"/>
      <c r="W463" s="2432"/>
      <c r="X463" s="2432"/>
      <c r="Y463" s="2432"/>
      <c r="Z463" s="2432"/>
      <c r="AA463" s="2432"/>
      <c r="AB463" s="2432"/>
      <c r="AC463" s="2432"/>
      <c r="AD463" s="2432"/>
      <c r="AE463" s="2432"/>
      <c r="AF463" s="2432"/>
      <c r="AL463" s="732"/>
      <c r="AM463" s="570"/>
      <c r="AN463" s="597"/>
    </row>
    <row r="464" spans="1:40" s="550" customFormat="1" ht="12.75" customHeight="1">
      <c r="A464" s="536"/>
      <c r="B464" s="14"/>
      <c r="C464" s="739"/>
      <c r="F464" s="2432"/>
      <c r="G464" s="2432"/>
      <c r="H464" s="2432"/>
      <c r="I464" s="2432"/>
      <c r="J464" s="2432"/>
      <c r="K464" s="2432"/>
      <c r="L464" s="2432"/>
      <c r="M464" s="2432"/>
      <c r="N464" s="2432"/>
      <c r="O464" s="2432"/>
      <c r="P464" s="2432"/>
      <c r="Q464" s="2432"/>
      <c r="R464" s="2432"/>
      <c r="S464" s="2432"/>
      <c r="T464" s="2432"/>
      <c r="U464" s="2432"/>
      <c r="V464" s="2432"/>
      <c r="W464" s="2432"/>
      <c r="X464" s="2432"/>
      <c r="Y464" s="2432"/>
      <c r="Z464" s="2432"/>
      <c r="AA464" s="2432"/>
      <c r="AB464" s="2432"/>
      <c r="AC464" s="2432"/>
      <c r="AD464" s="2432"/>
      <c r="AE464" s="2432"/>
      <c r="AF464" s="2432"/>
      <c r="AL464" s="732"/>
      <c r="AM464" s="570"/>
      <c r="AN464" s="597"/>
    </row>
    <row r="465" spans="1:58" s="550" customFormat="1" ht="12.75" customHeight="1">
      <c r="A465" s="536"/>
      <c r="B465" s="14"/>
      <c r="C465" s="739"/>
      <c r="F465" s="2432"/>
      <c r="G465" s="2432"/>
      <c r="H465" s="2432"/>
      <c r="I465" s="2432"/>
      <c r="J465" s="2432"/>
      <c r="K465" s="2432"/>
      <c r="L465" s="2432"/>
      <c r="M465" s="2432"/>
      <c r="N465" s="2432"/>
      <c r="O465" s="2432"/>
      <c r="P465" s="2432"/>
      <c r="Q465" s="2432"/>
      <c r="R465" s="2432"/>
      <c r="S465" s="2432"/>
      <c r="T465" s="2432"/>
      <c r="U465" s="2432"/>
      <c r="V465" s="2432"/>
      <c r="W465" s="2432"/>
      <c r="X465" s="2432"/>
      <c r="Y465" s="2432"/>
      <c r="Z465" s="2432"/>
      <c r="AA465" s="2432"/>
      <c r="AB465" s="2432"/>
      <c r="AC465" s="2432"/>
      <c r="AD465" s="2432"/>
      <c r="AE465" s="2432"/>
      <c r="AF465" s="2432"/>
      <c r="AL465" s="732"/>
      <c r="AM465" s="570"/>
      <c r="AN465" s="597"/>
    </row>
    <row r="466" spans="1:58" s="550" customFormat="1" ht="12.75" customHeight="1">
      <c r="A466" s="536"/>
      <c r="B466" s="14"/>
      <c r="C466" s="2441" t="s">
        <v>592</v>
      </c>
      <c r="D466" s="2442"/>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3" t="s">
        <v>1463</v>
      </c>
      <c r="AG466" s="2443"/>
      <c r="AH466" s="2443"/>
      <c r="AI466" s="2443"/>
      <c r="AJ466" s="2443"/>
      <c r="AK466" s="2443"/>
      <c r="AL466" s="2444"/>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28">
        <f>IF(Application!D214="N/A",AS358,AS360)</f>
        <v>12</v>
      </c>
      <c r="AL469" s="2429"/>
      <c r="AM469" s="2430"/>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443" t="s">
        <v>1512</v>
      </c>
      <c r="AF472" s="2443"/>
      <c r="AG472" s="2443"/>
      <c r="AH472" s="2443"/>
      <c r="AI472" s="2443"/>
      <c r="AJ472" s="2443"/>
      <c r="AK472" s="2443"/>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450" t="s">
        <v>592</v>
      </c>
      <c r="D478" s="2451"/>
      <c r="E478" s="761" t="s">
        <v>508</v>
      </c>
      <c r="F478" s="2528" t="s">
        <v>1518</v>
      </c>
      <c r="G478" s="2528"/>
      <c r="H478" s="2528"/>
      <c r="I478" s="2528"/>
      <c r="J478" s="2528"/>
      <c r="K478" s="2528"/>
      <c r="L478" s="2528"/>
      <c r="M478" s="2528"/>
      <c r="N478" s="2528"/>
      <c r="O478" s="2528"/>
      <c r="P478" s="2528"/>
      <c r="Q478" s="2528"/>
      <c r="R478" s="2528"/>
      <c r="S478" s="2528"/>
      <c r="T478" s="2528"/>
      <c r="U478" s="2528"/>
      <c r="V478" s="2528"/>
      <c r="W478" s="2528"/>
      <c r="X478" s="2528"/>
      <c r="Y478" s="2528"/>
      <c r="Z478" s="2528"/>
      <c r="AA478" s="2528"/>
      <c r="AB478" s="2528"/>
      <c r="AC478" s="2528"/>
      <c r="AD478" s="2528"/>
      <c r="AE478" s="2528"/>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29"/>
      <c r="G479" s="2529"/>
      <c r="H479" s="2529"/>
      <c r="I479" s="2529"/>
      <c r="J479" s="2529"/>
      <c r="K479" s="2529"/>
      <c r="L479" s="2529"/>
      <c r="M479" s="2529"/>
      <c r="N479" s="2529"/>
      <c r="O479" s="2529"/>
      <c r="P479" s="2529"/>
      <c r="Q479" s="2529"/>
      <c r="R479" s="2529"/>
      <c r="S479" s="2529"/>
      <c r="T479" s="2529"/>
      <c r="U479" s="2529"/>
      <c r="V479" s="2529"/>
      <c r="W479" s="2529"/>
      <c r="X479" s="2529"/>
      <c r="Y479" s="2529"/>
      <c r="Z479" s="2529"/>
      <c r="AA479" s="2529"/>
      <c r="AB479" s="2529"/>
      <c r="AC479" s="2529"/>
      <c r="AD479" s="2529"/>
      <c r="AE479" s="2529"/>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456" t="s">
        <v>592</v>
      </c>
      <c r="G480" s="2456"/>
      <c r="H480" s="2456"/>
      <c r="I480" s="2456"/>
      <c r="J480" s="2456"/>
      <c r="K480" s="2456"/>
      <c r="L480" s="2456"/>
      <c r="M480" s="2456"/>
      <c r="N480" s="2456"/>
      <c r="O480" s="2456"/>
      <c r="P480" s="2456"/>
      <c r="Q480" s="2456"/>
      <c r="R480" s="2456"/>
      <c r="S480" s="2456"/>
      <c r="T480" s="2456"/>
      <c r="U480" s="2456"/>
      <c r="V480" s="2456"/>
      <c r="W480" s="2456"/>
      <c r="X480" s="2456"/>
      <c r="Y480" s="2456"/>
      <c r="Z480" s="2456"/>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57" t="s">
        <v>546</v>
      </c>
      <c r="D482" s="2458"/>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436" t="s">
        <v>592</v>
      </c>
      <c r="W485" s="2436"/>
      <c r="X485" s="2436"/>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436" t="s">
        <v>592</v>
      </c>
      <c r="W487" s="2436"/>
      <c r="X487" s="2436"/>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436" t="s">
        <v>592</v>
      </c>
      <c r="W492" s="2436"/>
      <c r="X492" s="2436"/>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55"/>
      <c r="E495" s="2455"/>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436" t="s">
        <v>592</v>
      </c>
      <c r="W496" s="2436"/>
      <c r="X496" s="2436"/>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436" t="s">
        <v>592</v>
      </c>
      <c r="W498" s="2436"/>
      <c r="X498" s="2436"/>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0" t="s">
        <v>592</v>
      </c>
      <c r="D501" s="2451"/>
      <c r="E501" s="761" t="s">
        <v>508</v>
      </c>
      <c r="F501" s="2528" t="s">
        <v>1518</v>
      </c>
      <c r="G501" s="2528"/>
      <c r="H501" s="2528"/>
      <c r="I501" s="2528"/>
      <c r="J501" s="2528"/>
      <c r="K501" s="2528"/>
      <c r="L501" s="2528"/>
      <c r="M501" s="2528"/>
      <c r="N501" s="2528"/>
      <c r="O501" s="2528"/>
      <c r="P501" s="2528"/>
      <c r="Q501" s="2528"/>
      <c r="R501" s="2528"/>
      <c r="S501" s="2528"/>
      <c r="T501" s="2528"/>
      <c r="U501" s="2528"/>
      <c r="V501" s="2528"/>
      <c r="W501" s="2528"/>
      <c r="X501" s="2528"/>
      <c r="Y501" s="2528"/>
      <c r="Z501" s="2528"/>
      <c r="AA501" s="2528"/>
      <c r="AB501" s="2528"/>
      <c r="AC501" s="2528"/>
      <c r="AD501" s="2528"/>
      <c r="AE501" s="2528"/>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29"/>
      <c r="G502" s="2529"/>
      <c r="H502" s="2529"/>
      <c r="I502" s="2529"/>
      <c r="J502" s="2529"/>
      <c r="K502" s="2529"/>
      <c r="L502" s="2529"/>
      <c r="M502" s="2529"/>
      <c r="N502" s="2529"/>
      <c r="O502" s="2529"/>
      <c r="P502" s="2529"/>
      <c r="Q502" s="2529"/>
      <c r="R502" s="2529"/>
      <c r="S502" s="2529"/>
      <c r="T502" s="2529"/>
      <c r="U502" s="2529"/>
      <c r="V502" s="2529"/>
      <c r="W502" s="2529"/>
      <c r="X502" s="2529"/>
      <c r="Y502" s="2529"/>
      <c r="Z502" s="2529"/>
      <c r="AA502" s="2529"/>
      <c r="AB502" s="2529"/>
      <c r="AC502" s="2529"/>
      <c r="AD502" s="2529"/>
      <c r="AE502" s="2529"/>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49" t="s">
        <v>592</v>
      </c>
      <c r="G503" s="2449"/>
      <c r="H503" s="2449"/>
      <c r="I503" s="2449"/>
      <c r="J503" s="2449"/>
      <c r="K503" s="2449"/>
      <c r="L503" s="2449"/>
      <c r="M503" s="2449"/>
      <c r="N503" s="2449"/>
      <c r="O503" s="2449"/>
      <c r="P503" s="2449"/>
      <c r="Q503" s="2449"/>
      <c r="R503" s="2449"/>
      <c r="S503" s="2449"/>
      <c r="T503" s="2449"/>
      <c r="U503" s="2449"/>
      <c r="V503" s="2449"/>
      <c r="W503" s="2449"/>
      <c r="X503" s="2449"/>
      <c r="Y503" s="2449"/>
      <c r="Z503" s="2449"/>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0" t="s">
        <v>592</v>
      </c>
      <c r="D505" s="2451"/>
      <c r="E505" s="761" t="s">
        <v>758</v>
      </c>
      <c r="F505" s="2452" t="s">
        <v>1540</v>
      </c>
      <c r="G505" s="2452"/>
      <c r="H505" s="2452"/>
      <c r="I505" s="2452"/>
      <c r="J505" s="2452"/>
      <c r="K505" s="2452"/>
      <c r="L505" s="2452"/>
      <c r="M505" s="2452"/>
      <c r="N505" s="2452"/>
      <c r="O505" s="2452"/>
      <c r="P505" s="2452"/>
      <c r="Q505" s="2452"/>
      <c r="R505" s="2452"/>
      <c r="S505" s="2452"/>
      <c r="T505" s="2452"/>
      <c r="U505" s="2452"/>
      <c r="V505" s="2452"/>
      <c r="W505" s="2452"/>
      <c r="X505" s="2452"/>
      <c r="Y505" s="2452"/>
      <c r="Z505" s="2452"/>
      <c r="AA505" s="2452"/>
      <c r="AB505" s="2452"/>
      <c r="AC505" s="2452"/>
      <c r="AD505" s="2452"/>
      <c r="AE505" s="2452"/>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3"/>
      <c r="G506" s="2453"/>
      <c r="H506" s="2453"/>
      <c r="I506" s="2453"/>
      <c r="J506" s="2453"/>
      <c r="K506" s="2453"/>
      <c r="L506" s="2453"/>
      <c r="M506" s="2453"/>
      <c r="N506" s="2453"/>
      <c r="O506" s="2453"/>
      <c r="P506" s="2453"/>
      <c r="Q506" s="2453"/>
      <c r="R506" s="2453"/>
      <c r="S506" s="2453"/>
      <c r="T506" s="2453"/>
      <c r="U506" s="2453"/>
      <c r="V506" s="2453"/>
      <c r="W506" s="2453"/>
      <c r="X506" s="2453"/>
      <c r="Y506" s="2453"/>
      <c r="Z506" s="2453"/>
      <c r="AA506" s="2453"/>
      <c r="AB506" s="2453"/>
      <c r="AC506" s="2453"/>
      <c r="AD506" s="2453"/>
      <c r="AE506" s="2453"/>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4" t="s">
        <v>592</v>
      </c>
      <c r="G508" s="2454"/>
      <c r="H508" s="2454"/>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50" t="s">
        <v>592</v>
      </c>
      <c r="D510" s="2451"/>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70"/>
      <c r="D512" s="2455"/>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1" t="s">
        <v>592</v>
      </c>
      <c r="H513" s="2471"/>
      <c r="I513" s="2471"/>
      <c r="J513" s="2471"/>
      <c r="K513" s="2471"/>
      <c r="L513" s="2471"/>
      <c r="M513" s="2471"/>
      <c r="N513" s="2471"/>
      <c r="O513" s="2471"/>
      <c r="P513" s="2471"/>
      <c r="Q513" s="2471"/>
      <c r="R513" s="2471"/>
      <c r="S513" s="2471"/>
      <c r="T513" s="2471"/>
      <c r="U513" s="2471"/>
      <c r="V513" s="2471"/>
      <c r="W513" s="2471"/>
      <c r="X513" s="2471"/>
      <c r="Y513" s="2471"/>
      <c r="Z513" s="2471"/>
      <c r="AA513" s="2471"/>
      <c r="AB513" s="2471"/>
      <c r="AC513" s="2471"/>
      <c r="AD513" s="2471"/>
      <c r="AE513" s="2471"/>
      <c r="AF513" s="2471"/>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2" t="s">
        <v>592</v>
      </c>
      <c r="D515" s="2523"/>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2" t="s">
        <v>592</v>
      </c>
      <c r="D519" s="2523"/>
      <c r="F519" s="795" t="s">
        <v>1548</v>
      </c>
      <c r="G519" s="2432" t="s">
        <v>1549</v>
      </c>
      <c r="H519" s="2432"/>
      <c r="I519" s="2432"/>
      <c r="J519" s="2432"/>
      <c r="K519" s="2432"/>
      <c r="L519" s="2432"/>
      <c r="M519" s="2432"/>
      <c r="N519" s="2432"/>
      <c r="O519" s="2432"/>
      <c r="P519" s="2432"/>
      <c r="Q519" s="2432"/>
      <c r="R519" s="2432"/>
      <c r="S519" s="2432"/>
      <c r="T519" s="2432"/>
      <c r="U519" s="2432"/>
      <c r="V519" s="2432"/>
      <c r="W519" s="2432"/>
      <c r="X519" s="2432"/>
      <c r="Y519" s="2432"/>
      <c r="Z519" s="2432"/>
      <c r="AA519" s="2432"/>
      <c r="AB519" s="2432"/>
      <c r="AC519" s="2432"/>
      <c r="AD519" s="2432"/>
      <c r="AE519" s="2432"/>
      <c r="AF519" s="2432"/>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3"/>
      <c r="H520" s="2433"/>
      <c r="I520" s="2433"/>
      <c r="J520" s="2433"/>
      <c r="K520" s="2433"/>
      <c r="L520" s="2433"/>
      <c r="M520" s="2433"/>
      <c r="N520" s="2433"/>
      <c r="O520" s="2433"/>
      <c r="P520" s="2433"/>
      <c r="Q520" s="2433"/>
      <c r="R520" s="2433"/>
      <c r="S520" s="2433"/>
      <c r="T520" s="2433"/>
      <c r="U520" s="2433"/>
      <c r="V520" s="2433"/>
      <c r="W520" s="2433"/>
      <c r="X520" s="2433"/>
      <c r="Y520" s="2433"/>
      <c r="Z520" s="2433"/>
      <c r="AA520" s="2433"/>
      <c r="AB520" s="2433"/>
      <c r="AC520" s="2433"/>
      <c r="AD520" s="2433"/>
      <c r="AE520" s="2433"/>
      <c r="AF520" s="2433"/>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4" t="s">
        <v>592</v>
      </c>
      <c r="D523" s="2525"/>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6" t="s">
        <v>592</v>
      </c>
      <c r="G524" s="2526"/>
      <c r="H524" s="2526"/>
      <c r="I524" s="2526"/>
      <c r="J524" s="2526"/>
      <c r="K524" s="2526"/>
      <c r="L524" s="2526"/>
      <c r="M524" s="2526"/>
      <c r="N524" s="2526"/>
      <c r="O524" s="2526"/>
      <c r="P524" s="2526"/>
      <c r="Q524" s="2526"/>
      <c r="R524" s="2526"/>
      <c r="S524" s="2526"/>
      <c r="T524" s="2526"/>
      <c r="U524" s="2526"/>
      <c r="V524" s="2526"/>
      <c r="W524" s="2526"/>
      <c r="X524" s="2526"/>
      <c r="Y524" s="2526"/>
      <c r="Z524" s="2526"/>
      <c r="AA524" s="2526"/>
      <c r="AB524" s="2526"/>
      <c r="AC524" s="2526"/>
      <c r="AD524" s="2526"/>
      <c r="AE524" s="2526"/>
      <c r="AF524" s="2526"/>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7"/>
      <c r="G525" s="2527"/>
      <c r="H525" s="2527"/>
      <c r="I525" s="2527"/>
      <c r="J525" s="2527"/>
      <c r="K525" s="2527"/>
      <c r="L525" s="2527"/>
      <c r="M525" s="2527"/>
      <c r="N525" s="2527"/>
      <c r="O525" s="2527"/>
      <c r="P525" s="2527"/>
      <c r="Q525" s="2527"/>
      <c r="R525" s="2527"/>
      <c r="S525" s="2527"/>
      <c r="T525" s="2527"/>
      <c r="U525" s="2527"/>
      <c r="V525" s="2527"/>
      <c r="W525" s="2527"/>
      <c r="X525" s="2527"/>
      <c r="Y525" s="2527"/>
      <c r="Z525" s="2527"/>
      <c r="AA525" s="2527"/>
      <c r="AB525" s="2527"/>
      <c r="AC525" s="2527"/>
      <c r="AD525" s="2527"/>
      <c r="AE525" s="2527"/>
      <c r="AF525" s="2527"/>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28">
        <f>SUM(AG479:AG524)</f>
        <v>0</v>
      </c>
      <c r="AL535" s="2429"/>
      <c r="AM535" s="2430"/>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1" t="s">
        <v>1561</v>
      </c>
      <c r="AF538" s="2461"/>
      <c r="AG538" s="2461"/>
      <c r="AH538" s="2461"/>
      <c r="AI538" s="2461"/>
      <c r="AJ538" s="2461"/>
      <c r="AK538" s="2461"/>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2" t="s">
        <v>546</v>
      </c>
      <c r="D541" s="2442"/>
      <c r="E541" s="551"/>
      <c r="F541" s="2464" t="s">
        <v>1562</v>
      </c>
      <c r="G541" s="2465"/>
      <c r="H541" s="2465"/>
      <c r="I541" s="2465"/>
      <c r="J541" s="2465"/>
      <c r="K541" s="2465"/>
      <c r="L541" s="2465"/>
      <c r="M541" s="2465"/>
      <c r="N541" s="2465"/>
      <c r="O541" s="2465"/>
      <c r="P541" s="2465"/>
      <c r="Q541" s="2465"/>
      <c r="R541" s="2465"/>
      <c r="S541" s="2465"/>
      <c r="T541" s="2465"/>
      <c r="U541" s="2465"/>
      <c r="V541" s="2465"/>
      <c r="W541" s="2465"/>
      <c r="X541" s="2465"/>
      <c r="Y541" s="2465"/>
      <c r="Z541" s="2465"/>
      <c r="AA541" s="2465"/>
      <c r="AB541" s="2465"/>
      <c r="AC541" s="2465"/>
      <c r="AD541" s="2465"/>
      <c r="AE541" s="2465"/>
      <c r="AF541" s="2465"/>
      <c r="AG541" s="2465"/>
      <c r="AH541" s="2465"/>
      <c r="AI541" s="2465"/>
      <c r="AJ541" s="2465"/>
      <c r="AK541" s="2465"/>
      <c r="AL541" s="2466"/>
      <c r="AM541" s="595"/>
      <c r="AN541" s="597"/>
    </row>
    <row r="542" spans="1:81" s="550" customFormat="1" ht="12.75" customHeight="1">
      <c r="A542" s="539"/>
      <c r="B542" s="539"/>
      <c r="C542" s="551"/>
      <c r="D542" s="551"/>
      <c r="E542" s="551"/>
      <c r="F542" s="2467"/>
      <c r="G542" s="2468"/>
      <c r="H542" s="2468"/>
      <c r="I542" s="2468"/>
      <c r="J542" s="2468"/>
      <c r="K542" s="2468"/>
      <c r="L542" s="2468"/>
      <c r="M542" s="2468"/>
      <c r="N542" s="2468"/>
      <c r="O542" s="2468"/>
      <c r="P542" s="2468"/>
      <c r="Q542" s="2468"/>
      <c r="R542" s="2468"/>
      <c r="S542" s="2468"/>
      <c r="T542" s="2468"/>
      <c r="U542" s="2468"/>
      <c r="V542" s="2468"/>
      <c r="W542" s="2468"/>
      <c r="X542" s="2468"/>
      <c r="Y542" s="2468"/>
      <c r="Z542" s="2468"/>
      <c r="AA542" s="2468"/>
      <c r="AB542" s="2468"/>
      <c r="AC542" s="2468"/>
      <c r="AD542" s="2468"/>
      <c r="AE542" s="2468"/>
      <c r="AF542" s="2468"/>
      <c r="AG542" s="2468"/>
      <c r="AH542" s="2468"/>
      <c r="AI542" s="2468"/>
      <c r="AJ542" s="2468"/>
      <c r="AK542" s="2468"/>
      <c r="AL542" s="2469"/>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2" t="s">
        <v>592</v>
      </c>
      <c r="D544" s="2442"/>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0" t="s">
        <v>1564</v>
      </c>
      <c r="G545" s="2421"/>
      <c r="H545" s="2421"/>
      <c r="I545" s="2421"/>
      <c r="J545" s="2421"/>
      <c r="K545" s="2421"/>
      <c r="L545" s="2421"/>
      <c r="M545" s="2421"/>
      <c r="N545" s="2421"/>
      <c r="O545" s="2421"/>
      <c r="P545" s="2421"/>
      <c r="Q545" s="2421"/>
      <c r="R545" s="2421"/>
      <c r="S545" s="2421"/>
      <c r="T545" s="2421"/>
      <c r="U545" s="2421"/>
      <c r="V545" s="2421"/>
      <c r="W545" s="2421"/>
      <c r="X545" s="2421"/>
      <c r="Y545" s="2421"/>
      <c r="Z545" s="2421"/>
      <c r="AA545" s="2421"/>
      <c r="AB545" s="2421"/>
      <c r="AC545" s="2421"/>
      <c r="AD545" s="2421"/>
      <c r="AE545" s="2421"/>
      <c r="AF545" s="2421"/>
      <c r="AG545" s="2421"/>
      <c r="AH545" s="2421"/>
      <c r="AI545" s="2421"/>
      <c r="AJ545" s="2421"/>
      <c r="AK545" s="2421"/>
      <c r="AL545" s="2422"/>
      <c r="AM545" s="595"/>
      <c r="AN545" s="597"/>
      <c r="AS545" s="870"/>
      <c r="AT545" s="870"/>
      <c r="AU545" s="870"/>
      <c r="AV545" s="870"/>
      <c r="AW545" s="870"/>
    </row>
    <row r="546" spans="1:49" s="550" customFormat="1" ht="12.75" customHeight="1">
      <c r="B546" s="806"/>
      <c r="C546" s="806"/>
      <c r="D546" s="806"/>
      <c r="E546" s="806"/>
      <c r="F546" s="2420"/>
      <c r="G546" s="2421"/>
      <c r="H546" s="2421"/>
      <c r="I546" s="2421"/>
      <c r="J546" s="2421"/>
      <c r="K546" s="2421"/>
      <c r="L546" s="2421"/>
      <c r="M546" s="2421"/>
      <c r="N546" s="2421"/>
      <c r="O546" s="2421"/>
      <c r="P546" s="2421"/>
      <c r="Q546" s="2421"/>
      <c r="R546" s="2421"/>
      <c r="S546" s="2421"/>
      <c r="T546" s="2421"/>
      <c r="U546" s="2421"/>
      <c r="V546" s="2421"/>
      <c r="W546" s="2421"/>
      <c r="X546" s="2421"/>
      <c r="Y546" s="2421"/>
      <c r="Z546" s="2421"/>
      <c r="AA546" s="2421"/>
      <c r="AB546" s="2421"/>
      <c r="AC546" s="2421"/>
      <c r="AD546" s="2421"/>
      <c r="AE546" s="2421"/>
      <c r="AF546" s="2421"/>
      <c r="AG546" s="2421"/>
      <c r="AH546" s="2421"/>
      <c r="AI546" s="2421"/>
      <c r="AJ546" s="2421"/>
      <c r="AK546" s="2421"/>
      <c r="AL546" s="2422"/>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0" t="s">
        <v>1565</v>
      </c>
      <c r="G548" s="2421"/>
      <c r="H548" s="2421"/>
      <c r="I548" s="2421"/>
      <c r="J548" s="2421"/>
      <c r="K548" s="2421"/>
      <c r="L548" s="2421"/>
      <c r="M548" s="2421"/>
      <c r="N548" s="2421"/>
      <c r="O548" s="2421"/>
      <c r="P548" s="2421"/>
      <c r="Q548" s="2421"/>
      <c r="R548" s="2421"/>
      <c r="S548" s="2421"/>
      <c r="T548" s="2421"/>
      <c r="U548" s="2421"/>
      <c r="V548" s="2421"/>
      <c r="W548" s="2421"/>
      <c r="X548" s="2421"/>
      <c r="Y548" s="2421"/>
      <c r="Z548" s="2421"/>
      <c r="AA548" s="2421"/>
      <c r="AB548" s="2421"/>
      <c r="AC548" s="2421"/>
      <c r="AD548" s="2421"/>
      <c r="AE548" s="2421"/>
      <c r="AF548" s="2421"/>
      <c r="AG548" s="2421"/>
      <c r="AH548" s="2421"/>
      <c r="AI548" s="2421"/>
      <c r="AJ548" s="2421"/>
      <c r="AK548" s="2421"/>
      <c r="AL548" s="813"/>
      <c r="AM548" s="595"/>
      <c r="AN548" s="597"/>
    </row>
    <row r="549" spans="1:49" s="550" customFormat="1" ht="12.75" customHeight="1">
      <c r="B549" s="806"/>
      <c r="C549" s="806"/>
      <c r="D549" s="806"/>
      <c r="E549" s="806"/>
      <c r="F549" s="2423"/>
      <c r="G549" s="2424"/>
      <c r="H549" s="2424"/>
      <c r="I549" s="2424"/>
      <c r="J549" s="2424"/>
      <c r="K549" s="2424"/>
      <c r="L549" s="2424"/>
      <c r="M549" s="2424"/>
      <c r="N549" s="2424"/>
      <c r="O549" s="2424"/>
      <c r="P549" s="2424"/>
      <c r="Q549" s="2424"/>
      <c r="R549" s="2424"/>
      <c r="S549" s="2424"/>
      <c r="T549" s="2424"/>
      <c r="U549" s="2424"/>
      <c r="V549" s="2424"/>
      <c r="W549" s="2424"/>
      <c r="X549" s="2424"/>
      <c r="Y549" s="2424"/>
      <c r="Z549" s="2424"/>
      <c r="AA549" s="2424"/>
      <c r="AB549" s="2424"/>
      <c r="AC549" s="2424"/>
      <c r="AD549" s="2424"/>
      <c r="AE549" s="2424"/>
      <c r="AF549" s="2424"/>
      <c r="AG549" s="2424"/>
      <c r="AH549" s="2424"/>
      <c r="AI549" s="2424"/>
      <c r="AJ549" s="2424"/>
      <c r="AK549" s="2424"/>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19">
        <f>Application!AJ992</f>
        <v>57722220</v>
      </c>
      <c r="AQ550" s="2419"/>
      <c r="AR550" s="2419"/>
      <c r="AS550" s="550" t="s">
        <v>2170</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5">
        <f>'Sources and Uses Budget'!S107+'Sources and Uses Budget'!T107</f>
        <v>71002344</v>
      </c>
      <c r="AG551" s="2425"/>
      <c r="AH551" s="2425"/>
      <c r="AI551" s="2425"/>
      <c r="AJ551" s="2425"/>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6">
        <f>IFERROR(AP559,0)</f>
        <v>126988884</v>
      </c>
      <c r="AG552" s="2426"/>
      <c r="AH552" s="2426"/>
      <c r="AI552" s="2426"/>
      <c r="AJ552" s="2426"/>
      <c r="AK552" s="595"/>
      <c r="AL552" s="595"/>
      <c r="AM552" s="595"/>
      <c r="AN552" s="597"/>
      <c r="AP552" s="2419">
        <f>Application!AJ1045</f>
        <v>11544444</v>
      </c>
      <c r="AQ552" s="2419"/>
      <c r="AR552" s="2419"/>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7">
        <f>IFERROR(ROUNDDOWN(IF(C544="YES",((1-(AF551/AF552))*2),(1-(AF551/AF552))),2),0)</f>
        <v>0.44</v>
      </c>
      <c r="AG553" s="2427"/>
      <c r="AH553" s="2427"/>
      <c r="AI553" s="2427"/>
      <c r="AJ553" s="2427"/>
      <c r="AK553" s="595"/>
      <c r="AL553" s="595"/>
      <c r="AM553" s="595"/>
      <c r="AN553" s="597"/>
      <c r="AP553" s="2415">
        <f>Application!AJ1049</f>
        <v>34633332</v>
      </c>
      <c r="AQ553" s="2415"/>
      <c r="AR553" s="2415"/>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4">
        <f>IF(((AP552+AP553)/AP550)&gt;0.8,0.8,((AP552+AP553)/AP550))</f>
        <v>0.8</v>
      </c>
      <c r="AQ554" s="2434"/>
      <c r="AR554" s="2434"/>
      <c r="AS554" s="550" t="s">
        <v>2172</v>
      </c>
    </row>
    <row r="555" spans="1:49" s="550" customFormat="1" ht="12.75" customHeight="1">
      <c r="A555" s="624"/>
      <c r="B555" s="2501" t="s">
        <v>2032</v>
      </c>
      <c r="C555" s="2502"/>
      <c r="D555" s="2502"/>
      <c r="E555" s="2502"/>
      <c r="F555" s="2502"/>
      <c r="G555" s="2502"/>
      <c r="H555" s="2502"/>
      <c r="I555" s="2502"/>
      <c r="J555" s="2502"/>
      <c r="K555" s="2502"/>
      <c r="L555" s="2502"/>
      <c r="M555" s="2502"/>
      <c r="N555" s="2502"/>
      <c r="O555" s="2502"/>
      <c r="P555" s="2502"/>
      <c r="Q555" s="2502"/>
      <c r="R555" s="2502"/>
      <c r="S555" s="2502"/>
      <c r="T555" s="2502"/>
      <c r="U555" s="2502"/>
      <c r="V555" s="2502"/>
      <c r="W555" s="2502"/>
      <c r="X555" s="2502"/>
      <c r="Y555" s="2502"/>
      <c r="Z555" s="2502"/>
      <c r="AA555" s="2502"/>
      <c r="AB555" s="2502"/>
      <c r="AC555" s="2502"/>
      <c r="AD555" s="2502"/>
      <c r="AE555" s="2502"/>
      <c r="AF555" s="2502"/>
      <c r="AG555" s="2502"/>
      <c r="AH555" s="2502"/>
      <c r="AI555" s="2502"/>
      <c r="AJ555" s="2503"/>
      <c r="AK555" s="595"/>
      <c r="AL555" s="595"/>
      <c r="AM555" s="595"/>
      <c r="AN555" s="597"/>
    </row>
    <row r="556" spans="1:49" s="550" customFormat="1" ht="12.75" customHeight="1">
      <c r="A556" s="624"/>
      <c r="B556" s="2504"/>
      <c r="C556" s="2505"/>
      <c r="D556" s="2505"/>
      <c r="E556" s="2505"/>
      <c r="F556" s="2505"/>
      <c r="G556" s="2505"/>
      <c r="H556" s="2505"/>
      <c r="I556" s="2505"/>
      <c r="J556" s="2505"/>
      <c r="K556" s="2505"/>
      <c r="L556" s="2505"/>
      <c r="M556" s="2505"/>
      <c r="N556" s="2505"/>
      <c r="O556" s="2505"/>
      <c r="P556" s="2505"/>
      <c r="Q556" s="2505"/>
      <c r="R556" s="2505"/>
      <c r="S556" s="2505"/>
      <c r="T556" s="2505"/>
      <c r="U556" s="2505"/>
      <c r="V556" s="2505"/>
      <c r="W556" s="2505"/>
      <c r="X556" s="2505"/>
      <c r="Y556" s="2505"/>
      <c r="Z556" s="2505"/>
      <c r="AA556" s="2505"/>
      <c r="AB556" s="2505"/>
      <c r="AC556" s="2505"/>
      <c r="AD556" s="2505"/>
      <c r="AE556" s="2505"/>
      <c r="AF556" s="2505"/>
      <c r="AG556" s="2505"/>
      <c r="AH556" s="2505"/>
      <c r="AI556" s="2505"/>
      <c r="AJ556" s="2506"/>
      <c r="AK556" s="595"/>
      <c r="AL556" s="595"/>
      <c r="AM556" s="595"/>
      <c r="AN556" s="597"/>
      <c r="AP556" s="2419">
        <f>AP557-AP552-AP553</f>
        <v>80811108</v>
      </c>
      <c r="AQ556" s="2435"/>
      <c r="AR556" s="2435"/>
      <c r="AS556" s="550" t="s">
        <v>2174</v>
      </c>
    </row>
    <row r="557" spans="1:49" s="550" customFormat="1" ht="12.75" customHeight="1">
      <c r="A557" s="624"/>
      <c r="B557" s="2507"/>
      <c r="C557" s="2508"/>
      <c r="D557" s="2508"/>
      <c r="E557" s="2508"/>
      <c r="F557" s="2508"/>
      <c r="G557" s="2508"/>
      <c r="H557" s="2508"/>
      <c r="I557" s="2508"/>
      <c r="J557" s="2508"/>
      <c r="K557" s="2508"/>
      <c r="L557" s="2508"/>
      <c r="M557" s="2508"/>
      <c r="N557" s="2508"/>
      <c r="O557" s="2508"/>
      <c r="P557" s="2508"/>
      <c r="Q557" s="2508"/>
      <c r="R557" s="2508"/>
      <c r="S557" s="2508"/>
      <c r="T557" s="2508"/>
      <c r="U557" s="2508"/>
      <c r="V557" s="2508"/>
      <c r="W557" s="2508"/>
      <c r="X557" s="2508"/>
      <c r="Y557" s="2508"/>
      <c r="Z557" s="2508"/>
      <c r="AA557" s="2508"/>
      <c r="AB557" s="2508"/>
      <c r="AC557" s="2508"/>
      <c r="AD557" s="2508"/>
      <c r="AE557" s="2508"/>
      <c r="AF557" s="2508"/>
      <c r="AG557" s="2508"/>
      <c r="AH557" s="2508"/>
      <c r="AI557" s="2508"/>
      <c r="AJ557" s="2509"/>
      <c r="AK557" s="595"/>
      <c r="AL557" s="595"/>
      <c r="AM557" s="595"/>
      <c r="AN557" s="597"/>
      <c r="AP557" s="2419">
        <f>Application!AJ1053</f>
        <v>126988884</v>
      </c>
      <c r="AQ557" s="2419"/>
      <c r="AR557" s="2419"/>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10">
        <f>IFERROR(IF(AND(C541="N/A",C544="N/A"),0,IF(AF553=0,0,IF((AF553*100)&gt;12,12,(AF553*100)))),0)</f>
        <v>12</v>
      </c>
      <c r="AL559" s="2510"/>
      <c r="AM559" s="2511"/>
      <c r="AN559" s="597"/>
      <c r="AP559" s="2404">
        <f>AP556+(AP550*AP554)</f>
        <v>126988884</v>
      </c>
      <c r="AQ559" s="2405"/>
      <c r="AR559" s="2406"/>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1" t="s">
        <v>1315</v>
      </c>
      <c r="AF562" s="2461"/>
      <c r="AG562" s="2461"/>
      <c r="AH562" s="2461"/>
      <c r="AI562" s="2461"/>
      <c r="AJ562" s="2461"/>
      <c r="AK562" s="2461"/>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1" t="s">
        <v>2023</v>
      </c>
      <c r="C564" s="2421"/>
      <c r="D564" s="2421"/>
      <c r="E564" s="2421"/>
      <c r="F564" s="2421"/>
      <c r="G564" s="2421"/>
      <c r="H564" s="2421"/>
      <c r="I564" s="2421"/>
      <c r="J564" s="2421"/>
      <c r="K564" s="2421"/>
      <c r="L564" s="2421"/>
      <c r="M564" s="2421"/>
      <c r="N564" s="2421"/>
      <c r="O564" s="2421"/>
      <c r="P564" s="2421"/>
      <c r="Q564" s="2421"/>
      <c r="R564" s="2421"/>
      <c r="S564" s="2421"/>
      <c r="T564" s="2421"/>
      <c r="U564" s="2421"/>
      <c r="V564" s="2421"/>
      <c r="W564" s="2421"/>
      <c r="X564" s="2421"/>
      <c r="Y564" s="2421"/>
      <c r="Z564" s="2421"/>
      <c r="AA564" s="2421"/>
      <c r="AB564" s="2421"/>
      <c r="AC564" s="2421"/>
      <c r="AD564" s="2421"/>
      <c r="AE564" s="2421"/>
      <c r="AF564" s="2421"/>
      <c r="AG564" s="2421"/>
      <c r="AH564" s="2421"/>
      <c r="AI564" s="2421"/>
      <c r="AJ564" s="2421"/>
      <c r="AK564" s="642"/>
      <c r="AL564" s="573"/>
      <c r="AM564" s="603"/>
      <c r="AN564" s="597"/>
    </row>
    <row r="565" spans="1:42" s="550" customFormat="1" ht="12.75" customHeight="1">
      <c r="A565" s="603"/>
      <c r="B565" s="2421"/>
      <c r="C565" s="2421"/>
      <c r="D565" s="2421"/>
      <c r="E565" s="2421"/>
      <c r="F565" s="2421"/>
      <c r="G565" s="2421"/>
      <c r="H565" s="2421"/>
      <c r="I565" s="2421"/>
      <c r="J565" s="2421"/>
      <c r="K565" s="2421"/>
      <c r="L565" s="2421"/>
      <c r="M565" s="2421"/>
      <c r="N565" s="2421"/>
      <c r="O565" s="2421"/>
      <c r="P565" s="2421"/>
      <c r="Q565" s="2421"/>
      <c r="R565" s="2421"/>
      <c r="S565" s="2421"/>
      <c r="T565" s="2421"/>
      <c r="U565" s="2421"/>
      <c r="V565" s="2421"/>
      <c r="W565" s="2421"/>
      <c r="X565" s="2421"/>
      <c r="Y565" s="2421"/>
      <c r="Z565" s="2421"/>
      <c r="AA565" s="2421"/>
      <c r="AB565" s="2421"/>
      <c r="AC565" s="2421"/>
      <c r="AD565" s="2421"/>
      <c r="AE565" s="2421"/>
      <c r="AF565" s="2421"/>
      <c r="AG565" s="2421"/>
      <c r="AH565" s="2421"/>
      <c r="AI565" s="2421"/>
      <c r="AJ565" s="2421"/>
      <c r="AK565" s="642"/>
      <c r="AL565" s="573"/>
      <c r="AM565" s="603"/>
      <c r="AN565" s="597"/>
    </row>
    <row r="566" spans="1:42" s="550" customFormat="1" ht="12.75" customHeight="1">
      <c r="A566" s="603"/>
      <c r="B566" s="2421"/>
      <c r="C566" s="2421"/>
      <c r="D566" s="2421"/>
      <c r="E566" s="2421"/>
      <c r="F566" s="2421"/>
      <c r="G566" s="2421"/>
      <c r="H566" s="2421"/>
      <c r="I566" s="2421"/>
      <c r="J566" s="2421"/>
      <c r="K566" s="2421"/>
      <c r="L566" s="2421"/>
      <c r="M566" s="2421"/>
      <c r="N566" s="2421"/>
      <c r="O566" s="2421"/>
      <c r="P566" s="2421"/>
      <c r="Q566" s="2421"/>
      <c r="R566" s="2421"/>
      <c r="S566" s="2421"/>
      <c r="T566" s="2421"/>
      <c r="U566" s="2421"/>
      <c r="V566" s="2421"/>
      <c r="W566" s="2421"/>
      <c r="X566" s="2421"/>
      <c r="Y566" s="2421"/>
      <c r="Z566" s="2421"/>
      <c r="AA566" s="2421"/>
      <c r="AB566" s="2421"/>
      <c r="AC566" s="2421"/>
      <c r="AD566" s="2421"/>
      <c r="AE566" s="2421"/>
      <c r="AF566" s="2421"/>
      <c r="AG566" s="2421"/>
      <c r="AH566" s="2421"/>
      <c r="AI566" s="2421"/>
      <c r="AJ566" s="2421"/>
      <c r="AK566" s="642"/>
      <c r="AL566" s="573"/>
      <c r="AM566" s="603"/>
      <c r="AN566" s="597"/>
    </row>
    <row r="567" spans="1:42" s="550" customFormat="1" ht="12.75" customHeight="1">
      <c r="A567" s="603"/>
      <c r="B567" s="2421"/>
      <c r="C567" s="2421"/>
      <c r="D567" s="2421"/>
      <c r="E567" s="2421"/>
      <c r="F567" s="2421"/>
      <c r="G567" s="2421"/>
      <c r="H567" s="2421"/>
      <c r="I567" s="2421"/>
      <c r="J567" s="2421"/>
      <c r="K567" s="2421"/>
      <c r="L567" s="2421"/>
      <c r="M567" s="2421"/>
      <c r="N567" s="2421"/>
      <c r="O567" s="2421"/>
      <c r="P567" s="2421"/>
      <c r="Q567" s="2421"/>
      <c r="R567" s="2421"/>
      <c r="S567" s="2421"/>
      <c r="T567" s="2421"/>
      <c r="U567" s="2421"/>
      <c r="V567" s="2421"/>
      <c r="W567" s="2421"/>
      <c r="X567" s="2421"/>
      <c r="Y567" s="2421"/>
      <c r="Z567" s="2421"/>
      <c r="AA567" s="2421"/>
      <c r="AB567" s="2421"/>
      <c r="AC567" s="2421"/>
      <c r="AD567" s="2421"/>
      <c r="AE567" s="2421"/>
      <c r="AF567" s="2421"/>
      <c r="AG567" s="2421"/>
      <c r="AH567" s="2421"/>
      <c r="AI567" s="2421"/>
      <c r="AJ567" s="2421"/>
      <c r="AK567" s="642"/>
      <c r="AL567" s="573"/>
      <c r="AM567" s="603"/>
      <c r="AN567" s="597"/>
    </row>
    <row r="568" spans="1:42" s="550" customFormat="1" ht="12.75" customHeight="1">
      <c r="A568" s="603"/>
      <c r="B568" s="2421"/>
      <c r="C568" s="2421"/>
      <c r="D568" s="2421"/>
      <c r="E568" s="2421"/>
      <c r="F568" s="2421"/>
      <c r="G568" s="2421"/>
      <c r="H568" s="2421"/>
      <c r="I568" s="2421"/>
      <c r="J568" s="2421"/>
      <c r="K568" s="2421"/>
      <c r="L568" s="2421"/>
      <c r="M568" s="2421"/>
      <c r="N568" s="2421"/>
      <c r="O568" s="2421"/>
      <c r="P568" s="2421"/>
      <c r="Q568" s="2421"/>
      <c r="R568" s="2421"/>
      <c r="S568" s="2421"/>
      <c r="T568" s="2421"/>
      <c r="U568" s="2421"/>
      <c r="V568" s="2421"/>
      <c r="W568" s="2421"/>
      <c r="X568" s="2421"/>
      <c r="Y568" s="2421"/>
      <c r="Z568" s="2421"/>
      <c r="AA568" s="2421"/>
      <c r="AB568" s="2421"/>
      <c r="AC568" s="2421"/>
      <c r="AD568" s="2421"/>
      <c r="AE568" s="2421"/>
      <c r="AF568" s="2421"/>
      <c r="AG568" s="2421"/>
      <c r="AH568" s="2421"/>
      <c r="AI568" s="2421"/>
      <c r="AJ568" s="2421"/>
      <c r="AK568" s="642"/>
      <c r="AL568" s="573"/>
      <c r="AM568" s="603"/>
      <c r="AN568" s="597"/>
    </row>
    <row r="569" spans="1:42" s="550" customFormat="1" ht="12.75" customHeight="1">
      <c r="A569" s="603"/>
      <c r="B569" s="2421"/>
      <c r="C569" s="2421"/>
      <c r="D569" s="2421"/>
      <c r="E569" s="2421"/>
      <c r="F569" s="2421"/>
      <c r="G569" s="2421"/>
      <c r="H569" s="2421"/>
      <c r="I569" s="2421"/>
      <c r="J569" s="2421"/>
      <c r="K569" s="2421"/>
      <c r="L569" s="2421"/>
      <c r="M569" s="2421"/>
      <c r="N569" s="2421"/>
      <c r="O569" s="2421"/>
      <c r="P569" s="2421"/>
      <c r="Q569" s="2421"/>
      <c r="R569" s="2421"/>
      <c r="S569" s="2421"/>
      <c r="T569" s="2421"/>
      <c r="U569" s="2421"/>
      <c r="V569" s="2421"/>
      <c r="W569" s="2421"/>
      <c r="X569" s="2421"/>
      <c r="Y569" s="2421"/>
      <c r="Z569" s="2421"/>
      <c r="AA569" s="2421"/>
      <c r="AB569" s="2421"/>
      <c r="AC569" s="2421"/>
      <c r="AD569" s="2421"/>
      <c r="AE569" s="2421"/>
      <c r="AF569" s="2421"/>
      <c r="AG569" s="2421"/>
      <c r="AH569" s="2421"/>
      <c r="AI569" s="2421"/>
      <c r="AJ569" s="2421"/>
      <c r="AK569" s="642"/>
      <c r="AL569" s="573"/>
      <c r="AM569" s="603"/>
      <c r="AN569" s="597"/>
    </row>
    <row r="570" spans="1:42" s="550" customFormat="1" ht="12.75" customHeight="1">
      <c r="A570" s="603"/>
      <c r="B570" s="2421"/>
      <c r="C570" s="2421"/>
      <c r="D570" s="2421"/>
      <c r="E570" s="2421"/>
      <c r="F570" s="2421"/>
      <c r="G570" s="2421"/>
      <c r="H570" s="2421"/>
      <c r="I570" s="2421"/>
      <c r="J570" s="2421"/>
      <c r="K570" s="2421"/>
      <c r="L570" s="2421"/>
      <c r="M570" s="2421"/>
      <c r="N570" s="2421"/>
      <c r="O570" s="2421"/>
      <c r="P570" s="2421"/>
      <c r="Q570" s="2421"/>
      <c r="R570" s="2421"/>
      <c r="S570" s="2421"/>
      <c r="T570" s="2421"/>
      <c r="U570" s="2421"/>
      <c r="V570" s="2421"/>
      <c r="W570" s="2421"/>
      <c r="X570" s="2421"/>
      <c r="Y570" s="2421"/>
      <c r="Z570" s="2421"/>
      <c r="AA570" s="2421"/>
      <c r="AB570" s="2421"/>
      <c r="AC570" s="2421"/>
      <c r="AD570" s="2421"/>
      <c r="AE570" s="2421"/>
      <c r="AF570" s="2421"/>
      <c r="AG570" s="2421"/>
      <c r="AH570" s="2421"/>
      <c r="AI570" s="2421"/>
      <c r="AJ570" s="2421"/>
      <c r="AK570" s="642"/>
      <c r="AL570" s="573"/>
      <c r="AM570" s="603"/>
      <c r="AN570" s="597"/>
    </row>
    <row r="571" spans="1:42" ht="12.75" customHeight="1">
      <c r="A571" s="603"/>
      <c r="B571" s="2421"/>
      <c r="C571" s="2421"/>
      <c r="D571" s="2421"/>
      <c r="E571" s="2421"/>
      <c r="F571" s="2421"/>
      <c r="G571" s="2421"/>
      <c r="H571" s="2421"/>
      <c r="I571" s="2421"/>
      <c r="J571" s="2421"/>
      <c r="K571" s="2421"/>
      <c r="L571" s="2421"/>
      <c r="M571" s="2421"/>
      <c r="N571" s="2421"/>
      <c r="O571" s="2421"/>
      <c r="P571" s="2421"/>
      <c r="Q571" s="2421"/>
      <c r="R571" s="2421"/>
      <c r="S571" s="2421"/>
      <c r="T571" s="2421"/>
      <c r="U571" s="2421"/>
      <c r="V571" s="2421"/>
      <c r="W571" s="2421"/>
      <c r="X571" s="2421"/>
      <c r="Y571" s="2421"/>
      <c r="Z571" s="2421"/>
      <c r="AA571" s="2421"/>
      <c r="AB571" s="2421"/>
      <c r="AC571" s="2421"/>
      <c r="AD571" s="2421"/>
      <c r="AE571" s="2421"/>
      <c r="AF571" s="2421"/>
      <c r="AG571" s="2421"/>
      <c r="AH571" s="2421"/>
      <c r="AI571" s="2421"/>
      <c r="AJ571" s="2421"/>
      <c r="AK571" s="642"/>
      <c r="AL571" s="573"/>
      <c r="AM571" s="603"/>
    </row>
    <row r="572" spans="1:42" s="550" customFormat="1" ht="12.75" customHeight="1">
      <c r="B572" s="2421"/>
      <c r="C572" s="2421"/>
      <c r="D572" s="2421"/>
      <c r="E572" s="2421"/>
      <c r="F572" s="2421"/>
      <c r="G572" s="2421"/>
      <c r="H572" s="2421"/>
      <c r="I572" s="2421"/>
      <c r="J572" s="2421"/>
      <c r="K572" s="2421"/>
      <c r="L572" s="2421"/>
      <c r="M572" s="2421"/>
      <c r="N572" s="2421"/>
      <c r="O572" s="2421"/>
      <c r="P572" s="2421"/>
      <c r="Q572" s="2421"/>
      <c r="R572" s="2421"/>
      <c r="S572" s="2421"/>
      <c r="T572" s="2421"/>
      <c r="U572" s="2421"/>
      <c r="V572" s="2421"/>
      <c r="W572" s="2421"/>
      <c r="X572" s="2421"/>
      <c r="Y572" s="2421"/>
      <c r="Z572" s="2421"/>
      <c r="AA572" s="2421"/>
      <c r="AB572" s="2421"/>
      <c r="AC572" s="2421"/>
      <c r="AD572" s="2421"/>
      <c r="AE572" s="2421"/>
      <c r="AF572" s="2421"/>
      <c r="AG572" s="2421"/>
      <c r="AH572" s="2421"/>
      <c r="AI572" s="2421"/>
      <c r="AJ572" s="2421"/>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1" t="s">
        <v>1339</v>
      </c>
      <c r="AG578" s="2521"/>
      <c r="AH578" s="2521"/>
      <c r="AI578" s="2521"/>
      <c r="AJ578" s="2521"/>
      <c r="AK578" s="2521"/>
      <c r="AL578" s="2521"/>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1" t="s">
        <v>1397</v>
      </c>
      <c r="AG585" s="2521"/>
      <c r="AH585" s="2521"/>
      <c r="AI585" s="2521"/>
      <c r="AJ585" s="2521"/>
      <c r="AK585" s="2521"/>
      <c r="AL585" s="2521"/>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1" t="s">
        <v>1379</v>
      </c>
      <c r="AG591" s="2521"/>
      <c r="AH591" s="2521"/>
      <c r="AI591" s="2521"/>
      <c r="AJ591" s="2521"/>
      <c r="AK591" s="2521"/>
      <c r="AL591" s="2521"/>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1" t="s">
        <v>1400</v>
      </c>
      <c r="AG597" s="2521"/>
      <c r="AH597" s="2521"/>
      <c r="AI597" s="2521"/>
      <c r="AJ597" s="2521"/>
      <c r="AK597" s="2521"/>
      <c r="AL597" s="2521"/>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37" t="s">
        <v>1185</v>
      </c>
      <c r="P601" s="2537"/>
      <c r="Q601" s="2537"/>
      <c r="R601" s="2537"/>
      <c r="S601" s="2537"/>
      <c r="T601" s="2537"/>
      <c r="U601" s="2537"/>
      <c r="V601" s="2537"/>
      <c r="W601" s="2537"/>
      <c r="X601" s="2537"/>
      <c r="Y601" s="2537"/>
      <c r="Z601" s="2537"/>
      <c r="AA601" s="2537"/>
      <c r="AB601" s="2537"/>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1" t="s">
        <v>1353</v>
      </c>
      <c r="AG603" s="2521"/>
      <c r="AH603" s="2521"/>
      <c r="AI603" s="2521"/>
      <c r="AJ603" s="2521"/>
      <c r="AK603" s="2521"/>
      <c r="AL603" s="2521"/>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445" t="s">
        <v>688</v>
      </c>
      <c r="I606" s="2445"/>
      <c r="J606" s="936"/>
      <c r="K606" s="936"/>
      <c r="L606" s="936"/>
      <c r="N606" s="22"/>
      <c r="O606" s="22"/>
      <c r="P606" s="22"/>
      <c r="Q606" s="1151" t="s">
        <v>2177</v>
      </c>
      <c r="R606" s="2538"/>
      <c r="S606" s="2538"/>
      <c r="T606" s="2538"/>
      <c r="U606" s="2538"/>
      <c r="V606" s="2538"/>
      <c r="W606" s="2538"/>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9" t="str">
        <f>IF(AND(H606="(i)",NOT(AP582)),AO599,IF(AND(H606="(iv)",OR(R606=AO595,R606=AO594),NOT(AP583)),AO600,""))</f>
        <v/>
      </c>
      <c r="Z607" s="2539"/>
      <c r="AA607" s="2539"/>
      <c r="AB607" s="2539"/>
      <c r="AC607" s="2539"/>
      <c r="AD607" s="2539"/>
      <c r="AE607" s="2539"/>
      <c r="AF607" s="2539"/>
      <c r="AG607" s="2539"/>
      <c r="AH607" s="2539"/>
      <c r="AI607" s="2539"/>
      <c r="AJ607" s="2539"/>
      <c r="AK607" s="2539"/>
      <c r="AL607" s="2539"/>
      <c r="AM607" s="2540"/>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9"/>
      <c r="Z608" s="2539"/>
      <c r="AA608" s="2539"/>
      <c r="AB608" s="2539"/>
      <c r="AC608" s="2539"/>
      <c r="AD608" s="2539"/>
      <c r="AE608" s="2539"/>
      <c r="AF608" s="2539"/>
      <c r="AG608" s="2539"/>
      <c r="AH608" s="2539"/>
      <c r="AI608" s="2539"/>
      <c r="AJ608" s="2539"/>
      <c r="AK608" s="2539"/>
      <c r="AL608" s="2539"/>
      <c r="AM608" s="2540"/>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36" t="s">
        <v>592</v>
      </c>
      <c r="J614" s="2536"/>
      <c r="K614" s="2536"/>
      <c r="L614" s="2536"/>
      <c r="M614" s="2536"/>
      <c r="N614" s="2536"/>
      <c r="O614" s="2536"/>
      <c r="P614" s="2536"/>
      <c r="Q614" s="2536"/>
      <c r="R614" s="2536"/>
      <c r="S614" s="2536"/>
      <c r="T614" s="2536"/>
      <c r="U614" s="2536"/>
      <c r="V614" s="2536"/>
      <c r="W614" s="2536"/>
      <c r="X614" s="2536"/>
      <c r="Y614" s="2536"/>
      <c r="Z614" s="2536"/>
      <c r="AA614" s="2536"/>
      <c r="AB614" s="2536"/>
      <c r="AC614" s="2536"/>
      <c r="AD614" s="2536"/>
      <c r="AE614" s="2536"/>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393" t="s">
        <v>592</v>
      </c>
      <c r="C616" s="2393"/>
      <c r="D616" s="642"/>
      <c r="E616" s="2421" t="s">
        <v>1404</v>
      </c>
      <c r="F616" s="2421"/>
      <c r="G616" s="2421"/>
      <c r="H616" s="2421"/>
      <c r="I616" s="2421"/>
      <c r="J616" s="2421"/>
      <c r="K616" s="2421"/>
      <c r="L616" s="2421"/>
      <c r="M616" s="2421"/>
      <c r="N616" s="2421"/>
      <c r="O616" s="2421"/>
      <c r="P616" s="2421"/>
      <c r="Q616" s="2421"/>
      <c r="R616" s="2421"/>
      <c r="S616" s="2421"/>
      <c r="T616" s="2421"/>
      <c r="U616" s="2421"/>
      <c r="V616" s="2421"/>
      <c r="W616" s="2421"/>
      <c r="X616" s="2421"/>
      <c r="Y616" s="2421"/>
      <c r="Z616" s="2421"/>
      <c r="AA616" s="2421"/>
      <c r="AB616" s="2421"/>
      <c r="AC616" s="2421"/>
      <c r="AD616" s="2421"/>
      <c r="AE616" s="2421"/>
      <c r="AF616" s="2421"/>
      <c r="AG616" s="2421"/>
      <c r="AH616" s="642"/>
      <c r="AI616" s="642"/>
      <c r="AJ616" s="642"/>
      <c r="AK616" s="642"/>
      <c r="AL616" s="642"/>
      <c r="AN616" s="597"/>
    </row>
    <row r="617" spans="1:42" s="550" customFormat="1" ht="12.75" customHeight="1">
      <c r="B617" s="536"/>
      <c r="C617" s="933"/>
      <c r="D617" s="642"/>
      <c r="E617" s="2421"/>
      <c r="F617" s="2421"/>
      <c r="G617" s="2421"/>
      <c r="H617" s="2421"/>
      <c r="I617" s="2421"/>
      <c r="J617" s="2421"/>
      <c r="K617" s="2421"/>
      <c r="L617" s="2421"/>
      <c r="M617" s="2421"/>
      <c r="N617" s="2421"/>
      <c r="O617" s="2421"/>
      <c r="P617" s="2421"/>
      <c r="Q617" s="2421"/>
      <c r="R617" s="2421"/>
      <c r="S617" s="2421"/>
      <c r="T617" s="2421"/>
      <c r="U617" s="2421"/>
      <c r="V617" s="2421"/>
      <c r="W617" s="2421"/>
      <c r="X617" s="2421"/>
      <c r="Y617" s="2421"/>
      <c r="Z617" s="2421"/>
      <c r="AA617" s="2421"/>
      <c r="AB617" s="2421"/>
      <c r="AC617" s="2421"/>
      <c r="AD617" s="2421"/>
      <c r="AE617" s="2421"/>
      <c r="AF617" s="2421"/>
      <c r="AG617" s="2421"/>
      <c r="AH617" s="642"/>
      <c r="AI617" s="642"/>
      <c r="AJ617" s="642"/>
      <c r="AK617" s="642"/>
      <c r="AL617" s="642"/>
      <c r="AN617" s="597"/>
    </row>
    <row r="618" spans="1:42" s="550" customFormat="1" ht="12.75" customHeight="1">
      <c r="B618" s="536"/>
      <c r="C618" s="933"/>
      <c r="D618" s="642"/>
      <c r="E618" s="2421"/>
      <c r="F618" s="2421"/>
      <c r="G618" s="2421"/>
      <c r="H618" s="2421"/>
      <c r="I618" s="2421"/>
      <c r="J618" s="2421"/>
      <c r="K618" s="2421"/>
      <c r="L618" s="2421"/>
      <c r="M618" s="2421"/>
      <c r="N618" s="2421"/>
      <c r="O618" s="2421"/>
      <c r="P618" s="2421"/>
      <c r="Q618" s="2421"/>
      <c r="R618" s="2421"/>
      <c r="S618" s="2421"/>
      <c r="T618" s="2421"/>
      <c r="U618" s="2421"/>
      <c r="V618" s="2421"/>
      <c r="W618" s="2421"/>
      <c r="X618" s="2421"/>
      <c r="Y618" s="2421"/>
      <c r="Z618" s="2421"/>
      <c r="AA618" s="2421"/>
      <c r="AB618" s="2421"/>
      <c r="AC618" s="2421"/>
      <c r="AD618" s="2421"/>
      <c r="AE618" s="2421"/>
      <c r="AF618" s="2421"/>
      <c r="AG618" s="2421"/>
      <c r="AH618" s="642"/>
      <c r="AI618" s="642"/>
      <c r="AJ618" s="642"/>
      <c r="AK618" s="642"/>
      <c r="AL618" s="642"/>
      <c r="AN618" s="597"/>
    </row>
    <row r="619" spans="1:42" s="550" customFormat="1" ht="12.75" customHeight="1">
      <c r="B619" s="536"/>
      <c r="C619" s="933"/>
      <c r="D619" s="642"/>
      <c r="E619" s="2421"/>
      <c r="F619" s="2421"/>
      <c r="G619" s="2421"/>
      <c r="H619" s="2421"/>
      <c r="I619" s="2421"/>
      <c r="J619" s="2421"/>
      <c r="K619" s="2421"/>
      <c r="L619" s="2421"/>
      <c r="M619" s="2421"/>
      <c r="N619" s="2421"/>
      <c r="O619" s="2421"/>
      <c r="P619" s="2421"/>
      <c r="Q619" s="2421"/>
      <c r="R619" s="2421"/>
      <c r="S619" s="2421"/>
      <c r="T619" s="2421"/>
      <c r="U619" s="2421"/>
      <c r="V619" s="2421"/>
      <c r="W619" s="2421"/>
      <c r="X619" s="2421"/>
      <c r="Y619" s="2421"/>
      <c r="Z619" s="2421"/>
      <c r="AA619" s="2421"/>
      <c r="AB619" s="2421"/>
      <c r="AC619" s="2421"/>
      <c r="AD619" s="2421"/>
      <c r="AE619" s="2421"/>
      <c r="AF619" s="2421"/>
      <c r="AG619" s="2421"/>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28">
        <f>VLOOKUP($H$606,$AO$586:$AP$591,2,FALSE)+IF(R606=AO594,0,VLOOKUP($I$614,$AO$613:$AP$615,2,FALSE))</f>
        <v>7</v>
      </c>
      <c r="AK621" s="2430"/>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35" t="s">
        <v>1695</v>
      </c>
      <c r="F625" s="2535"/>
      <c r="G625" s="2535"/>
      <c r="H625" s="2535"/>
      <c r="I625" s="2535"/>
      <c r="J625" s="2535"/>
      <c r="K625" s="2535"/>
      <c r="L625" s="2535"/>
      <c r="M625" s="2535"/>
      <c r="N625" s="2535"/>
      <c r="O625" s="2535"/>
      <c r="P625" s="2535"/>
      <c r="Q625" s="2535"/>
      <c r="R625" s="2535"/>
      <c r="S625" s="2535"/>
      <c r="T625" s="2535"/>
      <c r="U625" s="2535"/>
      <c r="V625" s="2535"/>
      <c r="W625" s="2535"/>
      <c r="X625" s="2535"/>
      <c r="Y625" s="2535"/>
      <c r="Z625" s="2535"/>
      <c r="AA625" s="2535"/>
      <c r="AB625" s="2535"/>
      <c r="AC625" s="2535"/>
      <c r="AD625" s="2535"/>
      <c r="AE625" s="539"/>
      <c r="AF625" s="2521" t="s">
        <v>1353</v>
      </c>
      <c r="AG625" s="2521"/>
      <c r="AH625" s="2521"/>
      <c r="AI625" s="2521"/>
      <c r="AJ625" s="2521"/>
      <c r="AK625" s="2521"/>
      <c r="AL625" s="2521"/>
      <c r="AM625" s="550"/>
      <c r="AN625" s="678"/>
    </row>
    <row r="626" spans="1:42" s="550" customFormat="1" ht="12.75" customHeight="1">
      <c r="A626" s="679"/>
      <c r="B626" s="536"/>
      <c r="C626" s="933"/>
      <c r="D626" s="663"/>
      <c r="E626" s="2535"/>
      <c r="F626" s="2535"/>
      <c r="G626" s="2535"/>
      <c r="H626" s="2535"/>
      <c r="I626" s="2535"/>
      <c r="J626" s="2535"/>
      <c r="K626" s="2535"/>
      <c r="L626" s="2535"/>
      <c r="M626" s="2535"/>
      <c r="N626" s="2535"/>
      <c r="O626" s="2535"/>
      <c r="P626" s="2535"/>
      <c r="Q626" s="2535"/>
      <c r="R626" s="2535"/>
      <c r="S626" s="2535"/>
      <c r="T626" s="2535"/>
      <c r="U626" s="2535"/>
      <c r="V626" s="2535"/>
      <c r="W626" s="2535"/>
      <c r="X626" s="2535"/>
      <c r="Y626" s="2535"/>
      <c r="Z626" s="2535"/>
      <c r="AA626" s="2535"/>
      <c r="AB626" s="2535"/>
      <c r="AC626" s="2535"/>
      <c r="AD626" s="2535"/>
      <c r="AE626" s="536"/>
      <c r="AF626" s="536"/>
      <c r="AG626" s="536"/>
      <c r="AH626" s="536"/>
      <c r="AI626" s="536"/>
      <c r="AJ626" s="536"/>
      <c r="AK626" s="536"/>
      <c r="AL626" s="536"/>
      <c r="AN626" s="597"/>
    </row>
    <row r="627" spans="1:42" s="550" customFormat="1" ht="12.75" customHeight="1">
      <c r="B627" s="536"/>
      <c r="C627" s="931"/>
      <c r="D627" s="663"/>
      <c r="E627" s="2535"/>
      <c r="F627" s="2535"/>
      <c r="G627" s="2535"/>
      <c r="H627" s="2535"/>
      <c r="I627" s="2535"/>
      <c r="J627" s="2535"/>
      <c r="K627" s="2535"/>
      <c r="L627" s="2535"/>
      <c r="M627" s="2535"/>
      <c r="N627" s="2535"/>
      <c r="O627" s="2535"/>
      <c r="P627" s="2535"/>
      <c r="Q627" s="2535"/>
      <c r="R627" s="2535"/>
      <c r="S627" s="2535"/>
      <c r="T627" s="2535"/>
      <c r="U627" s="2535"/>
      <c r="V627" s="2535"/>
      <c r="W627" s="2535"/>
      <c r="X627" s="2535"/>
      <c r="Y627" s="2535"/>
      <c r="Z627" s="2535"/>
      <c r="AA627" s="2535"/>
      <c r="AB627" s="2535"/>
      <c r="AC627" s="2535"/>
      <c r="AD627" s="2535"/>
      <c r="AE627" s="536"/>
      <c r="AF627" s="536"/>
      <c r="AG627" s="536"/>
      <c r="AH627" s="536"/>
      <c r="AI627" s="536"/>
      <c r="AJ627" s="536"/>
      <c r="AK627" s="536"/>
      <c r="AL627" s="536"/>
      <c r="AN627" s="597"/>
    </row>
    <row r="628" spans="1:42" s="550" customFormat="1" ht="12.75" customHeight="1">
      <c r="B628" s="536"/>
      <c r="C628" s="931"/>
      <c r="D628" s="663"/>
      <c r="E628" s="2535"/>
      <c r="F628" s="2535"/>
      <c r="G628" s="2535"/>
      <c r="H628" s="2535"/>
      <c r="I628" s="2535"/>
      <c r="J628" s="2535"/>
      <c r="K628" s="2535"/>
      <c r="L628" s="2535"/>
      <c r="M628" s="2535"/>
      <c r="N628" s="2535"/>
      <c r="O628" s="2535"/>
      <c r="P628" s="2535"/>
      <c r="Q628" s="2535"/>
      <c r="R628" s="2535"/>
      <c r="S628" s="2535"/>
      <c r="T628" s="2535"/>
      <c r="U628" s="2535"/>
      <c r="V628" s="2535"/>
      <c r="W628" s="2535"/>
      <c r="X628" s="2535"/>
      <c r="Y628" s="2535"/>
      <c r="Z628" s="2535"/>
      <c r="AA628" s="2535"/>
      <c r="AB628" s="2535"/>
      <c r="AC628" s="2535"/>
      <c r="AD628" s="2535"/>
      <c r="AE628" s="536"/>
      <c r="AF628" s="536"/>
      <c r="AG628" s="536"/>
      <c r="AH628" s="536"/>
      <c r="AI628" s="536"/>
      <c r="AJ628" s="536"/>
      <c r="AK628" s="536"/>
      <c r="AL628" s="536"/>
      <c r="AN628" s="597"/>
    </row>
    <row r="629" spans="1:42" s="550" customFormat="1" ht="12.75" customHeight="1">
      <c r="B629" s="536"/>
      <c r="C629" s="931"/>
      <c r="D629" s="663"/>
      <c r="E629" s="2535"/>
      <c r="F629" s="2535"/>
      <c r="G629" s="2535"/>
      <c r="H629" s="2535"/>
      <c r="I629" s="2535"/>
      <c r="J629" s="2535"/>
      <c r="K629" s="2535"/>
      <c r="L629" s="2535"/>
      <c r="M629" s="2535"/>
      <c r="N629" s="2535"/>
      <c r="O629" s="2535"/>
      <c r="P629" s="2535"/>
      <c r="Q629" s="2535"/>
      <c r="R629" s="2535"/>
      <c r="S629" s="2535"/>
      <c r="T629" s="2535"/>
      <c r="U629" s="2535"/>
      <c r="V629" s="2535"/>
      <c r="W629" s="2535"/>
      <c r="X629" s="2535"/>
      <c r="Y629" s="2535"/>
      <c r="Z629" s="2535"/>
      <c r="AA629" s="2535"/>
      <c r="AB629" s="2535"/>
      <c r="AC629" s="2535"/>
      <c r="AD629" s="2535"/>
      <c r="AE629" s="536"/>
      <c r="AF629" s="536"/>
      <c r="AG629" s="536"/>
      <c r="AH629" s="536"/>
      <c r="AI629" s="536"/>
      <c r="AJ629" s="536"/>
      <c r="AK629" s="536"/>
      <c r="AL629" s="536"/>
      <c r="AN629" s="597"/>
    </row>
    <row r="630" spans="1:42" s="550" customFormat="1" ht="12.75" customHeight="1">
      <c r="B630" s="536"/>
      <c r="C630" s="931"/>
      <c r="D630" s="663"/>
      <c r="E630" s="2535"/>
      <c r="F630" s="2535"/>
      <c r="G630" s="2535"/>
      <c r="H630" s="2535"/>
      <c r="I630" s="2535"/>
      <c r="J630" s="2535"/>
      <c r="K630" s="2535"/>
      <c r="L630" s="2535"/>
      <c r="M630" s="2535"/>
      <c r="N630" s="2535"/>
      <c r="O630" s="2535"/>
      <c r="P630" s="2535"/>
      <c r="Q630" s="2535"/>
      <c r="R630" s="2535"/>
      <c r="S630" s="2535"/>
      <c r="T630" s="2535"/>
      <c r="U630" s="2535"/>
      <c r="V630" s="2535"/>
      <c r="W630" s="2535"/>
      <c r="X630" s="2535"/>
      <c r="Y630" s="2535"/>
      <c r="Z630" s="2535"/>
      <c r="AA630" s="2535"/>
      <c r="AB630" s="2535"/>
      <c r="AC630" s="2535"/>
      <c r="AD630" s="2535"/>
      <c r="AE630" s="536"/>
      <c r="AF630" s="536"/>
      <c r="AG630" s="536"/>
      <c r="AH630" s="536"/>
      <c r="AI630" s="536"/>
      <c r="AJ630" s="536"/>
      <c r="AK630" s="536"/>
      <c r="AL630" s="536"/>
      <c r="AN630" s="597"/>
    </row>
    <row r="631" spans="1:42" s="550" customFormat="1" ht="12.75" customHeight="1">
      <c r="A631" s="637"/>
      <c r="B631" s="616"/>
      <c r="C631" s="940"/>
      <c r="D631" s="663"/>
      <c r="E631" s="2535"/>
      <c r="F631" s="2535"/>
      <c r="G631" s="2535"/>
      <c r="H631" s="2535"/>
      <c r="I631" s="2535"/>
      <c r="J631" s="2535"/>
      <c r="K631" s="2535"/>
      <c r="L631" s="2535"/>
      <c r="M631" s="2535"/>
      <c r="N631" s="2535"/>
      <c r="O631" s="2535"/>
      <c r="P631" s="2535"/>
      <c r="Q631" s="2535"/>
      <c r="R631" s="2535"/>
      <c r="S631" s="2535"/>
      <c r="T631" s="2535"/>
      <c r="U631" s="2535"/>
      <c r="V631" s="2535"/>
      <c r="W631" s="2535"/>
      <c r="X631" s="2535"/>
      <c r="Y631" s="2535"/>
      <c r="Z631" s="2535"/>
      <c r="AA631" s="2535"/>
      <c r="AB631" s="2535"/>
      <c r="AC631" s="2535"/>
      <c r="AD631" s="2535"/>
      <c r="AE631" s="616"/>
      <c r="AF631" s="616"/>
      <c r="AG631" s="616"/>
      <c r="AH631" s="616"/>
      <c r="AI631" s="616"/>
      <c r="AJ631" s="616"/>
      <c r="AK631" s="536"/>
      <c r="AL631" s="536"/>
      <c r="AN631" s="597"/>
    </row>
    <row r="632" spans="1:42" s="550" customFormat="1" ht="12.75" customHeight="1">
      <c r="B632" s="616"/>
      <c r="C632" s="940"/>
      <c r="D632" s="663"/>
      <c r="E632" s="2535"/>
      <c r="F632" s="2535"/>
      <c r="G632" s="2535"/>
      <c r="H632" s="2535"/>
      <c r="I632" s="2535"/>
      <c r="J632" s="2535"/>
      <c r="K632" s="2535"/>
      <c r="L632" s="2535"/>
      <c r="M632" s="2535"/>
      <c r="N632" s="2535"/>
      <c r="O632" s="2535"/>
      <c r="P632" s="2535"/>
      <c r="Q632" s="2535"/>
      <c r="R632" s="2535"/>
      <c r="S632" s="2535"/>
      <c r="T632" s="2535"/>
      <c r="U632" s="2535"/>
      <c r="V632" s="2535"/>
      <c r="W632" s="2535"/>
      <c r="X632" s="2535"/>
      <c r="Y632" s="2535"/>
      <c r="Z632" s="2535"/>
      <c r="AA632" s="2535"/>
      <c r="AB632" s="2535"/>
      <c r="AC632" s="2535"/>
      <c r="AD632" s="2535"/>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393" t="s">
        <v>592</v>
      </c>
      <c r="Y634" s="2393"/>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1" t="s">
        <v>1409</v>
      </c>
      <c r="AG636" s="2521"/>
      <c r="AH636" s="2521"/>
      <c r="AI636" s="2521"/>
      <c r="AJ636" s="2521"/>
      <c r="AK636" s="2521"/>
      <c r="AL636" s="2521"/>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445" t="s">
        <v>592</v>
      </c>
      <c r="I638" s="2445"/>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28">
        <f>VLOOKUP($H$638,$AO$605:$AP$607,2,FALSE)</f>
        <v>0</v>
      </c>
      <c r="AK640" s="2430"/>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21" t="s">
        <v>2098</v>
      </c>
      <c r="F644" s="2421"/>
      <c r="G644" s="2421"/>
      <c r="H644" s="2421"/>
      <c r="I644" s="2421"/>
      <c r="J644" s="2421"/>
      <c r="K644" s="2421"/>
      <c r="L644" s="2421"/>
      <c r="M644" s="2421"/>
      <c r="N644" s="2421"/>
      <c r="O644" s="2421"/>
      <c r="P644" s="2421"/>
      <c r="Q644" s="2421"/>
      <c r="R644" s="2421"/>
      <c r="S644" s="2421"/>
      <c r="T644" s="2421"/>
      <c r="U644" s="2421"/>
      <c r="V644" s="2421"/>
      <c r="W644" s="2421"/>
      <c r="X644" s="2421"/>
      <c r="Y644" s="2421"/>
      <c r="Z644" s="2421"/>
      <c r="AA644" s="2421"/>
      <c r="AB644" s="2421"/>
      <c r="AC644" s="2421"/>
      <c r="AD644" s="2421"/>
      <c r="AE644" s="536"/>
      <c r="AF644" s="2521" t="s">
        <v>1353</v>
      </c>
      <c r="AG644" s="2521"/>
      <c r="AH644" s="2521"/>
      <c r="AI644" s="2521"/>
      <c r="AJ644" s="2521"/>
      <c r="AK644" s="2521"/>
      <c r="AL644" s="2521"/>
      <c r="AN644" s="597"/>
    </row>
    <row r="645" spans="1:42" s="550" customFormat="1" ht="12.75" customHeight="1">
      <c r="B645" s="536"/>
      <c r="C645" s="536"/>
      <c r="D645" s="663"/>
      <c r="E645" s="2421"/>
      <c r="F645" s="2421"/>
      <c r="G645" s="2421"/>
      <c r="H645" s="2421"/>
      <c r="I645" s="2421"/>
      <c r="J645" s="2421"/>
      <c r="K645" s="2421"/>
      <c r="L645" s="2421"/>
      <c r="M645" s="2421"/>
      <c r="N645" s="2421"/>
      <c r="O645" s="2421"/>
      <c r="P645" s="2421"/>
      <c r="Q645" s="2421"/>
      <c r="R645" s="2421"/>
      <c r="S645" s="2421"/>
      <c r="T645" s="2421"/>
      <c r="U645" s="2421"/>
      <c r="V645" s="2421"/>
      <c r="W645" s="2421"/>
      <c r="X645" s="2421"/>
      <c r="Y645" s="2421"/>
      <c r="Z645" s="2421"/>
      <c r="AA645" s="2421"/>
      <c r="AB645" s="2421"/>
      <c r="AC645" s="2421"/>
      <c r="AD645" s="2421"/>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1" t="s">
        <v>1409</v>
      </c>
      <c r="AG647" s="2521"/>
      <c r="AH647" s="2521"/>
      <c r="AI647" s="2521"/>
      <c r="AJ647" s="2521"/>
      <c r="AK647" s="2521"/>
      <c r="AL647" s="2521"/>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445" t="s">
        <v>592</v>
      </c>
      <c r="I650" s="2445"/>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28">
        <f>VLOOKUP(H650,AT605:AU607,2,FALSE)</f>
        <v>0</v>
      </c>
      <c r="AK652" s="2430"/>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21" t="s">
        <v>1419</v>
      </c>
      <c r="F657" s="2421"/>
      <c r="G657" s="2421"/>
      <c r="H657" s="2421"/>
      <c r="I657" s="2421"/>
      <c r="J657" s="2421"/>
      <c r="K657" s="2421"/>
      <c r="L657" s="2421"/>
      <c r="M657" s="2421"/>
      <c r="N657" s="2421"/>
      <c r="O657" s="2421"/>
      <c r="P657" s="2421"/>
      <c r="Q657" s="2421"/>
      <c r="R657" s="2421"/>
      <c r="S657" s="2421"/>
      <c r="T657" s="2421"/>
      <c r="U657" s="2421"/>
      <c r="V657" s="2421"/>
      <c r="W657" s="2421"/>
      <c r="X657" s="2421"/>
      <c r="Y657" s="2421"/>
      <c r="Z657" s="2421"/>
      <c r="AA657" s="2421"/>
      <c r="AB657" s="2421"/>
      <c r="AC657" s="2421"/>
      <c r="AD657" s="536"/>
      <c r="AE657" s="536"/>
      <c r="AF657" s="2521" t="s">
        <v>1379</v>
      </c>
      <c r="AG657" s="2521"/>
      <c r="AH657" s="2521"/>
      <c r="AI657" s="2521"/>
      <c r="AJ657" s="2521"/>
      <c r="AK657" s="2521"/>
      <c r="AL657" s="2521"/>
      <c r="AN657" s="597"/>
    </row>
    <row r="658" spans="1:42" s="550" customFormat="1" ht="12.75" customHeight="1">
      <c r="B658" s="536"/>
      <c r="C658" s="539"/>
      <c r="D658" s="536"/>
      <c r="E658" s="2421"/>
      <c r="F658" s="2421"/>
      <c r="G658" s="2421"/>
      <c r="H658" s="2421"/>
      <c r="I658" s="2421"/>
      <c r="J658" s="2421"/>
      <c r="K658" s="2421"/>
      <c r="L658" s="2421"/>
      <c r="M658" s="2421"/>
      <c r="N658" s="2421"/>
      <c r="O658" s="2421"/>
      <c r="P658" s="2421"/>
      <c r="Q658" s="2421"/>
      <c r="R658" s="2421"/>
      <c r="S658" s="2421"/>
      <c r="T658" s="2421"/>
      <c r="U658" s="2421"/>
      <c r="V658" s="2421"/>
      <c r="W658" s="2421"/>
      <c r="X658" s="2421"/>
      <c r="Y658" s="2421"/>
      <c r="Z658" s="2421"/>
      <c r="AA658" s="2421"/>
      <c r="AB658" s="2421"/>
      <c r="AC658" s="2421"/>
      <c r="AD658" s="536"/>
      <c r="AE658" s="536"/>
      <c r="AF658" s="536"/>
      <c r="AG658" s="536"/>
      <c r="AH658" s="536"/>
      <c r="AI658" s="536"/>
      <c r="AJ658" s="536"/>
      <c r="AK658" s="536"/>
      <c r="AL658" s="536"/>
      <c r="AN658" s="597"/>
    </row>
    <row r="659" spans="1:42" s="550" customFormat="1" ht="12.75" customHeight="1">
      <c r="B659" s="536"/>
      <c r="C659" s="539"/>
      <c r="D659" s="663"/>
      <c r="E659" s="2421"/>
      <c r="F659" s="2421"/>
      <c r="G659" s="2421"/>
      <c r="H659" s="2421"/>
      <c r="I659" s="2421"/>
      <c r="J659" s="2421"/>
      <c r="K659" s="2421"/>
      <c r="L659" s="2421"/>
      <c r="M659" s="2421"/>
      <c r="N659" s="2421"/>
      <c r="O659" s="2421"/>
      <c r="P659" s="2421"/>
      <c r="Q659" s="2421"/>
      <c r="R659" s="2421"/>
      <c r="S659" s="2421"/>
      <c r="T659" s="2421"/>
      <c r="U659" s="2421"/>
      <c r="V659" s="2421"/>
      <c r="W659" s="2421"/>
      <c r="X659" s="2421"/>
      <c r="Y659" s="2421"/>
      <c r="Z659" s="2421"/>
      <c r="AA659" s="2421"/>
      <c r="AB659" s="2421"/>
      <c r="AC659" s="2421"/>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21" t="s">
        <v>1420</v>
      </c>
      <c r="F661" s="2421"/>
      <c r="G661" s="2421"/>
      <c r="H661" s="2421"/>
      <c r="I661" s="2421"/>
      <c r="J661" s="2421"/>
      <c r="K661" s="2421"/>
      <c r="L661" s="2421"/>
      <c r="M661" s="2421"/>
      <c r="N661" s="2421"/>
      <c r="O661" s="2421"/>
      <c r="P661" s="2421"/>
      <c r="Q661" s="2421"/>
      <c r="R661" s="2421"/>
      <c r="S661" s="2421"/>
      <c r="T661" s="2421"/>
      <c r="U661" s="2421"/>
      <c r="V661" s="2421"/>
      <c r="W661" s="2421"/>
      <c r="X661" s="2421"/>
      <c r="Y661" s="2421"/>
      <c r="Z661" s="2421"/>
      <c r="AA661" s="2421"/>
      <c r="AB661" s="2421"/>
      <c r="AC661" s="2421"/>
      <c r="AD661" s="536"/>
      <c r="AE661" s="536"/>
      <c r="AF661" s="2521" t="s">
        <v>1400</v>
      </c>
      <c r="AG661" s="2521"/>
      <c r="AH661" s="2521"/>
      <c r="AI661" s="2521"/>
      <c r="AJ661" s="2521"/>
      <c r="AK661" s="2521"/>
      <c r="AL661" s="2521"/>
      <c r="AN661" s="597"/>
    </row>
    <row r="662" spans="1:42" s="550" customFormat="1" ht="12.75" customHeight="1">
      <c r="B662" s="536"/>
      <c r="C662" s="539"/>
      <c r="D662" s="536"/>
      <c r="E662" s="2421"/>
      <c r="F662" s="2421"/>
      <c r="G662" s="2421"/>
      <c r="H662" s="2421"/>
      <c r="I662" s="2421"/>
      <c r="J662" s="2421"/>
      <c r="K662" s="2421"/>
      <c r="L662" s="2421"/>
      <c r="M662" s="2421"/>
      <c r="N662" s="2421"/>
      <c r="O662" s="2421"/>
      <c r="P662" s="2421"/>
      <c r="Q662" s="2421"/>
      <c r="R662" s="2421"/>
      <c r="S662" s="2421"/>
      <c r="T662" s="2421"/>
      <c r="U662" s="2421"/>
      <c r="V662" s="2421"/>
      <c r="W662" s="2421"/>
      <c r="X662" s="2421"/>
      <c r="Y662" s="2421"/>
      <c r="Z662" s="2421"/>
      <c r="AA662" s="2421"/>
      <c r="AB662" s="2421"/>
      <c r="AC662" s="2421"/>
      <c r="AD662" s="536"/>
      <c r="AE662" s="536"/>
      <c r="AF662" s="536"/>
      <c r="AG662" s="536"/>
      <c r="AH662" s="536"/>
      <c r="AI662" s="536"/>
      <c r="AJ662" s="536"/>
      <c r="AK662" s="536"/>
      <c r="AL662" s="536"/>
      <c r="AN662" s="597"/>
    </row>
    <row r="663" spans="1:42" s="550" customFormat="1" ht="15" customHeight="1">
      <c r="B663" s="536"/>
      <c r="C663" s="539"/>
      <c r="D663" s="663"/>
      <c r="E663" s="2421"/>
      <c r="F663" s="2421"/>
      <c r="G663" s="2421"/>
      <c r="H663" s="2421"/>
      <c r="I663" s="2421"/>
      <c r="J663" s="2421"/>
      <c r="K663" s="2421"/>
      <c r="L663" s="2421"/>
      <c r="M663" s="2421"/>
      <c r="N663" s="2421"/>
      <c r="O663" s="2421"/>
      <c r="P663" s="2421"/>
      <c r="Q663" s="2421"/>
      <c r="R663" s="2421"/>
      <c r="S663" s="2421"/>
      <c r="T663" s="2421"/>
      <c r="U663" s="2421"/>
      <c r="V663" s="2421"/>
      <c r="W663" s="2421"/>
      <c r="X663" s="2421"/>
      <c r="Y663" s="2421"/>
      <c r="Z663" s="2421"/>
      <c r="AA663" s="2421"/>
      <c r="AB663" s="2421"/>
      <c r="AC663" s="2421"/>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21" t="s">
        <v>1421</v>
      </c>
      <c r="F665" s="2421"/>
      <c r="G665" s="2421"/>
      <c r="H665" s="2421"/>
      <c r="I665" s="2421"/>
      <c r="J665" s="2421"/>
      <c r="K665" s="2421"/>
      <c r="L665" s="2421"/>
      <c r="M665" s="2421"/>
      <c r="N665" s="2421"/>
      <c r="O665" s="2421"/>
      <c r="P665" s="2421"/>
      <c r="Q665" s="2421"/>
      <c r="R665" s="2421"/>
      <c r="S665" s="2421"/>
      <c r="T665" s="2421"/>
      <c r="U665" s="2421"/>
      <c r="V665" s="2421"/>
      <c r="W665" s="2421"/>
      <c r="X665" s="2421"/>
      <c r="Y665" s="2421"/>
      <c r="Z665" s="2421"/>
      <c r="AA665" s="2421"/>
      <c r="AB665" s="2421"/>
      <c r="AC665" s="2421"/>
      <c r="AD665" s="536"/>
      <c r="AE665" s="536"/>
      <c r="AF665" s="2521" t="s">
        <v>1353</v>
      </c>
      <c r="AG665" s="2521"/>
      <c r="AH665" s="2521"/>
      <c r="AI665" s="2521"/>
      <c r="AJ665" s="2521"/>
      <c r="AK665" s="2521"/>
      <c r="AL665" s="2521"/>
      <c r="AN665" s="597"/>
    </row>
    <row r="666" spans="1:42" s="550" customFormat="1" ht="12.75" customHeight="1">
      <c r="B666" s="536"/>
      <c r="C666" s="931"/>
      <c r="D666" s="536"/>
      <c r="E666" s="2421"/>
      <c r="F666" s="2421"/>
      <c r="G666" s="2421"/>
      <c r="H666" s="2421"/>
      <c r="I666" s="2421"/>
      <c r="J666" s="2421"/>
      <c r="K666" s="2421"/>
      <c r="L666" s="2421"/>
      <c r="M666" s="2421"/>
      <c r="N666" s="2421"/>
      <c r="O666" s="2421"/>
      <c r="P666" s="2421"/>
      <c r="Q666" s="2421"/>
      <c r="R666" s="2421"/>
      <c r="S666" s="2421"/>
      <c r="T666" s="2421"/>
      <c r="U666" s="2421"/>
      <c r="V666" s="2421"/>
      <c r="W666" s="2421"/>
      <c r="X666" s="2421"/>
      <c r="Y666" s="2421"/>
      <c r="Z666" s="2421"/>
      <c r="AA666" s="2421"/>
      <c r="AB666" s="2421"/>
      <c r="AC666" s="2421"/>
      <c r="AD666" s="536"/>
      <c r="AE666" s="2521"/>
      <c r="AF666" s="2521"/>
      <c r="AG666" s="2521"/>
      <c r="AH666" s="2521"/>
      <c r="AI666" s="2521"/>
      <c r="AJ666" s="2521"/>
      <c r="AK666" s="2521"/>
      <c r="AL666" s="594"/>
      <c r="AN666" s="597"/>
      <c r="AO666" s="550" t="s">
        <v>592</v>
      </c>
      <c r="AP666" s="673">
        <v>0</v>
      </c>
    </row>
    <row r="667" spans="1:42" s="550" customFormat="1" ht="12.75" customHeight="1">
      <c r="A667" s="679"/>
      <c r="B667" s="536"/>
      <c r="C667" s="536"/>
      <c r="D667" s="663"/>
      <c r="E667" s="2421"/>
      <c r="F667" s="2421"/>
      <c r="G667" s="2421"/>
      <c r="H667" s="2421"/>
      <c r="I667" s="2421"/>
      <c r="J667" s="2421"/>
      <c r="K667" s="2421"/>
      <c r="L667" s="2421"/>
      <c r="M667" s="2421"/>
      <c r="N667" s="2421"/>
      <c r="O667" s="2421"/>
      <c r="P667" s="2421"/>
      <c r="Q667" s="2421"/>
      <c r="R667" s="2421"/>
      <c r="S667" s="2421"/>
      <c r="T667" s="2421"/>
      <c r="U667" s="2421"/>
      <c r="V667" s="2421"/>
      <c r="W667" s="2421"/>
      <c r="X667" s="2421"/>
      <c r="Y667" s="2421"/>
      <c r="Z667" s="2421"/>
      <c r="AA667" s="2421"/>
      <c r="AB667" s="2421"/>
      <c r="AC667" s="2421"/>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21" t="s">
        <v>1422</v>
      </c>
      <c r="F669" s="2421"/>
      <c r="G669" s="2421"/>
      <c r="H669" s="2421"/>
      <c r="I669" s="2421"/>
      <c r="J669" s="2421"/>
      <c r="K669" s="2421"/>
      <c r="L669" s="2421"/>
      <c r="M669" s="2421"/>
      <c r="N669" s="2421"/>
      <c r="O669" s="2421"/>
      <c r="P669" s="2421"/>
      <c r="Q669" s="2421"/>
      <c r="R669" s="2421"/>
      <c r="S669" s="2421"/>
      <c r="T669" s="2421"/>
      <c r="U669" s="2421"/>
      <c r="V669" s="2421"/>
      <c r="W669" s="2421"/>
      <c r="X669" s="2421"/>
      <c r="Y669" s="2421"/>
      <c r="Z669" s="2421"/>
      <c r="AA669" s="2421"/>
      <c r="AB669" s="2421"/>
      <c r="AC669" s="2421"/>
      <c r="AD669" s="536"/>
      <c r="AE669" s="536"/>
      <c r="AF669" s="2521" t="s">
        <v>1400</v>
      </c>
      <c r="AG669" s="2521"/>
      <c r="AH669" s="2521"/>
      <c r="AI669" s="2521"/>
      <c r="AJ669" s="2521"/>
      <c r="AK669" s="2521"/>
      <c r="AL669" s="2521"/>
      <c r="AN669" s="597"/>
    </row>
    <row r="670" spans="1:42" s="550" customFormat="1" ht="12.75" customHeight="1">
      <c r="A670" s="670"/>
      <c r="B670" s="536"/>
      <c r="C670" s="947"/>
      <c r="D670" s="663"/>
      <c r="E670" s="2421"/>
      <c r="F670" s="2421"/>
      <c r="G670" s="2421"/>
      <c r="H670" s="2421"/>
      <c r="I670" s="2421"/>
      <c r="J670" s="2421"/>
      <c r="K670" s="2421"/>
      <c r="L670" s="2421"/>
      <c r="M670" s="2421"/>
      <c r="N670" s="2421"/>
      <c r="O670" s="2421"/>
      <c r="P670" s="2421"/>
      <c r="Q670" s="2421"/>
      <c r="R670" s="2421"/>
      <c r="S670" s="2421"/>
      <c r="T670" s="2421"/>
      <c r="U670" s="2421"/>
      <c r="V670" s="2421"/>
      <c r="W670" s="2421"/>
      <c r="X670" s="2421"/>
      <c r="Y670" s="2421"/>
      <c r="Z670" s="2421"/>
      <c r="AA670" s="2421"/>
      <c r="AB670" s="2421"/>
      <c r="AC670" s="2421"/>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1"/>
      <c r="F671" s="2421"/>
      <c r="G671" s="2421"/>
      <c r="H671" s="2421"/>
      <c r="I671" s="2421"/>
      <c r="J671" s="2421"/>
      <c r="K671" s="2421"/>
      <c r="L671" s="2421"/>
      <c r="M671" s="2421"/>
      <c r="N671" s="2421"/>
      <c r="O671" s="2421"/>
      <c r="P671" s="2421"/>
      <c r="Q671" s="2421"/>
      <c r="R671" s="2421"/>
      <c r="S671" s="2421"/>
      <c r="T671" s="2421"/>
      <c r="U671" s="2421"/>
      <c r="V671" s="2421"/>
      <c r="W671" s="2421"/>
      <c r="X671" s="2421"/>
      <c r="Y671" s="2421"/>
      <c r="Z671" s="2421"/>
      <c r="AA671" s="2421"/>
      <c r="AB671" s="2421"/>
      <c r="AC671" s="2421"/>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21" t="s">
        <v>1423</v>
      </c>
      <c r="F673" s="2421"/>
      <c r="G673" s="2421"/>
      <c r="H673" s="2421"/>
      <c r="I673" s="2421"/>
      <c r="J673" s="2421"/>
      <c r="K673" s="2421"/>
      <c r="L673" s="2421"/>
      <c r="M673" s="2421"/>
      <c r="N673" s="2421"/>
      <c r="O673" s="2421"/>
      <c r="P673" s="2421"/>
      <c r="Q673" s="2421"/>
      <c r="R673" s="2421"/>
      <c r="S673" s="2421"/>
      <c r="T673" s="2421"/>
      <c r="U673" s="2421"/>
      <c r="V673" s="2421"/>
      <c r="W673" s="2421"/>
      <c r="X673" s="2421"/>
      <c r="Y673" s="2421"/>
      <c r="Z673" s="2421"/>
      <c r="AA673" s="2421"/>
      <c r="AB673" s="2421"/>
      <c r="AC673" s="2421"/>
      <c r="AD673" s="536"/>
      <c r="AE673" s="536"/>
      <c r="AF673" s="2521" t="s">
        <v>1353</v>
      </c>
      <c r="AG673" s="2521"/>
      <c r="AH673" s="2521"/>
      <c r="AI673" s="2521"/>
      <c r="AJ673" s="2521"/>
      <c r="AK673" s="2521"/>
      <c r="AL673" s="2521"/>
      <c r="AM673" s="596"/>
      <c r="AN673" s="597"/>
    </row>
    <row r="674" spans="1:42" s="550" customFormat="1" ht="12.75" customHeight="1">
      <c r="B674" s="536"/>
      <c r="C674" s="931"/>
      <c r="D674" s="663"/>
      <c r="E674" s="2421"/>
      <c r="F674" s="2421"/>
      <c r="G674" s="2421"/>
      <c r="H674" s="2421"/>
      <c r="I674" s="2421"/>
      <c r="J674" s="2421"/>
      <c r="K674" s="2421"/>
      <c r="L674" s="2421"/>
      <c r="M674" s="2421"/>
      <c r="N674" s="2421"/>
      <c r="O674" s="2421"/>
      <c r="P674" s="2421"/>
      <c r="Q674" s="2421"/>
      <c r="R674" s="2421"/>
      <c r="S674" s="2421"/>
      <c r="T674" s="2421"/>
      <c r="U674" s="2421"/>
      <c r="V674" s="2421"/>
      <c r="W674" s="2421"/>
      <c r="X674" s="2421"/>
      <c r="Y674" s="2421"/>
      <c r="Z674" s="2421"/>
      <c r="AA674" s="2421"/>
      <c r="AB674" s="2421"/>
      <c r="AC674" s="2421"/>
      <c r="AD674" s="536"/>
      <c r="AE674" s="536"/>
      <c r="AF674" s="536"/>
      <c r="AG674" s="536"/>
      <c r="AH674" s="536"/>
      <c r="AI674" s="536"/>
      <c r="AJ674" s="536"/>
      <c r="AK674" s="536"/>
      <c r="AL674" s="536"/>
      <c r="AM674" s="596"/>
      <c r="AN674" s="597"/>
    </row>
    <row r="675" spans="1:42" s="550" customFormat="1" ht="12.75" customHeight="1">
      <c r="B675" s="536"/>
      <c r="C675" s="931"/>
      <c r="D675" s="663"/>
      <c r="E675" s="2421"/>
      <c r="F675" s="2421"/>
      <c r="G675" s="2421"/>
      <c r="H675" s="2421"/>
      <c r="I675" s="2421"/>
      <c r="J675" s="2421"/>
      <c r="K675" s="2421"/>
      <c r="L675" s="2421"/>
      <c r="M675" s="2421"/>
      <c r="N675" s="2421"/>
      <c r="O675" s="2421"/>
      <c r="P675" s="2421"/>
      <c r="Q675" s="2421"/>
      <c r="R675" s="2421"/>
      <c r="S675" s="2421"/>
      <c r="T675" s="2421"/>
      <c r="U675" s="2421"/>
      <c r="V675" s="2421"/>
      <c r="W675" s="2421"/>
      <c r="X675" s="2421"/>
      <c r="Y675" s="2421"/>
      <c r="Z675" s="2421"/>
      <c r="AA675" s="2421"/>
      <c r="AB675" s="2421"/>
      <c r="AC675" s="2421"/>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21" t="s">
        <v>1424</v>
      </c>
      <c r="F677" s="2421"/>
      <c r="G677" s="2421"/>
      <c r="H677" s="2421"/>
      <c r="I677" s="2421"/>
      <c r="J677" s="2421"/>
      <c r="K677" s="2421"/>
      <c r="L677" s="2421"/>
      <c r="M677" s="2421"/>
      <c r="N677" s="2421"/>
      <c r="O677" s="2421"/>
      <c r="P677" s="2421"/>
      <c r="Q677" s="2421"/>
      <c r="R677" s="2421"/>
      <c r="S677" s="2421"/>
      <c r="T677" s="2421"/>
      <c r="U677" s="2421"/>
      <c r="V677" s="2421"/>
      <c r="W677" s="2421"/>
      <c r="X677" s="2421"/>
      <c r="Y677" s="2421"/>
      <c r="Z677" s="2421"/>
      <c r="AA677" s="2421"/>
      <c r="AB677" s="2421"/>
      <c r="AC677" s="2421"/>
      <c r="AD677" s="536"/>
      <c r="AE677" s="536"/>
      <c r="AF677" s="2521" t="s">
        <v>1409</v>
      </c>
      <c r="AG677" s="2521"/>
      <c r="AH677" s="2521"/>
      <c r="AI677" s="2521"/>
      <c r="AJ677" s="2521"/>
      <c r="AK677" s="2521"/>
      <c r="AL677" s="2521"/>
      <c r="AM677" s="596"/>
      <c r="AN677" s="597"/>
    </row>
    <row r="678" spans="1:42" s="550" customFormat="1" ht="12.75" customHeight="1">
      <c r="A678" s="679"/>
      <c r="B678" s="536"/>
      <c r="C678" s="931"/>
      <c r="D678" s="663"/>
      <c r="E678" s="2421"/>
      <c r="F678" s="2421"/>
      <c r="G678" s="2421"/>
      <c r="H678" s="2421"/>
      <c r="I678" s="2421"/>
      <c r="J678" s="2421"/>
      <c r="K678" s="2421"/>
      <c r="L678" s="2421"/>
      <c r="M678" s="2421"/>
      <c r="N678" s="2421"/>
      <c r="O678" s="2421"/>
      <c r="P678" s="2421"/>
      <c r="Q678" s="2421"/>
      <c r="R678" s="2421"/>
      <c r="S678" s="2421"/>
      <c r="T678" s="2421"/>
      <c r="U678" s="2421"/>
      <c r="V678" s="2421"/>
      <c r="W678" s="2421"/>
      <c r="X678" s="2421"/>
      <c r="Y678" s="2421"/>
      <c r="Z678" s="2421"/>
      <c r="AA678" s="2421"/>
      <c r="AB678" s="2421"/>
      <c r="AC678" s="2421"/>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1"/>
      <c r="F679" s="2421"/>
      <c r="G679" s="2421"/>
      <c r="H679" s="2421"/>
      <c r="I679" s="2421"/>
      <c r="J679" s="2421"/>
      <c r="K679" s="2421"/>
      <c r="L679" s="2421"/>
      <c r="M679" s="2421"/>
      <c r="N679" s="2421"/>
      <c r="O679" s="2421"/>
      <c r="P679" s="2421"/>
      <c r="Q679" s="2421"/>
      <c r="R679" s="2421"/>
      <c r="S679" s="2421"/>
      <c r="T679" s="2421"/>
      <c r="U679" s="2421"/>
      <c r="V679" s="2421"/>
      <c r="W679" s="2421"/>
      <c r="X679" s="2421"/>
      <c r="Y679" s="2421"/>
      <c r="Z679" s="2421"/>
      <c r="AA679" s="2421"/>
      <c r="AB679" s="2421"/>
      <c r="AC679" s="2421"/>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21" t="s">
        <v>1425</v>
      </c>
      <c r="F681" s="2421"/>
      <c r="G681" s="2421"/>
      <c r="H681" s="2421"/>
      <c r="I681" s="2421"/>
      <c r="J681" s="2421"/>
      <c r="K681" s="2421"/>
      <c r="L681" s="2421"/>
      <c r="M681" s="2421"/>
      <c r="N681" s="2421"/>
      <c r="O681" s="2421"/>
      <c r="P681" s="2421"/>
      <c r="Q681" s="2421"/>
      <c r="R681" s="2421"/>
      <c r="S681" s="2421"/>
      <c r="T681" s="2421"/>
      <c r="U681" s="2421"/>
      <c r="V681" s="2421"/>
      <c r="W681" s="2421"/>
      <c r="X681" s="2421"/>
      <c r="Y681" s="2421"/>
      <c r="Z681" s="2421"/>
      <c r="AA681" s="2421"/>
      <c r="AB681" s="2421"/>
      <c r="AC681" s="2421"/>
      <c r="AD681" s="536"/>
      <c r="AE681" s="536"/>
      <c r="AF681" s="2521" t="s">
        <v>1426</v>
      </c>
      <c r="AG681" s="2521"/>
      <c r="AH681" s="2521"/>
      <c r="AI681" s="2521"/>
      <c r="AJ681" s="2521"/>
      <c r="AK681" s="2521"/>
      <c r="AL681" s="2521"/>
      <c r="AM681" s="596"/>
      <c r="AN681" s="597"/>
      <c r="AO681" s="611" t="s">
        <v>688</v>
      </c>
      <c r="AP681" s="550">
        <v>3</v>
      </c>
    </row>
    <row r="682" spans="1:42" s="550" customFormat="1" ht="12.75" customHeight="1">
      <c r="A682" s="679"/>
      <c r="B682" s="536"/>
      <c r="C682" s="931"/>
      <c r="D682" s="663"/>
      <c r="E682" s="2421"/>
      <c r="F682" s="2421"/>
      <c r="G682" s="2421"/>
      <c r="H682" s="2421"/>
      <c r="I682" s="2421"/>
      <c r="J682" s="2421"/>
      <c r="K682" s="2421"/>
      <c r="L682" s="2421"/>
      <c r="M682" s="2421"/>
      <c r="N682" s="2421"/>
      <c r="O682" s="2421"/>
      <c r="P682" s="2421"/>
      <c r="Q682" s="2421"/>
      <c r="R682" s="2421"/>
      <c r="S682" s="2421"/>
      <c r="T682" s="2421"/>
      <c r="U682" s="2421"/>
      <c r="V682" s="2421"/>
      <c r="W682" s="2421"/>
      <c r="X682" s="2421"/>
      <c r="Y682" s="2421"/>
      <c r="Z682" s="2421"/>
      <c r="AA682" s="2421"/>
      <c r="AB682" s="2421"/>
      <c r="AC682" s="2421"/>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21"/>
      <c r="F683" s="2421"/>
      <c r="G683" s="2421"/>
      <c r="H683" s="2421"/>
      <c r="I683" s="2421"/>
      <c r="J683" s="2421"/>
      <c r="K683" s="2421"/>
      <c r="L683" s="2421"/>
      <c r="M683" s="2421"/>
      <c r="N683" s="2421"/>
      <c r="O683" s="2421"/>
      <c r="P683" s="2421"/>
      <c r="Q683" s="2421"/>
      <c r="R683" s="2421"/>
      <c r="S683" s="2421"/>
      <c r="T683" s="2421"/>
      <c r="U683" s="2421"/>
      <c r="V683" s="2421"/>
      <c r="W683" s="2421"/>
      <c r="X683" s="2421"/>
      <c r="Y683" s="2421"/>
      <c r="Z683" s="2421"/>
      <c r="AA683" s="2421"/>
      <c r="AB683" s="2421"/>
      <c r="AC683" s="2421"/>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445" t="s">
        <v>688</v>
      </c>
      <c r="I685" s="2445"/>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28">
        <f>VLOOKUP($H$685,$AO$633:$AP$640,2,FALSE)</f>
        <v>5</v>
      </c>
      <c r="AK687" s="2430"/>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24</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78</v>
      </c>
    </row>
    <row r="691" spans="1:51" s="550" customFormat="1" ht="12.75" customHeight="1">
      <c r="A691" s="679"/>
      <c r="B691" s="536"/>
      <c r="C691" s="948"/>
      <c r="D691" s="663" t="s">
        <v>688</v>
      </c>
      <c r="E691" s="2391" t="s">
        <v>2190</v>
      </c>
      <c r="F691" s="2391"/>
      <c r="G691" s="2391"/>
      <c r="H691" s="2391"/>
      <c r="I691" s="2391"/>
      <c r="J691" s="2391"/>
      <c r="K691" s="2391"/>
      <c r="L691" s="2391"/>
      <c r="M691" s="2391"/>
      <c r="N691" s="2391"/>
      <c r="O691" s="2391"/>
      <c r="P691" s="2391"/>
      <c r="Q691" s="2391"/>
      <c r="R691" s="2391"/>
      <c r="S691" s="2391"/>
      <c r="T691" s="2391"/>
      <c r="U691" s="2391"/>
      <c r="V691" s="2391"/>
      <c r="W691" s="2391"/>
      <c r="X691" s="2391"/>
      <c r="Y691" s="2391"/>
      <c r="Z691" s="2391"/>
      <c r="AA691" s="2391"/>
      <c r="AB691" s="2391"/>
      <c r="AC691" s="536"/>
      <c r="AD691" s="536"/>
      <c r="AE691" s="536"/>
      <c r="AF691" s="2521" t="s">
        <v>1353</v>
      </c>
      <c r="AG691" s="2521"/>
      <c r="AH691" s="2521"/>
      <c r="AI691" s="2521"/>
      <c r="AJ691" s="2521"/>
      <c r="AK691" s="2521"/>
      <c r="AL691" s="2521"/>
      <c r="AN691" s="597"/>
      <c r="AW691" s="22" t="s">
        <v>2185</v>
      </c>
      <c r="AX691" s="550">
        <f>Application!DE753</f>
        <v>20</v>
      </c>
    </row>
    <row r="692" spans="1:51" s="550" customFormat="1" ht="12.75" customHeight="1">
      <c r="A692" s="679"/>
      <c r="B692" s="536"/>
      <c r="C692" s="948"/>
      <c r="D692" s="663"/>
      <c r="E692" s="2391"/>
      <c r="F692" s="2391"/>
      <c r="G692" s="2391"/>
      <c r="H692" s="2391"/>
      <c r="I692" s="2391"/>
      <c r="J692" s="2391"/>
      <c r="K692" s="2391"/>
      <c r="L692" s="2391"/>
      <c r="M692" s="2391"/>
      <c r="N692" s="2391"/>
      <c r="O692" s="2391"/>
      <c r="P692" s="2391"/>
      <c r="Q692" s="2391"/>
      <c r="R692" s="2391"/>
      <c r="S692" s="2391"/>
      <c r="T692" s="2391"/>
      <c r="U692" s="2391"/>
      <c r="V692" s="2391"/>
      <c r="W692" s="2391"/>
      <c r="X692" s="2391"/>
      <c r="Y692" s="2391"/>
      <c r="Z692" s="2391"/>
      <c r="AA692" s="2391"/>
      <c r="AB692" s="2391"/>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510</v>
      </c>
      <c r="E694" s="2421" t="s">
        <v>2134</v>
      </c>
      <c r="F694" s="2421"/>
      <c r="G694" s="2421"/>
      <c r="H694" s="2421"/>
      <c r="I694" s="2421"/>
      <c r="J694" s="2421"/>
      <c r="K694" s="2421"/>
      <c r="L694" s="2421"/>
      <c r="M694" s="2421"/>
      <c r="N694" s="2421"/>
      <c r="O694" s="2421"/>
      <c r="P694" s="2421"/>
      <c r="Q694" s="2421"/>
      <c r="R694" s="2421"/>
      <c r="S694" s="2421"/>
      <c r="T694" s="2421"/>
      <c r="U694" s="2421"/>
      <c r="V694" s="2421"/>
      <c r="W694" s="2421"/>
      <c r="X694" s="2421"/>
      <c r="Y694" s="2421"/>
      <c r="Z694" s="2421"/>
      <c r="AA694" s="2421"/>
      <c r="AB694" s="2421"/>
      <c r="AC694" s="536"/>
      <c r="AD694" s="536"/>
      <c r="AE694" s="536"/>
      <c r="AF694" s="2521" t="s">
        <v>1353</v>
      </c>
      <c r="AG694" s="2521"/>
      <c r="AH694" s="2521"/>
      <c r="AI694" s="2521"/>
      <c r="AJ694" s="2521"/>
      <c r="AK694" s="2521"/>
      <c r="AL694" s="2521"/>
      <c r="AN694" s="597"/>
      <c r="AW694" s="22" t="s">
        <v>2188</v>
      </c>
      <c r="AX694" s="550">
        <f>AX691+AX692+AX693</f>
        <v>20</v>
      </c>
    </row>
    <row r="695" spans="1:51" s="550" customFormat="1" ht="12.75" customHeight="1">
      <c r="B695" s="536"/>
      <c r="C695" s="940"/>
      <c r="D695" s="663"/>
      <c r="E695" s="2421"/>
      <c r="F695" s="2421"/>
      <c r="G695" s="2421"/>
      <c r="H695" s="2421"/>
      <c r="I695" s="2421"/>
      <c r="J695" s="2421"/>
      <c r="K695" s="2421"/>
      <c r="L695" s="2421"/>
      <c r="M695" s="2421"/>
      <c r="N695" s="2421"/>
      <c r="O695" s="2421"/>
      <c r="P695" s="2421"/>
      <c r="Q695" s="2421"/>
      <c r="R695" s="2421"/>
      <c r="S695" s="2421"/>
      <c r="T695" s="2421"/>
      <c r="U695" s="2421"/>
      <c r="V695" s="2421"/>
      <c r="W695" s="2421"/>
      <c r="X695" s="2421"/>
      <c r="Y695" s="2421"/>
      <c r="Z695" s="2421"/>
      <c r="AA695" s="2421"/>
      <c r="AB695" s="2421"/>
      <c r="AC695" s="536"/>
      <c r="AD695" s="536"/>
      <c r="AE695" s="616"/>
      <c r="AF695" s="536"/>
      <c r="AG695" s="536"/>
      <c r="AH695" s="536"/>
      <c r="AI695" s="536"/>
      <c r="AJ695" s="536"/>
      <c r="AK695" s="536"/>
      <c r="AL695" s="536"/>
      <c r="AN695" s="597"/>
      <c r="AO695" s="2435" t="b">
        <f>IF(Application!D211="Special Needs",IF(AY695&gt;=0.25,TRUE,FALSE),IF(AX695&gt;=0.25,TRUE,FALSE))</f>
        <v>1</v>
      </c>
      <c r="AP695" s="2435"/>
      <c r="AW695" s="22" t="s">
        <v>2189</v>
      </c>
      <c r="AX695" s="550">
        <f>IFERROR(AX694/AX690,0)</f>
        <v>0.25641025641025639</v>
      </c>
      <c r="AY695" s="550">
        <f>IFERROR(AX694/(AX690-AX689),0)</f>
        <v>0.37037037037037035</v>
      </c>
    </row>
    <row r="696" spans="1:51" s="550" customFormat="1" ht="12.75" customHeight="1">
      <c r="B696" s="536"/>
      <c r="C696" s="940"/>
      <c r="E696" s="2421"/>
      <c r="F696" s="2421"/>
      <c r="G696" s="2421"/>
      <c r="H696" s="2421"/>
      <c r="I696" s="2421"/>
      <c r="J696" s="2421"/>
      <c r="K696" s="2421"/>
      <c r="L696" s="2421"/>
      <c r="M696" s="2421"/>
      <c r="N696" s="2421"/>
      <c r="O696" s="2421"/>
      <c r="P696" s="2421"/>
      <c r="Q696" s="2421"/>
      <c r="R696" s="2421"/>
      <c r="S696" s="2421"/>
      <c r="T696" s="2421"/>
      <c r="U696" s="2421"/>
      <c r="V696" s="2421"/>
      <c r="W696" s="2421"/>
      <c r="X696" s="2421"/>
      <c r="Y696" s="2421"/>
      <c r="Z696" s="2421"/>
      <c r="AA696" s="2421"/>
      <c r="AB696" s="2421"/>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1"/>
      <c r="F697" s="2421"/>
      <c r="G697" s="2421"/>
      <c r="H697" s="2421"/>
      <c r="I697" s="2421"/>
      <c r="J697" s="2421"/>
      <c r="K697" s="2421"/>
      <c r="L697" s="2421"/>
      <c r="M697" s="2421"/>
      <c r="N697" s="2421"/>
      <c r="O697" s="2421"/>
      <c r="P697" s="2421"/>
      <c r="Q697" s="2421"/>
      <c r="R697" s="2421"/>
      <c r="S697" s="2421"/>
      <c r="T697" s="2421"/>
      <c r="U697" s="2421"/>
      <c r="V697" s="2421"/>
      <c r="W697" s="2421"/>
      <c r="X697" s="2421"/>
      <c r="Y697" s="2421"/>
      <c r="Z697" s="2421"/>
      <c r="AA697" s="2421"/>
      <c r="AB697" s="2421"/>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21" t="s">
        <v>2135</v>
      </c>
      <c r="F699" s="2421"/>
      <c r="G699" s="2421"/>
      <c r="H699" s="2421"/>
      <c r="I699" s="2421"/>
      <c r="J699" s="2421"/>
      <c r="K699" s="2421"/>
      <c r="L699" s="2421"/>
      <c r="M699" s="2421"/>
      <c r="N699" s="2421"/>
      <c r="O699" s="2421"/>
      <c r="P699" s="2421"/>
      <c r="Q699" s="2421"/>
      <c r="R699" s="2421"/>
      <c r="S699" s="2421"/>
      <c r="T699" s="2421"/>
      <c r="U699" s="2421"/>
      <c r="V699" s="2421"/>
      <c r="W699" s="2421"/>
      <c r="X699" s="2421"/>
      <c r="Y699" s="2421"/>
      <c r="Z699" s="2421"/>
      <c r="AA699" s="2421"/>
      <c r="AB699" s="2421"/>
      <c r="AC699" s="536"/>
      <c r="AD699" s="536"/>
      <c r="AE699" s="536"/>
      <c r="AF699" s="2521" t="s">
        <v>1409</v>
      </c>
      <c r="AG699" s="2521"/>
      <c r="AH699" s="2521"/>
      <c r="AI699" s="2521"/>
      <c r="AJ699" s="2521"/>
      <c r="AK699" s="2521"/>
      <c r="AL699" s="2521"/>
      <c r="AN699" s="597"/>
      <c r="AO699" s="611" t="s">
        <v>510</v>
      </c>
      <c r="AP699" s="550">
        <v>1</v>
      </c>
    </row>
    <row r="700" spans="1:51" s="550" customFormat="1" ht="12" customHeight="1">
      <c r="B700" s="536"/>
      <c r="C700" s="931"/>
      <c r="E700" s="2421"/>
      <c r="F700" s="2421"/>
      <c r="G700" s="2421"/>
      <c r="H700" s="2421"/>
      <c r="I700" s="2421"/>
      <c r="J700" s="2421"/>
      <c r="K700" s="2421"/>
      <c r="L700" s="2421"/>
      <c r="M700" s="2421"/>
      <c r="N700" s="2421"/>
      <c r="O700" s="2421"/>
      <c r="P700" s="2421"/>
      <c r="Q700" s="2421"/>
      <c r="R700" s="2421"/>
      <c r="S700" s="2421"/>
      <c r="T700" s="2421"/>
      <c r="U700" s="2421"/>
      <c r="V700" s="2421"/>
      <c r="W700" s="2421"/>
      <c r="X700" s="2421"/>
      <c r="Y700" s="2421"/>
      <c r="Z700" s="2421"/>
      <c r="AA700" s="2421"/>
      <c r="AB700" s="2421"/>
      <c r="AC700" s="536"/>
      <c r="AD700" s="536"/>
      <c r="AE700" s="616"/>
      <c r="AF700" s="536"/>
      <c r="AG700" s="536"/>
      <c r="AH700" s="536"/>
      <c r="AI700" s="536"/>
      <c r="AJ700" s="536"/>
      <c r="AK700" s="536"/>
      <c r="AL700" s="536"/>
      <c r="AN700" s="597"/>
    </row>
    <row r="701" spans="1:51" s="550" customFormat="1" ht="12" customHeight="1">
      <c r="B701" s="536"/>
      <c r="C701" s="931"/>
      <c r="D701" s="536"/>
      <c r="E701" s="2421"/>
      <c r="F701" s="2421"/>
      <c r="G701" s="2421"/>
      <c r="H701" s="2421"/>
      <c r="I701" s="2421"/>
      <c r="J701" s="2421"/>
      <c r="K701" s="2421"/>
      <c r="L701" s="2421"/>
      <c r="M701" s="2421"/>
      <c r="N701" s="2421"/>
      <c r="O701" s="2421"/>
      <c r="P701" s="2421"/>
      <c r="Q701" s="2421"/>
      <c r="R701" s="2421"/>
      <c r="S701" s="2421"/>
      <c r="T701" s="2421"/>
      <c r="U701" s="2421"/>
      <c r="V701" s="2421"/>
      <c r="W701" s="2421"/>
      <c r="X701" s="2421"/>
      <c r="Y701" s="2421"/>
      <c r="Z701" s="2421"/>
      <c r="AA701" s="2421"/>
      <c r="AB701" s="2421"/>
      <c r="AC701" s="536"/>
      <c r="AD701" s="536"/>
      <c r="AE701" s="616"/>
      <c r="AF701" s="536"/>
      <c r="AG701" s="536"/>
      <c r="AH701" s="536"/>
      <c r="AI701" s="536"/>
      <c r="AJ701" s="536"/>
      <c r="AK701" s="536"/>
      <c r="AL701" s="536"/>
      <c r="AN701" s="597"/>
    </row>
    <row r="702" spans="1:51" s="550" customFormat="1" ht="12" customHeight="1">
      <c r="B702" s="536"/>
      <c r="C702" s="931"/>
      <c r="D702" s="536"/>
      <c r="E702" s="2421"/>
      <c r="F702" s="2421"/>
      <c r="G702" s="2421"/>
      <c r="H702" s="2421"/>
      <c r="I702" s="2421"/>
      <c r="J702" s="2421"/>
      <c r="K702" s="2421"/>
      <c r="L702" s="2421"/>
      <c r="M702" s="2421"/>
      <c r="N702" s="2421"/>
      <c r="O702" s="2421"/>
      <c r="P702" s="2421"/>
      <c r="Q702" s="2421"/>
      <c r="R702" s="2421"/>
      <c r="S702" s="2421"/>
      <c r="T702" s="2421"/>
      <c r="U702" s="2421"/>
      <c r="V702" s="2421"/>
      <c r="W702" s="2421"/>
      <c r="X702" s="2421"/>
      <c r="Y702" s="2421"/>
      <c r="Z702" s="2421"/>
      <c r="AA702" s="2421"/>
      <c r="AB702" s="2421"/>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21"/>
      <c r="F703" s="2421"/>
      <c r="G703" s="2421"/>
      <c r="H703" s="2421"/>
      <c r="I703" s="2421"/>
      <c r="J703" s="2421"/>
      <c r="K703" s="2421"/>
      <c r="L703" s="2421"/>
      <c r="M703" s="2421"/>
      <c r="N703" s="2421"/>
      <c r="O703" s="2421"/>
      <c r="P703" s="2421"/>
      <c r="Q703" s="2421"/>
      <c r="R703" s="2421"/>
      <c r="S703" s="2421"/>
      <c r="T703" s="2421"/>
      <c r="U703" s="2421"/>
      <c r="V703" s="2421"/>
      <c r="W703" s="2421"/>
      <c r="X703" s="2421"/>
      <c r="Y703" s="2421"/>
      <c r="Z703" s="2421"/>
      <c r="AA703" s="2421"/>
      <c r="AB703" s="2421"/>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21" t="s">
        <v>1694</v>
      </c>
      <c r="F705" s="2421"/>
      <c r="G705" s="2421"/>
      <c r="H705" s="2421"/>
      <c r="I705" s="2421"/>
      <c r="J705" s="2421"/>
      <c r="K705" s="2421"/>
      <c r="L705" s="2421"/>
      <c r="M705" s="2421"/>
      <c r="N705" s="2421"/>
      <c r="O705" s="2421"/>
      <c r="P705" s="2421"/>
      <c r="Q705" s="2421"/>
      <c r="R705" s="2421"/>
      <c r="S705" s="2421"/>
      <c r="T705" s="2421"/>
      <c r="U705" s="2421"/>
      <c r="V705" s="2421"/>
      <c r="W705" s="2421"/>
      <c r="X705" s="2421"/>
      <c r="Y705" s="2421"/>
      <c r="Z705" s="2421"/>
      <c r="AA705" s="2421"/>
      <c r="AB705" s="2421"/>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21"/>
      <c r="F706" s="2421"/>
      <c r="G706" s="2421"/>
      <c r="H706" s="2421"/>
      <c r="I706" s="2421"/>
      <c r="J706" s="2421"/>
      <c r="K706" s="2421"/>
      <c r="L706" s="2421"/>
      <c r="M706" s="2421"/>
      <c r="N706" s="2421"/>
      <c r="O706" s="2421"/>
      <c r="P706" s="2421"/>
      <c r="Q706" s="2421"/>
      <c r="R706" s="2421"/>
      <c r="S706" s="2421"/>
      <c r="T706" s="2421"/>
      <c r="U706" s="2421"/>
      <c r="V706" s="2421"/>
      <c r="W706" s="2421"/>
      <c r="X706" s="2421"/>
      <c r="Y706" s="2421"/>
      <c r="Z706" s="2421"/>
      <c r="AA706" s="2421"/>
      <c r="AB706" s="2421"/>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21"/>
      <c r="F707" s="2421"/>
      <c r="G707" s="2421"/>
      <c r="H707" s="2421"/>
      <c r="I707" s="2421"/>
      <c r="J707" s="2421"/>
      <c r="K707" s="2421"/>
      <c r="L707" s="2421"/>
      <c r="M707" s="2421"/>
      <c r="N707" s="2421"/>
      <c r="O707" s="2421"/>
      <c r="P707" s="2421"/>
      <c r="Q707" s="2421"/>
      <c r="R707" s="2421"/>
      <c r="S707" s="2421"/>
      <c r="T707" s="2421"/>
      <c r="U707" s="2421"/>
      <c r="V707" s="2421"/>
      <c r="W707" s="2421"/>
      <c r="X707" s="2421"/>
      <c r="Y707" s="2421"/>
      <c r="Z707" s="2421"/>
      <c r="AA707" s="2421"/>
      <c r="AB707" s="2421"/>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445" t="s">
        <v>510</v>
      </c>
      <c r="I709" s="2445"/>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28">
        <f>VLOOKUP($H$709,$AO$703:$AP$706,2,FALSE)</f>
        <v>3</v>
      </c>
      <c r="AK711" s="2430"/>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3" t="s">
        <v>1696</v>
      </c>
      <c r="F715" s="2533"/>
      <c r="G715" s="2533"/>
      <c r="H715" s="2533"/>
      <c r="I715" s="2533"/>
      <c r="J715" s="2533"/>
      <c r="K715" s="2533"/>
      <c r="L715" s="2533"/>
      <c r="M715" s="2533"/>
      <c r="N715" s="2533"/>
      <c r="O715" s="2533"/>
      <c r="P715" s="2533"/>
      <c r="Q715" s="2533"/>
      <c r="R715" s="2533"/>
      <c r="S715" s="2533"/>
      <c r="T715" s="2533"/>
      <c r="U715" s="2533"/>
      <c r="V715" s="2533"/>
      <c r="W715" s="2533"/>
      <c r="X715" s="2533"/>
      <c r="Y715" s="2533"/>
      <c r="Z715" s="2533"/>
      <c r="AA715" s="2533"/>
      <c r="AB715" s="2533"/>
      <c r="AC715" s="536"/>
      <c r="AD715" s="536"/>
      <c r="AE715" s="536"/>
      <c r="AF715" s="2521" t="s">
        <v>1353</v>
      </c>
      <c r="AG715" s="2521"/>
      <c r="AH715" s="2521"/>
      <c r="AI715" s="2521"/>
      <c r="AJ715" s="2521"/>
      <c r="AK715" s="2521"/>
      <c r="AL715" s="2521"/>
      <c r="AM715" s="550"/>
      <c r="AN715" s="684"/>
      <c r="AP715" s="570" t="s">
        <v>1433</v>
      </c>
    </row>
    <row r="716" spans="1:43" s="570" customFormat="1" ht="11.85" customHeight="1">
      <c r="A716" s="550"/>
      <c r="B716" s="536"/>
      <c r="C716" s="933"/>
      <c r="D716" s="663"/>
      <c r="E716" s="2533"/>
      <c r="F716" s="2533"/>
      <c r="G716" s="2533"/>
      <c r="H716" s="2533"/>
      <c r="I716" s="2533"/>
      <c r="J716" s="2533"/>
      <c r="K716" s="2533"/>
      <c r="L716" s="2533"/>
      <c r="M716" s="2533"/>
      <c r="N716" s="2533"/>
      <c r="O716" s="2533"/>
      <c r="P716" s="2533"/>
      <c r="Q716" s="2533"/>
      <c r="R716" s="2533"/>
      <c r="S716" s="2533"/>
      <c r="T716" s="2533"/>
      <c r="U716" s="2533"/>
      <c r="V716" s="2533"/>
      <c r="W716" s="2533"/>
      <c r="X716" s="2533"/>
      <c r="Y716" s="2533"/>
      <c r="Z716" s="2533"/>
      <c r="AA716" s="2533"/>
      <c r="AB716" s="2533"/>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33"/>
      <c r="F717" s="2533"/>
      <c r="G717" s="2533"/>
      <c r="H717" s="2533"/>
      <c r="I717" s="2533"/>
      <c r="J717" s="2533"/>
      <c r="K717" s="2533"/>
      <c r="L717" s="2533"/>
      <c r="M717" s="2533"/>
      <c r="N717" s="2533"/>
      <c r="O717" s="2533"/>
      <c r="P717" s="2533"/>
      <c r="Q717" s="2533"/>
      <c r="R717" s="2533"/>
      <c r="S717" s="2533"/>
      <c r="T717" s="2533"/>
      <c r="U717" s="2533"/>
      <c r="V717" s="2533"/>
      <c r="W717" s="2533"/>
      <c r="X717" s="2533"/>
      <c r="Y717" s="2533"/>
      <c r="Z717" s="2533"/>
      <c r="AA717" s="2533"/>
      <c r="AB717" s="2533"/>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34" t="s">
        <v>1436</v>
      </c>
      <c r="F719" s="2534"/>
      <c r="G719" s="2534"/>
      <c r="H719" s="2534"/>
      <c r="I719" s="2534"/>
      <c r="J719" s="2534"/>
      <c r="K719" s="2534"/>
      <c r="L719" s="2534"/>
      <c r="M719" s="2534"/>
      <c r="N719" s="2534"/>
      <c r="O719" s="2534"/>
      <c r="P719" s="2534"/>
      <c r="Q719" s="2534"/>
      <c r="R719" s="2534"/>
      <c r="S719" s="2534"/>
      <c r="T719" s="2534"/>
      <c r="U719" s="2534"/>
      <c r="V719" s="2534"/>
      <c r="W719" s="2534"/>
      <c r="X719" s="2534"/>
      <c r="Y719" s="2534"/>
      <c r="Z719" s="2534"/>
      <c r="AA719" s="2534"/>
      <c r="AB719" s="2534"/>
      <c r="AC719" s="536"/>
      <c r="AD719" s="536"/>
      <c r="AE719" s="536"/>
      <c r="AF719" s="2521" t="s">
        <v>1409</v>
      </c>
      <c r="AG719" s="2521"/>
      <c r="AH719" s="2521"/>
      <c r="AI719" s="2521"/>
      <c r="AJ719" s="2521"/>
      <c r="AK719" s="2521"/>
      <c r="AL719" s="2521"/>
      <c r="AM719" s="550"/>
      <c r="AN719" s="685"/>
    </row>
    <row r="720" spans="1:43" s="570" customFormat="1" ht="12.75" customHeight="1">
      <c r="A720" s="550"/>
      <c r="B720" s="536"/>
      <c r="C720" s="933"/>
      <c r="D720" s="536"/>
      <c r="E720" s="2534"/>
      <c r="F720" s="2534"/>
      <c r="G720" s="2534"/>
      <c r="H720" s="2534"/>
      <c r="I720" s="2534"/>
      <c r="J720" s="2534"/>
      <c r="K720" s="2534"/>
      <c r="L720" s="2534"/>
      <c r="M720" s="2534"/>
      <c r="N720" s="2534"/>
      <c r="O720" s="2534"/>
      <c r="P720" s="2534"/>
      <c r="Q720" s="2534"/>
      <c r="R720" s="2534"/>
      <c r="S720" s="2534"/>
      <c r="T720" s="2534"/>
      <c r="U720" s="2534"/>
      <c r="V720" s="2534"/>
      <c r="W720" s="2534"/>
      <c r="X720" s="2534"/>
      <c r="Y720" s="2534"/>
      <c r="Z720" s="2534"/>
      <c r="AA720" s="2534"/>
      <c r="AB720" s="2534"/>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4"/>
      <c r="F721" s="2534"/>
      <c r="G721" s="2534"/>
      <c r="H721" s="2534"/>
      <c r="I721" s="2534"/>
      <c r="J721" s="2534"/>
      <c r="K721" s="2534"/>
      <c r="L721" s="2534"/>
      <c r="M721" s="2534"/>
      <c r="N721" s="2534"/>
      <c r="O721" s="2534"/>
      <c r="P721" s="2534"/>
      <c r="Q721" s="2534"/>
      <c r="R721" s="2534"/>
      <c r="S721" s="2534"/>
      <c r="T721" s="2534"/>
      <c r="U721" s="2534"/>
      <c r="V721" s="2534"/>
      <c r="W721" s="2534"/>
      <c r="X721" s="2534"/>
      <c r="Y721" s="2534"/>
      <c r="Z721" s="2534"/>
      <c r="AA721" s="2534"/>
      <c r="AB721" s="2534"/>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445" t="s">
        <v>592</v>
      </c>
      <c r="I723" s="2445"/>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28">
        <f>VLOOKUP($H$723,$AP$720:$AQ$722,2,FALSE)</f>
        <v>0</v>
      </c>
      <c r="AK725" s="2430"/>
      <c r="AL725" s="595"/>
      <c r="AM725" s="550"/>
      <c r="AN725" s="684"/>
      <c r="AP725" s="2428"/>
      <c r="AQ725" s="2430"/>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21" t="s">
        <v>1697</v>
      </c>
      <c r="F729" s="2421"/>
      <c r="G729" s="2421"/>
      <c r="H729" s="2421"/>
      <c r="I729" s="2421"/>
      <c r="J729" s="2421"/>
      <c r="K729" s="2421"/>
      <c r="L729" s="2421"/>
      <c r="M729" s="2421"/>
      <c r="N729" s="2421"/>
      <c r="O729" s="2421"/>
      <c r="P729" s="2421"/>
      <c r="Q729" s="2421"/>
      <c r="R729" s="2421"/>
      <c r="S729" s="2421"/>
      <c r="T729" s="2421"/>
      <c r="U729" s="2421"/>
      <c r="V729" s="2421"/>
      <c r="W729" s="2421"/>
      <c r="X729" s="2421"/>
      <c r="Y729" s="2421"/>
      <c r="Z729" s="2421"/>
      <c r="AA729" s="2421"/>
      <c r="AB729" s="2421"/>
      <c r="AC729" s="536"/>
      <c r="AD729" s="536"/>
      <c r="AE729" s="536"/>
      <c r="AF729" s="2521" t="s">
        <v>1353</v>
      </c>
      <c r="AG729" s="2521"/>
      <c r="AH729" s="2521"/>
      <c r="AI729" s="2521"/>
      <c r="AJ729" s="2521"/>
      <c r="AK729" s="2521"/>
      <c r="AL729" s="2521"/>
      <c r="AM729" s="550"/>
      <c r="AN729" s="684"/>
      <c r="AT729" s="14"/>
      <c r="AU729" s="14"/>
      <c r="AV729" s="14"/>
      <c r="AW729" s="14"/>
      <c r="AX729" s="14"/>
      <c r="AY729" s="14"/>
      <c r="AZ729" s="14"/>
    </row>
    <row r="730" spans="1:81" s="570" customFormat="1">
      <c r="A730" s="550"/>
      <c r="B730" s="536"/>
      <c r="C730" s="933"/>
      <c r="D730" s="663"/>
      <c r="E730" s="2421"/>
      <c r="F730" s="2421"/>
      <c r="G730" s="2421"/>
      <c r="H730" s="2421"/>
      <c r="I730" s="2421"/>
      <c r="J730" s="2421"/>
      <c r="K730" s="2421"/>
      <c r="L730" s="2421"/>
      <c r="M730" s="2421"/>
      <c r="N730" s="2421"/>
      <c r="O730" s="2421"/>
      <c r="P730" s="2421"/>
      <c r="Q730" s="2421"/>
      <c r="R730" s="2421"/>
      <c r="S730" s="2421"/>
      <c r="T730" s="2421"/>
      <c r="U730" s="2421"/>
      <c r="V730" s="2421"/>
      <c r="W730" s="2421"/>
      <c r="X730" s="2421"/>
      <c r="Y730" s="2421"/>
      <c r="Z730" s="2421"/>
      <c r="AA730" s="2421"/>
      <c r="AB730" s="2421"/>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21" t="s">
        <v>1440</v>
      </c>
      <c r="F732" s="2421"/>
      <c r="G732" s="2421"/>
      <c r="H732" s="2421"/>
      <c r="I732" s="2421"/>
      <c r="J732" s="2421"/>
      <c r="K732" s="2421"/>
      <c r="L732" s="2421"/>
      <c r="M732" s="2421"/>
      <c r="N732" s="2421"/>
      <c r="O732" s="2421"/>
      <c r="P732" s="2421"/>
      <c r="Q732" s="2421"/>
      <c r="R732" s="2421"/>
      <c r="S732" s="2421"/>
      <c r="T732" s="2421"/>
      <c r="U732" s="2421"/>
      <c r="V732" s="2421"/>
      <c r="W732" s="2421"/>
      <c r="X732" s="2421"/>
      <c r="Y732" s="2421"/>
      <c r="Z732" s="2421"/>
      <c r="AA732" s="2421"/>
      <c r="AB732" s="2421"/>
      <c r="AC732" s="536"/>
      <c r="AD732" s="536"/>
      <c r="AE732" s="536"/>
      <c r="AF732" s="2521" t="s">
        <v>1409</v>
      </c>
      <c r="AG732" s="2521"/>
      <c r="AH732" s="2521"/>
      <c r="AI732" s="2521"/>
      <c r="AJ732" s="2521"/>
      <c r="AK732" s="2521"/>
      <c r="AL732" s="2521"/>
      <c r="AM732" s="550"/>
      <c r="AN732" s="684"/>
      <c r="AT732" s="14"/>
      <c r="AU732" s="14"/>
      <c r="AV732" s="14"/>
      <c r="AW732" s="14"/>
      <c r="AX732" s="14"/>
      <c r="AY732" s="14"/>
      <c r="AZ732" s="14"/>
    </row>
    <row r="733" spans="1:81" s="570" customFormat="1">
      <c r="A733" s="550"/>
      <c r="B733" s="536"/>
      <c r="C733" s="933"/>
      <c r="D733" s="536"/>
      <c r="E733" s="2421"/>
      <c r="F733" s="2421"/>
      <c r="G733" s="2421"/>
      <c r="H733" s="2421"/>
      <c r="I733" s="2421"/>
      <c r="J733" s="2421"/>
      <c r="K733" s="2421"/>
      <c r="L733" s="2421"/>
      <c r="M733" s="2421"/>
      <c r="N733" s="2421"/>
      <c r="O733" s="2421"/>
      <c r="P733" s="2421"/>
      <c r="Q733" s="2421"/>
      <c r="R733" s="2421"/>
      <c r="S733" s="2421"/>
      <c r="T733" s="2421"/>
      <c r="U733" s="2421"/>
      <c r="V733" s="2421"/>
      <c r="W733" s="2421"/>
      <c r="X733" s="2421"/>
      <c r="Y733" s="2421"/>
      <c r="Z733" s="2421"/>
      <c r="AA733" s="2421"/>
      <c r="AB733" s="2421"/>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445" t="s">
        <v>592</v>
      </c>
      <c r="I735" s="2445"/>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28">
        <f>VLOOKUP($H$735,$AO$666:$AP$668,2,FALSE)</f>
        <v>0</v>
      </c>
      <c r="AK737" s="2430"/>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21" t="s">
        <v>1443</v>
      </c>
      <c r="F741" s="2421"/>
      <c r="G741" s="2421"/>
      <c r="H741" s="2421"/>
      <c r="I741" s="2421"/>
      <c r="J741" s="2421"/>
      <c r="K741" s="2421"/>
      <c r="L741" s="2421"/>
      <c r="M741" s="2421"/>
      <c r="N741" s="2421"/>
      <c r="O741" s="2421"/>
      <c r="P741" s="2421"/>
      <c r="Q741" s="2421"/>
      <c r="R741" s="2421"/>
      <c r="S741" s="2421"/>
      <c r="T741" s="2421"/>
      <c r="U741" s="2421"/>
      <c r="V741" s="2421"/>
      <c r="W741" s="2421"/>
      <c r="X741" s="2421"/>
      <c r="Y741" s="2421"/>
      <c r="Z741" s="2421"/>
      <c r="AA741" s="2421"/>
      <c r="AB741" s="2421"/>
      <c r="AC741" s="536"/>
      <c r="AD741" s="536"/>
      <c r="AE741" s="536"/>
      <c r="AF741" s="2521" t="s">
        <v>1353</v>
      </c>
      <c r="AG741" s="2521"/>
      <c r="AH741" s="2521"/>
      <c r="AI741" s="2521"/>
      <c r="AJ741" s="2521"/>
      <c r="AK741" s="2521"/>
      <c r="AL741" s="2521"/>
      <c r="AM741" s="550"/>
      <c r="AN741" s="684"/>
      <c r="AT741" s="14"/>
      <c r="AU741" s="14"/>
      <c r="AV741" s="14"/>
      <c r="AW741" s="14"/>
      <c r="AX741" s="14"/>
      <c r="AY741" s="14"/>
      <c r="AZ741" s="14"/>
    </row>
    <row r="742" spans="1:81" s="570" customFormat="1">
      <c r="A742" s="550"/>
      <c r="B742" s="536"/>
      <c r="C742" s="931"/>
      <c r="D742" s="663"/>
      <c r="E742" s="2421"/>
      <c r="F742" s="2421"/>
      <c r="G742" s="2421"/>
      <c r="H742" s="2421"/>
      <c r="I742" s="2421"/>
      <c r="J742" s="2421"/>
      <c r="K742" s="2421"/>
      <c r="L742" s="2421"/>
      <c r="M742" s="2421"/>
      <c r="N742" s="2421"/>
      <c r="O742" s="2421"/>
      <c r="P742" s="2421"/>
      <c r="Q742" s="2421"/>
      <c r="R742" s="2421"/>
      <c r="S742" s="2421"/>
      <c r="T742" s="2421"/>
      <c r="U742" s="2421"/>
      <c r="V742" s="2421"/>
      <c r="W742" s="2421"/>
      <c r="X742" s="2421"/>
      <c r="Y742" s="2421"/>
      <c r="Z742" s="2421"/>
      <c r="AA742" s="2421"/>
      <c r="AB742" s="2421"/>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1"/>
      <c r="F743" s="2421"/>
      <c r="G743" s="2421"/>
      <c r="H743" s="2421"/>
      <c r="I743" s="2421"/>
      <c r="J743" s="2421"/>
      <c r="K743" s="2421"/>
      <c r="L743" s="2421"/>
      <c r="M743" s="2421"/>
      <c r="N743" s="2421"/>
      <c r="O743" s="2421"/>
      <c r="P743" s="2421"/>
      <c r="Q743" s="2421"/>
      <c r="R743" s="2421"/>
      <c r="S743" s="2421"/>
      <c r="T743" s="2421"/>
      <c r="U743" s="2421"/>
      <c r="V743" s="2421"/>
      <c r="W743" s="2421"/>
      <c r="X743" s="2421"/>
      <c r="Y743" s="2421"/>
      <c r="Z743" s="2421"/>
      <c r="AA743" s="2421"/>
      <c r="AB743" s="2421"/>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1"/>
      <c r="F744" s="2421"/>
      <c r="G744" s="2421"/>
      <c r="H744" s="2421"/>
      <c r="I744" s="2421"/>
      <c r="J744" s="2421"/>
      <c r="K744" s="2421"/>
      <c r="L744" s="2421"/>
      <c r="M744" s="2421"/>
      <c r="N744" s="2421"/>
      <c r="O744" s="2421"/>
      <c r="P744" s="2421"/>
      <c r="Q744" s="2421"/>
      <c r="R744" s="2421"/>
      <c r="S744" s="2421"/>
      <c r="T744" s="2421"/>
      <c r="U744" s="2421"/>
      <c r="V744" s="2421"/>
      <c r="W744" s="2421"/>
      <c r="X744" s="2421"/>
      <c r="Y744" s="2421"/>
      <c r="Z744" s="2421"/>
      <c r="AA744" s="2421"/>
      <c r="AB744" s="2421"/>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21" t="s">
        <v>1444</v>
      </c>
      <c r="F746" s="2421"/>
      <c r="G746" s="2421"/>
      <c r="H746" s="2421"/>
      <c r="I746" s="2421"/>
      <c r="J746" s="2421"/>
      <c r="K746" s="2421"/>
      <c r="L746" s="2421"/>
      <c r="M746" s="2421"/>
      <c r="N746" s="2421"/>
      <c r="O746" s="2421"/>
      <c r="P746" s="2421"/>
      <c r="Q746" s="2421"/>
      <c r="R746" s="2421"/>
      <c r="S746" s="2421"/>
      <c r="T746" s="2421"/>
      <c r="U746" s="2421"/>
      <c r="V746" s="2421"/>
      <c r="W746" s="2421"/>
      <c r="X746" s="2421"/>
      <c r="Y746" s="2421"/>
      <c r="Z746" s="2421"/>
      <c r="AA746" s="2421"/>
      <c r="AB746" s="575"/>
      <c r="AC746" s="536"/>
      <c r="AD746" s="536"/>
      <c r="AE746" s="536"/>
      <c r="AF746" s="2521" t="s">
        <v>1409</v>
      </c>
      <c r="AG746" s="2521"/>
      <c r="AH746" s="2521"/>
      <c r="AI746" s="2521"/>
      <c r="AJ746" s="2521"/>
      <c r="AK746" s="2521"/>
      <c r="AL746" s="2521"/>
      <c r="AM746" s="550"/>
      <c r="AN746" s="684"/>
      <c r="AO746" s="30"/>
      <c r="AP746" s="14"/>
    </row>
    <row r="747" spans="1:81" s="570" customFormat="1">
      <c r="A747" s="550"/>
      <c r="B747" s="536"/>
      <c r="C747" s="931"/>
      <c r="D747" s="663"/>
      <c r="E747" s="2421"/>
      <c r="F747" s="2421"/>
      <c r="G747" s="2421"/>
      <c r="H747" s="2421"/>
      <c r="I747" s="2421"/>
      <c r="J747" s="2421"/>
      <c r="K747" s="2421"/>
      <c r="L747" s="2421"/>
      <c r="M747" s="2421"/>
      <c r="N747" s="2421"/>
      <c r="O747" s="2421"/>
      <c r="P747" s="2421"/>
      <c r="Q747" s="2421"/>
      <c r="R747" s="2421"/>
      <c r="S747" s="2421"/>
      <c r="T747" s="2421"/>
      <c r="U747" s="2421"/>
      <c r="V747" s="2421"/>
      <c r="W747" s="2421"/>
      <c r="X747" s="2421"/>
      <c r="Y747" s="2421"/>
      <c r="Z747" s="2421"/>
      <c r="AA747" s="2421"/>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1"/>
      <c r="F748" s="2421"/>
      <c r="G748" s="2421"/>
      <c r="H748" s="2421"/>
      <c r="I748" s="2421"/>
      <c r="J748" s="2421"/>
      <c r="K748" s="2421"/>
      <c r="L748" s="2421"/>
      <c r="M748" s="2421"/>
      <c r="N748" s="2421"/>
      <c r="O748" s="2421"/>
      <c r="P748" s="2421"/>
      <c r="Q748" s="2421"/>
      <c r="R748" s="2421"/>
      <c r="S748" s="2421"/>
      <c r="T748" s="2421"/>
      <c r="U748" s="2421"/>
      <c r="V748" s="2421"/>
      <c r="W748" s="2421"/>
      <c r="X748" s="2421"/>
      <c r="Y748" s="2421"/>
      <c r="Z748" s="2421"/>
      <c r="AA748" s="2421"/>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1"/>
      <c r="F749" s="2421"/>
      <c r="G749" s="2421"/>
      <c r="H749" s="2421"/>
      <c r="I749" s="2421"/>
      <c r="J749" s="2421"/>
      <c r="K749" s="2421"/>
      <c r="L749" s="2421"/>
      <c r="M749" s="2421"/>
      <c r="N749" s="2421"/>
      <c r="O749" s="2421"/>
      <c r="P749" s="2421"/>
      <c r="Q749" s="2421"/>
      <c r="R749" s="2421"/>
      <c r="S749" s="2421"/>
      <c r="T749" s="2421"/>
      <c r="U749" s="2421"/>
      <c r="V749" s="2421"/>
      <c r="W749" s="2421"/>
      <c r="X749" s="2421"/>
      <c r="Y749" s="2421"/>
      <c r="Z749" s="2421"/>
      <c r="AA749" s="2421"/>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445" t="s">
        <v>688</v>
      </c>
      <c r="I751" s="2445"/>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28">
        <f>VLOOKUP($H$751,$AO$680:$AP$682,2,FALSE)</f>
        <v>3</v>
      </c>
      <c r="AK753" s="2430"/>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21" t="s">
        <v>1446</v>
      </c>
      <c r="F757" s="2421"/>
      <c r="G757" s="2421"/>
      <c r="H757" s="2421"/>
      <c r="I757" s="2421"/>
      <c r="J757" s="2421"/>
      <c r="K757" s="2421"/>
      <c r="L757" s="2421"/>
      <c r="M757" s="2421"/>
      <c r="N757" s="2421"/>
      <c r="O757" s="2421"/>
      <c r="P757" s="2421"/>
      <c r="Q757" s="2421"/>
      <c r="R757" s="2421"/>
      <c r="S757" s="2421"/>
      <c r="T757" s="2421"/>
      <c r="U757" s="2421"/>
      <c r="V757" s="2421"/>
      <c r="W757" s="2421"/>
      <c r="X757" s="2421"/>
      <c r="Y757" s="2421"/>
      <c r="Z757" s="2421"/>
      <c r="AA757" s="2421"/>
      <c r="AB757" s="2421"/>
      <c r="AC757" s="536"/>
      <c r="AD757" s="536"/>
      <c r="AE757" s="536"/>
      <c r="AF757" s="2521" t="s">
        <v>1409</v>
      </c>
      <c r="AG757" s="2521"/>
      <c r="AH757" s="2521"/>
      <c r="AI757" s="2521"/>
      <c r="AJ757" s="2521"/>
      <c r="AK757" s="2521"/>
      <c r="AL757" s="2521"/>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1"/>
      <c r="F758" s="2421"/>
      <c r="G758" s="2421"/>
      <c r="H758" s="2421"/>
      <c r="I758" s="2421"/>
      <c r="J758" s="2421"/>
      <c r="K758" s="2421"/>
      <c r="L758" s="2421"/>
      <c r="M758" s="2421"/>
      <c r="N758" s="2421"/>
      <c r="O758" s="2421"/>
      <c r="P758" s="2421"/>
      <c r="Q758" s="2421"/>
      <c r="R758" s="2421"/>
      <c r="S758" s="2421"/>
      <c r="T758" s="2421"/>
      <c r="U758" s="2421"/>
      <c r="V758" s="2421"/>
      <c r="W758" s="2421"/>
      <c r="X758" s="2421"/>
      <c r="Y758" s="2421"/>
      <c r="Z758" s="2421"/>
      <c r="AA758" s="2421"/>
      <c r="AB758" s="2421"/>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21" t="s">
        <v>1447</v>
      </c>
      <c r="F760" s="2421"/>
      <c r="G760" s="2421"/>
      <c r="H760" s="2421"/>
      <c r="I760" s="2421"/>
      <c r="J760" s="2421"/>
      <c r="K760" s="2421"/>
      <c r="L760" s="2421"/>
      <c r="M760" s="2421"/>
      <c r="N760" s="2421"/>
      <c r="O760" s="2421"/>
      <c r="P760" s="2421"/>
      <c r="Q760" s="2421"/>
      <c r="R760" s="2421"/>
      <c r="S760" s="2421"/>
      <c r="T760" s="2421"/>
      <c r="U760" s="2421"/>
      <c r="V760" s="2421"/>
      <c r="W760" s="2421"/>
      <c r="X760" s="2421"/>
      <c r="Y760" s="2421"/>
      <c r="Z760" s="2421"/>
      <c r="AA760" s="2421"/>
      <c r="AB760" s="2421"/>
      <c r="AC760" s="536"/>
      <c r="AD760" s="536"/>
      <c r="AE760" s="536"/>
      <c r="AF760" s="2521" t="s">
        <v>1426</v>
      </c>
      <c r="AG760" s="2521"/>
      <c r="AH760" s="2521"/>
      <c r="AI760" s="2521"/>
      <c r="AJ760" s="2521"/>
      <c r="AK760" s="2521"/>
      <c r="AL760" s="2521"/>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1"/>
      <c r="F761" s="2421"/>
      <c r="G761" s="2421"/>
      <c r="H761" s="2421"/>
      <c r="I761" s="2421"/>
      <c r="J761" s="2421"/>
      <c r="K761" s="2421"/>
      <c r="L761" s="2421"/>
      <c r="M761" s="2421"/>
      <c r="N761" s="2421"/>
      <c r="O761" s="2421"/>
      <c r="P761" s="2421"/>
      <c r="Q761" s="2421"/>
      <c r="R761" s="2421"/>
      <c r="S761" s="2421"/>
      <c r="T761" s="2421"/>
      <c r="U761" s="2421"/>
      <c r="V761" s="2421"/>
      <c r="W761" s="2421"/>
      <c r="X761" s="2421"/>
      <c r="Y761" s="2421"/>
      <c r="Z761" s="2421"/>
      <c r="AA761" s="2421"/>
      <c r="AB761" s="2421"/>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445" t="s">
        <v>510</v>
      </c>
      <c r="I763" s="2445"/>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28">
        <f>VLOOKUP($H$763,$AO$697:$AP$699,2,FALSE)</f>
        <v>1</v>
      </c>
      <c r="AK765" s="2430"/>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21" t="s">
        <v>1693</v>
      </c>
      <c r="F769" s="2421"/>
      <c r="G769" s="2421"/>
      <c r="H769" s="2421"/>
      <c r="I769" s="2421"/>
      <c r="J769" s="2421"/>
      <c r="K769" s="2421"/>
      <c r="L769" s="2421"/>
      <c r="M769" s="2421"/>
      <c r="N769" s="2421"/>
      <c r="O769" s="2421"/>
      <c r="P769" s="2421"/>
      <c r="Q769" s="2421"/>
      <c r="R769" s="2421"/>
      <c r="S769" s="2421"/>
      <c r="T769" s="2421"/>
      <c r="U769" s="2421"/>
      <c r="V769" s="2421"/>
      <c r="W769" s="2421"/>
      <c r="X769" s="2421"/>
      <c r="Y769" s="2421"/>
      <c r="Z769" s="2421"/>
      <c r="AA769" s="2421"/>
      <c r="AB769" s="2421"/>
      <c r="AC769" s="2421"/>
      <c r="AD769" s="2421"/>
      <c r="AE769" s="536"/>
      <c r="AF769" s="2521" t="s">
        <v>1409</v>
      </c>
      <c r="AG769" s="2521"/>
      <c r="AH769" s="2521"/>
      <c r="AI769" s="2521"/>
      <c r="AJ769" s="2521"/>
      <c r="AK769" s="2521"/>
      <c r="AL769" s="2521"/>
      <c r="AM769" s="613"/>
      <c r="AN769" s="684"/>
      <c r="AO769" s="550" t="s">
        <v>592</v>
      </c>
      <c r="AP769" s="673">
        <v>0</v>
      </c>
    </row>
    <row r="770" spans="1:81" s="570" customFormat="1" ht="13.7" customHeight="1">
      <c r="A770" s="550"/>
      <c r="B770" s="616"/>
      <c r="C770" s="940"/>
      <c r="D770" s="663"/>
      <c r="E770" s="2421"/>
      <c r="F770" s="2421"/>
      <c r="G770" s="2421"/>
      <c r="H770" s="2421"/>
      <c r="I770" s="2421"/>
      <c r="J770" s="2421"/>
      <c r="K770" s="2421"/>
      <c r="L770" s="2421"/>
      <c r="M770" s="2421"/>
      <c r="N770" s="2421"/>
      <c r="O770" s="2421"/>
      <c r="P770" s="2421"/>
      <c r="Q770" s="2421"/>
      <c r="R770" s="2421"/>
      <c r="S770" s="2421"/>
      <c r="T770" s="2421"/>
      <c r="U770" s="2421"/>
      <c r="V770" s="2421"/>
      <c r="W770" s="2421"/>
      <c r="X770" s="2421"/>
      <c r="Y770" s="2421"/>
      <c r="Z770" s="2421"/>
      <c r="AA770" s="2421"/>
      <c r="AB770" s="2421"/>
      <c r="AC770" s="2421"/>
      <c r="AD770" s="2421"/>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21"/>
      <c r="F771" s="2421"/>
      <c r="G771" s="2421"/>
      <c r="H771" s="2421"/>
      <c r="I771" s="2421"/>
      <c r="J771" s="2421"/>
      <c r="K771" s="2421"/>
      <c r="L771" s="2421"/>
      <c r="M771" s="2421"/>
      <c r="N771" s="2421"/>
      <c r="O771" s="2421"/>
      <c r="P771" s="2421"/>
      <c r="Q771" s="2421"/>
      <c r="R771" s="2421"/>
      <c r="S771" s="2421"/>
      <c r="T771" s="2421"/>
      <c r="U771" s="2421"/>
      <c r="V771" s="2421"/>
      <c r="W771" s="2421"/>
      <c r="X771" s="2421"/>
      <c r="Y771" s="2421"/>
      <c r="Z771" s="2421"/>
      <c r="AA771" s="2421"/>
      <c r="AB771" s="2421"/>
      <c r="AC771" s="2421"/>
      <c r="AD771" s="2421"/>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21"/>
      <c r="F772" s="2421"/>
      <c r="G772" s="2421"/>
      <c r="H772" s="2421"/>
      <c r="I772" s="2421"/>
      <c r="J772" s="2421"/>
      <c r="K772" s="2421"/>
      <c r="L772" s="2421"/>
      <c r="M772" s="2421"/>
      <c r="N772" s="2421"/>
      <c r="O772" s="2421"/>
      <c r="P772" s="2421"/>
      <c r="Q772" s="2421"/>
      <c r="R772" s="2421"/>
      <c r="S772" s="2421"/>
      <c r="T772" s="2421"/>
      <c r="U772" s="2421"/>
      <c r="V772" s="2421"/>
      <c r="W772" s="2421"/>
      <c r="X772" s="2421"/>
      <c r="Y772" s="2421"/>
      <c r="Z772" s="2421"/>
      <c r="AA772" s="2421"/>
      <c r="AB772" s="2421"/>
      <c r="AC772" s="2421"/>
      <c r="AD772" s="2421"/>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2" t="s">
        <v>1698</v>
      </c>
      <c r="F774" s="2532"/>
      <c r="G774" s="2532"/>
      <c r="H774" s="2532"/>
      <c r="I774" s="2532"/>
      <c r="J774" s="2532"/>
      <c r="K774" s="2532"/>
      <c r="L774" s="2532"/>
      <c r="M774" s="2532"/>
      <c r="N774" s="2532"/>
      <c r="O774" s="2532"/>
      <c r="P774" s="2532"/>
      <c r="Q774" s="2532"/>
      <c r="R774" s="2532"/>
      <c r="S774" s="2532"/>
      <c r="T774" s="2532"/>
      <c r="U774" s="2532"/>
      <c r="V774" s="2532"/>
      <c r="W774" s="2532"/>
      <c r="X774" s="2532"/>
      <c r="Y774" s="2532"/>
      <c r="Z774" s="2532"/>
      <c r="AA774" s="2532"/>
      <c r="AB774" s="2532"/>
      <c r="AC774" s="2532"/>
      <c r="AD774" s="2532"/>
      <c r="AE774" s="536"/>
      <c r="AF774" s="2521" t="s">
        <v>1353</v>
      </c>
      <c r="AG774" s="2521"/>
      <c r="AH774" s="2521"/>
      <c r="AI774" s="2521"/>
      <c r="AJ774" s="2521"/>
      <c r="AK774" s="2521"/>
      <c r="AL774" s="2521"/>
      <c r="AM774" s="613"/>
      <c r="AN774" s="597"/>
    </row>
    <row r="775" spans="1:81" s="550" customFormat="1" ht="12.75" customHeight="1">
      <c r="B775" s="616"/>
      <c r="C775" s="940"/>
      <c r="D775" s="663"/>
      <c r="E775" s="2532"/>
      <c r="F775" s="2532"/>
      <c r="G775" s="2532"/>
      <c r="H775" s="2532"/>
      <c r="I775" s="2532"/>
      <c r="J775" s="2532"/>
      <c r="K775" s="2532"/>
      <c r="L775" s="2532"/>
      <c r="M775" s="2532"/>
      <c r="N775" s="2532"/>
      <c r="O775" s="2532"/>
      <c r="P775" s="2532"/>
      <c r="Q775" s="2532"/>
      <c r="R775" s="2532"/>
      <c r="S775" s="2532"/>
      <c r="T775" s="2532"/>
      <c r="U775" s="2532"/>
      <c r="V775" s="2532"/>
      <c r="W775" s="2532"/>
      <c r="X775" s="2532"/>
      <c r="Y775" s="2532"/>
      <c r="Z775" s="2532"/>
      <c r="AA775" s="2532"/>
      <c r="AB775" s="2532"/>
      <c r="AC775" s="2532"/>
      <c r="AD775" s="2532"/>
      <c r="AE775" s="594"/>
      <c r="AF775" s="594"/>
      <c r="AG775" s="594"/>
      <c r="AH775" s="594"/>
      <c r="AI775" s="594"/>
      <c r="AJ775" s="594"/>
      <c r="AK775" s="594"/>
      <c r="AL775" s="594"/>
      <c r="AM775" s="613"/>
      <c r="AN775" s="597"/>
    </row>
    <row r="776" spans="1:81" s="550" customFormat="1" ht="12.75" customHeight="1">
      <c r="B776" s="616"/>
      <c r="C776" s="940"/>
      <c r="D776" s="663"/>
      <c r="E776" s="2532"/>
      <c r="F776" s="2532"/>
      <c r="G776" s="2532"/>
      <c r="H776" s="2532"/>
      <c r="I776" s="2532"/>
      <c r="J776" s="2532"/>
      <c r="K776" s="2532"/>
      <c r="L776" s="2532"/>
      <c r="M776" s="2532"/>
      <c r="N776" s="2532"/>
      <c r="O776" s="2532"/>
      <c r="P776" s="2532"/>
      <c r="Q776" s="2532"/>
      <c r="R776" s="2532"/>
      <c r="S776" s="2532"/>
      <c r="T776" s="2532"/>
      <c r="U776" s="2532"/>
      <c r="V776" s="2532"/>
      <c r="W776" s="2532"/>
      <c r="X776" s="2532"/>
      <c r="Y776" s="2532"/>
      <c r="Z776" s="2532"/>
      <c r="AA776" s="2532"/>
      <c r="AB776" s="2532"/>
      <c r="AC776" s="2532"/>
      <c r="AD776" s="2532"/>
      <c r="AE776" s="594"/>
      <c r="AF776" s="594"/>
      <c r="AG776" s="594"/>
      <c r="AH776" s="594"/>
      <c r="AI776" s="594"/>
      <c r="AJ776" s="594"/>
      <c r="AK776" s="594"/>
      <c r="AL776" s="594"/>
      <c r="AM776" s="613"/>
      <c r="AN776" s="597"/>
    </row>
    <row r="777" spans="1:81" s="550" customFormat="1" ht="12.75" customHeight="1">
      <c r="B777" s="616"/>
      <c r="C777" s="940"/>
      <c r="D777" s="663"/>
      <c r="E777" s="2532"/>
      <c r="F777" s="2532"/>
      <c r="G777" s="2532"/>
      <c r="H777" s="2532"/>
      <c r="I777" s="2532"/>
      <c r="J777" s="2532"/>
      <c r="K777" s="2532"/>
      <c r="L777" s="2532"/>
      <c r="M777" s="2532"/>
      <c r="N777" s="2532"/>
      <c r="O777" s="2532"/>
      <c r="P777" s="2532"/>
      <c r="Q777" s="2532"/>
      <c r="R777" s="2532"/>
      <c r="S777" s="2532"/>
      <c r="T777" s="2532"/>
      <c r="U777" s="2532"/>
      <c r="V777" s="2532"/>
      <c r="W777" s="2532"/>
      <c r="X777" s="2532"/>
      <c r="Y777" s="2532"/>
      <c r="Z777" s="2532"/>
      <c r="AA777" s="2532"/>
      <c r="AB777" s="2532"/>
      <c r="AC777" s="2532"/>
      <c r="AD777" s="2532"/>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445" t="s">
        <v>592</v>
      </c>
      <c r="I779" s="2445"/>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28">
        <f>VLOOKUP($H$779,$AO$769:$AP$771,2,FALSE)</f>
        <v>0</v>
      </c>
      <c r="AK781" s="2430"/>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21" t="s">
        <v>2033</v>
      </c>
      <c r="F785" s="2421"/>
      <c r="G785" s="2421"/>
      <c r="H785" s="2421"/>
      <c r="I785" s="2421"/>
      <c r="J785" s="2421"/>
      <c r="K785" s="2421"/>
      <c r="L785" s="2421"/>
      <c r="M785" s="2421"/>
      <c r="N785" s="2421"/>
      <c r="O785" s="2421"/>
      <c r="P785" s="2421"/>
      <c r="Q785" s="2421"/>
      <c r="R785" s="2421"/>
      <c r="S785" s="2421"/>
      <c r="T785" s="2421"/>
      <c r="U785" s="2421"/>
      <c r="V785" s="2421"/>
      <c r="W785" s="2421"/>
      <c r="X785" s="2421"/>
      <c r="Y785" s="2421"/>
      <c r="Z785" s="2421"/>
      <c r="AA785" s="2421"/>
      <c r="AB785" s="2421"/>
      <c r="AC785" s="2421"/>
      <c r="AD785" s="2421"/>
      <c r="AE785" s="536"/>
      <c r="AF785" s="2521" t="s">
        <v>1353</v>
      </c>
      <c r="AG785" s="2521"/>
      <c r="AH785" s="2521"/>
      <c r="AI785" s="2521"/>
      <c r="AJ785" s="2521"/>
      <c r="AK785" s="2521"/>
      <c r="AL785" s="2521"/>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21"/>
      <c r="F786" s="2421"/>
      <c r="G786" s="2421"/>
      <c r="H786" s="2421"/>
      <c r="I786" s="2421"/>
      <c r="J786" s="2421"/>
      <c r="K786" s="2421"/>
      <c r="L786" s="2421"/>
      <c r="M786" s="2421"/>
      <c r="N786" s="2421"/>
      <c r="O786" s="2421"/>
      <c r="P786" s="2421"/>
      <c r="Q786" s="2421"/>
      <c r="R786" s="2421"/>
      <c r="S786" s="2421"/>
      <c r="T786" s="2421"/>
      <c r="U786" s="2421"/>
      <c r="V786" s="2421"/>
      <c r="W786" s="2421"/>
      <c r="X786" s="2421"/>
      <c r="Y786" s="2421"/>
      <c r="Z786" s="2421"/>
      <c r="AA786" s="2421"/>
      <c r="AB786" s="2421"/>
      <c r="AC786" s="2421"/>
      <c r="AD786" s="2421"/>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1"/>
      <c r="F787" s="2421"/>
      <c r="G787" s="2421"/>
      <c r="H787" s="2421"/>
      <c r="I787" s="2421"/>
      <c r="J787" s="2421"/>
      <c r="K787" s="2421"/>
      <c r="L787" s="2421"/>
      <c r="M787" s="2421"/>
      <c r="N787" s="2421"/>
      <c r="O787" s="2421"/>
      <c r="P787" s="2421"/>
      <c r="Q787" s="2421"/>
      <c r="R787" s="2421"/>
      <c r="S787" s="2421"/>
      <c r="T787" s="2421"/>
      <c r="U787" s="2421"/>
      <c r="V787" s="2421"/>
      <c r="W787" s="2421"/>
      <c r="X787" s="2421"/>
      <c r="Y787" s="2421"/>
      <c r="Z787" s="2421"/>
      <c r="AA787" s="2421"/>
      <c r="AB787" s="2421"/>
      <c r="AC787" s="2421"/>
      <c r="AD787" s="2421"/>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1"/>
      <c r="F788" s="2421"/>
      <c r="G788" s="2421"/>
      <c r="H788" s="2421"/>
      <c r="I788" s="2421"/>
      <c r="J788" s="2421"/>
      <c r="K788" s="2421"/>
      <c r="L788" s="2421"/>
      <c r="M788" s="2421"/>
      <c r="N788" s="2421"/>
      <c r="O788" s="2421"/>
      <c r="P788" s="2421"/>
      <c r="Q788" s="2421"/>
      <c r="R788" s="2421"/>
      <c r="S788" s="2421"/>
      <c r="T788" s="2421"/>
      <c r="U788" s="2421"/>
      <c r="V788" s="2421"/>
      <c r="W788" s="2421"/>
      <c r="X788" s="2421"/>
      <c r="Y788" s="2421"/>
      <c r="Z788" s="2421"/>
      <c r="AA788" s="2421"/>
      <c r="AB788" s="2421"/>
      <c r="AC788" s="2421"/>
      <c r="AD788" s="2421"/>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445" t="s">
        <v>546</v>
      </c>
      <c r="I790" s="2445"/>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28">
        <f>VLOOKUP($H$790,$AO$784:$AP$785,2,FALSE)</f>
        <v>3</v>
      </c>
      <c r="AK792" s="2430"/>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28">
        <f>IF(($AJ$621+$AJ$640+$AJ$652+$AJ$687+$AJ$711+$AJ$725+$AJ$737+$AJ$753+$AJ$765+$AJ$781+AJ792)&gt;10,10,($AJ$621+$AJ$640+$AJ$652+$AJ$687+$AJ$711+$AJ$725+$AJ$737+$AJ$753+$AJ$765+$AJ$781+AJ792))</f>
        <v>10</v>
      </c>
      <c r="AL794" s="2429"/>
      <c r="AM794" s="2430"/>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2" t="s">
        <v>1569</v>
      </c>
      <c r="B797" s="2513"/>
      <c r="C797" s="2513"/>
      <c r="D797" s="2513"/>
      <c r="E797" s="2513"/>
      <c r="F797" s="2513"/>
      <c r="G797" s="2513"/>
      <c r="H797" s="2513"/>
      <c r="I797" s="2513"/>
      <c r="J797" s="2513"/>
      <c r="K797" s="2513"/>
      <c r="L797" s="2513"/>
      <c r="M797" s="2513"/>
      <c r="N797" s="2513"/>
      <c r="O797" s="2513"/>
      <c r="P797" s="2513"/>
      <c r="Q797" s="2513"/>
      <c r="R797" s="2513"/>
      <c r="S797" s="2513"/>
      <c r="T797" s="2513"/>
      <c r="U797" s="2513"/>
      <c r="V797" s="2513"/>
      <c r="W797" s="2513"/>
      <c r="X797" s="2513"/>
      <c r="Y797" s="2513"/>
      <c r="Z797" s="2513"/>
      <c r="AA797" s="2513"/>
      <c r="AB797" s="2513"/>
      <c r="AC797" s="2513"/>
      <c r="AD797" s="2513"/>
      <c r="AE797" s="2513"/>
      <c r="AF797" s="2513"/>
      <c r="AG797" s="2513"/>
      <c r="AH797" s="2513"/>
      <c r="AI797" s="2513"/>
      <c r="AJ797" s="2513"/>
      <c r="AK797" s="2513"/>
      <c r="AL797" s="2513"/>
      <c r="AM797" s="2513"/>
    </row>
    <row r="798" spans="1:81">
      <c r="A798" s="2514"/>
      <c r="B798" s="2514"/>
      <c r="C798" s="2514"/>
      <c r="D798" s="2514"/>
      <c r="E798" s="2514"/>
      <c r="F798" s="2514"/>
      <c r="G798" s="2514"/>
      <c r="H798" s="2514"/>
      <c r="I798" s="2514"/>
      <c r="J798" s="2514"/>
      <c r="K798" s="2514"/>
      <c r="L798" s="2514"/>
      <c r="M798" s="2514"/>
      <c r="N798" s="2514"/>
      <c r="O798" s="2514"/>
      <c r="P798" s="2514"/>
      <c r="Q798" s="2514"/>
      <c r="R798" s="2514"/>
      <c r="S798" s="2514"/>
      <c r="T798" s="2514"/>
      <c r="U798" s="2514"/>
      <c r="V798" s="2514"/>
      <c r="W798" s="2514"/>
      <c r="X798" s="2514"/>
      <c r="Y798" s="2514"/>
      <c r="Z798" s="2514"/>
      <c r="AA798" s="2514"/>
      <c r="AB798" s="2514"/>
      <c r="AC798" s="2514"/>
      <c r="AD798" s="2514"/>
      <c r="AE798" s="2514"/>
      <c r="AF798" s="2514"/>
      <c r="AG798" s="2514"/>
      <c r="AH798" s="2514"/>
      <c r="AI798" s="2514"/>
      <c r="AJ798" s="2514"/>
      <c r="AK798" s="2514"/>
      <c r="AL798" s="2514"/>
      <c r="AM798" s="2514"/>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3"/>
      <c r="B800" s="2443"/>
      <c r="C800" s="2443"/>
      <c r="D800" s="2443"/>
      <c r="E800" s="2443"/>
      <c r="F800" s="2443"/>
      <c r="G800" s="2443"/>
      <c r="H800" s="2443"/>
      <c r="I800" s="2443"/>
      <c r="J800" s="2443"/>
      <c r="K800" s="2443"/>
      <c r="L800" s="2443"/>
      <c r="M800" s="2443"/>
      <c r="N800" s="2443"/>
      <c r="O800" s="2443"/>
      <c r="P800" s="2443"/>
      <c r="Q800" s="2443"/>
      <c r="R800" s="2443"/>
      <c r="S800" s="2443"/>
      <c r="T800" s="2443"/>
      <c r="U800" s="2443"/>
      <c r="V800" s="2443"/>
      <c r="W800" s="2443"/>
      <c r="X800" s="2443"/>
      <c r="Y800" s="2443"/>
      <c r="Z800" s="2443"/>
      <c r="AA800" s="2443"/>
      <c r="AB800" s="2443"/>
      <c r="AC800" s="2443"/>
      <c r="AD800" s="2443"/>
      <c r="AE800" s="2443"/>
      <c r="AF800" s="2443"/>
      <c r="AG800" s="2443"/>
      <c r="AH800" s="2443"/>
      <c r="AI800" s="2443"/>
      <c r="AJ800" s="2443"/>
      <c r="AK800" s="2443"/>
      <c r="AL800" s="2443"/>
      <c r="AM800" s="2443"/>
      <c r="AP800" s="816"/>
      <c r="AQ800" s="816"/>
    </row>
    <row r="801" spans="1:81">
      <c r="A801" s="2443"/>
      <c r="B801" s="2443"/>
      <c r="C801" s="2443"/>
      <c r="D801" s="2443"/>
      <c r="E801" s="2443"/>
      <c r="F801" s="2443"/>
      <c r="G801" s="2443"/>
      <c r="H801" s="2443"/>
      <c r="I801" s="2443"/>
      <c r="J801" s="2443"/>
      <c r="K801" s="2443"/>
      <c r="L801" s="2443"/>
      <c r="M801" s="2443"/>
      <c r="N801" s="2443"/>
      <c r="O801" s="2443"/>
      <c r="P801" s="2443"/>
      <c r="Q801" s="2443"/>
      <c r="R801" s="2443"/>
      <c r="S801" s="2443"/>
      <c r="T801" s="2443"/>
      <c r="U801" s="2443"/>
      <c r="V801" s="2443"/>
      <c r="W801" s="2443"/>
      <c r="X801" s="2443"/>
      <c r="Y801" s="2443"/>
      <c r="Z801" s="2443"/>
      <c r="AA801" s="2443"/>
      <c r="AB801" s="2443"/>
      <c r="AC801" s="2443"/>
      <c r="AD801" s="2443"/>
      <c r="AE801" s="2443"/>
      <c r="AF801" s="2443"/>
      <c r="AG801" s="2443"/>
      <c r="AH801" s="2443"/>
      <c r="AI801" s="2443"/>
      <c r="AJ801" s="2443"/>
      <c r="AK801" s="2443"/>
      <c r="AL801" s="2443"/>
      <c r="AM801" s="2443"/>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5" t="s">
        <v>1570</v>
      </c>
      <c r="U802" s="2516"/>
      <c r="V802" s="2516"/>
      <c r="W802" s="2516"/>
      <c r="X802" s="2516"/>
      <c r="Y802" s="2517"/>
      <c r="Z802" s="2515" t="s">
        <v>1571</v>
      </c>
      <c r="AA802" s="2516"/>
      <c r="AB802" s="2516"/>
      <c r="AC802" s="2516"/>
      <c r="AD802" s="2516"/>
      <c r="AE802" s="2517"/>
      <c r="AF802" s="2515" t="s">
        <v>1572</v>
      </c>
      <c r="AG802" s="2516"/>
      <c r="AH802" s="2516"/>
      <c r="AI802" s="2516"/>
      <c r="AJ802" s="2516"/>
      <c r="AK802" s="2517"/>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8"/>
      <c r="U803" s="2519"/>
      <c r="V803" s="2519"/>
      <c r="W803" s="2519"/>
      <c r="X803" s="2519"/>
      <c r="Y803" s="2520"/>
      <c r="Z803" s="2518"/>
      <c r="AA803" s="2519"/>
      <c r="AB803" s="2519"/>
      <c r="AC803" s="2519"/>
      <c r="AD803" s="2519"/>
      <c r="AE803" s="2520"/>
      <c r="AF803" s="2518"/>
      <c r="AG803" s="2519"/>
      <c r="AH803" s="2519"/>
      <c r="AI803" s="2519"/>
      <c r="AJ803" s="2519"/>
      <c r="AK803" s="2520"/>
      <c r="AL803" s="818"/>
      <c r="AM803" s="596"/>
      <c r="AO803" s="816"/>
      <c r="AP803" s="816"/>
      <c r="AQ803" s="816"/>
    </row>
    <row r="804" spans="1:81">
      <c r="A804" s="819" t="s">
        <v>758</v>
      </c>
      <c r="B804" s="2472" t="s">
        <v>1305</v>
      </c>
      <c r="C804" s="2472"/>
      <c r="D804" s="2472"/>
      <c r="E804" s="2472"/>
      <c r="F804" s="2472"/>
      <c r="G804" s="2472"/>
      <c r="H804" s="2472"/>
      <c r="I804" s="2472"/>
      <c r="J804" s="2472"/>
      <c r="K804" s="2472"/>
      <c r="L804" s="2472"/>
      <c r="M804" s="2472"/>
      <c r="N804" s="2472"/>
      <c r="O804" s="2472"/>
      <c r="P804" s="2472"/>
      <c r="Q804" s="2472"/>
      <c r="R804" s="2472"/>
      <c r="S804" s="2473"/>
      <c r="T804" s="2500">
        <f>AK62</f>
        <v>0</v>
      </c>
      <c r="U804" s="2476"/>
      <c r="V804" s="2476"/>
      <c r="W804" s="2476"/>
      <c r="X804" s="2476"/>
      <c r="Y804" s="2477"/>
      <c r="Z804" s="2475">
        <v>20</v>
      </c>
      <c r="AA804" s="2476"/>
      <c r="AB804" s="2476"/>
      <c r="AC804" s="2476"/>
      <c r="AD804" s="2476"/>
      <c r="AE804" s="2477"/>
      <c r="AF804" s="2440">
        <f>IF(T804&gt;Z804,Z804,T804)</f>
        <v>0</v>
      </c>
      <c r="AG804" s="2440"/>
      <c r="AH804" s="2440"/>
      <c r="AI804" s="2440"/>
      <c r="AJ804" s="2440"/>
      <c r="AK804" s="2440"/>
      <c r="AL804" s="818"/>
      <c r="AM804" s="596"/>
      <c r="AO804" s="816"/>
      <c r="AP804" s="816"/>
      <c r="AQ804" s="816"/>
    </row>
    <row r="805" spans="1:81">
      <c r="A805" s="819" t="s">
        <v>1542</v>
      </c>
      <c r="B805" s="2472" t="s">
        <v>1314</v>
      </c>
      <c r="C805" s="2472"/>
      <c r="D805" s="2472"/>
      <c r="E805" s="2472"/>
      <c r="F805" s="2472"/>
      <c r="G805" s="2472"/>
      <c r="H805" s="2472"/>
      <c r="I805" s="2472"/>
      <c r="J805" s="2472"/>
      <c r="K805" s="2472"/>
      <c r="L805" s="2472"/>
      <c r="M805" s="2472"/>
      <c r="N805" s="2472"/>
      <c r="O805" s="2472"/>
      <c r="P805" s="2472"/>
      <c r="Q805" s="2472"/>
      <c r="R805" s="2472"/>
      <c r="S805" s="2473"/>
      <c r="T805" s="2500">
        <f>AK84</f>
        <v>10</v>
      </c>
      <c r="U805" s="2476"/>
      <c r="V805" s="2476"/>
      <c r="W805" s="2476"/>
      <c r="X805" s="2476"/>
      <c r="Y805" s="2477"/>
      <c r="Z805" s="2475">
        <v>10</v>
      </c>
      <c r="AA805" s="2476"/>
      <c r="AB805" s="2476"/>
      <c r="AC805" s="2476"/>
      <c r="AD805" s="2476"/>
      <c r="AE805" s="2477"/>
      <c r="AF805" s="2440">
        <f>IF(T805&gt;Z805,Z805,T805)</f>
        <v>10</v>
      </c>
      <c r="AG805" s="2440"/>
      <c r="AH805" s="2440"/>
      <c r="AI805" s="2440"/>
      <c r="AJ805" s="2440"/>
      <c r="AK805" s="2440"/>
      <c r="AL805" s="818"/>
      <c r="AM805" s="596"/>
      <c r="AO805" s="816"/>
      <c r="AP805" s="816"/>
      <c r="AQ805" s="816"/>
    </row>
    <row r="806" spans="1:81">
      <c r="A806" s="819" t="s">
        <v>1551</v>
      </c>
      <c r="B806" s="2472" t="s">
        <v>1324</v>
      </c>
      <c r="C806" s="2472"/>
      <c r="D806" s="2472"/>
      <c r="E806" s="2472"/>
      <c r="F806" s="2472"/>
      <c r="G806" s="2472"/>
      <c r="H806" s="2472"/>
      <c r="I806" s="2472"/>
      <c r="J806" s="2472"/>
      <c r="K806" s="2472"/>
      <c r="L806" s="2472"/>
      <c r="M806" s="2472"/>
      <c r="N806" s="2472"/>
      <c r="O806" s="2472"/>
      <c r="P806" s="2472"/>
      <c r="Q806" s="2472"/>
      <c r="R806" s="2472"/>
      <c r="S806" s="2473"/>
      <c r="T806" s="2500">
        <f ca="1">AK109</f>
        <v>20</v>
      </c>
      <c r="U806" s="2476"/>
      <c r="V806" s="2476"/>
      <c r="W806" s="2476"/>
      <c r="X806" s="2476"/>
      <c r="Y806" s="2477"/>
      <c r="Z806" s="2475">
        <v>20</v>
      </c>
      <c r="AA806" s="2476"/>
      <c r="AB806" s="2476"/>
      <c r="AC806" s="2476"/>
      <c r="AD806" s="2476"/>
      <c r="AE806" s="2477"/>
      <c r="AF806" s="2440">
        <f ca="1">IF(T806&gt;Z806,Z806,T806)</f>
        <v>20</v>
      </c>
      <c r="AG806" s="2440"/>
      <c r="AH806" s="2440"/>
      <c r="AI806" s="2440"/>
      <c r="AJ806" s="2440"/>
      <c r="AK806" s="2440"/>
      <c r="AL806" s="818"/>
      <c r="AM806" s="596"/>
      <c r="AO806" s="816"/>
      <c r="AP806" s="816"/>
      <c r="AQ806" s="816"/>
    </row>
    <row r="807" spans="1:81">
      <c r="A807" s="819" t="s">
        <v>1573</v>
      </c>
      <c r="B807" s="2472" t="s">
        <v>1334</v>
      </c>
      <c r="C807" s="2472"/>
      <c r="D807" s="2472"/>
      <c r="E807" s="2472"/>
      <c r="F807" s="2472"/>
      <c r="G807" s="2472"/>
      <c r="H807" s="2472"/>
      <c r="I807" s="2472"/>
      <c r="J807" s="2472"/>
      <c r="K807" s="2472"/>
      <c r="L807" s="2472"/>
      <c r="M807" s="2472"/>
      <c r="N807" s="2472"/>
      <c r="O807" s="2472"/>
      <c r="P807" s="2472"/>
      <c r="Q807" s="2472"/>
      <c r="R807" s="2472"/>
      <c r="S807" s="2473"/>
      <c r="T807" s="2500">
        <f>AK143</f>
        <v>10</v>
      </c>
      <c r="U807" s="2476"/>
      <c r="V807" s="2476"/>
      <c r="W807" s="2476"/>
      <c r="X807" s="2476"/>
      <c r="Y807" s="2477"/>
      <c r="Z807" s="2475">
        <v>10</v>
      </c>
      <c r="AA807" s="2476"/>
      <c r="AB807" s="2476"/>
      <c r="AC807" s="2476"/>
      <c r="AD807" s="2476"/>
      <c r="AE807" s="2477"/>
      <c r="AF807" s="2440">
        <f>IF(T807&gt;Z807,Z807,T807)</f>
        <v>10</v>
      </c>
      <c r="AG807" s="2440"/>
      <c r="AH807" s="2440"/>
      <c r="AI807" s="2440"/>
      <c r="AJ807" s="2440"/>
      <c r="AK807" s="2440"/>
      <c r="AL807" s="818"/>
      <c r="AM807" s="596"/>
      <c r="AO807" s="816"/>
      <c r="AP807" s="816"/>
      <c r="AQ807" s="816"/>
    </row>
    <row r="808" spans="1:81">
      <c r="A808" s="820" t="s">
        <v>1574</v>
      </c>
      <c r="B808" s="2472" t="s">
        <v>1575</v>
      </c>
      <c r="C808" s="2472"/>
      <c r="D808" s="2472"/>
      <c r="E808" s="2472"/>
      <c r="F808" s="2472"/>
      <c r="G808" s="2472"/>
      <c r="H808" s="2472"/>
      <c r="I808" s="2472"/>
      <c r="J808" s="2472"/>
      <c r="K808" s="2472"/>
      <c r="L808" s="2472"/>
      <c r="M808" s="2472"/>
      <c r="N808" s="2472"/>
      <c r="O808" s="2472"/>
      <c r="P808" s="2472"/>
      <c r="Q808" s="2472"/>
      <c r="R808" s="2472"/>
      <c r="S808" s="2473"/>
      <c r="T808" s="2474">
        <f>SUM(T809:Y810)</f>
        <v>10</v>
      </c>
      <c r="U808" s="2474"/>
      <c r="V808" s="2474"/>
      <c r="W808" s="2474"/>
      <c r="X808" s="2474"/>
      <c r="Y808" s="2474"/>
      <c r="Z808" s="2440">
        <v>10</v>
      </c>
      <c r="AA808" s="2440"/>
      <c r="AB808" s="2440"/>
      <c r="AC808" s="2440"/>
      <c r="AD808" s="2440"/>
      <c r="AE808" s="2440"/>
      <c r="AF808" s="2440">
        <f>IF(T808&gt;Z808,Z808,T808)</f>
        <v>10</v>
      </c>
      <c r="AG808" s="2440"/>
      <c r="AH808" s="2440"/>
      <c r="AI808" s="2440"/>
      <c r="AJ808" s="2440"/>
      <c r="AK808" s="2440"/>
      <c r="AL808" s="818"/>
      <c r="AM808" s="596"/>
    </row>
    <row r="809" spans="1:81">
      <c r="A809" s="535"/>
      <c r="B809" s="601"/>
      <c r="C809" s="2478" t="s">
        <v>1576</v>
      </c>
      <c r="D809" s="2478"/>
      <c r="E809" s="2478"/>
      <c r="F809" s="2478"/>
      <c r="G809" s="2478"/>
      <c r="H809" s="2478"/>
      <c r="I809" s="2478"/>
      <c r="J809" s="2478"/>
      <c r="K809" s="2478"/>
      <c r="L809" s="2478"/>
      <c r="M809" s="2478"/>
      <c r="N809" s="2478"/>
      <c r="O809" s="2478"/>
      <c r="P809" s="2478"/>
      <c r="Q809" s="2478"/>
      <c r="R809" s="2478"/>
      <c r="S809" s="2479"/>
      <c r="T809" s="2480">
        <f>AJ166</f>
        <v>7</v>
      </c>
      <c r="U809" s="2480"/>
      <c r="V809" s="2480"/>
      <c r="W809" s="2480"/>
      <c r="X809" s="2480"/>
      <c r="Y809" s="2480"/>
      <c r="Z809" s="2481">
        <v>7</v>
      </c>
      <c r="AA809" s="2481"/>
      <c r="AB809" s="2481"/>
      <c r="AC809" s="2481"/>
      <c r="AD809" s="2481"/>
      <c r="AE809" s="2481"/>
      <c r="AF809" s="2482"/>
      <c r="AG809" s="2482"/>
      <c r="AH809" s="2482"/>
      <c r="AI809" s="2482"/>
      <c r="AJ809" s="2482"/>
      <c r="AK809" s="2482"/>
      <c r="AL809" s="818"/>
      <c r="AM809" s="596"/>
    </row>
    <row r="810" spans="1:81">
      <c r="A810" s="600"/>
      <c r="B810" s="601"/>
      <c r="C810" s="2478" t="s">
        <v>1577</v>
      </c>
      <c r="D810" s="2478"/>
      <c r="E810" s="2478"/>
      <c r="F810" s="2478"/>
      <c r="G810" s="2478"/>
      <c r="H810" s="2478"/>
      <c r="I810" s="2478"/>
      <c r="J810" s="2478"/>
      <c r="K810" s="2478"/>
      <c r="L810" s="2478"/>
      <c r="M810" s="2478"/>
      <c r="N810" s="2478"/>
      <c r="O810" s="2478"/>
      <c r="P810" s="2478"/>
      <c r="Q810" s="2478"/>
      <c r="R810" s="2478"/>
      <c r="S810" s="2479"/>
      <c r="T810" s="2480">
        <f>AJ180</f>
        <v>3</v>
      </c>
      <c r="U810" s="2480"/>
      <c r="V810" s="2480"/>
      <c r="W810" s="2480"/>
      <c r="X810" s="2480"/>
      <c r="Y810" s="2480"/>
      <c r="Z810" s="2481">
        <v>3</v>
      </c>
      <c r="AA810" s="2481"/>
      <c r="AB810" s="2481"/>
      <c r="AC810" s="2481"/>
      <c r="AD810" s="2481"/>
      <c r="AE810" s="2481"/>
      <c r="AF810" s="2482"/>
      <c r="AG810" s="2482"/>
      <c r="AH810" s="2482"/>
      <c r="AI810" s="2482"/>
      <c r="AJ810" s="2482"/>
      <c r="AK810" s="2482"/>
      <c r="AL810" s="818"/>
      <c r="AM810" s="596"/>
      <c r="AO810" s="550"/>
    </row>
    <row r="811" spans="1:81">
      <c r="A811" s="820" t="s">
        <v>1362</v>
      </c>
      <c r="B811" s="2472" t="s">
        <v>1578</v>
      </c>
      <c r="C811" s="2472"/>
      <c r="D811" s="2472"/>
      <c r="E811" s="2472"/>
      <c r="F811" s="2472"/>
      <c r="G811" s="2472"/>
      <c r="H811" s="2472"/>
      <c r="I811" s="2472"/>
      <c r="J811" s="2472"/>
      <c r="K811" s="2472"/>
      <c r="L811" s="2472"/>
      <c r="M811" s="2472"/>
      <c r="N811" s="2472"/>
      <c r="O811" s="2472"/>
      <c r="P811" s="2472"/>
      <c r="Q811" s="2472"/>
      <c r="R811" s="2472"/>
      <c r="S811" s="2473"/>
      <c r="T811" s="2474">
        <f>AK191</f>
        <v>10</v>
      </c>
      <c r="U811" s="2474"/>
      <c r="V811" s="2474"/>
      <c r="W811" s="2474"/>
      <c r="X811" s="2474"/>
      <c r="Y811" s="2474"/>
      <c r="Z811" s="2440">
        <v>10</v>
      </c>
      <c r="AA811" s="2440"/>
      <c r="AB811" s="2440"/>
      <c r="AC811" s="2440"/>
      <c r="AD811" s="2440"/>
      <c r="AE811" s="2440"/>
      <c r="AF811" s="2440">
        <f>IF(T811&gt;Z811,Z811,T811)</f>
        <v>10</v>
      </c>
      <c r="AG811" s="2440"/>
      <c r="AH811" s="2440"/>
      <c r="AI811" s="2440"/>
      <c r="AJ811" s="2440"/>
      <c r="AK811" s="2440"/>
      <c r="AL811" s="818"/>
      <c r="AM811" s="596"/>
    </row>
    <row r="812" spans="1:81">
      <c r="A812" s="819" t="s">
        <v>1371</v>
      </c>
      <c r="B812" s="2472" t="s">
        <v>1372</v>
      </c>
      <c r="C812" s="2472"/>
      <c r="D812" s="2472"/>
      <c r="E812" s="2472"/>
      <c r="F812" s="2472"/>
      <c r="G812" s="2472"/>
      <c r="H812" s="2472"/>
      <c r="I812" s="2472"/>
      <c r="J812" s="2472"/>
      <c r="K812" s="2472"/>
      <c r="L812" s="2472"/>
      <c r="M812" s="2472"/>
      <c r="N812" s="2472"/>
      <c r="O812" s="2472"/>
      <c r="P812" s="2472"/>
      <c r="Q812" s="2472"/>
      <c r="R812" s="2472"/>
      <c r="S812" s="2473"/>
      <c r="T812" s="2474">
        <f>AK273</f>
        <v>8</v>
      </c>
      <c r="U812" s="2474"/>
      <c r="V812" s="2474"/>
      <c r="W812" s="2474"/>
      <c r="X812" s="2474"/>
      <c r="Y812" s="2474"/>
      <c r="Z812" s="2475">
        <v>8</v>
      </c>
      <c r="AA812" s="2476"/>
      <c r="AB812" s="2476"/>
      <c r="AC812" s="2476"/>
      <c r="AD812" s="2476"/>
      <c r="AE812" s="2477"/>
      <c r="AF812" s="2440">
        <f>IF(T812&gt;Z812,Z812,T812)</f>
        <v>8</v>
      </c>
      <c r="AG812" s="2440"/>
      <c r="AH812" s="2440"/>
      <c r="AI812" s="2440"/>
      <c r="AJ812" s="2440"/>
      <c r="AK812" s="2440"/>
      <c r="AL812" s="818"/>
      <c r="AM812" s="596"/>
    </row>
    <row r="813" spans="1:81" s="534" customFormat="1" hidden="1">
      <c r="A813" s="820" t="s">
        <v>590</v>
      </c>
      <c r="B813" s="2472" t="s">
        <v>1579</v>
      </c>
      <c r="C813" s="2472"/>
      <c r="D813" s="2472"/>
      <c r="E813" s="2472"/>
      <c r="F813" s="2472"/>
      <c r="G813" s="2472"/>
      <c r="H813" s="2472"/>
      <c r="I813" s="2472"/>
      <c r="J813" s="2472"/>
      <c r="K813" s="2472"/>
      <c r="L813" s="2472"/>
      <c r="M813" s="2472"/>
      <c r="N813" s="2472"/>
      <c r="O813" s="2472"/>
      <c r="P813" s="2472"/>
      <c r="Q813" s="2472"/>
      <c r="R813" s="2472"/>
      <c r="S813" s="2473"/>
      <c r="T813" s="2474">
        <f>IF(AK535&gt;5,5,AK535)</f>
        <v>0</v>
      </c>
      <c r="U813" s="2474"/>
      <c r="V813" s="2474"/>
      <c r="W813" s="2474"/>
      <c r="X813" s="2474"/>
      <c r="Y813" s="2474"/>
      <c r="Z813" s="2440">
        <v>5</v>
      </c>
      <c r="AA813" s="2440"/>
      <c r="AB813" s="2440"/>
      <c r="AC813" s="2440"/>
      <c r="AD813" s="2440"/>
      <c r="AE813" s="2440"/>
      <c r="AF813" s="2440">
        <f>IF(T813&gt;Z813,5,T813)</f>
        <v>0</v>
      </c>
      <c r="AG813" s="2440"/>
      <c r="AH813" s="2440"/>
      <c r="AI813" s="2440"/>
      <c r="AJ813" s="2440"/>
      <c r="AK813" s="2440"/>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472" t="s">
        <v>1580</v>
      </c>
      <c r="C814" s="2472"/>
      <c r="D814" s="2472"/>
      <c r="E814" s="2472"/>
      <c r="F814" s="2472"/>
      <c r="G814" s="2472"/>
      <c r="H814" s="2472"/>
      <c r="I814" s="2472"/>
      <c r="J814" s="2472"/>
      <c r="K814" s="2472"/>
      <c r="L814" s="2472"/>
      <c r="M814" s="2472"/>
      <c r="N814" s="2472"/>
      <c r="O814" s="2472"/>
      <c r="P814" s="2472"/>
      <c r="Q814" s="2472"/>
      <c r="R814" s="2472"/>
      <c r="S814" s="2473"/>
      <c r="T814" s="2474">
        <f>AK285</f>
        <v>10</v>
      </c>
      <c r="U814" s="2474"/>
      <c r="V814" s="2474"/>
      <c r="W814" s="2474"/>
      <c r="X814" s="2474"/>
      <c r="Y814" s="2474"/>
      <c r="Z814" s="2440">
        <v>10</v>
      </c>
      <c r="AA814" s="2440"/>
      <c r="AB814" s="2440"/>
      <c r="AC814" s="2440"/>
      <c r="AD814" s="2440"/>
      <c r="AE814" s="2440"/>
      <c r="AF814" s="2483">
        <f>IF(T814&gt;Z814,Z814,T814)</f>
        <v>10</v>
      </c>
      <c r="AG814" s="2484"/>
      <c r="AH814" s="2484"/>
      <c r="AI814" s="2484"/>
      <c r="AJ814" s="2484"/>
      <c r="AK814" s="2485"/>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472" t="s">
        <v>1382</v>
      </c>
      <c r="C815" s="2472"/>
      <c r="D815" s="2472"/>
      <c r="E815" s="2472"/>
      <c r="F815" s="2472"/>
      <c r="G815" s="2472"/>
      <c r="H815" s="2472"/>
      <c r="I815" s="2472"/>
      <c r="J815" s="2472"/>
      <c r="K815" s="2472"/>
      <c r="L815" s="2472"/>
      <c r="M815" s="2472"/>
      <c r="N815" s="2472"/>
      <c r="O815" s="2472"/>
      <c r="P815" s="2472"/>
      <c r="Q815" s="2472"/>
      <c r="R815" s="2472"/>
      <c r="S815" s="2473"/>
      <c r="T815" s="2474">
        <f>AK338</f>
        <v>10</v>
      </c>
      <c r="U815" s="2474"/>
      <c r="V815" s="2474"/>
      <c r="W815" s="2474"/>
      <c r="X815" s="2474"/>
      <c r="Y815" s="2474"/>
      <c r="Z815" s="2483">
        <v>10</v>
      </c>
      <c r="AA815" s="2484"/>
      <c r="AB815" s="2484"/>
      <c r="AC815" s="2484"/>
      <c r="AD815" s="2484"/>
      <c r="AE815" s="2485"/>
      <c r="AF815" s="2483">
        <f>IF(T815&gt;Z815,Z815,T815)</f>
        <v>10</v>
      </c>
      <c r="AG815" s="2484"/>
      <c r="AH815" s="2484"/>
      <c r="AI815" s="2484"/>
      <c r="AJ815" s="2484"/>
      <c r="AK815" s="2485"/>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80">
        <f>AK338</f>
        <v>10</v>
      </c>
      <c r="U816" s="2480"/>
      <c r="V816" s="2480"/>
      <c r="W816" s="2480"/>
      <c r="X816" s="2480"/>
      <c r="Y816" s="2480"/>
      <c r="Z816" s="2428">
        <v>20</v>
      </c>
      <c r="AA816" s="2429"/>
      <c r="AB816" s="2429"/>
      <c r="AC816" s="2429"/>
      <c r="AD816" s="2429"/>
      <c r="AE816" s="2430"/>
      <c r="AF816" s="2482"/>
      <c r="AG816" s="2482"/>
      <c r="AH816" s="2482"/>
      <c r="AI816" s="2482"/>
      <c r="AJ816" s="2482"/>
      <c r="AK816" s="2482"/>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472" t="s">
        <v>846</v>
      </c>
      <c r="C817" s="2472"/>
      <c r="D817" s="2472"/>
      <c r="E817" s="2472"/>
      <c r="F817" s="2472"/>
      <c r="G817" s="2472"/>
      <c r="H817" s="2472"/>
      <c r="I817" s="2472"/>
      <c r="J817" s="2472"/>
      <c r="K817" s="2472"/>
      <c r="L817" s="2472"/>
      <c r="M817" s="2472"/>
      <c r="N817" s="2472"/>
      <c r="O817" s="2472"/>
      <c r="P817" s="2472"/>
      <c r="Q817" s="2472"/>
      <c r="R817" s="2472"/>
      <c r="S817" s="2473"/>
      <c r="T817" s="2474">
        <f>AK469</f>
        <v>12</v>
      </c>
      <c r="U817" s="2474"/>
      <c r="V817" s="2474"/>
      <c r="W817" s="2474"/>
      <c r="X817" s="2474"/>
      <c r="Y817" s="2474"/>
      <c r="Z817" s="2483">
        <v>10</v>
      </c>
      <c r="AA817" s="2484"/>
      <c r="AB817" s="2484"/>
      <c r="AC817" s="2484"/>
      <c r="AD817" s="2484"/>
      <c r="AE817" s="2485"/>
      <c r="AF817" s="2440">
        <f>IF(T817&gt;Z817,Z817,T817)</f>
        <v>10</v>
      </c>
      <c r="AG817" s="2440"/>
      <c r="AH817" s="2440"/>
      <c r="AI817" s="2440"/>
      <c r="AJ817" s="2440"/>
      <c r="AK817" s="2440"/>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472" t="s">
        <v>1560</v>
      </c>
      <c r="C818" s="2472"/>
      <c r="D818" s="2472"/>
      <c r="E818" s="2472"/>
      <c r="F818" s="2472"/>
      <c r="G818" s="2472"/>
      <c r="H818" s="2472"/>
      <c r="I818" s="2472"/>
      <c r="J818" s="2472"/>
      <c r="K818" s="2472"/>
      <c r="L818" s="2472"/>
      <c r="M818" s="2472"/>
      <c r="N818" s="2472"/>
      <c r="O818" s="2472"/>
      <c r="P818" s="2472"/>
      <c r="Q818" s="2472"/>
      <c r="R818" s="2472"/>
      <c r="S818" s="2473"/>
      <c r="T818" s="2474">
        <f>AK559</f>
        <v>12</v>
      </c>
      <c r="U818" s="2474"/>
      <c r="V818" s="2474"/>
      <c r="W818" s="2474"/>
      <c r="X818" s="2474"/>
      <c r="Y818" s="2474"/>
      <c r="Z818" s="2483">
        <v>12</v>
      </c>
      <c r="AA818" s="2484"/>
      <c r="AB818" s="2484"/>
      <c r="AC818" s="2484"/>
      <c r="AD818" s="2484"/>
      <c r="AE818" s="2485"/>
      <c r="AF818" s="2440">
        <f>IF(T818&gt;Z818,Z818,T818)</f>
        <v>12</v>
      </c>
      <c r="AG818" s="2440"/>
      <c r="AH818" s="2440"/>
      <c r="AI818" s="2440"/>
      <c r="AJ818" s="2440"/>
      <c r="AK818" s="2440"/>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472" t="s">
        <v>1582</v>
      </c>
      <c r="C819" s="2472"/>
      <c r="D819" s="2472"/>
      <c r="E819" s="2472"/>
      <c r="F819" s="2472"/>
      <c r="G819" s="2472"/>
      <c r="H819" s="2472"/>
      <c r="I819" s="2472"/>
      <c r="J819" s="2472"/>
      <c r="K819" s="2472"/>
      <c r="L819" s="2472"/>
      <c r="M819" s="2472"/>
      <c r="N819" s="2472"/>
      <c r="O819" s="2472"/>
      <c r="P819" s="2472"/>
      <c r="Q819" s="2472"/>
      <c r="R819" s="2472"/>
      <c r="S819" s="2473"/>
      <c r="T819" s="2474">
        <f>AK794</f>
        <v>10</v>
      </c>
      <c r="U819" s="2474"/>
      <c r="V819" s="2474"/>
      <c r="W819" s="2474"/>
      <c r="X819" s="2474"/>
      <c r="Y819" s="2474"/>
      <c r="Z819" s="2483">
        <v>10</v>
      </c>
      <c r="AA819" s="2484"/>
      <c r="AB819" s="2484"/>
      <c r="AC819" s="2484"/>
      <c r="AD819" s="2484"/>
      <c r="AE819" s="2485"/>
      <c r="AF819" s="2440">
        <f>IF(T819&gt;Z819,Z819,T819)</f>
        <v>10</v>
      </c>
      <c r="AG819" s="2440"/>
      <c r="AH819" s="2440"/>
      <c r="AI819" s="2440"/>
      <c r="AJ819" s="2440"/>
      <c r="AK819" s="2440"/>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6" t="s">
        <v>1583</v>
      </c>
      <c r="B820" s="2472"/>
      <c r="C820" s="2472"/>
      <c r="D820" s="2472"/>
      <c r="E820" s="2472"/>
      <c r="F820" s="2472"/>
      <c r="G820" s="2472"/>
      <c r="H820" s="2472"/>
      <c r="I820" s="2472"/>
      <c r="J820" s="2472"/>
      <c r="K820" s="2472"/>
      <c r="L820" s="2472"/>
      <c r="M820" s="2472"/>
      <c r="N820" s="2472"/>
      <c r="O820" s="2472"/>
      <c r="P820" s="2472"/>
      <c r="Q820" s="2472"/>
      <c r="R820" s="2472"/>
      <c r="S820" s="2473"/>
      <c r="T820" s="2487"/>
      <c r="U820" s="2487"/>
      <c r="V820" s="2487"/>
      <c r="W820" s="2487"/>
      <c r="X820" s="2487"/>
      <c r="Y820" s="2487"/>
      <c r="Z820" s="2481" t="s">
        <v>1584</v>
      </c>
      <c r="AA820" s="2481"/>
      <c r="AB820" s="2481"/>
      <c r="AC820" s="2481"/>
      <c r="AD820" s="2481"/>
      <c r="AE820" s="2481"/>
      <c r="AF820" s="2483">
        <f>IF(T820&gt;0,T820,0)</f>
        <v>0</v>
      </c>
      <c r="AG820" s="2484"/>
      <c r="AH820" s="2484"/>
      <c r="AI820" s="2484"/>
      <c r="AJ820" s="2484"/>
      <c r="AK820" s="2485"/>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88" t="s">
        <v>1585</v>
      </c>
      <c r="B821" s="2489"/>
      <c r="C821" s="2489"/>
      <c r="D821" s="2489"/>
      <c r="E821" s="2489"/>
      <c r="F821" s="2489"/>
      <c r="G821" s="2489"/>
      <c r="H821" s="2489"/>
      <c r="I821" s="2489"/>
      <c r="J821" s="2489"/>
      <c r="K821" s="2489"/>
      <c r="L821" s="2489"/>
      <c r="M821" s="2489"/>
      <c r="N821" s="2489"/>
      <c r="O821" s="2489"/>
      <c r="P821" s="2489"/>
      <c r="Q821" s="2489"/>
      <c r="R821" s="2489"/>
      <c r="S821" s="2489"/>
      <c r="T821" s="2489"/>
      <c r="U821" s="2489"/>
      <c r="V821" s="2489"/>
      <c r="W821" s="2489"/>
      <c r="X821" s="2489"/>
      <c r="Y821" s="2489"/>
      <c r="Z821" s="2489"/>
      <c r="AA821" s="2489"/>
      <c r="AB821" s="2489"/>
      <c r="AC821" s="2489"/>
      <c r="AD821" s="2489"/>
      <c r="AE821" s="2490"/>
      <c r="AF821" s="2494">
        <f ca="1">SUM(AF804:AK819)-AF820</f>
        <v>120</v>
      </c>
      <c r="AG821" s="2495"/>
      <c r="AH821" s="2495"/>
      <c r="AI821" s="2495"/>
      <c r="AJ821" s="2495"/>
      <c r="AK821" s="2496"/>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91"/>
      <c r="B822" s="2492"/>
      <c r="C822" s="2492"/>
      <c r="D822" s="2492"/>
      <c r="E822" s="2492"/>
      <c r="F822" s="2492"/>
      <c r="G822" s="2492"/>
      <c r="H822" s="2492"/>
      <c r="I822" s="2492"/>
      <c r="J822" s="2492"/>
      <c r="K822" s="2492"/>
      <c r="L822" s="2492"/>
      <c r="M822" s="2492"/>
      <c r="N822" s="2492"/>
      <c r="O822" s="2492"/>
      <c r="P822" s="2492"/>
      <c r="Q822" s="2492"/>
      <c r="R822" s="2492"/>
      <c r="S822" s="2492"/>
      <c r="T822" s="2492"/>
      <c r="U822" s="2492"/>
      <c r="V822" s="2492"/>
      <c r="W822" s="2492"/>
      <c r="X822" s="2492"/>
      <c r="Y822" s="2492"/>
      <c r="Z822" s="2492"/>
      <c r="AA822" s="2492"/>
      <c r="AB822" s="2492"/>
      <c r="AC822" s="2492"/>
      <c r="AD822" s="2492"/>
      <c r="AE822" s="2493"/>
      <c r="AF822" s="2497"/>
      <c r="AG822" s="2498"/>
      <c r="AH822" s="2498"/>
      <c r="AI822" s="2498"/>
      <c r="AJ822" s="2498"/>
      <c r="AK822" s="2499"/>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Wilson</cp:lastModifiedBy>
  <cp:lastPrinted>2025-09-05T07:41:00Z</cp:lastPrinted>
  <dcterms:created xsi:type="dcterms:W3CDTF">2007-12-27T18:26:28Z</dcterms:created>
  <dcterms:modified xsi:type="dcterms:W3CDTF">2025-09-06T17:58:54Z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2025-08-15T23:08:09Z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2954853e-c68c-4e69-81a8-a3c1ca23ffe8</vt:lpwstr>
  </property>
  <property fmtid="{D5CDD505-2E9C-101B-9397-08002B2CF9AE}" pid="8" name="MSIP_Label_cac78fa3-8c3c-40be-95d9-faf236c08e18_ContentBits">
    <vt:lpwstr>0</vt:lpwstr>
  </property>
  <property fmtid="{D5CDD505-2E9C-101B-9397-08002B2CF9AE}" pid="9" name="MSIP_Label_cac78fa3-8c3c-40be-95d9-faf236c08e18_Tag">
    <vt:lpwstr>10, 3, 0, 1</vt:lpwstr>
  </property>
</Properties>
</file>